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Records1.xml" ContentType="application/vnd.openxmlformats-officedocument.spreadsheetml.pivotCacheRecords+xml"/>
  <Override PartName="/xl/pivotCache/pivotCacheRecords2.xml" ContentType="application/vnd.openxmlformats-officedocument.spreadsheetml.pivotCacheRecords+xml"/>
  <Override PartName="/xl/pivotTables/pivotTable1.xml" ContentType="application/vnd.openxmlformats-officedocument.spreadsheetml.pivotTable+xml"/>
  <Override PartName="/xl/pivotTables/pivotTable2.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00" windowHeight="7770" firstSheet="17" activeTab="17"/>
  </bookViews>
  <sheets>
    <sheet name="Dados Fórmulas" sheetId="2" state="hidden" r:id="rId1"/>
    <sheet name="articul" sheetId="3" state="hidden" r:id="rId2"/>
    <sheet name="Dashboard" sheetId="4" state="hidden" r:id="rId3"/>
    <sheet name="Criação - Padrão Comunitário e " sheetId="5" state="hidden" r:id="rId4"/>
    <sheet name="Dashboard Ensino" sheetId="6" state="hidden" r:id="rId5"/>
    <sheet name="Mapeamento" sheetId="7" state="hidden" r:id="rId6"/>
    <sheet name="Comunitário Existentes" sheetId="8" state="hidden" r:id="rId7"/>
    <sheet name="Viaturas" sheetId="9" state="hidden" r:id="rId8"/>
    <sheet name="Embarcações" sheetId="10" state="hidden" r:id="rId9"/>
    <sheet name="Compilado" sheetId="11" state="hidden" r:id="rId10"/>
    <sheet name="2BBM" sheetId="12" state="hidden" r:id="rId11"/>
    <sheet name="3BBM" sheetId="13" state="hidden" r:id="rId12"/>
    <sheet name="5BBM" sheetId="15" state="hidden" r:id="rId13"/>
    <sheet name="7BBM" sheetId="17" state="hidden" r:id="rId14"/>
    <sheet name="8BBM" sheetId="18" state="hidden" r:id="rId15"/>
    <sheet name="9BBM" sheetId="19" state="hidden" r:id="rId16"/>
    <sheet name="10BBM" sheetId="20" state="hidden" r:id="rId17"/>
    <sheet name="11BBM" sheetId="21" r:id="rId18"/>
    <sheet name="13BBM" sheetId="23" state="hidden" r:id="rId19"/>
    <sheet name="Página5" sheetId="24" state="hidden" r:id="rId20"/>
  </sheets>
  <definedNames>
    <definedName name="_xlnm._FilterDatabase" localSheetId="0" hidden="1">'Dados Fórmulas'!$A$1:$Z$274</definedName>
    <definedName name="_xlnm._FilterDatabase" localSheetId="1" hidden="1">articul!$A$1:$I$1407</definedName>
    <definedName name="_xlnm._FilterDatabase" localSheetId="7" hidden="1">Viaturas!$A$1:$T$1005</definedName>
    <definedName name="_xlnm._FilterDatabase" localSheetId="8" hidden="1">Embarcações!$A$1:$T$914</definedName>
    <definedName name="_xlnm._FilterDatabase" localSheetId="10" hidden="1">'2BBM'!$A$1:$AN$139</definedName>
    <definedName name="_xlnm._FilterDatabase" localSheetId="12" hidden="1">'5BBM'!$A$1:$AN$130</definedName>
    <definedName name="_xlnm._FilterDatabase" localSheetId="13" hidden="1">'7BBM'!$A$1:$AN$279</definedName>
    <definedName name="_xlnm._FilterDatabase" localSheetId="14" hidden="1">'8BBM'!$A$1:$AN$50</definedName>
    <definedName name="_xlnm._FilterDatabase" localSheetId="15" hidden="1">'9BBM'!$A$1:$AN$84</definedName>
    <definedName name="_xlnm._FilterDatabase" localSheetId="16" hidden="1">'10BBM'!$A$1:$AN$46</definedName>
    <definedName name="_xlnm._FilterDatabase" localSheetId="17" hidden="1">'11BBM'!$A$1:$L$21</definedName>
    <definedName name="_xlnm._FilterDatabase" localSheetId="18" hidden="1">'13BBM'!$A$1:$AN$22</definedName>
    <definedName name="_FilterDatabase_0" localSheetId="5">Mapeamento!$B$1:$E$34</definedName>
    <definedName name="municipios">Mapeamento!$B$2:$B$34</definedName>
    <definedName name="Print_Titles_0" localSheetId="5">Mapeamento!$1:$1</definedName>
    <definedName name="Print_Titles_0_0" localSheetId="5">Mapeamento!$1:$1</definedName>
    <definedName name="Print_Titles_0_0_0" localSheetId="5">Mapeamento!$1:$1</definedName>
    <definedName name="SCAB">#REF!</definedName>
    <definedName name="tipos">#REF!</definedName>
    <definedName name="tiposv">#REF!</definedName>
    <definedName name="Z_EFECDDCA_1A3C_4C73_AC81_97BD391D73B4_.wvu.FilterData" localSheetId="5" hidden="1">Mapeamento!$B$6:$E$67</definedName>
    <definedName name="Z_F772636C_AA93_41DB_A9A9_B53D33B50D82_.wvu.FilterData" localSheetId="5" hidden="1">Mapeamento!$B$6:$E$67</definedName>
  </definedNames>
  <calcPr calcId="144525"/>
  <customWorkbookViews>
    <customWorkbookView name="Filtro 1" guid="{F772636C-AA93-41DB-A9A9-B53D33B50D82}" maximized="1" windowWidth="0" windowHeight="0" activeSheetId="0"/>
    <customWorkbookView name="Vitinho" guid="{EFECDDCA-1A3C-4C73-AC81-97BD391D73B4}" maximized="1" windowWidth="0" windowHeight="0" activeSheetId="0"/>
  </customWorkbookViews>
  <pivotCaches>
    <pivotCache cacheId="0" r:id="rId21"/>
    <pivotCache cacheId="1" r:id="rId22"/>
  </pivotCaches>
</workbook>
</file>

<file path=xl/sharedStrings.xml><?xml version="1.0" encoding="utf-8"?>
<sst xmlns="http://schemas.openxmlformats.org/spreadsheetml/2006/main" count="19800" uniqueCount="5387">
  <si>
    <t xml:space="preserve">Nome </t>
  </si>
  <si>
    <t>RG</t>
  </si>
  <si>
    <t>Situação</t>
  </si>
  <si>
    <t>ABRAO CASTILHOS DA SILVA</t>
  </si>
  <si>
    <t>EAD</t>
  </si>
  <si>
    <t>10BBM</t>
  </si>
  <si>
    <t>ANGELO VIEIRA BRUM</t>
  </si>
  <si>
    <t>Não Tem</t>
  </si>
  <si>
    <t>ALEXANDRO PINTO DA SILVA</t>
  </si>
  <si>
    <t>EDEVARTE DA SILVA LICHTENECKER</t>
  </si>
  <si>
    <t>ANA PAULA CAMEJO DUTRA</t>
  </si>
  <si>
    <t>GUILHERME MARIANO DA SILVA</t>
  </si>
  <si>
    <t>ANDERSON FLORES FERNANDES</t>
  </si>
  <si>
    <t>JÚLIA SUSETE PINTO DUTRA</t>
  </si>
  <si>
    <t>ANDRÉ DE LIMA ROSAIS</t>
  </si>
  <si>
    <t>Claudia Maria Gomes</t>
  </si>
  <si>
    <t>11BBM</t>
  </si>
  <si>
    <t>CLEIDIMAR FARIAS HOLDE</t>
  </si>
  <si>
    <t>ROSANE MARLEI DOS SANTOS</t>
  </si>
  <si>
    <t>CRISTIANO PAIM EVANGELISTA</t>
  </si>
  <si>
    <t>ALBINO SOARES CALAUDINO</t>
  </si>
  <si>
    <t>12BBM</t>
  </si>
  <si>
    <t>EDSON LUIZ RODRIGUES</t>
  </si>
  <si>
    <t>ALENCAR JUNIOR PEIXOTO</t>
  </si>
  <si>
    <t>ELISIANE VARGAS ROSRIO MULLER</t>
  </si>
  <si>
    <t>ALEXANDRE LAMB BUDKE</t>
  </si>
  <si>
    <t>ELIZÂNGELA MENDES SOARES</t>
  </si>
  <si>
    <t>BERLI LEMOS</t>
  </si>
  <si>
    <t>GESSI GOMES DA SILVA</t>
  </si>
  <si>
    <t>Carlos Juliano Girardi</t>
  </si>
  <si>
    <t>JEFERSON DA LUZ FURTADO</t>
  </si>
  <si>
    <t>EDELAR SCHMIDT</t>
  </si>
  <si>
    <t>JERONIMO CARDOZO CAURIO</t>
  </si>
  <si>
    <t>GERSON BENDER</t>
  </si>
  <si>
    <t>JOAO ELMO DE OLIVEIRA RODRIGUES</t>
  </si>
  <si>
    <t>JANIO DOUTEL FREITAS</t>
  </si>
  <si>
    <t>KAUE RODRIGUES SAUZEM</t>
  </si>
  <si>
    <t>LUAN DA SILVA PEREIRA</t>
  </si>
  <si>
    <t>KEVEN MALLMANN FONTOURA</t>
  </si>
  <si>
    <t>LUCIANO LUIS ROBERTI</t>
  </si>
  <si>
    <t>LUCIANE RETAMAR DA SILVA</t>
  </si>
  <si>
    <t>VANDERLEI VEIGA DOS SANTOS</t>
  </si>
  <si>
    <t>LUIZ EDUARDO DUTRA DA ROCHA</t>
  </si>
  <si>
    <t>ANGELO DIONISIO DA SILVA RODRIGUES</t>
  </si>
  <si>
    <t>13BBM</t>
  </si>
  <si>
    <t>MARCELO DA SILVA MOURA</t>
  </si>
  <si>
    <t>CLEIDINEI BATISTA DOS SANTOS</t>
  </si>
  <si>
    <t>MARIA DE LOURDES BONES PEDROSO</t>
  </si>
  <si>
    <t>VALDECI ROMEIRO DA SILVA</t>
  </si>
  <si>
    <t>MILENA FURQUIM MADRI</t>
  </si>
  <si>
    <t>ANDRE ADRIANO DRESCH</t>
  </si>
  <si>
    <t>2BBM</t>
  </si>
  <si>
    <t>PABLO DO AMRAL MACIEL</t>
  </si>
  <si>
    <t>Carla Jenifer da Silva</t>
  </si>
  <si>
    <t>PEDRO CARVALHO DA ROSA</t>
  </si>
  <si>
    <t>DANIEL CALEBE BUENO DA SILVA</t>
  </si>
  <si>
    <t>RAFAELA ALVES PEDROZO</t>
  </si>
  <si>
    <t>DIOGO TRASSANTE URBANETTO</t>
  </si>
  <si>
    <t>RUANE OLIVEIRA DE ANDRADES</t>
  </si>
  <si>
    <t>DIONATAN BONATTO</t>
  </si>
  <si>
    <t>UMBERTO DE ALENCAR ALMEIDA DE OLIVEIRA</t>
  </si>
  <si>
    <t>FABIANO MACHADO PEREIRA</t>
  </si>
  <si>
    <t>WILLIAN WITT RODRIGUES</t>
  </si>
  <si>
    <t>JOSE AUGUSTO MAAS KNOPF</t>
  </si>
  <si>
    <t>ALAN HERTHER LEAL</t>
  </si>
  <si>
    <t>JOYCE ANDRIELY TAVARES DA SILVA</t>
  </si>
  <si>
    <t>Bruno Borges</t>
  </si>
  <si>
    <t>LUCAS BINELO DE MATTOS</t>
  </si>
  <si>
    <t>MARCEL RAUBER MUDERS</t>
  </si>
  <si>
    <t>MARCELO OLIVEIRA DE SOUZA</t>
  </si>
  <si>
    <t>PATRICK JOS DAMKE</t>
  </si>
  <si>
    <t>MARI GISELI MARTINS</t>
  </si>
  <si>
    <t>PAULO ROBERTO NAU</t>
  </si>
  <si>
    <t>MARIA CAROLINA CABRAL WILBERT</t>
  </si>
  <si>
    <t>RAFAEL RODRIGO WOLFART TREIB</t>
  </si>
  <si>
    <t>MARIA SOLANGE APOLO FERNANDES</t>
  </si>
  <si>
    <t>ANDREI SCHERER PEREIRA</t>
  </si>
  <si>
    <t>SABRINA CONCEIO DOS SANTOS</t>
  </si>
  <si>
    <t>Cezar Jair Ludwig Zimmermann</t>
  </si>
  <si>
    <t>SONIA JOHANN</t>
  </si>
  <si>
    <t>CRISTIANO OLIVEIRA DO PRADO</t>
  </si>
  <si>
    <t>VITORIA BORBA BUENO</t>
  </si>
  <si>
    <t>DANILO PITROWSKI</t>
  </si>
  <si>
    <t>BRAIAN MAICO MORG DE CASTRO</t>
  </si>
  <si>
    <t>6BBM</t>
  </si>
  <si>
    <t>DERLY DA SILVA JUNIOR</t>
  </si>
  <si>
    <t>DIEGO HOFF VASKOSK</t>
  </si>
  <si>
    <t>DIONI JUNIOR RIBEIRO</t>
  </si>
  <si>
    <t>PEDRO DO VAL DIAS</t>
  </si>
  <si>
    <t>EDUARDO CHRIST</t>
  </si>
  <si>
    <t>VLADIMIR DE SOUZA DICK</t>
  </si>
  <si>
    <t>ELIAS PORTELLA PONSONI</t>
  </si>
  <si>
    <t>ALAN JOVINO PEREIRA DA SILVA</t>
  </si>
  <si>
    <t>7BBM</t>
  </si>
  <si>
    <t>ELIVELTON MORAES DOS SANTOS</t>
  </si>
  <si>
    <t>ANA CAROLINE TRECCO</t>
  </si>
  <si>
    <t>EVERTON LUIS SOARES</t>
  </si>
  <si>
    <t>ANDERSON VIAU</t>
  </si>
  <si>
    <t>GILBERTO DA SILVA DICKEL</t>
  </si>
  <si>
    <t>ANDRE LUIS WOZNIAK</t>
  </si>
  <si>
    <t>IVANDRO BIAZZI</t>
  </si>
  <si>
    <t>Claudio Trentin</t>
  </si>
  <si>
    <t>IVO TIARAJU BORBA DE OLIVEIRA</t>
  </si>
  <si>
    <t>CRISTIANO DE OLIVEIRA</t>
  </si>
  <si>
    <t>JARDEL VINICIUS BORGES DE BARROS</t>
  </si>
  <si>
    <t>DOUGLAS ROBERTO MENTZ</t>
  </si>
  <si>
    <t>JORGE JAIR GOIS DOS SANTOS</t>
  </si>
  <si>
    <t>EDUARDA FERNANDA SEGATTO</t>
  </si>
  <si>
    <t>JOSÉ ROBERTO DE SOUZA SILVA</t>
  </si>
  <si>
    <t>ELIO FRANCISCO BACKES</t>
  </si>
  <si>
    <t>LEONIR ANTONIO DANEZ</t>
  </si>
  <si>
    <t>ELISA ANA GORONCI</t>
  </si>
  <si>
    <t>LUIS EDUARDO DE ANDRADE</t>
  </si>
  <si>
    <t>GIOVANI RODRIGUES BATISTA</t>
  </si>
  <si>
    <t>MARCELO BENDER</t>
  </si>
  <si>
    <t>IGOR ALEX DA ROSA</t>
  </si>
  <si>
    <t>MARCELO SARAIVA DO NASCIMENTO</t>
  </si>
  <si>
    <t>JORGE LUIS KOSINSKI</t>
  </si>
  <si>
    <t>MARCIA CRISTINA DE ANDRADE</t>
  </si>
  <si>
    <t>JULIANA DUTRA</t>
  </si>
  <si>
    <t>RONI TRATSCH</t>
  </si>
  <si>
    <t>LEONARDO DIAS CABRAL</t>
  </si>
  <si>
    <t>ROQUE CLAUDIR DE OLIVEIRA</t>
  </si>
  <si>
    <t>LEONARDO FAGUNDES PICOLOTTO</t>
  </si>
  <si>
    <t>ROSANA DE LIMA PADILHA GASTRING</t>
  </si>
  <si>
    <t>MACSUEL MATTOS DE OLIVEIRA MARCON</t>
  </si>
  <si>
    <t>VILSON LAMB BUDKE</t>
  </si>
  <si>
    <t>MARCIANA VARGAS DRUM</t>
  </si>
  <si>
    <t>FABIO ALEX MACHADO DO AMARAL</t>
  </si>
  <si>
    <t>NEIMAR RASCHE</t>
  </si>
  <si>
    <t>ISMAEL DOS SANTOS DE LEON</t>
  </si>
  <si>
    <t>NILTON ANTNIO MOCELLIN</t>
  </si>
  <si>
    <t>JAIR DA SILVA</t>
  </si>
  <si>
    <t>PAULA SAMUEL VAN SCHAIK</t>
  </si>
  <si>
    <t>LUIS FERNANDO MACHADO DO AMARAL</t>
  </si>
  <si>
    <t>ROBERTA QUELEN DETOFOL</t>
  </si>
  <si>
    <t>PAULO ROBERTO OLDANI DA SILVA</t>
  </si>
  <si>
    <t>ROSA TATIANA TSCHIEDEL</t>
  </si>
  <si>
    <t>RENATO COELHO BALOCK</t>
  </si>
  <si>
    <t>RUI RAMALHO DE CARVALHO VALIM</t>
  </si>
  <si>
    <t>ROGÉRIO FREITAS DO NASCIMENTO</t>
  </si>
  <si>
    <t>SIDINEI CASTILHO RAMOS</t>
  </si>
  <si>
    <t>THIAGO RIBEIRO NUNES</t>
  </si>
  <si>
    <t>VINICIOS CARIEL VOLPI</t>
  </si>
  <si>
    <t>ADILSON LEMOS</t>
  </si>
  <si>
    <t>000 3667497</t>
  </si>
  <si>
    <t>ZONOLEI EVANDRO STEIN</t>
  </si>
  <si>
    <t>ALCENI DA SILVA</t>
  </si>
  <si>
    <t>RUTE DUTRA FERREIRA</t>
  </si>
  <si>
    <t>8BBM</t>
  </si>
  <si>
    <t>ANDRINI DE OLIVEIRA FERREIRA</t>
  </si>
  <si>
    <t>ANGELICA VERGINIA DA SILVA MARTINS</t>
  </si>
  <si>
    <t>9BBM</t>
  </si>
  <si>
    <t>BRUNA DUCAS ALVAREZ</t>
  </si>
  <si>
    <t>Carlos Vinicios Lopes Martins</t>
  </si>
  <si>
    <t>Bruno Matheus Weber</t>
  </si>
  <si>
    <t>DIONATHA NATALINO DA SILVA MACIEL</t>
  </si>
  <si>
    <t>EDUARDA BAUMGARTNER</t>
  </si>
  <si>
    <t>FABIANO DA SILVA MULLER</t>
  </si>
  <si>
    <t>EDUARDO HENZ</t>
  </si>
  <si>
    <t>GILMAR FRAGA NUNES</t>
  </si>
  <si>
    <t>EVANDRO NUNES LOPES</t>
  </si>
  <si>
    <t>GRAZIELLE GAIER SILVEIRA</t>
  </si>
  <si>
    <t>EVÂNIO ADÃO ROSADO</t>
  </si>
  <si>
    <t>LEANDRO FERNANDES MACHADO</t>
  </si>
  <si>
    <t>EVERTON FERANANDO ESPITALHER DE SOUZA</t>
  </si>
  <si>
    <t>LUIZ ANTONIO PADILHA SCHARDOSim</t>
  </si>
  <si>
    <t>GABRIEL RODRIGUES DA SILVA</t>
  </si>
  <si>
    <t>TEYLOR VINICIUS RODRIGUES DOS ANJOS</t>
  </si>
  <si>
    <t>GUSTAVO PACHECO DA SILVA</t>
  </si>
  <si>
    <t>VIVIANE PETZOLD</t>
  </si>
  <si>
    <t>JAIR BANACHOKI</t>
  </si>
  <si>
    <t>JOAO MANOEL MATTOS DE MELO</t>
  </si>
  <si>
    <t>JOÃO ONEIDE DE NATIVIDADE FLORES</t>
  </si>
  <si>
    <t>LUCAS MARCEL NUNES</t>
  </si>
  <si>
    <t>LUIS MIGUEL DA CONCEICAO SILVA</t>
  </si>
  <si>
    <t>RUBENS PAULO PIRES JUNIOR</t>
  </si>
  <si>
    <t>SANDRO LUIZ DA SILVA FAGUNDES</t>
  </si>
  <si>
    <t>TEREZA MAYUMI ORITA</t>
  </si>
  <si>
    <t>UILIAN MARTINS</t>
  </si>
  <si>
    <t>VARDILEI COSTA GOIS</t>
  </si>
  <si>
    <t>Carlos Amorim Beiro</t>
  </si>
  <si>
    <t>3BBM</t>
  </si>
  <si>
    <t>Clayton Francisco Pires dos Reis</t>
  </si>
  <si>
    <t>EDEVALDO PERES CARVALHO</t>
  </si>
  <si>
    <t>JOSÉ ALMIRO PEREIRA</t>
  </si>
  <si>
    <t>GUILHERME FREITAS KELLING</t>
  </si>
  <si>
    <t>4BBM</t>
  </si>
  <si>
    <t>JOSÉ ADELAR DE MORAIS</t>
  </si>
  <si>
    <t>SEVERO MONTEIRO POSSER</t>
  </si>
  <si>
    <t>TICIANO PAULO DE DAVID</t>
  </si>
  <si>
    <t>Cesar Dalzochio</t>
  </si>
  <si>
    <t>5BBM</t>
  </si>
  <si>
    <t>Claudinei Sturmer</t>
  </si>
  <si>
    <t>DANIEL PEGORARO SPINELLI</t>
  </si>
  <si>
    <t>DANIELA POZZA</t>
  </si>
  <si>
    <t>EDIRAN PETTER MENDES</t>
  </si>
  <si>
    <t>FABIO DA ROSA SCHIAM</t>
  </si>
  <si>
    <t>GILSON CESAR BORTOLI</t>
  </si>
  <si>
    <t>IVANI DE GREGORI TONIN</t>
  </si>
  <si>
    <t>JAISON ANTONIO CAPITANI</t>
  </si>
  <si>
    <t>JOCELITO JOSE KNEBEL</t>
  </si>
  <si>
    <t>JORGE PEDRO LAMB</t>
  </si>
  <si>
    <t>JOSÉ ROBERTO COSTA</t>
  </si>
  <si>
    <t>MAIARA CRISTINE PETRY</t>
  </si>
  <si>
    <t>MAURO JOO TONOLLI</t>
  </si>
  <si>
    <t>PAULO CRISTIANO FREITAS FLORES</t>
  </si>
  <si>
    <t>PAULO RENAN FERREIRA</t>
  </si>
  <si>
    <t>RAFAEL SCHMITZ</t>
  </si>
  <si>
    <t>TATIANE BERTOTTI</t>
  </si>
  <si>
    <t>THIAGO MIGUEL HAHN</t>
  </si>
  <si>
    <t>VALDIR THOM</t>
  </si>
  <si>
    <t>WILLIANE PEGORARO CIGNACHI</t>
  </si>
  <si>
    <t>ADRIANO LUIZ STREY</t>
  </si>
  <si>
    <t>ALEX SANGALLI</t>
  </si>
  <si>
    <t>ALEXANDRE DE CAMPOS BRASIL</t>
  </si>
  <si>
    <t>ALEXANDRE GONÇALVES</t>
  </si>
  <si>
    <t>ANDRE LUIS WEIS</t>
  </si>
  <si>
    <t>AUGUSTO DILAMAR NUNES DA SILVA</t>
  </si>
  <si>
    <t>Carlos Alberto Borgmann</t>
  </si>
  <si>
    <t>Cauã Silveira Correia</t>
  </si>
  <si>
    <t>DIONATAN DA SILVA PLATE</t>
  </si>
  <si>
    <t>ELISANDRO DA SILVA LIMA</t>
  </si>
  <si>
    <t>EVANDRO DOS SANTOS WINKELMANN</t>
  </si>
  <si>
    <t>EVANDRO RANGEL DA SILVA</t>
  </si>
  <si>
    <t>FABIO KELLER</t>
  </si>
  <si>
    <t>FILIPE FONSECA SOARES</t>
  </si>
  <si>
    <t>ISMAEL LUIS COLLI</t>
  </si>
  <si>
    <t>JBIO DE MORAES TEIXEIRA</t>
  </si>
  <si>
    <t>JOSÉ RICARDO PEREIRA CUNHA</t>
  </si>
  <si>
    <t>JUVENIL DA SILVA BENHARD</t>
  </si>
  <si>
    <t>LEANDRO DA SILVA MOURA</t>
  </si>
  <si>
    <t>LINDOMAR ROBERTO DA PAIXAO</t>
  </si>
  <si>
    <t>LOIVO CASTOLDI DEZORDI</t>
  </si>
  <si>
    <t>LUCAS SOARES PEREIRA LUZ</t>
  </si>
  <si>
    <t>LUIS FERNANDO SILVEIRA DOS SANTOS</t>
  </si>
  <si>
    <t>764.779.670-49</t>
  </si>
  <si>
    <t>LUIZ ALBERTO DA SILVA FREITAS</t>
  </si>
  <si>
    <t>MARCELO DE SOUZA NERES</t>
  </si>
  <si>
    <t>MARCELO DISEGNA</t>
  </si>
  <si>
    <t>MARCIO ANDRE RODRIGUES PIRES</t>
  </si>
  <si>
    <t>MARCIO RAFAEL ARAGO</t>
  </si>
  <si>
    <t>MARCOS ROBERTO SILVA PEIXOTO</t>
  </si>
  <si>
    <t>MAYKON VIEIRA DOS SANTOS</t>
  </si>
  <si>
    <t>MRCIO AZEREDO GAEDKE</t>
  </si>
  <si>
    <t>NICOLAS FLORES DE FLORES</t>
  </si>
  <si>
    <t>RENI LUIS CENTENO</t>
  </si>
  <si>
    <t>RICARDO AFONSO PETRY</t>
  </si>
  <si>
    <t>RODRIGO DE SOUZA CENTENO</t>
  </si>
  <si>
    <t>SALOMO GEBIN CLARO</t>
  </si>
  <si>
    <t>SAMIR IUNG PADILHA</t>
  </si>
  <si>
    <t>SERGIO BARRONIO</t>
  </si>
  <si>
    <t>SOLANGE BEATRIZ NUNES BARBOSA</t>
  </si>
  <si>
    <t>VALDECIR ANTON</t>
  </si>
  <si>
    <t>VALMIR FAGUNDES DE FAGUNDES</t>
  </si>
  <si>
    <t>VANDERLEI MEDEIROS DOS SANTOS</t>
  </si>
  <si>
    <t>ALCINDO MACIEL DE MORAES</t>
  </si>
  <si>
    <t>ALEX EDUARDO TOCHETTO</t>
  </si>
  <si>
    <t>ALEXSANDER SANGALLI LUFT</t>
  </si>
  <si>
    <t>ANTONIA DE FATIMA ALVES SCHERER</t>
  </si>
  <si>
    <t>ARTUR MERCALI</t>
  </si>
  <si>
    <t>Carlos Miguel dos Santos</t>
  </si>
  <si>
    <t>Cassiane Tussi</t>
  </si>
  <si>
    <t>Celito Edson Grieser</t>
  </si>
  <si>
    <t>Christofer Rosa Pereira</t>
  </si>
  <si>
    <t>Claucir Carlos Ferronato</t>
  </si>
  <si>
    <t>CLEBER TORRES DOS SANTOS</t>
  </si>
  <si>
    <t>CLEIMAR FROZZA</t>
  </si>
  <si>
    <t>CRISTIAN BELL</t>
  </si>
  <si>
    <t>CRISTIANO HENRIQUE KOSINSKI</t>
  </si>
  <si>
    <t>CRISTINA BELUSSO SimON</t>
  </si>
  <si>
    <t>DANIEL BRESSAN</t>
  </si>
  <si>
    <t>DEIVIDI GLEISON CAGLIARI</t>
  </si>
  <si>
    <t>DIEGO CARLOS RODHE</t>
  </si>
  <si>
    <t>DIEGO JUNIOR DA SILVA KLIN</t>
  </si>
  <si>
    <t>DIRCIONEI FATIMA GARBO POLIDORO</t>
  </si>
  <si>
    <t>EVANDRO TARSO PAUWELS</t>
  </si>
  <si>
    <t>FABIANO RODRIGUES</t>
  </si>
  <si>
    <t>FRANCIANO ALBERTO DAL BOSCO</t>
  </si>
  <si>
    <t>GUILHERME LUIZ BOHM</t>
  </si>
  <si>
    <t>GUSTAVO MAURICIO VERONESE</t>
  </si>
  <si>
    <t>JACSON SCHEMBRO</t>
  </si>
  <si>
    <t>JEAN CARLOS SOTO RIVA</t>
  </si>
  <si>
    <t>JEFERSON MOSER</t>
  </si>
  <si>
    <t>JORGE RIGOTTI</t>
  </si>
  <si>
    <t>JOSE CARLOS MARQUES LOPES</t>
  </si>
  <si>
    <t>JSSICA DE FTIMA ERCICO DUARTE</t>
  </si>
  <si>
    <t>JUCIELI FTIMA CORREIA</t>
  </si>
  <si>
    <t>LAURA DETOFOL PAINES</t>
  </si>
  <si>
    <t>LEODAIR CORASSA</t>
  </si>
  <si>
    <t>MARCELO DE OLIVEIRA</t>
  </si>
  <si>
    <t>MARCOS LENO LORENA</t>
  </si>
  <si>
    <t>MARTA SLONGO DA SILVA</t>
  </si>
  <si>
    <t>MATEUS ERNESTO DALL AGNOL</t>
  </si>
  <si>
    <t>MATHEUS KUNZ NOLL</t>
  </si>
  <si>
    <t>NADIA TEREZINHA KAZMIRSKI</t>
  </si>
  <si>
    <t>NEUDIR SCHMIDT DALAGNOL</t>
  </si>
  <si>
    <t>NEUMIR CARLOS PIVA</t>
  </si>
  <si>
    <t>NILTON ANDERSON SCALCO</t>
  </si>
  <si>
    <t>NOEL QUEIROZ RIBEIRO</t>
  </si>
  <si>
    <t>ONORI RODRIGUES BRANCO</t>
  </si>
  <si>
    <t>PATRICIA BITTARELLO VOLPI</t>
  </si>
  <si>
    <t>PAULO CSAR DE ANDRADE</t>
  </si>
  <si>
    <t>RAFAEL BORGES SPIRONELLO</t>
  </si>
  <si>
    <t>REGIS BRUNO SKIBINSKI</t>
  </si>
  <si>
    <t>TIAGO LUS RORIG</t>
  </si>
  <si>
    <t>VAGNER BRESSAN</t>
  </si>
  <si>
    <t>VALDIONEI FELSKI</t>
  </si>
  <si>
    <t>VANUSA DA SILVA KLIN</t>
  </si>
  <si>
    <t>VOLMIR NEGRINI</t>
  </si>
  <si>
    <t>ADRIANO MARCELO MACHADO</t>
  </si>
  <si>
    <t>ALEXSANDRO FONTOURA DA SILVA</t>
  </si>
  <si>
    <t>ANDRE LUCIANO DA CONCEIO RAMOS</t>
  </si>
  <si>
    <t>Cleber Boeira Fraga</t>
  </si>
  <si>
    <t>CRISTIAN DOS SANTOS TROSCISKI</t>
  </si>
  <si>
    <t>CRISTIAN LOPES MEDINA</t>
  </si>
  <si>
    <t>ELLEN PEREIRA GOMES FRAGA</t>
  </si>
  <si>
    <t>FELIPE RONDON MACHADO CARNEIRO</t>
  </si>
  <si>
    <t>GILBERTO PAIXO PEREIRA DOS SANTOS</t>
  </si>
  <si>
    <t>ITAMAR KALLER</t>
  </si>
  <si>
    <t>JADER BUENO DE ALMEIDA</t>
  </si>
  <si>
    <t>LUIZ CARLOS ALBERTO PEREZ JUNIOR</t>
  </si>
  <si>
    <t>luizperezjr</t>
  </si>
  <si>
    <t>RODRIGO JOS RODRIGUES</t>
  </si>
  <si>
    <t>SANDRO PEREIRA DOS SANTOS</t>
  </si>
  <si>
    <t>THIAGO DE ARAUJO CARDOSO</t>
  </si>
  <si>
    <t>WILLIAM DE SOUZA OLIVEIRA</t>
  </si>
  <si>
    <t>ALETEIA DE SOUZA NUNES</t>
  </si>
  <si>
    <t>ANDERSON PADILHA SCHARDOSim</t>
  </si>
  <si>
    <t>Carlos Alexandre de Jesus Maciel</t>
  </si>
  <si>
    <t>Carlos Augusto Rolian da Cunha</t>
  </si>
  <si>
    <t>Carlos Eduardo Moreyra</t>
  </si>
  <si>
    <t>Carlos Roberto Toledo</t>
  </si>
  <si>
    <t>Celita Radins</t>
  </si>
  <si>
    <t>DANIEL ANTONIO SCHALEMBERGER</t>
  </si>
  <si>
    <t>DARCI ALESSANDRO MARQUES</t>
  </si>
  <si>
    <t>DEMETRIO FEIJO</t>
  </si>
  <si>
    <t>DIEGO FEIJÓ</t>
  </si>
  <si>
    <t>DILNEI DA SILVA CUSTODIO</t>
  </si>
  <si>
    <t>EDERSON LUIS DE OLIVEIRA CONCEICAO</t>
  </si>
  <si>
    <t>EDINARDO REGIS SEGATO</t>
  </si>
  <si>
    <t>EVELLY MIRANDA DA SILVA</t>
  </si>
  <si>
    <t>FLAVIO HENRIQUE DA SILVA</t>
  </si>
  <si>
    <t>GIOVANE AUGUSTO DA SILVA</t>
  </si>
  <si>
    <t>GUILHERME MACHADO BEHENCH</t>
  </si>
  <si>
    <t>GUSTAVO DE FREITAS LIMA</t>
  </si>
  <si>
    <t>JANETE MENDES DOS SANTOS</t>
  </si>
  <si>
    <t>JORGE ALEXANDRE LOPES DOS ANJOS</t>
  </si>
  <si>
    <t>JOSELIA FABIANI GOULART DOMINGUES</t>
  </si>
  <si>
    <t>KALIANDRA DE ABREU</t>
  </si>
  <si>
    <t>KELSEN DE BEM RIBEIRO</t>
  </si>
  <si>
    <t>LEO RYAN CORBACHO COUTO</t>
  </si>
  <si>
    <t>LEONARDO FAVERO ROSANELLI</t>
  </si>
  <si>
    <t>LUCAS MAGNUS SHMITZ</t>
  </si>
  <si>
    <t>MARCIANE DE SOUZA</t>
  </si>
  <si>
    <t>MARCOS VINICIUS PIRES DA SILVA</t>
  </si>
  <si>
    <t>MARIA CRISTINE GOTTARDI</t>
  </si>
  <si>
    <t>MAURICIO TATSCH PINHEIRO</t>
  </si>
  <si>
    <t>NICOLAS LIMA DE AVEIRO</t>
  </si>
  <si>
    <t>ODEVAL DE MORAES JUNIOR</t>
  </si>
  <si>
    <t>PATRICIA LEHMANN DE VILLEROY</t>
  </si>
  <si>
    <t>PEDRO HENRIQUE B. DOS S. DA SILVA</t>
  </si>
  <si>
    <t>RAFAEL DE SOUZA BARBOSA WENDESLTEIN</t>
  </si>
  <si>
    <t>RAFAEL JUNIOR DA SILVEIRA PEDROSO</t>
  </si>
  <si>
    <t>REGIS ALEXANDRE DA SILVA ARAUJO</t>
  </si>
  <si>
    <t>RODRIGO DE OLIVEIRA NUNES</t>
  </si>
  <si>
    <t>RUBIA CARVALHO LIMA</t>
  </si>
  <si>
    <t>SimONE VIANA PEREIRA</t>
  </si>
  <si>
    <t>TIAGO ROCHA SZCEPANIK</t>
  </si>
  <si>
    <t>UBIRAJARA DA LUZ BARROS</t>
  </si>
  <si>
    <t>VICTORIA CURTINAZ DIAS</t>
  </si>
  <si>
    <r>
      <rPr>
        <sz val="14"/>
        <color rgb="FFFFFFFF"/>
        <rFont val="Calibri"/>
        <charset val="134"/>
      </rPr>
      <t>Estado do Rio Grande do Sul
Secretaria da Segurança Pública
Corpo de Bombeiros Militar</t>
    </r>
    <r>
      <rPr>
        <b/>
        <sz val="14"/>
        <color rgb="FFFFFFFF"/>
        <rFont val="Calibri"/>
        <charset val="134"/>
      </rPr>
      <t xml:space="preserve">
Assessoria de Operações e Defesa Civil</t>
    </r>
  </si>
  <si>
    <t>Efetivo por BBM</t>
  </si>
  <si>
    <r>
      <rPr>
        <b/>
        <sz val="12"/>
        <color theme="1"/>
        <rFont val="Calibri"/>
        <charset val="134"/>
      </rPr>
      <t xml:space="preserve">Efetivo por BBM </t>
    </r>
    <r>
      <rPr>
        <b/>
        <sz val="12"/>
        <color rgb="FF38761D"/>
        <rFont val="Calibri"/>
        <charset val="134"/>
      </rPr>
      <t>(Aprovados)</t>
    </r>
  </si>
  <si>
    <r>
      <rPr>
        <b/>
        <sz val="12"/>
        <color theme="1"/>
        <rFont val="Calibri"/>
        <charset val="134"/>
      </rPr>
      <t xml:space="preserve">Efetivo por BBM </t>
    </r>
    <r>
      <rPr>
        <b/>
        <sz val="12"/>
        <color rgb="FF990000"/>
        <rFont val="Calibri"/>
        <charset val="134"/>
      </rPr>
      <t>(Reprovados)</t>
    </r>
  </si>
  <si>
    <r>
      <rPr>
        <b/>
        <sz val="12"/>
        <color theme="1"/>
        <rFont val="Calibri"/>
        <charset val="134"/>
      </rPr>
      <t xml:space="preserve">Efetivo por BBM </t>
    </r>
    <r>
      <rPr>
        <b/>
        <sz val="12"/>
        <color rgb="FF9900FF"/>
        <rFont val="Calibri"/>
        <charset val="134"/>
      </rPr>
      <t>(Não Tem)</t>
    </r>
  </si>
  <si>
    <t>2° BBM</t>
  </si>
  <si>
    <t>3° BBM</t>
  </si>
  <si>
    <t>4° BBM</t>
  </si>
  <si>
    <t>5° BBM</t>
  </si>
  <si>
    <t>6° BBM</t>
  </si>
  <si>
    <t>7° BBM</t>
  </si>
  <si>
    <t>8° BBM</t>
  </si>
  <si>
    <t>9° BBM</t>
  </si>
  <si>
    <t>10° BBM</t>
  </si>
  <si>
    <t>11° BBM</t>
  </si>
  <si>
    <t>12° BBM</t>
  </si>
  <si>
    <t>13° BBM</t>
  </si>
  <si>
    <t>TOTAL</t>
  </si>
  <si>
    <r>
      <rPr>
        <b/>
        <sz val="12"/>
        <color theme="1"/>
        <rFont val="Calibri"/>
        <charset val="134"/>
      </rPr>
      <t xml:space="preserve">Efetivo voluntário </t>
    </r>
    <r>
      <rPr>
        <b/>
        <sz val="12"/>
        <color rgb="FFFF0000"/>
        <rFont val="Calibri"/>
        <charset val="134"/>
      </rPr>
      <t>(Sem EPI)</t>
    </r>
  </si>
  <si>
    <r>
      <rPr>
        <b/>
        <sz val="12"/>
        <color theme="1"/>
        <rFont val="Calibri"/>
        <charset val="134"/>
      </rPr>
      <t>Efetivo voluntário</t>
    </r>
    <r>
      <rPr>
        <b/>
        <sz val="12"/>
        <color rgb="FF6AA84F"/>
        <rFont val="Calibri"/>
        <charset val="134"/>
      </rPr>
      <t xml:space="preserve"> </t>
    </r>
    <r>
      <rPr>
        <b/>
        <sz val="12"/>
        <color rgb="FF38761D"/>
        <rFont val="Calibri"/>
        <charset val="134"/>
      </rPr>
      <t>(Com EPI)</t>
    </r>
  </si>
  <si>
    <r>
      <rPr>
        <b/>
        <sz val="12"/>
        <color theme="1"/>
        <rFont val="Calibri"/>
        <charset val="134"/>
      </rPr>
      <t xml:space="preserve">Efetivo Comunitário </t>
    </r>
    <r>
      <rPr>
        <b/>
        <sz val="12"/>
        <color rgb="FFFF0000"/>
        <rFont val="Calibri"/>
        <charset val="134"/>
      </rPr>
      <t>(Sem EPI)</t>
    </r>
  </si>
  <si>
    <r>
      <rPr>
        <b/>
        <sz val="12"/>
        <color theme="1"/>
        <rFont val="Calibri"/>
        <charset val="134"/>
      </rPr>
      <t>Efetivo Comunitário</t>
    </r>
    <r>
      <rPr>
        <b/>
        <sz val="12"/>
        <color rgb="FF6AA84F"/>
        <rFont val="Calibri"/>
        <charset val="134"/>
      </rPr>
      <t xml:space="preserve"> </t>
    </r>
    <r>
      <rPr>
        <b/>
        <sz val="12"/>
        <color rgb="FF38761D"/>
        <rFont val="Calibri"/>
        <charset val="134"/>
      </rPr>
      <t>(Com EPI)</t>
    </r>
  </si>
  <si>
    <t>EPI</t>
  </si>
  <si>
    <t>Unidade</t>
  </si>
  <si>
    <t>P</t>
  </si>
  <si>
    <t>M</t>
  </si>
  <si>
    <t xml:space="preserve">G </t>
  </si>
  <si>
    <t>GG</t>
  </si>
  <si>
    <t>EXG</t>
  </si>
  <si>
    <t>Não Preencheram</t>
  </si>
  <si>
    <t>Qtd</t>
  </si>
  <si>
    <t>%</t>
  </si>
  <si>
    <t>Total Tamanhos</t>
  </si>
  <si>
    <t>BOTAS</t>
  </si>
  <si>
    <t>Tamanho camiseta</t>
  </si>
  <si>
    <t>G</t>
  </si>
  <si>
    <t>TOTAL CAMISETAS</t>
  </si>
  <si>
    <t>Criação de Bombeiro Padrão Comunitário</t>
  </si>
  <si>
    <t>Munícipio</t>
  </si>
  <si>
    <t>BBM</t>
  </si>
  <si>
    <t>PROA</t>
  </si>
  <si>
    <t>Abertura</t>
  </si>
  <si>
    <t>Ult. Movimentação</t>
  </si>
  <si>
    <t>Local</t>
  </si>
  <si>
    <t>Arroio do Sal</t>
  </si>
  <si>
    <t>24/1207-0004957-8</t>
  </si>
  <si>
    <t>CBM / 9BBM-3CIA-1</t>
  </si>
  <si>
    <t>São Francisco de Assis</t>
  </si>
  <si>
    <t>25/1207-0000489-8</t>
  </si>
  <si>
    <t>CBM / 13BBM</t>
  </si>
  <si>
    <t>Arroio do Meio</t>
  </si>
  <si>
    <t>25-1207-0004056-8</t>
  </si>
  <si>
    <t>CBM / CONTRINT</t>
  </si>
  <si>
    <t>Palmitinho</t>
  </si>
  <si>
    <t>24/1207-0004169-0</t>
  </si>
  <si>
    <t>SSP / DG</t>
  </si>
  <si>
    <t>Balneário Pinhal</t>
  </si>
  <si>
    <t>24/1207-0000646-1</t>
  </si>
  <si>
    <t>SSP / ASSJUD</t>
  </si>
  <si>
    <t>Atualizado em 24/11/2025</t>
  </si>
  <si>
    <t>Criação de Bombeiro Padrão SCAB</t>
  </si>
  <si>
    <t>São Miguel das Missões</t>
  </si>
  <si>
    <t>25/1207-0002035-4</t>
  </si>
  <si>
    <t>CBM / GAB-CMDO</t>
  </si>
  <si>
    <t>Mata</t>
  </si>
  <si>
    <t>25/1207-0002479-1</t>
  </si>
  <si>
    <t>CBM / 4BBM</t>
  </si>
  <si>
    <t>Lavras do Sul</t>
  </si>
  <si>
    <t>25/1207-0000824-9</t>
  </si>
  <si>
    <t>Paraí</t>
  </si>
  <si>
    <t>25/1207-0001886-4</t>
  </si>
  <si>
    <t>CBM / 5BBM</t>
  </si>
  <si>
    <t>Tupandi</t>
  </si>
  <si>
    <t>25/1207-0003463-0</t>
  </si>
  <si>
    <t>CBM / 2BBM-DODC</t>
  </si>
  <si>
    <t>Chapada</t>
  </si>
  <si>
    <t>24/1207-0004805-9</t>
  </si>
  <si>
    <t>CBM / GAB-AJCON</t>
  </si>
  <si>
    <t>Nova Roma do Sul</t>
  </si>
  <si>
    <t>25/1207-0002791-0</t>
  </si>
  <si>
    <t>Antônio Prado</t>
  </si>
  <si>
    <t>25/1207-0000490-1</t>
  </si>
  <si>
    <t>Glorinha</t>
  </si>
  <si>
    <t>22/1207-0003937-7</t>
  </si>
  <si>
    <t>CBM / 8BBM-SODC</t>
  </si>
  <si>
    <t>Mostardas</t>
  </si>
  <si>
    <t>22/1200-0000595-0</t>
  </si>
  <si>
    <t>CBM / 9BBM-SODC</t>
  </si>
  <si>
    <t>São Francisco de Paula</t>
  </si>
  <si>
    <t>23/1207-0001503-1</t>
  </si>
  <si>
    <t>Lagoão</t>
  </si>
  <si>
    <t>24/1207-0000362-4</t>
  </si>
  <si>
    <t>CBM / 6BBM</t>
  </si>
  <si>
    <t>Capão do Leão</t>
  </si>
  <si>
    <t>21/1207-0003633-0</t>
  </si>
  <si>
    <t>CBM / 3BBM</t>
  </si>
  <si>
    <t>Maçambará</t>
  </si>
  <si>
    <t>22/1207-00049283</t>
  </si>
  <si>
    <t>São Valentim</t>
  </si>
  <si>
    <t>25/1207-0005108-0</t>
  </si>
  <si>
    <t>CBM / 7BBM</t>
  </si>
  <si>
    <t>Atualizado em 02/12/2025</t>
  </si>
  <si>
    <t>Criação de Pelotão/GBM</t>
  </si>
  <si>
    <t>Novo Hamburgo (Lomba Grande)</t>
  </si>
  <si>
    <t>2º BBM</t>
  </si>
  <si>
    <t>25/1207-0001938-0</t>
  </si>
  <si>
    <t>CBM / 2BBM-SLOG</t>
  </si>
  <si>
    <t>Charqueadas</t>
  </si>
  <si>
    <t>25/1207-0000994-6</t>
  </si>
  <si>
    <t>Rota do Sol</t>
  </si>
  <si>
    <t>24/1207-0003823-1</t>
  </si>
  <si>
    <t>Atualizado em 17/11/2025</t>
  </si>
  <si>
    <t>Regularização de Bombeiro Padrão Comunitário</t>
  </si>
  <si>
    <t>Itaqui</t>
  </si>
  <si>
    <t>18/1207-0001516-6</t>
  </si>
  <si>
    <t>Barra do Quaraí</t>
  </si>
  <si>
    <t>23/1200-0001002-9</t>
  </si>
  <si>
    <r>
      <rPr>
        <sz val="18"/>
        <color rgb="FFFFFFFF"/>
        <rFont val="Calibri"/>
        <charset val="134"/>
      </rPr>
      <t>Estado do Rio Grande do Sul
Secretaria da Segurança Pública
Corpo de Bombeiros Militar</t>
    </r>
    <r>
      <rPr>
        <b/>
        <sz val="18"/>
        <color rgb="FFFFFFFF"/>
        <rFont val="Calibri"/>
        <charset val="134"/>
      </rPr>
      <t xml:space="preserve">
Assessoria de Operações e Defesa Civil</t>
    </r>
  </si>
  <si>
    <t>Ensino</t>
  </si>
  <si>
    <t>Curso CAB operador concluído</t>
  </si>
  <si>
    <t>Módulo 1 concluído</t>
  </si>
  <si>
    <t>Módulo 2 e 3 concluído</t>
  </si>
  <si>
    <t xml:space="preserve">Total </t>
  </si>
  <si>
    <t>Situação se SCAB</t>
  </si>
  <si>
    <t>Município</t>
  </si>
  <si>
    <t>CRBM</t>
  </si>
  <si>
    <t>Pel/Gr</t>
  </si>
  <si>
    <t xml:space="preserve"> 1 - Credenciado</t>
  </si>
  <si>
    <t>Ajuricaba</t>
  </si>
  <si>
    <t>12º BBM</t>
  </si>
  <si>
    <t>4º CRBM</t>
  </si>
  <si>
    <t>Ijuí</t>
  </si>
  <si>
    <t>Arambaré</t>
  </si>
  <si>
    <t>6º BBM</t>
  </si>
  <si>
    <t>Camaquã</t>
  </si>
  <si>
    <t>Araricá</t>
  </si>
  <si>
    <t>2º CRBM</t>
  </si>
  <si>
    <t>Sapiranga</t>
  </si>
  <si>
    <t>Aratiba</t>
  </si>
  <si>
    <t>7º BBM</t>
  </si>
  <si>
    <t>Erechim</t>
  </si>
  <si>
    <t>Lajeado</t>
  </si>
  <si>
    <t>9º BBM</t>
  </si>
  <si>
    <t>1º CRBM</t>
  </si>
  <si>
    <t>Torres</t>
  </si>
  <si>
    <t>Arroio Grande</t>
  </si>
  <si>
    <t>3º BBM</t>
  </si>
  <si>
    <t>3º CRBM</t>
  </si>
  <si>
    <t>Jaguarão</t>
  </si>
  <si>
    <t>Áurea</t>
  </si>
  <si>
    <t>Getúlio Vargas</t>
  </si>
  <si>
    <t>Cidreira</t>
  </si>
  <si>
    <t>Barão de Cotegipe</t>
  </si>
  <si>
    <t>Barros Cassal</t>
  </si>
  <si>
    <t>Soledade</t>
  </si>
  <si>
    <t>Bom Jesus</t>
  </si>
  <si>
    <t>5º BBM</t>
  </si>
  <si>
    <t>Vacaria</t>
  </si>
  <si>
    <t>Cacequi</t>
  </si>
  <si>
    <t>10º BBM</t>
  </si>
  <si>
    <t>Rosário do Sul</t>
  </si>
  <si>
    <t>Cambará do Sul</t>
  </si>
  <si>
    <t>Canela</t>
  </si>
  <si>
    <t>Campos Borges</t>
  </si>
  <si>
    <t>Tapera</t>
  </si>
  <si>
    <t>Casca</t>
  </si>
  <si>
    <t>Guaporé</t>
  </si>
  <si>
    <t>Cerro Largo</t>
  </si>
  <si>
    <t>11º BBM</t>
  </si>
  <si>
    <t>Santo Ângelo</t>
  </si>
  <si>
    <t>Chiapetta</t>
  </si>
  <si>
    <t>Constantina</t>
  </si>
  <si>
    <t>Sarandi</t>
  </si>
  <si>
    <t>Crissiumal</t>
  </si>
  <si>
    <t>Três Passos</t>
  </si>
  <si>
    <t>Erval Grande</t>
  </si>
  <si>
    <t>Nonoai</t>
  </si>
  <si>
    <t>Faxinalzinho</t>
  </si>
  <si>
    <t>Feliz</t>
  </si>
  <si>
    <t>Farroupilha</t>
  </si>
  <si>
    <t>Gaurama</t>
  </si>
  <si>
    <t>Jacutinga</t>
  </si>
  <si>
    <t>Maratá</t>
  </si>
  <si>
    <t>Montenegro</t>
  </si>
  <si>
    <t>Montauri</t>
  </si>
  <si>
    <t>Mormaço</t>
  </si>
  <si>
    <t>Muitos Capões</t>
  </si>
  <si>
    <t>Não-Me-Toque</t>
  </si>
  <si>
    <t>Carazinho</t>
  </si>
  <si>
    <t>Quinze de Novembro</t>
  </si>
  <si>
    <t>Ibirubá</t>
  </si>
  <si>
    <t>Salto do Jacuí</t>
  </si>
  <si>
    <t>Cruz Alta</t>
  </si>
  <si>
    <t>Sananduva</t>
  </si>
  <si>
    <t>Lagoa Vermelha</t>
  </si>
  <si>
    <t>Santa Bárbara do Sul</t>
  </si>
  <si>
    <t>Panambi</t>
  </si>
  <si>
    <t>Santo Augusto</t>
  </si>
  <si>
    <t>Santo Cristo</t>
  </si>
  <si>
    <t>Santa Rosa</t>
  </si>
  <si>
    <t>Santo Expedito do Sul</t>
  </si>
  <si>
    <t>São João da Urtiga</t>
  </si>
  <si>
    <t>São Martinho da Serra</t>
  </si>
  <si>
    <t>4º BBM</t>
  </si>
  <si>
    <t>Santa Maria</t>
  </si>
  <si>
    <t>Serafina Corrêa</t>
  </si>
  <si>
    <t>Viadutos</t>
  </si>
  <si>
    <t xml:space="preserve"> 2 - Em Credenciamento</t>
  </si>
  <si>
    <t>Flores da Cunha</t>
  </si>
  <si>
    <t>Pelotas</t>
  </si>
  <si>
    <t>8º BBM</t>
  </si>
  <si>
    <t>Gravataí</t>
  </si>
  <si>
    <t>Caçapava do Sul</t>
  </si>
  <si>
    <t>13º BBM</t>
  </si>
  <si>
    <t>São Pedro do Sul</t>
  </si>
  <si>
    <t>Veranópolis</t>
  </si>
  <si>
    <t xml:space="preserve"> 3 - Não Regularizado</t>
  </si>
  <si>
    <t>Agudo</t>
  </si>
  <si>
    <t>Restinga Sêca</t>
  </si>
  <si>
    <t>Alto Feliz</t>
  </si>
  <si>
    <t>Arroio dos Ratos</t>
  </si>
  <si>
    <t>São Jerônimo</t>
  </si>
  <si>
    <t>Barracão</t>
  </si>
  <si>
    <t>Bom Princípio</t>
  </si>
  <si>
    <t>Portão</t>
  </si>
  <si>
    <t>Butiá</t>
  </si>
  <si>
    <t>Cacique Doble</t>
  </si>
  <si>
    <t>Candiota</t>
  </si>
  <si>
    <t>Bagé</t>
  </si>
  <si>
    <t>Carlos Barbosa</t>
  </si>
  <si>
    <t>Bento Gonçalves</t>
  </si>
  <si>
    <t>Eldorado do Sul</t>
  </si>
  <si>
    <t>Guaíba</t>
  </si>
  <si>
    <t>Faxinal do Soturno</t>
  </si>
  <si>
    <t>Garibaldi</t>
  </si>
  <si>
    <t>General Câmara</t>
  </si>
  <si>
    <t>Harmonia</t>
  </si>
  <si>
    <t>Igrejinha</t>
  </si>
  <si>
    <t>Taquara</t>
  </si>
  <si>
    <t>Jaquirana</t>
  </si>
  <si>
    <t>Marau</t>
  </si>
  <si>
    <t>Passo Fundo</t>
  </si>
  <si>
    <t>Marcelino Ramos</t>
  </si>
  <si>
    <t>Mariana Pimentel</t>
  </si>
  <si>
    <t>Nova Hartz</t>
  </si>
  <si>
    <t>Nova Petrópolis</t>
  </si>
  <si>
    <t>Gramado</t>
  </si>
  <si>
    <t>Novo Cabrais</t>
  </si>
  <si>
    <t>Cachoeira do Sul</t>
  </si>
  <si>
    <t>Paraíso do Sul</t>
  </si>
  <si>
    <t>Rolante</t>
  </si>
  <si>
    <t>Salvador do Sul</t>
  </si>
  <si>
    <t>São José do Hortêncio</t>
  </si>
  <si>
    <t>Ivoti</t>
  </si>
  <si>
    <t>São José do Ouro</t>
  </si>
  <si>
    <t>São José dos Ausentes</t>
  </si>
  <si>
    <t>São Sebastião do Caí</t>
  </si>
  <si>
    <t>São Vendelino</t>
  </si>
  <si>
    <t>Tapejara</t>
  </si>
  <si>
    <t>Tapes</t>
  </si>
  <si>
    <t>Tenente Portela</t>
  </si>
  <si>
    <t>Teutônia</t>
  </si>
  <si>
    <t>Estrela</t>
  </si>
  <si>
    <t>Três Coroas</t>
  </si>
  <si>
    <t xml:space="preserve"> 4 - Desfavorável</t>
  </si>
  <si>
    <t>Arroio do Tigre</t>
  </si>
  <si>
    <t>Santa Cruz do Sul</t>
  </si>
  <si>
    <t>Arvorezinha</t>
  </si>
  <si>
    <t>Campinas do Sul</t>
  </si>
  <si>
    <t>Candelária</t>
  </si>
  <si>
    <t>Colinas</t>
  </si>
  <si>
    <t>Imigrante</t>
  </si>
  <si>
    <t>Machadinho</t>
  </si>
  <si>
    <t>Nova Prata</t>
  </si>
  <si>
    <t>Passo do Sobrado</t>
  </si>
  <si>
    <t>Picada Café</t>
  </si>
  <si>
    <t>Dois Irmãos</t>
  </si>
  <si>
    <t>Porto Xavier</t>
  </si>
  <si>
    <t>São Luiz Gonzaga</t>
  </si>
  <si>
    <t>Sobradinho</t>
  </si>
  <si>
    <t>Tupanciretã</t>
  </si>
  <si>
    <t>Júlio de Castilhos</t>
  </si>
  <si>
    <t>COUNTA of Município</t>
  </si>
  <si>
    <t>Tipo de 
Bombeiro</t>
  </si>
  <si>
    <t>Comunitário</t>
  </si>
  <si>
    <t>Campo Bom</t>
  </si>
  <si>
    <t>Encantado</t>
  </si>
  <si>
    <t>Encruzilhada do Sul</t>
  </si>
  <si>
    <t>Estância Velha</t>
  </si>
  <si>
    <t>Parobé</t>
  </si>
  <si>
    <t>São Marcos</t>
  </si>
  <si>
    <t>São Sepé</t>
  </si>
  <si>
    <t>Três de Maio</t>
  </si>
  <si>
    <t>Vera Cruz</t>
  </si>
  <si>
    <t>Total geral</t>
  </si>
  <si>
    <t>Pel</t>
  </si>
  <si>
    <t>Modelo</t>
  </si>
  <si>
    <t>placa</t>
  </si>
  <si>
    <t>ano</t>
  </si>
  <si>
    <t>prefixo</t>
  </si>
  <si>
    <t>proa</t>
  </si>
  <si>
    <t>modalidade</t>
  </si>
  <si>
    <t>1 - Credenciado</t>
  </si>
  <si>
    <t>Mercedes</t>
  </si>
  <si>
    <t>XBM 0263</t>
  </si>
  <si>
    <t>DOAÇÃO – VTR ENTREGUE</t>
  </si>
  <si>
    <t>VOLKSWAGEM 15.180</t>
  </si>
  <si>
    <t>IWT-7492</t>
  </si>
  <si>
    <t>2004/2005</t>
  </si>
  <si>
    <t>ABT 4947</t>
  </si>
  <si>
    <t>24/1207-0001812-5</t>
  </si>
  <si>
    <t>CESSÃO -VTR ENTREGUE</t>
  </si>
  <si>
    <t>SIENA FIRE</t>
  </si>
  <si>
    <t>IMI3110</t>
  </si>
  <si>
    <t>2005/2005</t>
  </si>
  <si>
    <t>ATP 8362</t>
  </si>
  <si>
    <t>23/1207-0002274-7</t>
  </si>
  <si>
    <t>GM Astra</t>
  </si>
  <si>
    <t>HJJ 3J78</t>
  </si>
  <si>
    <t>Mercedes Sprinter</t>
  </si>
  <si>
    <t>IGZ 5F83</t>
  </si>
  <si>
    <t>Ford Cargo</t>
  </si>
  <si>
    <t>IKP 6H42</t>
  </si>
  <si>
    <t>Volkswagen Parati</t>
  </si>
  <si>
    <t>IJK 3F42</t>
  </si>
  <si>
    <t>DOAÇÃO -ENTREGUE</t>
  </si>
  <si>
    <t>Fiat Ducato</t>
  </si>
  <si>
    <t>ITW 0750</t>
  </si>
  <si>
    <t>AUTO BOMBA TANQUE 4500L MERCEDES LK 1314</t>
  </si>
  <si>
    <t>IIL3740</t>
  </si>
  <si>
    <t>AMBULÂNCIA RESGATE FIAT DUCATO MULTI</t>
  </si>
  <si>
    <t>IVJ3846</t>
  </si>
  <si>
    <t>M. BENZ/L1516</t>
  </si>
  <si>
    <t>JBM3E57</t>
  </si>
  <si>
    <t>1982/1982</t>
  </si>
  <si>
    <t>AT 1935</t>
  </si>
  <si>
    <t>21/1207-0002548-6</t>
  </si>
  <si>
    <t>FIAT/SIENA FIRE</t>
  </si>
  <si>
    <t>IMI 3092</t>
  </si>
  <si>
    <t>ATP 8361</t>
  </si>
  <si>
    <t>I/RENAULT CLIO AUT1016VH</t>
  </si>
  <si>
    <t>IOL 0196</t>
  </si>
  <si>
    <t>ATP 6128</t>
  </si>
  <si>
    <t>VW/17.210 MOTOR MWM</t>
  </si>
  <si>
    <t>JBM 1F92</t>
  </si>
  <si>
    <t>ABT 4937</t>
  </si>
  <si>
    <t>M.BENZ/L 1516</t>
  </si>
  <si>
    <t>JBM0J28</t>
  </si>
  <si>
    <t>AT1931</t>
  </si>
  <si>
    <t>22/1207-0003942-3</t>
  </si>
  <si>
    <t>CESSÃO – VTR ENTREGUE ATÉ 31/01/28</t>
  </si>
  <si>
    <t>Caminhão Mercedes, modelo 1113</t>
  </si>
  <si>
    <t>IFF1509</t>
  </si>
  <si>
    <t>Auto Bomba Tanque (M.BENZ/L 1620)</t>
  </si>
  <si>
    <t>AMQ9C91</t>
  </si>
  <si>
    <t>ABT 09 SCAB</t>
  </si>
  <si>
    <t>VOLKSWAGEN</t>
  </si>
  <si>
    <t>JBS 4B74</t>
  </si>
  <si>
    <t>ABT0939</t>
  </si>
  <si>
    <t>22/1207-0004862-7</t>
  </si>
  <si>
    <t>Auto Resgate (FIAT/DUCATO MC COMATRA)</t>
  </si>
  <si>
    <t>IVG0B79</t>
  </si>
  <si>
    <t>AR 003 SCAB</t>
  </si>
  <si>
    <t>Auto Resgate (RENAULT/MASTER ALTECHAMB)</t>
  </si>
  <si>
    <t>MQS8H39</t>
  </si>
  <si>
    <t>AR 004 SCAB</t>
  </si>
  <si>
    <t>Auto Transporte de Material (MERCEDEZ BENZ 1620 )</t>
  </si>
  <si>
    <t>LA1418/51</t>
  </si>
  <si>
    <t>ATM 02 SCAB</t>
  </si>
  <si>
    <t>Fiat Ducato Cargo Furgão de carga</t>
  </si>
  <si>
    <t>IRK8I00</t>
  </si>
  <si>
    <t>N/P</t>
  </si>
  <si>
    <t>Reboque de Transporte de Material</t>
  </si>
  <si>
    <t>IKG7G11</t>
  </si>
  <si>
    <t>M. BENS L 608D</t>
  </si>
  <si>
    <t>JCD6A30</t>
  </si>
  <si>
    <t>ABS 1351</t>
  </si>
  <si>
    <t>22/1207-0002628-3</t>
  </si>
  <si>
    <t>ABT  01 capacidade 5000 litros completo VW/15.180</t>
  </si>
  <si>
    <t>IMR7776</t>
  </si>
  <si>
    <t>ABT 01</t>
  </si>
  <si>
    <t>S10</t>
  </si>
  <si>
    <t>IKY8B73</t>
  </si>
  <si>
    <t>Fiat Uno</t>
  </si>
  <si>
    <t>ILA4D79</t>
  </si>
  <si>
    <t>2002/2003</t>
  </si>
  <si>
    <t>22/1207-0002968-1</t>
  </si>
  <si>
    <t>CESSÃO - VTR ENTREGUE</t>
  </si>
  <si>
    <t>Mercedes Benz/L 1516</t>
  </si>
  <si>
    <t>JBM 3D85</t>
  </si>
  <si>
    <t>22/1207-0002834-0</t>
  </si>
  <si>
    <t>CAMINHÃO M. BENZ L 1518</t>
  </si>
  <si>
    <t>1989/89</t>
  </si>
  <si>
    <t>23/1207-0004197-0</t>
  </si>
  <si>
    <t>PICK UP L200</t>
  </si>
  <si>
    <t>JBM1E17</t>
  </si>
  <si>
    <t>21/1207-0002992-9</t>
  </si>
  <si>
    <t>Caminhão Tanque M. Benz/L</t>
  </si>
  <si>
    <t>IID0G66</t>
  </si>
  <si>
    <t>Veículo Leve Renault Logan</t>
  </si>
  <si>
    <t>IRW0978</t>
  </si>
  <si>
    <t>JBW8D81</t>
  </si>
  <si>
    <t>M. BENZ 1113</t>
  </si>
  <si>
    <t>23/1207-0002303-4</t>
  </si>
  <si>
    <t>Caminhão Tanque FORD/CARGO 1514</t>
  </si>
  <si>
    <t>AEB 0438</t>
  </si>
  <si>
    <t>AQUISIÇÃO PRÓPRIA</t>
  </si>
  <si>
    <t>Auto Bomba tanque 7000 lts Dodge D600</t>
  </si>
  <si>
    <t>IHN 4905</t>
  </si>
  <si>
    <t>Auto Bomba tanque 5000 lts MB 1316</t>
  </si>
  <si>
    <t>IHN 9987</t>
  </si>
  <si>
    <t>Veículo VAN Kia Besta</t>
  </si>
  <si>
    <t>IKZ6F23</t>
  </si>
  <si>
    <t>Ambulancia Resgate MB Sprinter</t>
  </si>
  <si>
    <t>IOY2J25</t>
  </si>
  <si>
    <t>Caminhão Tanque 2076 M. BENZ 1118</t>
  </si>
  <si>
    <t>ITT0345</t>
  </si>
  <si>
    <t>20120700027386.</t>
  </si>
  <si>
    <t>FIAT DUCATO</t>
  </si>
  <si>
    <t>IVA0166</t>
  </si>
  <si>
    <t>AMBULÂNCIA  Peugeot/Boxer</t>
  </si>
  <si>
    <t>IUR8372</t>
  </si>
  <si>
    <t>AMBULÂNCIA  VW Kombi</t>
  </si>
  <si>
    <t>JBM0431</t>
  </si>
  <si>
    <t>Volkswagem 4 mil litros</t>
  </si>
  <si>
    <t>JBR2C09</t>
  </si>
  <si>
    <t>ABT 1843</t>
  </si>
  <si>
    <t>CESSÃO - EM ANDAMENTO</t>
  </si>
  <si>
    <t>M.BENZ/L 1113</t>
  </si>
  <si>
    <t>XBM1786</t>
  </si>
  <si>
    <t>ABT 1786</t>
  </si>
  <si>
    <t>22/1207-0003130-9</t>
  </si>
  <si>
    <t>Cessão de Uso até 24/05/2027</t>
  </si>
  <si>
    <t>CAMIONETA GM</t>
  </si>
  <si>
    <t>IAT2E52</t>
  </si>
  <si>
    <t>22/1207-0004226-2</t>
  </si>
  <si>
    <t>XBM1936</t>
  </si>
  <si>
    <t>Auto Bomba tanque 8000 lts FORD/CARGO 1723</t>
  </si>
  <si>
    <t>iwv5807</t>
  </si>
  <si>
    <t> IVECO Euro - Cargo 170E22</t>
  </si>
  <si>
    <t>ITI 4494</t>
  </si>
  <si>
    <t>Mercedes Bens 1516</t>
  </si>
  <si>
    <t>XBM-1946</t>
  </si>
  <si>
    <t>CESSÃO – VTR ENTREGUE</t>
  </si>
  <si>
    <t>JBM2D32</t>
  </si>
  <si>
    <t>MBENZ L1516</t>
  </si>
  <si>
    <t>1982/82</t>
  </si>
  <si>
    <t>23/1207-0001647-0</t>
  </si>
  <si>
    <t>ABT Mercedes Atego 1725</t>
  </si>
  <si>
    <t>MEX 7F36</t>
  </si>
  <si>
    <t>ABT Mercedes Atego 2528</t>
  </si>
  <si>
    <t>IPH 4344</t>
  </si>
  <si>
    <t>ABT 02</t>
  </si>
  <si>
    <t>Camionete S10 resgate</t>
  </si>
  <si>
    <t>HLB 9436</t>
  </si>
  <si>
    <t>UCR 04</t>
  </si>
  <si>
    <t>Ambulância Trafic</t>
  </si>
  <si>
    <t>ITF 3C33</t>
  </si>
  <si>
    <t>USB 03</t>
  </si>
  <si>
    <t>Gol</t>
  </si>
  <si>
    <t>EJG 4750</t>
  </si>
  <si>
    <t>CMDO 05</t>
  </si>
  <si>
    <t>N/E</t>
  </si>
  <si>
    <t>AT 1944</t>
  </si>
  <si>
    <t>21/1207-0004095-7</t>
  </si>
  <si>
    <t>JBM0319</t>
  </si>
  <si>
    <t>CHEVROLET S10</t>
  </si>
  <si>
    <t>21/1207-0003146-0</t>
  </si>
  <si>
    <t>M.BENS/L1113</t>
  </si>
  <si>
    <t>JAT5H09</t>
  </si>
  <si>
    <t>ABT 1779</t>
  </si>
  <si>
    <t>21/1207-0002258-4</t>
  </si>
  <si>
    <t>CHEVROLET/S10</t>
  </si>
  <si>
    <t>Caminhão Ford Cargo 1317 E</t>
  </si>
  <si>
    <t>ISH4A90</t>
  </si>
  <si>
    <t>F-1000 Ford SR Country</t>
  </si>
  <si>
    <t>LZX8B04</t>
  </si>
  <si>
    <t>Celta 1.0L LS</t>
  </si>
  <si>
    <t>MKD0A32</t>
  </si>
  <si>
    <t>GM S10 2.8 S</t>
  </si>
  <si>
    <t>JBM0D19</t>
  </si>
  <si>
    <t>VW KOMBI</t>
  </si>
  <si>
    <t>ICG8690</t>
  </si>
  <si>
    <t>Celta</t>
  </si>
  <si>
    <t>IMJ 3238</t>
  </si>
  <si>
    <t>Mercedes Benz</t>
  </si>
  <si>
    <t>JBM 0D39</t>
  </si>
  <si>
    <t>Ambulância</t>
  </si>
  <si>
    <t>ITC 7645</t>
  </si>
  <si>
    <t>Doblo</t>
  </si>
  <si>
    <t>IXG 6I19</t>
  </si>
  <si>
    <t>IRT 2664</t>
  </si>
  <si>
    <t>IUE3490</t>
  </si>
  <si>
    <t>ABT VW 8-150</t>
  </si>
  <si>
    <t>JCU-7E83</t>
  </si>
  <si>
    <t>ABT-3801</t>
  </si>
  <si>
    <t>IVECO 160E21</t>
  </si>
  <si>
    <t>IKQ - 1J63</t>
  </si>
  <si>
    <t>24/1207-0001139-2</t>
  </si>
  <si>
    <t>MERCEDES 1114</t>
  </si>
  <si>
    <t>IBI - 1038</t>
  </si>
  <si>
    <t>FIAT DUCATO MULTI</t>
  </si>
  <si>
    <t>IVW - 4320</t>
  </si>
  <si>
    <t>RENAULT MASTER</t>
  </si>
  <si>
    <t>IZB - 4E95</t>
  </si>
  <si>
    <t>PALIO WEEKEND</t>
  </si>
  <si>
    <t>ITQ - 5780</t>
  </si>
  <si>
    <t>FIAT DOBLO</t>
  </si>
  <si>
    <t>IPP - 4G29</t>
  </si>
  <si>
    <t>M.BENZ</t>
  </si>
  <si>
    <t>JBM3G30</t>
  </si>
  <si>
    <t>22/1207-0004617-9</t>
  </si>
  <si>
    <t>Furgão Kangoo</t>
  </si>
  <si>
    <t>IQW 3120</t>
  </si>
  <si>
    <t>Motor ou Remo</t>
  </si>
  <si>
    <t>Barca Aluminio capacidade até 08 pessoas sem motor</t>
  </si>
  <si>
    <t>Remo</t>
  </si>
  <si>
    <t>BARCO DE ALUMINIO 5 LUGARES/SEM MOTOR</t>
  </si>
  <si>
    <t>Embarcação de Alumínio 4,2m motor de popa 15HP</t>
  </si>
  <si>
    <t>15 HP</t>
  </si>
  <si>
    <t>EAL 05 SCAB</t>
  </si>
  <si>
    <t>BARCO DE RESGATE AQT001 Aluminio SEMI CHATO 5,90M</t>
  </si>
  <si>
    <t>6 HP</t>
  </si>
  <si>
    <t>BARCO ALUMÍNIO 6M MERCURY 15HP</t>
  </si>
  <si>
    <t>15HP</t>
  </si>
  <si>
    <t>Viatura</t>
  </si>
  <si>
    <t>Embarcação</t>
  </si>
  <si>
    <t>SCAB</t>
  </si>
  <si>
    <t>Condição</t>
  </si>
  <si>
    <t>Efetivo - Nome Completo (maiúsculo)</t>
  </si>
  <si>
    <t>Formação conforme ME nº 009/ABM-ESCAB/2025</t>
  </si>
  <si>
    <t>CPF (000.000.000-00)</t>
  </si>
  <si>
    <t>Função</t>
  </si>
  <si>
    <t>Formação e/ou Cursos</t>
  </si>
  <si>
    <t>Possui Curso do CBMRS</t>
  </si>
  <si>
    <t>Possui EPI completo (Sim ou Não)</t>
  </si>
  <si>
    <t>Tipo Sanguíneo</t>
  </si>
  <si>
    <t>Nome de Guerra (maiúsculo)</t>
  </si>
  <si>
    <t>Data de Nascimento (00/00/0000)</t>
  </si>
  <si>
    <t>Sexo</t>
  </si>
  <si>
    <t>Cútis</t>
  </si>
  <si>
    <t>Escolaridade</t>
  </si>
  <si>
    <t>E-mail</t>
  </si>
  <si>
    <t>Peso (00 Kg)</t>
  </si>
  <si>
    <t>Altura</t>
  </si>
  <si>
    <t>Telefone residencial (51) 00000-0000</t>
  </si>
  <si>
    <t>Telefone Celular (51)00000-0000</t>
  </si>
  <si>
    <t>Telefone de Emergência (51)00000-0000</t>
  </si>
  <si>
    <t>Estado (maiúsculo)</t>
  </si>
  <si>
    <t>Cidade</t>
  </si>
  <si>
    <t>Cep 00000-000</t>
  </si>
  <si>
    <t>Logradouro Rua Silva, 300</t>
  </si>
  <si>
    <t>Bairro: Santa Cecília</t>
  </si>
  <si>
    <t>Agasalho: CALÇÃO ED. FÍSICA SEM LISTRAS</t>
  </si>
  <si>
    <t>Agasalho: ABRIGO ED. FÍSICA SEM LISTRAS</t>
  </si>
  <si>
    <t>Agasalho: BLUSÃO DE LÃ</t>
  </si>
  <si>
    <t>Agasalho: JAQUETA PARCA</t>
  </si>
  <si>
    <t>CALÇA: OPERACIONAL</t>
  </si>
  <si>
    <t>CALÇADO: BOTINA</t>
  </si>
  <si>
    <t>CALÇADO: SAPATO SOCIAL</t>
  </si>
  <si>
    <t>CALÇADO: TÊNIS</t>
  </si>
  <si>
    <t>CALÇADO: CHINELO</t>
  </si>
  <si>
    <t>CAMISA: OPERACIONAL (GANDOLA)</t>
  </si>
  <si>
    <t>CAMISETA: GOLA OLÍMPICA</t>
  </si>
  <si>
    <t>GORRO: SEM RAMO</t>
  </si>
  <si>
    <t>02° BBM</t>
  </si>
  <si>
    <t>Comunitario</t>
  </si>
  <si>
    <t>018.160.959-23</t>
  </si>
  <si>
    <t>Combatente</t>
  </si>
  <si>
    <t>Bombeiro Voluntário</t>
  </si>
  <si>
    <t>Sim</t>
  </si>
  <si>
    <t>Não</t>
  </si>
  <si>
    <t>A+</t>
  </si>
  <si>
    <t>ADILSON</t>
  </si>
  <si>
    <t>Masculino</t>
  </si>
  <si>
    <t>Branca</t>
  </si>
  <si>
    <t>Ensino Superior Incompleto</t>
  </si>
  <si>
    <t>Adilson.lemos@gmail.com</t>
  </si>
  <si>
    <t>81kg</t>
  </si>
  <si>
    <t>Entre 1,81m e 1,85m</t>
  </si>
  <si>
    <t>(51)99662-3754</t>
  </si>
  <si>
    <t>(51)996525786</t>
  </si>
  <si>
    <t>RS</t>
  </si>
  <si>
    <t xml:space="preserve">93900-000 </t>
  </si>
  <si>
    <t>Av Capivara 405</t>
  </si>
  <si>
    <t>Bom Jardim</t>
  </si>
  <si>
    <t>CAB</t>
  </si>
  <si>
    <t>ADRIANO VICENTE RECH</t>
  </si>
  <si>
    <t>375.134.603-1</t>
  </si>
  <si>
    <t>Combatente/Socorrista/ Condutor</t>
  </si>
  <si>
    <t>Bombeiro Voluntário/Bombeiro Civil</t>
  </si>
  <si>
    <t>RECH</t>
  </si>
  <si>
    <t>Ensino Médio</t>
  </si>
  <si>
    <t>adrianovicentewm@gmail.com</t>
  </si>
  <si>
    <t>Entre 1,76m e 1,80m</t>
  </si>
  <si>
    <t>Novo Hamburgo</t>
  </si>
  <si>
    <t>935300-50</t>
  </si>
  <si>
    <t xml:space="preserve">rua Francisco Emilio Gerardt, 46 </t>
  </si>
  <si>
    <t>São Jorge</t>
  </si>
  <si>
    <t>AIRTON SCHNECK</t>
  </si>
  <si>
    <t/>
  </si>
  <si>
    <t>025.620.960-02</t>
  </si>
  <si>
    <t>Combatente e Socorrista, APH, Combate a incêndio, NR35, NR33, SBV Veicular, Suporte básico de vida e trauma, NR5.</t>
  </si>
  <si>
    <t>Bombeiro Voluntário, bombeiro Civil</t>
  </si>
  <si>
    <t>O+</t>
  </si>
  <si>
    <t xml:space="preserve">SCHNECK </t>
  </si>
  <si>
    <t>airtonschneck@gmail.com</t>
  </si>
  <si>
    <t>(51) 997779202</t>
  </si>
  <si>
    <t>93950-000</t>
  </si>
  <si>
    <t>Av. João Klauck, 904</t>
  </si>
  <si>
    <t>Beira Rio</t>
  </si>
  <si>
    <t>628.994.140-20</t>
  </si>
  <si>
    <t>ALCI ALEXANDRE JÚNIOR</t>
  </si>
  <si>
    <t>006.800.930-52</t>
  </si>
  <si>
    <t>Combatente e Socorrista</t>
  </si>
  <si>
    <t>Bombeiro Voluntario</t>
  </si>
  <si>
    <t>Alci</t>
  </si>
  <si>
    <t>Rua Dos Carteiros n 237</t>
  </si>
  <si>
    <t>Jardim Buhler</t>
  </si>
  <si>
    <t>ALEXSANDRO FAGUNDES TAVARES</t>
  </si>
  <si>
    <t>052.396.170-74</t>
  </si>
  <si>
    <t>Bombeiro voluntário/ aph/ bls/ combate incêndio</t>
  </si>
  <si>
    <t>TAVARES</t>
  </si>
  <si>
    <t>alextavarespubli@gmail.com</t>
  </si>
  <si>
    <t>rua dom pedro I, 55</t>
  </si>
  <si>
    <t>voo livre</t>
  </si>
  <si>
    <t>ANDERSON RAFAEL CLOSS</t>
  </si>
  <si>
    <t>037.638.370-43</t>
  </si>
  <si>
    <t xml:space="preserve">Combatente/ socorrista </t>
  </si>
  <si>
    <t>bombeiro voluntario/ aph/ bls/ combate incêndio</t>
  </si>
  <si>
    <t>CLOSS</t>
  </si>
  <si>
    <t>andersoncloss07@gmail.com</t>
  </si>
  <si>
    <t>rs</t>
  </si>
  <si>
    <t>Rua Gago Coutinho, 137</t>
  </si>
  <si>
    <t>Amaral Ribeiro</t>
  </si>
  <si>
    <t>ANDERSON ROBERTO DE SOUZA</t>
  </si>
  <si>
    <t>018.223.540.80</t>
  </si>
  <si>
    <t>Bombeiro Voluntário/APH/NR35/NR11/NR13/CBAE/Instrutor de Brigada de Incêndio/Identificação e manejo de animais peçonhentos/COVE, Técnico de Segurança do Trabalho (em andamento)</t>
  </si>
  <si>
    <t>SOUZA</t>
  </si>
  <si>
    <t>andersonsouzarider@gmail.com</t>
  </si>
  <si>
    <t>Entre 1,71m e 1,75m</t>
  </si>
  <si>
    <t>93880-000</t>
  </si>
  <si>
    <t>rua Luis Sparremberg, 391</t>
  </si>
  <si>
    <t>campo da brasina</t>
  </si>
  <si>
    <t>ANDRE ADRIANO DRESH</t>
  </si>
  <si>
    <t>967.473.820-72</t>
  </si>
  <si>
    <t>DRESCH</t>
  </si>
  <si>
    <t>andre.dresch@yahoo.com.br</t>
  </si>
  <si>
    <t>(51) 999318126</t>
  </si>
  <si>
    <t>Rua cacique Double 181</t>
  </si>
  <si>
    <t xml:space="preserve">vale verde </t>
  </si>
  <si>
    <t>ANDREIA ROZA DA CRUZ</t>
  </si>
  <si>
    <t>009.042.680-04</t>
  </si>
  <si>
    <t>Combatente/Socorrista</t>
  </si>
  <si>
    <t>Bombeiro Voluntario/APH/SBV/Veicular/combate a incêndio/resgate dificil acesso/ NR33/35/Buscae Salvamento</t>
  </si>
  <si>
    <t>A-</t>
  </si>
  <si>
    <t>ANDREIA</t>
  </si>
  <si>
    <t>Feminino</t>
  </si>
  <si>
    <t>andreiarozar@gmail.com</t>
  </si>
  <si>
    <t>Entre 1,66m e 1,70m</t>
  </si>
  <si>
    <t>rua da Felicidade 07</t>
  </si>
  <si>
    <t>Floresta</t>
  </si>
  <si>
    <t>050.154.120-96</t>
  </si>
  <si>
    <t xml:space="preserve">        02° BBM</t>
  </si>
  <si>
    <t xml:space="preserve">  Estância velha </t>
  </si>
  <si>
    <t xml:space="preserve">ANGÉLICA BUENO DE FREITAS </t>
  </si>
  <si>
    <t xml:space="preserve">         061.354.270-32</t>
  </si>
  <si>
    <t xml:space="preserve">Combatente e Socorrista </t>
  </si>
  <si>
    <t xml:space="preserve">Bombeiro Voluntário, Bombeiro Civil, Aph, Emergências Químicas, NR 33, NR 35. </t>
  </si>
  <si>
    <t xml:space="preserve">Angélica </t>
  </si>
  <si>
    <t>Parda</t>
  </si>
  <si>
    <t>angelicabuenodefreitas22@gmail.com</t>
  </si>
  <si>
    <t>49kg</t>
  </si>
  <si>
    <t>Entre 1,61m e 1,65m</t>
  </si>
  <si>
    <t>54 996851078</t>
  </si>
  <si>
    <t>51 99917-1242</t>
  </si>
  <si>
    <t>93530-594</t>
  </si>
  <si>
    <t xml:space="preserve">Rua da Terceira idade, 97 </t>
  </si>
  <si>
    <t xml:space="preserve">São José Kephas </t>
  </si>
  <si>
    <t>ARIANE VIDAL DE OLIVEIRA</t>
  </si>
  <si>
    <t>048.663.250.46</t>
  </si>
  <si>
    <t>Bombeiro Voluntario/APH/BLS, combate à incêndio</t>
  </si>
  <si>
    <t>VIDAL</t>
  </si>
  <si>
    <t>Ensino Fundamental</t>
  </si>
  <si>
    <t>vidalariane5@gmail.com</t>
  </si>
  <si>
    <t>Rua Athanasio Becker,570</t>
  </si>
  <si>
    <t>Canudos</t>
  </si>
  <si>
    <t>ARLEI PAULO MALLMANN</t>
  </si>
  <si>
    <t>896.177.620-72</t>
  </si>
  <si>
    <t>MALLMANN</t>
  </si>
  <si>
    <t>arleipmallmann@yahoo.com.br</t>
  </si>
  <si>
    <t>72kg</t>
  </si>
  <si>
    <t>(51)9926-75251</t>
  </si>
  <si>
    <t>Rua Arthur Strassburger 416</t>
  </si>
  <si>
    <t>ARTHUR HENRIQUE DALOSTO</t>
  </si>
  <si>
    <t>052.162.580-78</t>
  </si>
  <si>
    <t>Bombeiro Civil</t>
  </si>
  <si>
    <t>O-</t>
  </si>
  <si>
    <t>ARTHUR</t>
  </si>
  <si>
    <t>arthurdalosto@live.com</t>
  </si>
  <si>
    <t>(51) 993551791</t>
  </si>
  <si>
    <t>(51) 993533636</t>
  </si>
  <si>
    <t>Rua Barão do Rio branco, 697</t>
  </si>
  <si>
    <t>União</t>
  </si>
  <si>
    <t xml:space="preserve">Ivoti </t>
  </si>
  <si>
    <t>BRENDA SCHMITZ</t>
  </si>
  <si>
    <t xml:space="preserve"> 034.997.280-01</t>
  </si>
  <si>
    <t>Combatente e socorrista</t>
  </si>
  <si>
    <t xml:space="preserve">Bombeiro Voluntário e técnico em enfermagem </t>
  </si>
  <si>
    <t>B+</t>
  </si>
  <si>
    <t>BRENDA</t>
  </si>
  <si>
    <t>brendaschmitz16@gmail.com</t>
  </si>
  <si>
    <t>(51) 98060-1536</t>
  </si>
  <si>
    <t>93900-000</t>
  </si>
  <si>
    <t>Rua José de Alencar</t>
  </si>
  <si>
    <t>Centro</t>
  </si>
  <si>
    <t>018.286.870-22</t>
  </si>
  <si>
    <t>BRUNO MATHEUS WEBER</t>
  </si>
  <si>
    <t>017.058.350-31</t>
  </si>
  <si>
    <t>Bombeiro Voluntário/APH/BLS/Curso resgate em áreas remotas(2024 FELIZ-RS)/ Curso Salvamento em águas rápidas N1 (2025 APIUNA SC)/ Comportamento extremo do fogo (2025 CONCÓRDIA SC)/Graduando em Enfermagem(Feevale)</t>
  </si>
  <si>
    <t>BRUNO</t>
  </si>
  <si>
    <t>brunoweber1996@gmail.com</t>
  </si>
  <si>
    <t>88kg</t>
  </si>
  <si>
    <t>não</t>
  </si>
  <si>
    <t>(51)99764-3100</t>
  </si>
  <si>
    <t>(51)996521138</t>
  </si>
  <si>
    <t>BR116 KM 230 n 350</t>
  </si>
  <si>
    <t xml:space="preserve">travessão </t>
  </si>
  <si>
    <t>CARLA JENIFER DA SILVA</t>
  </si>
  <si>
    <t>036.026.230-92</t>
  </si>
  <si>
    <t>Técnica em Enfermagem</t>
  </si>
  <si>
    <t>AB+</t>
  </si>
  <si>
    <t>CARLA</t>
  </si>
  <si>
    <t>Preta</t>
  </si>
  <si>
    <t>carlajeniferdasilva@gmail.com</t>
  </si>
  <si>
    <t>(51) 99973-7392</t>
  </si>
  <si>
    <t>(51) 99997/3739</t>
  </si>
  <si>
    <t>93700-000</t>
  </si>
  <si>
    <t>Padre Réus, 126 - AP 3</t>
  </si>
  <si>
    <t>Bela Vista</t>
  </si>
  <si>
    <t>CARLOS ALEXANDRE BERGONSI</t>
  </si>
  <si>
    <t>011.421.770-14</t>
  </si>
  <si>
    <t>CARLOS</t>
  </si>
  <si>
    <t>totynho78@hotmail.com</t>
  </si>
  <si>
    <t>(51)98311-6991</t>
  </si>
  <si>
    <t>(51)98140-1473</t>
  </si>
  <si>
    <t>92532-000</t>
  </si>
  <si>
    <t>BR 386 KM 413</t>
  </si>
  <si>
    <t>VENDINHA</t>
  </si>
  <si>
    <t>Marata</t>
  </si>
  <si>
    <t>011.421.170-14</t>
  </si>
  <si>
    <t>Combatente Condutor e Socorrista</t>
  </si>
  <si>
    <t>Bombeiro Civil, SBV e Condutor de Veiculo de Emergencia</t>
  </si>
  <si>
    <t>51 - 983116991</t>
  </si>
  <si>
    <t>51 - 981401473</t>
  </si>
  <si>
    <t>MONTENEGRO</t>
  </si>
  <si>
    <t>BR 386 - KM 413</t>
  </si>
  <si>
    <t>UNIVERSAL</t>
  </si>
  <si>
    <t>CARLOS ALEXANDRE MOURA</t>
  </si>
  <si>
    <t>014.403.780-70</t>
  </si>
  <si>
    <t>combatente /socorrista/ condutor</t>
  </si>
  <si>
    <t>combatente/ socorrista e condutor</t>
  </si>
  <si>
    <t>MOURA</t>
  </si>
  <si>
    <t>alexandre.moura88@outlook.com</t>
  </si>
  <si>
    <t>95630-000</t>
  </si>
  <si>
    <t>Rua Tupi 160</t>
  </si>
  <si>
    <t>Nova Parobé</t>
  </si>
  <si>
    <t>CÁSSIO RODRIGO PEREIRA</t>
  </si>
  <si>
    <t>809.894.970-20</t>
  </si>
  <si>
    <t>Bombeiro Voluntario/APH/BLS. Tec de enfermagem. Bombeiro civil classe III</t>
  </si>
  <si>
    <t>CÁSSIO</t>
  </si>
  <si>
    <t>rodrigopereiracasssio@gmail.com</t>
  </si>
  <si>
    <t>(51) 3593-5531</t>
  </si>
  <si>
    <t>Rua Bahia 66</t>
  </si>
  <si>
    <t>Rondônia</t>
  </si>
  <si>
    <t>DAIANE ANDRÉA MAUHS</t>
  </si>
  <si>
    <t>002.056.700.67</t>
  </si>
  <si>
    <t>DANIEL BOENI OK</t>
  </si>
  <si>
    <t>027.832.520-31</t>
  </si>
  <si>
    <t>Bombeiro Voluntario, Tecnico em enfermagem - Instrumentação Cirurgica, Bombeiro Civil</t>
  </si>
  <si>
    <t>Boeni</t>
  </si>
  <si>
    <t>danielboeni25@gmail.com</t>
  </si>
  <si>
    <t>90 kg</t>
  </si>
  <si>
    <t>Entre 1,86m e 1,90m</t>
  </si>
  <si>
    <t>(51)996393935</t>
  </si>
  <si>
    <t>93346-290</t>
  </si>
  <si>
    <t>Rua Finlandia</t>
  </si>
  <si>
    <t>Petropolis</t>
  </si>
  <si>
    <t>041.098.040-43</t>
  </si>
  <si>
    <t>Bombeiro Voluntário, Combate a incêndio, APH</t>
  </si>
  <si>
    <t xml:space="preserve">CALEBE </t>
  </si>
  <si>
    <t>danielsilvacalebenh@gmail.com</t>
  </si>
  <si>
    <t>(51)981229120</t>
  </si>
  <si>
    <t>(51)981998288</t>
  </si>
  <si>
    <t>93544-340</t>
  </si>
  <si>
    <t>Rua Carlito Kaiser, 342</t>
  </si>
  <si>
    <t xml:space="preserve">Canudos </t>
  </si>
  <si>
    <t>DIEGO ALBERTO VEIMILLER</t>
  </si>
  <si>
    <t>017.713.640-50</t>
  </si>
  <si>
    <t>Coordenador/combatente</t>
  </si>
  <si>
    <t>Bombeiro Voluntário, Bombeiro Civil, APH, BLS</t>
  </si>
  <si>
    <t>ALBERTO</t>
  </si>
  <si>
    <t>diegobombeiro@gmail.com</t>
  </si>
  <si>
    <t>(51)98194-2153</t>
  </si>
  <si>
    <t>(51)99703-2741</t>
  </si>
  <si>
    <t>93800-192</t>
  </si>
  <si>
    <t>ALMIRANTE BARROSO, 614</t>
  </si>
  <si>
    <t>CENTRO</t>
  </si>
  <si>
    <t>Bombeiro Civil, APH, SBV, NR35 e NR 33</t>
  </si>
  <si>
    <t>51 - 981942153</t>
  </si>
  <si>
    <t>51 - 997032841</t>
  </si>
  <si>
    <t>SAPIRANGA</t>
  </si>
  <si>
    <t>RUA ALMIRANTE BARROSO 614</t>
  </si>
  <si>
    <t>DIEGO ANDERSON CARDOSO</t>
  </si>
  <si>
    <t>032.162.020-89</t>
  </si>
  <si>
    <t xml:space="preserve">combatente/socorrista e condutor </t>
  </si>
  <si>
    <t>Bombeiro Civil, APH, BLS</t>
  </si>
  <si>
    <t>DIEGO</t>
  </si>
  <si>
    <t>diegocardoso15@hotmail.com</t>
  </si>
  <si>
    <t>93608-070</t>
  </si>
  <si>
    <t>Rua São Crstovão 1519</t>
  </si>
  <si>
    <t>Rincão dos Ilheus</t>
  </si>
  <si>
    <t>DIEGO GONÇALVES</t>
  </si>
  <si>
    <t>022.690.620-51</t>
  </si>
  <si>
    <t>Bombeiro Civil, SBV</t>
  </si>
  <si>
    <t>GONÇALVES</t>
  </si>
  <si>
    <t>dgoncalvesbc61@gmail.com</t>
  </si>
  <si>
    <t>51 - 992068835</t>
  </si>
  <si>
    <t>51 - 34291298</t>
  </si>
  <si>
    <t>CANOAS</t>
  </si>
  <si>
    <t>RUA URUGUAIANA 43</t>
  </si>
  <si>
    <t>MATHIAS VELHO</t>
  </si>
  <si>
    <t>DIÊNIFER CAMILA HENRIQUE LOPES</t>
  </si>
  <si>
    <t>037.896.100-36</t>
  </si>
  <si>
    <t>Bombeiro Voluntario/Bombeiro Civil ,APH, BLS, Resgate em Áreas de Difícil Acesso, Combate a Incêndio,  Resgate Veicular, Produtos Perigosos, Técnica de Enfermagem</t>
  </si>
  <si>
    <t>LOPES</t>
  </si>
  <si>
    <t>dieni_mila@hotmail.com</t>
  </si>
  <si>
    <t>Entre 1,50m e 1,55m</t>
  </si>
  <si>
    <t>rua serraria ferrabráz,990</t>
  </si>
  <si>
    <t>São Leopoldo</t>
  </si>
  <si>
    <t>953.892.970-72</t>
  </si>
  <si>
    <t>URBANETO</t>
  </si>
  <si>
    <t>diogotu@gmail.com</t>
  </si>
  <si>
    <t>Argentina,24</t>
  </si>
  <si>
    <t>DIOGO UBIRAJARA BENITES MORGENSTERN</t>
  </si>
  <si>
    <t>999.577.010-53</t>
  </si>
  <si>
    <t>BENITES</t>
  </si>
  <si>
    <t>diogo.stern@gmail.com</t>
  </si>
  <si>
    <t>(51) 996219465</t>
  </si>
  <si>
    <t>(51)998167379</t>
  </si>
  <si>
    <t>Rua Tavares,450</t>
  </si>
  <si>
    <t xml:space="preserve">Bairro Imigrante Norte </t>
  </si>
  <si>
    <t>DION NORBERT DE OLIVEIRA</t>
  </si>
  <si>
    <t>007.753.110-81</t>
  </si>
  <si>
    <t>Bombeiro Voluntario/bombeiro civil, APH, BLS, resgate veicular, Bacharel em Direito e Pós Graduado</t>
  </si>
  <si>
    <t>NORBERT</t>
  </si>
  <si>
    <t>Pós-graduação</t>
  </si>
  <si>
    <t>dionnorbert.adv@gmail.com</t>
  </si>
  <si>
    <t>93542-590</t>
  </si>
  <si>
    <t>Avenida Reynaldo Kayser, 1221  bloco J AP. 34</t>
  </si>
  <si>
    <t>004.887.190-70</t>
  </si>
  <si>
    <t>BONATTO</t>
  </si>
  <si>
    <t>bonatto_dionatan@hotmail.com</t>
  </si>
  <si>
    <t>(51) 3536-2286</t>
  </si>
  <si>
    <t>(51)995512961</t>
  </si>
  <si>
    <t>(51)3536-2286</t>
  </si>
  <si>
    <t>95760-000</t>
  </si>
  <si>
    <t>ERS-122 Km 07 nº54</t>
  </si>
  <si>
    <t>Conceição</t>
  </si>
  <si>
    <t>DOUGLAS RAFAEL KESSLER</t>
  </si>
  <si>
    <t>088.249.729-42</t>
  </si>
  <si>
    <t>EDER FRANCISCO FURTUOSO VIEIRA</t>
  </si>
  <si>
    <t>001.974.980-51</t>
  </si>
  <si>
    <t>EDER</t>
  </si>
  <si>
    <t>Ensino Superior Completo</t>
  </si>
  <si>
    <t>edervieiratst@gmail.com</t>
  </si>
  <si>
    <t>51 991165277</t>
  </si>
  <si>
    <t>93490-288</t>
  </si>
  <si>
    <t>Flávio da Silveira, 105</t>
  </si>
  <si>
    <t>Lomba Grande</t>
  </si>
  <si>
    <t>EDIANE DO PRADO</t>
  </si>
  <si>
    <t>031.297.580-54</t>
  </si>
  <si>
    <t xml:space="preserve">EDIANE DO PRADO </t>
  </si>
  <si>
    <t>031.297.480-54</t>
  </si>
  <si>
    <t xml:space="preserve">Bombeiro Voluntario/APH/BLS/COMBATE INCÊNDIO </t>
  </si>
  <si>
    <t>PRADO</t>
  </si>
  <si>
    <t>Morena</t>
  </si>
  <si>
    <t>edianeprado.gripa08@gmail.com</t>
  </si>
  <si>
    <t>rua 12 de outubro 72</t>
  </si>
  <si>
    <t>palmeiras</t>
  </si>
  <si>
    <t>EDMILSON DA SILVA CARVALHO</t>
  </si>
  <si>
    <t>012.450.474-42</t>
  </si>
  <si>
    <t>Edmilson</t>
  </si>
  <si>
    <t>edmilsocarvalho85@gmail.com</t>
  </si>
  <si>
    <t>72 kg</t>
  </si>
  <si>
    <t>51 999921082</t>
  </si>
  <si>
    <t>PB</t>
  </si>
  <si>
    <t>Rua Portugal n921</t>
  </si>
  <si>
    <t>Sol Nacente</t>
  </si>
  <si>
    <t>023.101.160-17</t>
  </si>
  <si>
    <t>Bombeiro Civil, APH e BLS</t>
  </si>
  <si>
    <t>EDUARDA</t>
  </si>
  <si>
    <t>dudabaumgartnercimol@gmail.com</t>
  </si>
  <si>
    <t>(51) 98947-2046</t>
  </si>
  <si>
    <t>(51) 99574-5019</t>
  </si>
  <si>
    <t>Cesar de Oliveira, 190</t>
  </si>
  <si>
    <t>Cohab</t>
  </si>
  <si>
    <t>027.853.280-27</t>
  </si>
  <si>
    <t>Combatente e Socorista</t>
  </si>
  <si>
    <t>Bombeiro Voluntário, Combate a Incêndio, APH, BLS, Trabalho em altura, Trabalho em Espaço Confinado, Técnico de Segurança do Trabalho, Condutor de Veículos de Transporte de Emergência - Detran RS, Resgate veícular</t>
  </si>
  <si>
    <t>HENZ</t>
  </si>
  <si>
    <t>duduhenz@gmail.com</t>
  </si>
  <si>
    <t>(51) 992974525</t>
  </si>
  <si>
    <t>93351-010</t>
  </si>
  <si>
    <t>Rua das Aroeiras, 300</t>
  </si>
  <si>
    <t>Roselandia</t>
  </si>
  <si>
    <t>ELISEU PEREIRA TAQUES</t>
  </si>
  <si>
    <t>168.805.200-3</t>
  </si>
  <si>
    <t>Bombeiro Voluntario/APH, BLS</t>
  </si>
  <si>
    <t>PEREIRA</t>
  </si>
  <si>
    <t>eliseupereirataques89@gmail.com</t>
  </si>
  <si>
    <t>938880-000</t>
  </si>
  <si>
    <t>Rua Lothário Helmuth Kautzmann</t>
  </si>
  <si>
    <t>ELIZANDRO LOPES NAGILDO</t>
  </si>
  <si>
    <t>675.309.900-04</t>
  </si>
  <si>
    <t>condutor</t>
  </si>
  <si>
    <t>Bombeiro Comunitario</t>
  </si>
  <si>
    <t>Nagildo</t>
  </si>
  <si>
    <t>nagilda@live.com</t>
  </si>
  <si>
    <t>(51) 998534725</t>
  </si>
  <si>
    <t>Rua Esplinder,175 casa 6</t>
  </si>
  <si>
    <t>Integração</t>
  </si>
  <si>
    <t>EMERSON VALNEI SCHUTT</t>
  </si>
  <si>
    <t>723.011.040-87</t>
  </si>
  <si>
    <t>SCHUTT</t>
  </si>
  <si>
    <t>emerson.schutt@gmail.com</t>
  </si>
  <si>
    <t>51 - 985757780</t>
  </si>
  <si>
    <t>51 - 999434652</t>
  </si>
  <si>
    <t>SAPUCAIA DO SUL</t>
  </si>
  <si>
    <t>RUA TRES COROAS 690</t>
  </si>
  <si>
    <t>VARGAS</t>
  </si>
  <si>
    <t>EMILIANO BORBA DA SILVA</t>
  </si>
  <si>
    <t>628.098.900-30</t>
  </si>
  <si>
    <t>EMILIANO</t>
  </si>
  <si>
    <t>emiliano.borba@yahoo.com</t>
  </si>
  <si>
    <t>(51) 981221426</t>
  </si>
  <si>
    <t>93542-280</t>
  </si>
  <si>
    <t>RUA ESTOCOLMO, 99</t>
  </si>
  <si>
    <t>CANUDOS</t>
  </si>
  <si>
    <t xml:space="preserve">       02º BBM</t>
  </si>
  <si>
    <t xml:space="preserve">Comunitário </t>
  </si>
  <si>
    <t>ENÉIAS ROCHA DOS SANTOS</t>
  </si>
  <si>
    <t xml:space="preserve">         008.084.600-99</t>
  </si>
  <si>
    <t>Bombeiro Voluntário Nível 1 (ESBO); Bombeiro Profissional Civil (APSE Cursos); Curso atualização APH e BLS (RCP Treinamentos/2025); Curso Combate a Incêndio; Prevenção e combate a incêndio e noções de resgate veicular; Curso especializado de transporte de Veículo de Emergência (CETVE)</t>
  </si>
  <si>
    <t>sim</t>
  </si>
  <si>
    <t>ROCHA</t>
  </si>
  <si>
    <t>eneiasrocha3@gmail.com</t>
  </si>
  <si>
    <t>104kg</t>
  </si>
  <si>
    <t>(51)997691607</t>
  </si>
  <si>
    <t>Rua Araruama, 811</t>
  </si>
  <si>
    <t>Jardim Mauá</t>
  </si>
  <si>
    <t>008.907.370-70</t>
  </si>
  <si>
    <t>NUNES</t>
  </si>
  <si>
    <t>evandrolopes79@hotmail.com</t>
  </si>
  <si>
    <t>(51)996768907</t>
  </si>
  <si>
    <t>93180-000</t>
  </si>
  <si>
    <t>Rua Antônio Cardoso, 90</t>
  </si>
  <si>
    <t>Portão Velho</t>
  </si>
  <si>
    <t>608.736.800-06</t>
  </si>
  <si>
    <t>ROSADO</t>
  </si>
  <si>
    <t>evanio.rosado@gmail.com</t>
  </si>
  <si>
    <t>(51) 989538593</t>
  </si>
  <si>
    <t>(51) 981558168</t>
  </si>
  <si>
    <t>Rua Emílio Müller, 181</t>
  </si>
  <si>
    <t>001.272.410-60</t>
  </si>
  <si>
    <t>Estancia Velha</t>
  </si>
  <si>
    <t>FELIPE EDUARDO DA COSTA</t>
  </si>
  <si>
    <t>015.657.480-26</t>
  </si>
  <si>
    <t>bombeiro voluntario,curso condutor de veículos de emergencia</t>
  </si>
  <si>
    <t>Costa</t>
  </si>
  <si>
    <t>Amarela</t>
  </si>
  <si>
    <t>felipeed1987@hotmai.com</t>
  </si>
  <si>
    <t>Morro Reuter</t>
  </si>
  <si>
    <t>Rua Sao Nicola 1375</t>
  </si>
  <si>
    <t>wacharai</t>
  </si>
  <si>
    <t>FERNANDO GUERRA TEIXEIRA</t>
  </si>
  <si>
    <t>827.435.680-20</t>
  </si>
  <si>
    <t>Bombeiro Voluntario/CVE/APH/SBV</t>
  </si>
  <si>
    <t>GUERRA</t>
  </si>
  <si>
    <t>fernando.guerra.80@hotmail.com</t>
  </si>
  <si>
    <t>93890-000</t>
  </si>
  <si>
    <t>rua egidio peixoto, 75</t>
  </si>
  <si>
    <t>liberdade</t>
  </si>
  <si>
    <t xml:space="preserve">FRANCILEI FELBER </t>
  </si>
  <si>
    <t>017.944.080-29</t>
  </si>
  <si>
    <t>Bombeiro Voluntario/Bombeiro Civil /APH/BLS</t>
  </si>
  <si>
    <t>FRANCIELI</t>
  </si>
  <si>
    <t>franfelber@gmail.com</t>
  </si>
  <si>
    <t>Entre 1,56m e 1,60m</t>
  </si>
  <si>
    <t>Rua Leão XIII 480</t>
  </si>
  <si>
    <t>25 de julho</t>
  </si>
  <si>
    <t>GABRIEL DIAS DE MORAES</t>
  </si>
  <si>
    <t>015.936.120-60</t>
  </si>
  <si>
    <t>Bombeiro Civil ,SBV ,APH, Condutor de Veiculo de Emergencia</t>
  </si>
  <si>
    <t>SIM</t>
  </si>
  <si>
    <t>MORAES</t>
  </si>
  <si>
    <t>gdiasdemoraes@gmail.com</t>
  </si>
  <si>
    <t>51-983467325</t>
  </si>
  <si>
    <t>51 - 998982116</t>
  </si>
  <si>
    <t>RUA bruno werner storck 50 , Bloco ,c 22</t>
  </si>
  <si>
    <t>GABRIEL DOS SANTOS PALHANO BARTH</t>
  </si>
  <si>
    <t>041.240.680-26</t>
  </si>
  <si>
    <t>GABRIEL</t>
  </si>
  <si>
    <t>gabrielbarthpalhano@gmail.com</t>
  </si>
  <si>
    <t>51 997283147</t>
  </si>
  <si>
    <t>93415-640</t>
  </si>
  <si>
    <t>João Pedro Schimitt, 977</t>
  </si>
  <si>
    <t>Rondonia</t>
  </si>
  <si>
    <t>030.548.300-55</t>
  </si>
  <si>
    <t>Bombeiro Voluntário, NR10, NR12, Atmosferas explosivas, APH T.</t>
  </si>
  <si>
    <t>RODRIGUES</t>
  </si>
  <si>
    <t>gabrielsilva2899@gmail.com</t>
  </si>
  <si>
    <t>(51)993445921</t>
  </si>
  <si>
    <t>Rua Garibaldi, 444</t>
  </si>
  <si>
    <t>Parque Neto</t>
  </si>
  <si>
    <t>GEOVANNA ZALESKI</t>
  </si>
  <si>
    <t>035.987.100-38</t>
  </si>
  <si>
    <t xml:space="preserve">Combatente e socorrista </t>
  </si>
  <si>
    <t xml:space="preserve">Bombeiro voluntário, técnico em enfermagem </t>
  </si>
  <si>
    <t>GEOVANNA</t>
  </si>
  <si>
    <t>geovanna@zaleski.com.br</t>
  </si>
  <si>
    <t>Rua Jacob Dhein 777</t>
  </si>
  <si>
    <t>Jardim do Alto</t>
  </si>
  <si>
    <t>GRAZIELA OLIVEIRA GOMES</t>
  </si>
  <si>
    <t>710.825.300-34</t>
  </si>
  <si>
    <t xml:space="preserve">Bombeiro Voluntario/ Bombeira Civil  </t>
  </si>
  <si>
    <t>GOMES</t>
  </si>
  <si>
    <t>grazyoliveiragomes@gmail.com</t>
  </si>
  <si>
    <t>Cachoeirinha</t>
  </si>
  <si>
    <t>rua josé pereira de andrade 249</t>
  </si>
  <si>
    <t>morada do bosque</t>
  </si>
  <si>
    <t>GUILHERME MACHADO NOVAK</t>
  </si>
  <si>
    <t>032.031.050-71</t>
  </si>
  <si>
    <t>GUILHERME</t>
  </si>
  <si>
    <t>guilhermenovak@hotmail.com</t>
  </si>
  <si>
    <t>(51) 99900-6327</t>
  </si>
  <si>
    <t xml:space="preserve">Rua Mario Mosmann, 2525 casa38 </t>
  </si>
  <si>
    <t xml:space="preserve">Emancipação </t>
  </si>
  <si>
    <t>012.132.180-04</t>
  </si>
  <si>
    <t>PACHECO</t>
  </si>
  <si>
    <t>contato@pefmetalurgica.com.br</t>
  </si>
  <si>
    <t>(51) 981490387</t>
  </si>
  <si>
    <t>Balduíno Konrath, 179</t>
  </si>
  <si>
    <t>GUSTAVO SOARES RODRIGUES</t>
  </si>
  <si>
    <t>027.149.750-54</t>
  </si>
  <si>
    <t>gr057083@gmail.com</t>
  </si>
  <si>
    <t>51 - 999856240</t>
  </si>
  <si>
    <t>51 - 999254061</t>
  </si>
  <si>
    <t>IVOTI</t>
  </si>
  <si>
    <t>RUA PARANÁ 112</t>
  </si>
  <si>
    <t>CIDADE NOVA</t>
  </si>
  <si>
    <t>HARRY JOSE KUNRATH</t>
  </si>
  <si>
    <t>039.969.370-08</t>
  </si>
  <si>
    <t>HARRY</t>
  </si>
  <si>
    <t>harryberlitz@icloud.com</t>
  </si>
  <si>
    <t>(51) 998486428</t>
  </si>
  <si>
    <t>Av vinte e cinco de julho, 831 ap 31</t>
  </si>
  <si>
    <t>IAGO COSTA DUARTE</t>
  </si>
  <si>
    <t>033.502.790-31</t>
  </si>
  <si>
    <t>Bombeiro Voluntario/Bombeiro Civil, APH E BLS, Curso de resgate veicular, Combate à incêndio, produtos perigosos</t>
  </si>
  <si>
    <t>COSTA</t>
  </si>
  <si>
    <t>costaiago154@gmail.com</t>
  </si>
  <si>
    <t>rua amazonas, 1501</t>
  </si>
  <si>
    <t>arroio da bica</t>
  </si>
  <si>
    <t>ILTON DIEGO DA SILVEIRA</t>
  </si>
  <si>
    <t>027.397.960-48</t>
  </si>
  <si>
    <t>SANTOS</t>
  </si>
  <si>
    <t>jef.dossantos193@gmail.com</t>
  </si>
  <si>
    <t>89 kg</t>
  </si>
  <si>
    <t>51 997586742</t>
  </si>
  <si>
    <t>51 998530285</t>
  </si>
  <si>
    <t>Rua lorena bittencurt da silva n:82</t>
  </si>
  <si>
    <t>Rincao dos ilheus</t>
  </si>
  <si>
    <t>003.158.830-14</t>
  </si>
  <si>
    <t>Bombeiro Voluntário/Técnico em enfermagem</t>
  </si>
  <si>
    <t>Diego</t>
  </si>
  <si>
    <t>iltondiegodasilveirasilveira@gmail.com</t>
  </si>
  <si>
    <t>51 984145118</t>
  </si>
  <si>
    <t>Rua Tupi 115 apto 23</t>
  </si>
  <si>
    <t xml:space="preserve">Sete de Setembro </t>
  </si>
  <si>
    <t>ITACIR FRANCISCO RIBEIRO</t>
  </si>
  <si>
    <t>905.858.950-15</t>
  </si>
  <si>
    <t>984.487.490-49</t>
  </si>
  <si>
    <t>Bombeiro Municipal</t>
  </si>
  <si>
    <t>BANACHOKI</t>
  </si>
  <si>
    <t>jairbanachoki@hotmail.com</t>
  </si>
  <si>
    <t>90kg</t>
  </si>
  <si>
    <t>(51)99686-7204</t>
  </si>
  <si>
    <t xml:space="preserve">Rua Novo Hamburgo </t>
  </si>
  <si>
    <t>JANÍLSON RIEGEL CRISTINO</t>
  </si>
  <si>
    <t>007.297.220-31</t>
  </si>
  <si>
    <t>Combatente, Socorrista, Resgatista e Condutor</t>
  </si>
  <si>
    <t>Bombeiro Voluntario/Bombeiro civil, resgate em áreas de difícil acesso, resgate em altura, resgate veicular, APH, BLS,combate a incêndio</t>
  </si>
  <si>
    <t>RIEGEL</t>
  </si>
  <si>
    <t>janilson.riegel@gmail.com</t>
  </si>
  <si>
    <t>rua serraria ferrabráz, 990</t>
  </si>
  <si>
    <t>campo da  brasina</t>
  </si>
  <si>
    <t>JESSICA ALESSANDRA BENDER</t>
  </si>
  <si>
    <t>024.438.100-38</t>
  </si>
  <si>
    <t>BENDER</t>
  </si>
  <si>
    <t>jessicabender565@gmail.com</t>
  </si>
  <si>
    <t>(51) 996776997</t>
  </si>
  <si>
    <t>(51) 996917603</t>
  </si>
  <si>
    <t>Canoas</t>
  </si>
  <si>
    <t>92035-190</t>
  </si>
  <si>
    <t>Rua Gildo de Freitas,1601</t>
  </si>
  <si>
    <t>Olaria</t>
  </si>
  <si>
    <t>JESSICA BARRACA PEREIRA OK</t>
  </si>
  <si>
    <t>022.920.460-08</t>
  </si>
  <si>
    <t>Bombeiro Voluntario, Tecnica em enfermagem</t>
  </si>
  <si>
    <t>Jéssica</t>
  </si>
  <si>
    <t>jessica.barraca@gmail.com</t>
  </si>
  <si>
    <t>51 999615764</t>
  </si>
  <si>
    <t>Rua Guilherme Engelmann n 601</t>
  </si>
  <si>
    <t>JOÃO BATISTA KIRCH</t>
  </si>
  <si>
    <t>935.714.880-91</t>
  </si>
  <si>
    <t xml:space="preserve">JOÃO LEANDRO GEBERT JÚNIOR </t>
  </si>
  <si>
    <t>022.748.980-22</t>
  </si>
  <si>
    <t>Combatente/Socorrista/ condutor</t>
  </si>
  <si>
    <t>Bombeiro Voluntario/Primeiros Socorros/APH/ bombeiro civil</t>
  </si>
  <si>
    <t>GEBERT</t>
  </si>
  <si>
    <t>joaoleandro8792@gmail.com</t>
  </si>
  <si>
    <t>Mais de 1,96m</t>
  </si>
  <si>
    <t>hermann otto becker 233</t>
  </si>
  <si>
    <t>são rafael</t>
  </si>
  <si>
    <t>JOÃO MANOEL MATTOS DE MELO</t>
  </si>
  <si>
    <t>592.631.640-53</t>
  </si>
  <si>
    <t>MATTOS</t>
  </si>
  <si>
    <t>joaohaubert@hotmail.com</t>
  </si>
  <si>
    <t>89kg</t>
  </si>
  <si>
    <t xml:space="preserve">Não </t>
  </si>
  <si>
    <t>(51)99942-9082</t>
  </si>
  <si>
    <t>(51)98613-0670</t>
  </si>
  <si>
    <t>Av Presidente Lucena 2514</t>
  </si>
  <si>
    <t xml:space="preserve">Brasília </t>
  </si>
  <si>
    <t>988.588.150-68</t>
  </si>
  <si>
    <t>Bombeiro Voluntário, Combate a Incêndio, APH, NR 35, Técnico de Segurança do Trabalho.</t>
  </si>
  <si>
    <t>JOÃO</t>
  </si>
  <si>
    <t>joaooneide@hotmail.com</t>
  </si>
  <si>
    <t>(51) 996932878</t>
  </si>
  <si>
    <t>(51) 984313682</t>
  </si>
  <si>
    <t>Rua Santa Cruz, 525</t>
  </si>
  <si>
    <t>Imigrante Norte</t>
  </si>
  <si>
    <t>JOÁS CAMPOS DA SILVA</t>
  </si>
  <si>
    <t>047.288.830-78</t>
  </si>
  <si>
    <t xml:space="preserve">Bombeiro Voluntario, Extricação veicular, aph, combate a incêndio </t>
  </si>
  <si>
    <t>Joás</t>
  </si>
  <si>
    <t>joascampos2020@gmail.com</t>
  </si>
  <si>
    <t>93612-640</t>
  </si>
  <si>
    <t>RUA FRANÇA 466</t>
  </si>
  <si>
    <t>LAGO AZUL</t>
  </si>
  <si>
    <t>JORGE HENRIQUE MORAES</t>
  </si>
  <si>
    <t>019.604.330-16</t>
  </si>
  <si>
    <t>Bombeiro Voluntário, BREC</t>
  </si>
  <si>
    <t>JORGE</t>
  </si>
  <si>
    <t>jorgemoraes92@yahoo.com</t>
  </si>
  <si>
    <t>(51) 995257463</t>
  </si>
  <si>
    <t>(51) 999998555</t>
  </si>
  <si>
    <t>Av. Pernambuvo, 545</t>
  </si>
  <si>
    <t>JOSÉ AUGUSTO MAAS KNOPF</t>
  </si>
  <si>
    <t>018.921.870-35</t>
  </si>
  <si>
    <t>NR 11, NR 12 Anexo V, NR 20, NR 23, NR 35, SBV, APH, BLS, Stop the Bleed, BREC, Resgate Veicular, RTI - Resgate Técnico Indutrial Líder, Bombeiro Voluntário SCAB</t>
  </si>
  <si>
    <t>AUGUSTO</t>
  </si>
  <si>
    <t>Gutomk@hotmail.com</t>
  </si>
  <si>
    <t>(51) 999000313</t>
  </si>
  <si>
    <t>(51) 98170-1202</t>
  </si>
  <si>
    <t>Arduíno Haack, 370</t>
  </si>
  <si>
    <t>Alexandria</t>
  </si>
  <si>
    <t>JOSÉ SANDRO DA LUZ PEREIRA</t>
  </si>
  <si>
    <t>000.603.010-66</t>
  </si>
  <si>
    <t>JOSELITO PULZ LUCIANO DA ROSA</t>
  </si>
  <si>
    <t>831.949.080-49</t>
  </si>
  <si>
    <t>Bombeiro Voluntario/APH, resgate  veicular, combate incêndio , condutor,  bombeiro civil classe 3 em andamento.</t>
  </si>
  <si>
    <t>JOSELITO</t>
  </si>
  <si>
    <t>joselito.mbcv@gmail.com</t>
  </si>
  <si>
    <t>93537-270</t>
  </si>
  <si>
    <t>rua Marquês de Abrantes</t>
  </si>
  <si>
    <t>JULIANA HOFFMANN DOS SANTOS</t>
  </si>
  <si>
    <t>82.932.840.15</t>
  </si>
  <si>
    <t>Técnica em Enfermagem, APH &amp; BLS</t>
  </si>
  <si>
    <t>HOFFMANN</t>
  </si>
  <si>
    <t>010484juhoffmann@gmail.com</t>
  </si>
  <si>
    <t>(51)980239978</t>
  </si>
  <si>
    <t>(51)981470395</t>
  </si>
  <si>
    <t>Luiz Raymundo, 341</t>
  </si>
  <si>
    <t>JULIANO DE SOUZA BORGES</t>
  </si>
  <si>
    <t>005.206.790-40</t>
  </si>
  <si>
    <t>JULIANO</t>
  </si>
  <si>
    <t>Juliano.tatu193@gmail.com</t>
  </si>
  <si>
    <t>(51) 981519196</t>
  </si>
  <si>
    <t>Rua Da Republica, 398</t>
  </si>
  <si>
    <t>LAÍS NAJARA GOMES</t>
  </si>
  <si>
    <t>015.128.530-62</t>
  </si>
  <si>
    <t>Bombeiro Voluntario/Cursando Técnico em enfermagem/APH/BLS</t>
  </si>
  <si>
    <t>LAÍS</t>
  </si>
  <si>
    <t>laisnajaragomes@gmail.com</t>
  </si>
  <si>
    <t>Rua Antônio do Amaral, 230</t>
  </si>
  <si>
    <t>Imperatriz</t>
  </si>
  <si>
    <t>LEONARDO MARTINS</t>
  </si>
  <si>
    <t>033.050.610-22</t>
  </si>
  <si>
    <t>Triunfo</t>
  </si>
  <si>
    <t>LEONARDO REUS DA SILVA</t>
  </si>
  <si>
    <t>000.610.840-77</t>
  </si>
  <si>
    <t>00061084077</t>
  </si>
  <si>
    <t>Condutor e Operador de Viatura</t>
  </si>
  <si>
    <t>Condutor de Veículo de Emergência</t>
  </si>
  <si>
    <t>Leonardo</t>
  </si>
  <si>
    <r>
      <rPr>
        <u/>
        <sz val="10"/>
        <color rgb="FF1155CC"/>
        <rFont val="Calibri"/>
        <charset val="134"/>
      </rPr>
      <t>leonardoreusd@gmail.com</t>
    </r>
  </si>
  <si>
    <t>51 - 991101856</t>
  </si>
  <si>
    <t>51 - 996912635</t>
  </si>
  <si>
    <t>95840-000</t>
  </si>
  <si>
    <t>RUA CEL. JOÃO ALVES DE BORBA 55</t>
  </si>
  <si>
    <t>OLARIA</t>
  </si>
  <si>
    <t>LEONARDO SPANIOL</t>
  </si>
  <si>
    <t>036.637.890-20</t>
  </si>
  <si>
    <t>Bombeiro Voluntario/APH,BLS, Bombeiro Civil</t>
  </si>
  <si>
    <t>SPANIOL</t>
  </si>
  <si>
    <t>leo22spaniol@gmail.com</t>
  </si>
  <si>
    <t>guilhermina klein, 50</t>
  </si>
  <si>
    <t>São Luiz</t>
  </si>
  <si>
    <t>LOURIVAL MULLER DA COSTA</t>
  </si>
  <si>
    <t>007.943.360-00</t>
  </si>
  <si>
    <t>LOURIVAL</t>
  </si>
  <si>
    <t>convertmoveis@gmail.com</t>
  </si>
  <si>
    <t>(51)981195980</t>
  </si>
  <si>
    <t>(51)991154262</t>
  </si>
  <si>
    <t>93346-210</t>
  </si>
  <si>
    <t>Dr. Miguel Vieira Ferreira, 132</t>
  </si>
  <si>
    <t>Petrópolis</t>
  </si>
  <si>
    <t>LUCAS HENRIQUE PEREIRA NUNES</t>
  </si>
  <si>
    <t>026.835.360-38</t>
  </si>
  <si>
    <t xml:space="preserve">HENRIQUE </t>
  </si>
  <si>
    <t>lucas.henrique.nunes@hotmail.com</t>
  </si>
  <si>
    <t>(51) 992016616</t>
  </si>
  <si>
    <t>93520-030</t>
  </si>
  <si>
    <t xml:space="preserve">Rua São Fernando, 234 </t>
  </si>
  <si>
    <t xml:space="preserve">Guarani </t>
  </si>
  <si>
    <t>993.235.320-53</t>
  </si>
  <si>
    <t>LUCAS</t>
  </si>
  <si>
    <t>lucasnunesnh@hotmail.com</t>
  </si>
  <si>
    <t>86kg</t>
  </si>
  <si>
    <t>(51)99362-0497</t>
  </si>
  <si>
    <t>(51)99291-9078</t>
  </si>
  <si>
    <t>LUÍS DAVI DA SILVA</t>
  </si>
  <si>
    <t>016.737.080-48</t>
  </si>
  <si>
    <t>Bombeiro Voluntario/Bombeiro Civil; APH/BLS I; APH/BLS II, Resgate veicular, Combate a incêndio, Produtos perigosos, Condutor</t>
  </si>
  <si>
    <t>DA SILVA</t>
  </si>
  <si>
    <t>luisdavi369@gmail.com</t>
  </si>
  <si>
    <t>93800-264</t>
  </si>
  <si>
    <t>Rua Alberto Schimidt, 55</t>
  </si>
  <si>
    <t>centro</t>
  </si>
  <si>
    <t>LUIS FELIPE FARIAS DE AZEVEDO</t>
  </si>
  <si>
    <t>033.234.380-43</t>
  </si>
  <si>
    <t>Tecnica e Tatica de Combate a Incendio Nivel I e Condutor de Veículo de Emergência</t>
  </si>
  <si>
    <t>Felipe</t>
  </si>
  <si>
    <r>
      <rPr>
        <u/>
        <sz val="10"/>
        <color rgb="FF1155CC"/>
        <rFont val="Calibri"/>
        <charset val="134"/>
      </rPr>
      <t>felipe.azevedo.tk@gmail.com</t>
    </r>
  </si>
  <si>
    <t>51 - 996664032</t>
  </si>
  <si>
    <t>51 - 993662939</t>
  </si>
  <si>
    <t>Taquari</t>
  </si>
  <si>
    <t>AVENIDA TRIUNFO 04</t>
  </si>
  <si>
    <t>ESTALEIRO</t>
  </si>
  <si>
    <t>LUIZ ANTONIO FORNECK DE OLIVEIRA</t>
  </si>
  <si>
    <t>055.117.300-92</t>
  </si>
  <si>
    <t>Bombeiro Voluntário, BOMBEIRO CIVIL</t>
  </si>
  <si>
    <t>LUIZ</t>
  </si>
  <si>
    <t xml:space="preserve">luizforneck9822@gmail.com </t>
  </si>
  <si>
    <t>(51) 999304164</t>
  </si>
  <si>
    <t>Rua erico verissimo, 230</t>
  </si>
  <si>
    <t>Moinho velho</t>
  </si>
  <si>
    <t>LUIZ MIGUEL DA CONCEIÇÃO SILVA</t>
  </si>
  <si>
    <t>024.711.880-01</t>
  </si>
  <si>
    <t xml:space="preserve">Condutor de Emergência </t>
  </si>
  <si>
    <t>MIGUEL</t>
  </si>
  <si>
    <t>luizmiguelcs@gmail.com</t>
  </si>
  <si>
    <t>(51) 995552517</t>
  </si>
  <si>
    <t>(51)99583-6327</t>
  </si>
  <si>
    <t>General Camara, 195</t>
  </si>
  <si>
    <t>Panoramico</t>
  </si>
  <si>
    <t>LUIZ RANGEL JAEGER</t>
  </si>
  <si>
    <t>594.261.600-00</t>
  </si>
  <si>
    <t>JAEGER</t>
  </si>
  <si>
    <t>luiz-jaeger@hotmail.com</t>
  </si>
  <si>
    <t>(51)991914201</t>
  </si>
  <si>
    <t>Rua 7 de Setembro nº 420</t>
  </si>
  <si>
    <t>MAGNO LUIZ ALVES</t>
  </si>
  <si>
    <t>717.274.500-00</t>
  </si>
  <si>
    <t>MAGNO</t>
  </si>
  <si>
    <t>magno1.alves@hotmail.com</t>
  </si>
  <si>
    <t>51- 999481781</t>
  </si>
  <si>
    <t>51 996135990</t>
  </si>
  <si>
    <t>RUA CRISTIANO SPINDLER 190</t>
  </si>
  <si>
    <t>PAULISTA</t>
  </si>
  <si>
    <t>MAIQUIARA LOCH RIBEIRO</t>
  </si>
  <si>
    <t>874.481.810-68</t>
  </si>
  <si>
    <t>NÃO</t>
  </si>
  <si>
    <t>RIBEIRO</t>
  </si>
  <si>
    <t>c.maiquiara19@gmail.com</t>
  </si>
  <si>
    <t>(51)997103318</t>
  </si>
  <si>
    <t>(51)998493981</t>
  </si>
  <si>
    <t>Rua Santos Dumont</t>
  </si>
  <si>
    <t xml:space="preserve">Guarujá </t>
  </si>
  <si>
    <t>005.894.560-16</t>
  </si>
  <si>
    <t xml:space="preserve">Bombeiro Voluntário, NR33, NR35, Combate a incêndio, suporte básico vida e  trauma, curso atendimento pré hospitalar </t>
  </si>
  <si>
    <t>marcelosouza28912@gmail.com</t>
  </si>
  <si>
    <t>(51) 992087459</t>
  </si>
  <si>
    <t>Sapucaia do Sul</t>
  </si>
  <si>
    <t>93224-490</t>
  </si>
  <si>
    <t>Leopoldo Johann, 366</t>
  </si>
  <si>
    <t>Pasqualine</t>
  </si>
  <si>
    <t>MARCELO RODRIGO DA SILVA</t>
  </si>
  <si>
    <t>810.069.260-20</t>
  </si>
  <si>
    <t>combatente</t>
  </si>
  <si>
    <t>Bombeiro Voluntário, combata a incêndio e NR 35</t>
  </si>
  <si>
    <t>MARCELO</t>
  </si>
  <si>
    <t xml:space="preserve">vinitecnh@gmail.com </t>
  </si>
  <si>
    <t>(51) 991361022</t>
  </si>
  <si>
    <t>(51) 989028991</t>
  </si>
  <si>
    <t>93145-120</t>
  </si>
  <si>
    <t>Travessa farroupilha,  60</t>
  </si>
  <si>
    <t xml:space="preserve">Scharlau </t>
  </si>
  <si>
    <t>651.588.570-91</t>
  </si>
  <si>
    <t>Técnica e Tática de Combate a Incêndio - Nível 1</t>
  </si>
  <si>
    <t>GISA</t>
  </si>
  <si>
    <t>martinsgisa09@gmail.com</t>
  </si>
  <si>
    <t>(51) 99530-4037</t>
  </si>
  <si>
    <t>Alcides Ferreira, 140</t>
  </si>
  <si>
    <t>MARIA SOLANGE APOLLO FERNANDES</t>
  </si>
  <si>
    <t>002.311.820-23</t>
  </si>
  <si>
    <t>APOLO</t>
  </si>
  <si>
    <t>Solangeapolo1978@gmail.com</t>
  </si>
  <si>
    <t>(51) 99955-3888</t>
  </si>
  <si>
    <t>(51) 99815-5222</t>
  </si>
  <si>
    <t>Beco do Sossego, 1203</t>
  </si>
  <si>
    <t>Poço Fundo</t>
  </si>
  <si>
    <t xml:space="preserve">Estancia Velha </t>
  </si>
  <si>
    <t>MARIANA ZALESKI</t>
  </si>
  <si>
    <t>035.987.040-62</t>
  </si>
  <si>
    <t>Bombeiro voluntário, técnico de enfermagem</t>
  </si>
  <si>
    <t>MOISES INACIO SMANIOTTO</t>
  </si>
  <si>
    <t>567.527.170.87</t>
  </si>
  <si>
    <t>Bombeiro Comunitario Municipal</t>
  </si>
  <si>
    <t>Moises</t>
  </si>
  <si>
    <t>maisessmaniotto392@gmail.com</t>
  </si>
  <si>
    <t>(51) 997892922</t>
  </si>
  <si>
    <t>Rua Odorico Mosmann, 624</t>
  </si>
  <si>
    <t xml:space="preserve">NATALIA HAAS DE MELLO </t>
  </si>
  <si>
    <t>035.493.280-28</t>
  </si>
  <si>
    <t>HAAS</t>
  </si>
  <si>
    <t>natalia_haas_mello@gmail.com</t>
  </si>
  <si>
    <t>pedro adams filho 2594</t>
  </si>
  <si>
    <t xml:space="preserve">NATAN KOSSMANN </t>
  </si>
  <si>
    <t>038.520.940-11</t>
  </si>
  <si>
    <t>Bombeiro Voluntário, APH, BLS e Stop the Bleed</t>
  </si>
  <si>
    <t>NATAN</t>
  </si>
  <si>
    <t>natankossmann@gmail.com</t>
  </si>
  <si>
    <t>(51) 99905‑9967‬</t>
  </si>
  <si>
    <t>(51) 99594-7010</t>
  </si>
  <si>
    <t>Vinícius de Morais, 191</t>
  </si>
  <si>
    <t>Nova Guarujá</t>
  </si>
  <si>
    <t>NEUSA JUVELINA DOS SANTOS DA SILVA</t>
  </si>
  <si>
    <t>014.967.880-01</t>
  </si>
  <si>
    <t xml:space="preserve">aluno </t>
  </si>
  <si>
    <t>NEUSA</t>
  </si>
  <si>
    <t>juneusasantos@gmail.com</t>
  </si>
  <si>
    <t>93804-516</t>
  </si>
  <si>
    <t>Rua Caruaru, 195</t>
  </si>
  <si>
    <t>Oeste</t>
  </si>
  <si>
    <t>OTAVIO NORONHA FERREIRA DA SILVA</t>
  </si>
  <si>
    <t>033.401.092-65</t>
  </si>
  <si>
    <t>Combatente e Socorrista/Condutor</t>
  </si>
  <si>
    <t>Bombeiro Voluntario/APH/ brigada de incêndio/ Combate /produtos perigosos / Socorrista/ Condutor</t>
  </si>
  <si>
    <t>NORONHA</t>
  </si>
  <si>
    <t>otavionoronha472@gmail.com</t>
  </si>
  <si>
    <t>93808-038</t>
  </si>
  <si>
    <t>Rua Nedy Kalibaba Spolaor, 168</t>
  </si>
  <si>
    <t>São Luis</t>
  </si>
  <si>
    <t xml:space="preserve">Estância Velha </t>
  </si>
  <si>
    <t>PAULO ALEXANDRE DOS SANTOS PETRONA</t>
  </si>
  <si>
    <t xml:space="preserve">026.749.140-92 </t>
  </si>
  <si>
    <t>Bombeiro Voluntário, Bombeiro Civil III, Aph, Bls, Resgate veicular, Emergências Químicas, Resgate Técnico Operacional, N1 acesso por cordas, Supervisor e Resgate EC, Combate a incêndio, condutor VE.</t>
  </si>
  <si>
    <t>Petrona</t>
  </si>
  <si>
    <t>paulopetrona92@gmail.com</t>
  </si>
  <si>
    <t>Rua Joaquim Nunes ferreira, 19</t>
  </si>
  <si>
    <t>PEDRO VOLNEI DA SILVA</t>
  </si>
  <si>
    <t>009.987.650-74</t>
  </si>
  <si>
    <t>VOLNEI</t>
  </si>
  <si>
    <t>volnei89@gmail.com</t>
  </si>
  <si>
    <t>RAFAEL SILVA DE SOUZA</t>
  </si>
  <si>
    <t>801.278.600-10</t>
  </si>
  <si>
    <t>Bombeiro Voluntario/Bombeiro Civil, APH, BLS, Cursos de NR33, NR 35, Condutor</t>
  </si>
  <si>
    <t>RAFAEL SILVA</t>
  </si>
  <si>
    <t>rafa_souza79@yahoo.com.br</t>
  </si>
  <si>
    <t>Porto Alegre</t>
  </si>
  <si>
    <t>90810-000</t>
  </si>
  <si>
    <t>Rua Icaraí, 330 ap. 307</t>
  </si>
  <si>
    <t>Cristal</t>
  </si>
  <si>
    <t>RAUL ERNESTO MALDONADO SOSA</t>
  </si>
  <si>
    <t>863.656.140-04</t>
  </si>
  <si>
    <t>V8216291</t>
  </si>
  <si>
    <t>Combate a Incêndio, NR 35, Bombeiro civil. Aph.bls. NR10,NR18,NR6,NR33.operacional, N1 acesso por cordas.</t>
  </si>
  <si>
    <t>SOSA</t>
  </si>
  <si>
    <t>raul20-@hotmail.com</t>
  </si>
  <si>
    <t>87 kg</t>
  </si>
  <si>
    <t>Rua Aroldo Alves trespaht n 202</t>
  </si>
  <si>
    <t>Encosta do Sol</t>
  </si>
  <si>
    <t xml:space="preserve">RÉGIS GONÇALVES ORTIS </t>
  </si>
  <si>
    <t>020.754.990-71</t>
  </si>
  <si>
    <t>Combatente/ socorrista</t>
  </si>
  <si>
    <t>bombeiro voluntário/ aph/ bls/ combate incêndio</t>
  </si>
  <si>
    <t>ORTIS</t>
  </si>
  <si>
    <t>regisregisgoncalvesortis@gmail.com</t>
  </si>
  <si>
    <t>rua deputado lauro rodrigues 761</t>
  </si>
  <si>
    <t xml:space="preserve">Novo Hamburgo </t>
  </si>
  <si>
    <t xml:space="preserve">RENAN BATISTA GOBBI </t>
  </si>
  <si>
    <t>017.168.420-69</t>
  </si>
  <si>
    <t xml:space="preserve">combatente e socorrista </t>
  </si>
  <si>
    <t xml:space="preserve">Bombeiro Voluntário </t>
  </si>
  <si>
    <t>esbo</t>
  </si>
  <si>
    <t>RENAN</t>
  </si>
  <si>
    <t xml:space="preserve">masculino </t>
  </si>
  <si>
    <t xml:space="preserve">Branca </t>
  </si>
  <si>
    <t xml:space="preserve">ensino médio </t>
  </si>
  <si>
    <t>renangobbinh@gmail.com</t>
  </si>
  <si>
    <t>(51)98358.6598</t>
  </si>
  <si>
    <t>(51)997050614</t>
  </si>
  <si>
    <t>93546-580</t>
  </si>
  <si>
    <t>Alicia Muller, 302</t>
  </si>
  <si>
    <t>RICARDO BASEI OLIVEIRA</t>
  </si>
  <si>
    <t>024.008.410-12</t>
  </si>
  <si>
    <t>Bombeiro Voluntário , curso técnico de enfermagem em andamento</t>
  </si>
  <si>
    <t>Basei</t>
  </si>
  <si>
    <t>ricardobaseigrm@gmail.com</t>
  </si>
  <si>
    <t>(51)998658098</t>
  </si>
  <si>
    <t>(51)992010123</t>
  </si>
  <si>
    <t>Rua Bruno Werner Storck 812</t>
  </si>
  <si>
    <t>ROBSON DE ALMEIDA BERNARDES</t>
  </si>
  <si>
    <t>808.936.898-2</t>
  </si>
  <si>
    <t>Condutor Socorrista</t>
  </si>
  <si>
    <t>Bombeiro Voluntario/APH/ Condutor de veículos de emergência/ resgate veicular</t>
  </si>
  <si>
    <t xml:space="preserve">BERNARDES </t>
  </si>
  <si>
    <t>robsondealmeidabernardesph@gmail.com</t>
  </si>
  <si>
    <t>93806-410</t>
  </si>
  <si>
    <t>Rua Delmar Selmar Schinaider,152</t>
  </si>
  <si>
    <t>RODRIGO DIAS DA SILVA</t>
  </si>
  <si>
    <t>054.734.780-42</t>
  </si>
  <si>
    <t>RODRIGO</t>
  </si>
  <si>
    <t>srodrigodias77@gmail.com</t>
  </si>
  <si>
    <t>93804-144</t>
  </si>
  <si>
    <t>Rua Padre Antonio Vieira 1391</t>
  </si>
  <si>
    <t>003.604.670-16</t>
  </si>
  <si>
    <t>RUBENS</t>
  </si>
  <si>
    <t>rubenscb137@hotmail.com</t>
  </si>
  <si>
    <t>-</t>
  </si>
  <si>
    <t>(51) 985350440</t>
  </si>
  <si>
    <t>Padre Eduardo Teixeira, 550</t>
  </si>
  <si>
    <t>Vila Velha</t>
  </si>
  <si>
    <t>904.191.620-20</t>
  </si>
  <si>
    <t>SANDRO</t>
  </si>
  <si>
    <t>sandrofagundessinos@gmail.com</t>
  </si>
  <si>
    <t>115 Kg</t>
  </si>
  <si>
    <t>(51)98534-9342</t>
  </si>
  <si>
    <t xml:space="preserve"> (51) 99122-0732</t>
  </si>
  <si>
    <t>93546-680</t>
  </si>
  <si>
    <t>Rua Seno Antônio Schokal, 405</t>
  </si>
  <si>
    <t>SERGIO VALMOR SCHNEIDER</t>
  </si>
  <si>
    <t>892.356.300-53</t>
  </si>
  <si>
    <t>Combatente Condutor</t>
  </si>
  <si>
    <t>Bombeiro Civil e Condutor de Veiculo de Emergencia</t>
  </si>
  <si>
    <t>SCHNEIDER</t>
  </si>
  <si>
    <t>sergiosclh@gmail.com</t>
  </si>
  <si>
    <t>51 - 999014604</t>
  </si>
  <si>
    <t>51 - 998416566</t>
  </si>
  <si>
    <t>MARATÁ</t>
  </si>
  <si>
    <t>ESTRADA VITORIA 1379</t>
  </si>
  <si>
    <t>VITORIA</t>
  </si>
  <si>
    <t>SOLANGE FREITAS VIEIRA</t>
  </si>
  <si>
    <t>825.592.950.91</t>
  </si>
  <si>
    <t>FREITAS</t>
  </si>
  <si>
    <t>solangefreitasvieira77@gmail.com</t>
  </si>
  <si>
    <t xml:space="preserve">Rua Calisto Kniphoff da Silva </t>
  </si>
  <si>
    <t>Estação</t>
  </si>
  <si>
    <t>TATIANA PAULA TEREBINTO</t>
  </si>
  <si>
    <t>041.861.010-00</t>
  </si>
  <si>
    <t>885.022.280-72</t>
  </si>
  <si>
    <t>Bombeiro Voluntário, Bombeiro Civil, APH</t>
  </si>
  <si>
    <t>MAYUMI</t>
  </si>
  <si>
    <t>tmo1330@gmail.com</t>
  </si>
  <si>
    <t>60kg</t>
  </si>
  <si>
    <t>(51) 999453409</t>
  </si>
  <si>
    <t>(51) 999429082</t>
  </si>
  <si>
    <t>THAIS DE ASSIS CONCEIÇÃO</t>
  </si>
  <si>
    <t>042.175.970-45</t>
  </si>
  <si>
    <t xml:space="preserve">Bombeiro Voluntário/Bombeiro Civil </t>
  </si>
  <si>
    <t>ASSIS</t>
  </si>
  <si>
    <t>thaisassis785@gmail.com</t>
  </si>
  <si>
    <t xml:space="preserve">RUA SÃO MANOEL 478 </t>
  </si>
  <si>
    <t>RIO BRANCO</t>
  </si>
  <si>
    <t>THOMAS GABRIEL SCHMIDDEL</t>
  </si>
  <si>
    <t>052.535.830-76</t>
  </si>
  <si>
    <t>Bombeiro Voluntario/APH/BLS, Combate  a Incêndio, Resgate Veicular, produtos quimicos</t>
  </si>
  <si>
    <t>SCHMIDDEL</t>
  </si>
  <si>
    <t>schmiddelthomas9@gmail.com</t>
  </si>
  <si>
    <t>Estrada Monaco, 926</t>
  </si>
  <si>
    <t>monaco</t>
  </si>
  <si>
    <t>UIL ROBSON ROCHA DE OLIVEIRA</t>
  </si>
  <si>
    <t>954.169.780-15</t>
  </si>
  <si>
    <t>ROBSON</t>
  </si>
  <si>
    <t>uilrobson193@gmail.com</t>
  </si>
  <si>
    <t>51 - 998656798</t>
  </si>
  <si>
    <t>51- 980205008</t>
  </si>
  <si>
    <t>CAPELA DE SANTANA</t>
  </si>
  <si>
    <t>RUA IRAÍ 252</t>
  </si>
  <si>
    <t>IMIGRANTES</t>
  </si>
  <si>
    <t>UIL ROBSON ROCHA DE OLLIVEIRA</t>
  </si>
  <si>
    <t>(51)99865-6798</t>
  </si>
  <si>
    <t>(51)98020-5008</t>
  </si>
  <si>
    <t>Capela de Santana</t>
  </si>
  <si>
    <t>95745-000</t>
  </si>
  <si>
    <t>IRAÍ, 252</t>
  </si>
  <si>
    <t>022.543.680-95</t>
  </si>
  <si>
    <t>Bombeiro Voluntário, Tec Seg Trabalho, NR33, NR10, NR35</t>
  </si>
  <si>
    <t>Uilian</t>
  </si>
  <si>
    <t>uilianmartins@outlook.com</t>
  </si>
  <si>
    <t>(51)996534958</t>
  </si>
  <si>
    <t>Rua São Leopoldo leste, 61</t>
  </si>
  <si>
    <t>VAGNER DE ALMEIDA ZANCHIN</t>
  </si>
  <si>
    <t>028.940.72-066</t>
  </si>
  <si>
    <t xml:space="preserve">VAGNER DE ALMEIDA ZANCHIN </t>
  </si>
  <si>
    <t>028.940.720.66</t>
  </si>
  <si>
    <t>Bombeiro Voluntario APH &amp; BLS</t>
  </si>
  <si>
    <t xml:space="preserve">VAGNER </t>
  </si>
  <si>
    <t>vagner.almeida2260@gmail.com</t>
  </si>
  <si>
    <t>nao</t>
  </si>
  <si>
    <t>(51) 994674334</t>
  </si>
  <si>
    <t>(51) 998629061</t>
  </si>
  <si>
    <t xml:space="preserve">Afonso Pena 230 </t>
  </si>
  <si>
    <t xml:space="preserve">emancipação </t>
  </si>
  <si>
    <t>VALMIR DE OLIVEIRA</t>
  </si>
  <si>
    <t>790.110.980-72</t>
  </si>
  <si>
    <t>VALMIR</t>
  </si>
  <si>
    <t>valmirbombeiro46@gmail.com</t>
  </si>
  <si>
    <t>(51)99691-4584</t>
  </si>
  <si>
    <t>(51)99862-7608</t>
  </si>
  <si>
    <t>DA PRIMEIRA CONQUISTA, 333</t>
  </si>
  <si>
    <t>BEM VIVER</t>
  </si>
  <si>
    <t>51 - 996914584</t>
  </si>
  <si>
    <t>51 - 998627608</t>
  </si>
  <si>
    <t>CAMPO BOM</t>
  </si>
  <si>
    <t>RUA DA PRIMEIRA CONQUISTA 333</t>
  </si>
  <si>
    <t>VANDERLÉIA GOULARTE DA SILVA</t>
  </si>
  <si>
    <t>010.343.540-94</t>
  </si>
  <si>
    <t>675.364.410-53</t>
  </si>
  <si>
    <t>Bombeiro Voluntário, Tec Seg Trabalho, NR11, NR20, NR23, NR33, NR35</t>
  </si>
  <si>
    <t>GÓIS</t>
  </si>
  <si>
    <t>vardileigois@hotmail.com</t>
  </si>
  <si>
    <t>(51)999028056</t>
  </si>
  <si>
    <t>Rua Singapura, 482</t>
  </si>
  <si>
    <t>Feitoria</t>
  </si>
  <si>
    <t>VINÍCIUS GABRIEL BUENO GUEDES</t>
  </si>
  <si>
    <t>045.233.330-09</t>
  </si>
  <si>
    <t>Bombeiro Voluntario/APH, BLS, resgate em áreas de difícil acesso, combate a incêndio, produtos perigosos;</t>
  </si>
  <si>
    <t>GUEDES</t>
  </si>
  <si>
    <t>VITOR RODRIGUES DA ROCHA</t>
  </si>
  <si>
    <t>013.743.100-77</t>
  </si>
  <si>
    <t>Bombeiro Voluntario/Bombeiro Civil lll, APH, BLS,  Resgate Veicular</t>
  </si>
  <si>
    <t>VITOR</t>
  </si>
  <si>
    <t>vitorbcrocha2002@gmail.com</t>
  </si>
  <si>
    <t>93546-320</t>
  </si>
  <si>
    <t>Rua Uruguai</t>
  </si>
  <si>
    <t>WILLIAM NATANAEL OLIVEIRA AUGUSTIN</t>
  </si>
  <si>
    <t>009.043.360-26</t>
  </si>
  <si>
    <t>Condutor/Combatente</t>
  </si>
  <si>
    <t>WILLIAM</t>
  </si>
  <si>
    <t>william_natanael23@yahoo.com.br</t>
  </si>
  <si>
    <t>NÂO</t>
  </si>
  <si>
    <t>(51)99572-1762</t>
  </si>
  <si>
    <t>(51)98979-5454</t>
  </si>
  <si>
    <t>93542-130</t>
  </si>
  <si>
    <t>ANA MARÇAL RAMOS, 267</t>
  </si>
  <si>
    <t>51 - 995721762</t>
  </si>
  <si>
    <t>51 - 989795454</t>
  </si>
  <si>
    <t>NOVO HAMBURGO</t>
  </si>
  <si>
    <t>RUA ANA MARÇAL RAMOS 267</t>
  </si>
  <si>
    <t>WILLIAM SCHUCK REIS</t>
  </si>
  <si>
    <t>022.493.230-62</t>
  </si>
  <si>
    <t>Bombeiro Voluntario/APH e BLS, Bombeiro Civil</t>
  </si>
  <si>
    <t>WILLIAN</t>
  </si>
  <si>
    <t>william.schuck@hotmail.com</t>
  </si>
  <si>
    <t>Rua Edu las casas, 790</t>
  </si>
  <si>
    <t>Santa Fé</t>
  </si>
  <si>
    <t>WILLIAN DE AZEVEDO REJO</t>
  </si>
  <si>
    <t>020.571.670-97</t>
  </si>
  <si>
    <t>Bombeiro Voluntario/APH/ BLS/Bombeiro Civil/ Condutor/Técnico em Enfermagem</t>
  </si>
  <si>
    <t>REJO</t>
  </si>
  <si>
    <t>willian.rejo@hotmail.com</t>
  </si>
  <si>
    <t>Rua Sananduva, 47</t>
  </si>
  <si>
    <t>Santo Afonso</t>
  </si>
  <si>
    <t>WILLIAN PASQUAL DA SILVA DOS SANTOS</t>
  </si>
  <si>
    <t>PASQUAL</t>
  </si>
  <si>
    <t>willianpasqual@gmail.com</t>
  </si>
  <si>
    <t>Rua Padre Giordano Bruno</t>
  </si>
  <si>
    <t>Jardim América</t>
  </si>
  <si>
    <t>03° BBM</t>
  </si>
  <si>
    <t>CARLOS AMORIM BEIRÓ</t>
  </si>
  <si>
    <t>262.158.880-87</t>
  </si>
  <si>
    <t>Auxiliar Bombeiro civil</t>
  </si>
  <si>
    <t>Basico primeiro socorros,retro escavadeira,</t>
  </si>
  <si>
    <t>BEIRÓ</t>
  </si>
  <si>
    <t>80 kg</t>
  </si>
  <si>
    <t>(53) 984386403</t>
  </si>
  <si>
    <t>rua basili conceicao 950</t>
  </si>
  <si>
    <t>carlos vasques</t>
  </si>
  <si>
    <t>CLAYTON FRANCISCO PIRES DOS REIS</t>
  </si>
  <si>
    <t>921.850.960-87</t>
  </si>
  <si>
    <t>Bombeiro Civil auxiliar, coordenador do SCAB Arroio Grande .</t>
  </si>
  <si>
    <t>APH, BSL, controle de hemorragia (CETEMER) brigadista de incêndio (ead), bombeiro civil (ead) cursando novamente bombeiro civil nível 01, presencial ( CCATS treinamentos)</t>
  </si>
  <si>
    <t>REIS</t>
  </si>
  <si>
    <t>claytonreismaster@gmail.com</t>
  </si>
  <si>
    <t>95 kg</t>
  </si>
  <si>
    <t>(53) 984272027</t>
  </si>
  <si>
    <t xml:space="preserve">rua 24 de março </t>
  </si>
  <si>
    <t>Cohab leate</t>
  </si>
  <si>
    <t>007.987.080-50</t>
  </si>
  <si>
    <t>Auxiliar bombeiro civil</t>
  </si>
  <si>
    <t>Básico primeiros socorros</t>
  </si>
  <si>
    <t>EDEVALDO</t>
  </si>
  <si>
    <t>odlavede@gmail.com</t>
  </si>
  <si>
    <t>125 kg</t>
  </si>
  <si>
    <t>(53) 984643131</t>
  </si>
  <si>
    <t>salvador soares 865</t>
  </si>
  <si>
    <t>vidal</t>
  </si>
  <si>
    <t>JOSE ALMIRO PEREIRA</t>
  </si>
  <si>
    <t>004.072.270-83</t>
  </si>
  <si>
    <t>Básico primeiro socorros, retro escavadeira.</t>
  </si>
  <si>
    <t>JOSÉ ALMIRO</t>
  </si>
  <si>
    <t>valdelania123@gmail.com</t>
  </si>
  <si>
    <t>96 kg</t>
  </si>
  <si>
    <t>(53) 984286312</t>
  </si>
  <si>
    <t>alice colasso das neves 103</t>
  </si>
  <si>
    <t>sao gabriel</t>
  </si>
  <si>
    <t>SCAB (Município)</t>
  </si>
  <si>
    <t>ADELAR HUFF</t>
  </si>
  <si>
    <t>377.455.490-00</t>
  </si>
  <si>
    <t>ALEX DOS SANTOS DOMINGUES</t>
  </si>
  <si>
    <t>013.785.210-05</t>
  </si>
  <si>
    <t>ALEXANDRE ARCARI BECKER</t>
  </si>
  <si>
    <t>960.874.040-15</t>
  </si>
  <si>
    <t>05° BBM</t>
  </si>
  <si>
    <t>ALINE BENDER</t>
  </si>
  <si>
    <t>953.818.640-00</t>
  </si>
  <si>
    <t>Atendente e Operador</t>
  </si>
  <si>
    <t>ALINE</t>
  </si>
  <si>
    <t>alinebender23@yahoo.com.br</t>
  </si>
  <si>
    <t>(51)9990689889</t>
  </si>
  <si>
    <t>(51)3637-1500</t>
  </si>
  <si>
    <t>95770-000</t>
  </si>
  <si>
    <t>Rua Campo Bom, 301</t>
  </si>
  <si>
    <t>Matiel</t>
  </si>
  <si>
    <t>VACARIA/MUITOS CAPÕES</t>
  </si>
  <si>
    <t>Municipal</t>
  </si>
  <si>
    <t>ALINE OLIVEIRA</t>
  </si>
  <si>
    <t>016.109.760-02</t>
  </si>
  <si>
    <t>COMBATENTE</t>
  </si>
  <si>
    <t>ENSINO SUPERIOR COMPLETO</t>
  </si>
  <si>
    <t>aline1984.oliveira@hotmail.com</t>
  </si>
  <si>
    <t>54 996266788</t>
  </si>
  <si>
    <t>95230-000</t>
  </si>
  <si>
    <t>Avenida Progresso</t>
  </si>
  <si>
    <t>ALVARO LICKS DA CRUZ</t>
  </si>
  <si>
    <t>026.332.630-62</t>
  </si>
  <si>
    <t>ALZEMIRO TOMAZ DE LIMA PEREIRA</t>
  </si>
  <si>
    <t>022.294.590-74</t>
  </si>
  <si>
    <t>AMANDA ANDRÉIA DE VARGAS</t>
  </si>
  <si>
    <t>020.265.230-02</t>
  </si>
  <si>
    <t>AMANDA</t>
  </si>
  <si>
    <t>(11)9742288701</t>
  </si>
  <si>
    <t>Rua Bom Fim/SN</t>
  </si>
  <si>
    <t>Bom Fim</t>
  </si>
  <si>
    <t>ANDERSON COLOMBO</t>
  </si>
  <si>
    <t>035.026.210-12</t>
  </si>
  <si>
    <t>COLOMBO</t>
  </si>
  <si>
    <t>anderson.colombo2010@hotmail.com</t>
  </si>
  <si>
    <t>(51)995224261</t>
  </si>
  <si>
    <t>Rua Júlio de Castilhos, 1085</t>
  </si>
  <si>
    <t>ANDRÉ ISOPPO</t>
  </si>
  <si>
    <t>952.674.090-49</t>
  </si>
  <si>
    <t>ANGELA MACHADO RIBEIRO</t>
  </si>
  <si>
    <t>025.415.630-43</t>
  </si>
  <si>
    <t>ANTONIO CARLOS VIEIRA DE MELO</t>
  </si>
  <si>
    <t>661.504.000-00</t>
  </si>
  <si>
    <t>COMBATENTE-MOTORISTA</t>
  </si>
  <si>
    <t>Cursos CETCP, CETVE e Técnico em eletromecânica</t>
  </si>
  <si>
    <t>ANTONIO MELO</t>
  </si>
  <si>
    <t>Juliasmelo24@gmail.com</t>
  </si>
  <si>
    <t>54 999178164</t>
  </si>
  <si>
    <t>54 999993585</t>
  </si>
  <si>
    <t>Rua Elton Luís Osório, n 69</t>
  </si>
  <si>
    <t>BIANCA MARIA RAUBER CABRAL</t>
  </si>
  <si>
    <t>038.552.610-59</t>
  </si>
  <si>
    <t>BIANCA</t>
  </si>
  <si>
    <t>Superior Completo</t>
  </si>
  <si>
    <t>biah-np@hotmail.com</t>
  </si>
  <si>
    <t>(51)997604550</t>
  </si>
  <si>
    <t>Rua Lepoldo carlos Luft, 225</t>
  </si>
  <si>
    <t>CAMILA FELICETTI</t>
  </si>
  <si>
    <t>017.918.150-57</t>
  </si>
  <si>
    <t>CARLA ADRIANA DE OLIVEIRA LISBOA</t>
  </si>
  <si>
    <t>809.514.900-44</t>
  </si>
  <si>
    <t>CATIA CHAGAS</t>
  </si>
  <si>
    <t>CATIA</t>
  </si>
  <si>
    <t>secado@muitoscapoes.rs.gov.br</t>
  </si>
  <si>
    <t>54 999178123</t>
  </si>
  <si>
    <t>54 999432495</t>
  </si>
  <si>
    <t>Emílio Tschoepk 255</t>
  </si>
  <si>
    <t>CATIA MALVINA APARECIDA DAS CHAGAS</t>
  </si>
  <si>
    <t>002.038.250-20</t>
  </si>
  <si>
    <t>CELSO NERI DE ANDRADE</t>
  </si>
  <si>
    <t>638.010.351-15</t>
  </si>
  <si>
    <t>CELSO</t>
  </si>
  <si>
    <t>pgotto@hotmail.com</t>
  </si>
  <si>
    <t>(51)997803497</t>
  </si>
  <si>
    <t>Rua Lauro Bruno Rott, SN</t>
  </si>
  <si>
    <t>CESAR DALZOCHIO</t>
  </si>
  <si>
    <t>013.406.020-24</t>
  </si>
  <si>
    <t>DALZOCHIO</t>
  </si>
  <si>
    <t>4/26/1989</t>
  </si>
  <si>
    <t>dalzochio29@gmail.com</t>
  </si>
  <si>
    <t>(54)99979-7460</t>
  </si>
  <si>
    <t>95180-314</t>
  </si>
  <si>
    <t>Rua Basílio Chile, 26</t>
  </si>
  <si>
    <t>CANELA</t>
  </si>
  <si>
    <t>CLAUDINEI JOEL DA SILVA</t>
  </si>
  <si>
    <t>CONDUTOR OPERADOR DE VIATURA</t>
  </si>
  <si>
    <t>curso APH, curso BLS, concurso público prefeitura de Canela</t>
  </si>
  <si>
    <t>CLAUDINEI</t>
  </si>
  <si>
    <t>claudineijoel@gmail.com</t>
  </si>
  <si>
    <t>54 981476072</t>
  </si>
  <si>
    <t>Rua da Igreja, 553</t>
  </si>
  <si>
    <t>Santa Marta</t>
  </si>
  <si>
    <t>CLAUDINEI STURMER</t>
  </si>
  <si>
    <t>951.832.640-15</t>
  </si>
  <si>
    <t>B-</t>
  </si>
  <si>
    <t>claudineisturmer79@gmail.com</t>
  </si>
  <si>
    <t>(51)99698-2170</t>
  </si>
  <si>
    <t>Rua Osvaldo Glaeser, 407</t>
  </si>
  <si>
    <t>Picada Cara</t>
  </si>
  <si>
    <t>CLEBER COSTA</t>
  </si>
  <si>
    <t xml:space="preserve">COMBATENTE </t>
  </si>
  <si>
    <t>Ensino médio</t>
  </si>
  <si>
    <t>CLEBER</t>
  </si>
  <si>
    <t>clebercosta04@hotmail.com</t>
  </si>
  <si>
    <t>54 99623.9333</t>
  </si>
  <si>
    <t>54 99950.3084</t>
  </si>
  <si>
    <t>CLEBER DA SILVA COSTA</t>
  </si>
  <si>
    <t>001.045.610-41</t>
  </si>
  <si>
    <t>CRISTIAN ZINI</t>
  </si>
  <si>
    <t>015.268.100-00</t>
  </si>
  <si>
    <t>CRISTIÉLI GONÇALVES CRESTANI</t>
  </si>
  <si>
    <t>035.127.810-98</t>
  </si>
  <si>
    <t>CRISTIÉLI</t>
  </si>
  <si>
    <t>cristielicrestani1@hotmail.com</t>
  </si>
  <si>
    <t>(51)996362397</t>
  </si>
  <si>
    <t>95773-000</t>
  </si>
  <si>
    <t>Rua Vila Sucesso,3340</t>
  </si>
  <si>
    <t>São Pedro</t>
  </si>
  <si>
    <t>DAIANE SILVEIRA</t>
  </si>
  <si>
    <t>016.448.600-31</t>
  </si>
  <si>
    <t>019.285.060-11</t>
  </si>
  <si>
    <t>SPINELLI</t>
  </si>
  <si>
    <t>abdanielspinellin05@gmail.com</t>
  </si>
  <si>
    <t>(54)99144-8477</t>
  </si>
  <si>
    <t>(54)99696-4099</t>
  </si>
  <si>
    <t>95180-312</t>
  </si>
  <si>
    <t>Rua Sete de Setembro, 860</t>
  </si>
  <si>
    <t>987.038.620-20</t>
  </si>
  <si>
    <t>POZZA</t>
  </si>
  <si>
    <t>12/30/1981</t>
  </si>
  <si>
    <t>danypozza@gmail.com</t>
  </si>
  <si>
    <t>(54)99984-2284</t>
  </si>
  <si>
    <t>(54)3260-3049</t>
  </si>
  <si>
    <t>95170-180</t>
  </si>
  <si>
    <t>Rua Abele José Deimoni, 233 AP 203</t>
  </si>
  <si>
    <t>do Parque</t>
  </si>
  <si>
    <t>DÉBORA CRISTIAN NUNES</t>
  </si>
  <si>
    <t>815.411.710-04</t>
  </si>
  <si>
    <t>DENISE TERESINHA ZINI</t>
  </si>
  <si>
    <t>AUX ADMINISTRATIVA</t>
  </si>
  <si>
    <t>APH,Defesa civil, RT 14</t>
  </si>
  <si>
    <t>DENISE</t>
  </si>
  <si>
    <t>denise.zini2018@gmail.com</t>
  </si>
  <si>
    <t xml:space="preserve">rua tenente manoel correa </t>
  </si>
  <si>
    <t>vila suzana</t>
  </si>
  <si>
    <t>DIEGO LEONARDO MONTEIRO ALVES</t>
  </si>
  <si>
    <t>020.028.560-29</t>
  </si>
  <si>
    <t>DIEGO SILVA</t>
  </si>
  <si>
    <t>014.017.510-59</t>
  </si>
  <si>
    <t>DIENIFER OLIVEIRA</t>
  </si>
  <si>
    <t>048.873.410-08</t>
  </si>
  <si>
    <t>OLIVEIRA</t>
  </si>
  <si>
    <t>dieniferoliveira194@gmail.com</t>
  </si>
  <si>
    <t>54 999143840</t>
  </si>
  <si>
    <t>54 996574174</t>
  </si>
  <si>
    <t>BR 285, KM 159</t>
  </si>
  <si>
    <t>DIOZAS SILVA OLIVEIRA</t>
  </si>
  <si>
    <t>007.944.850-06</t>
  </si>
  <si>
    <t>DJAVAN LIMA DA SILVA</t>
  </si>
  <si>
    <t>033.068.180-03</t>
  </si>
  <si>
    <t>DOUGLAS PINTER MOREIRA</t>
  </si>
  <si>
    <t>995 434 270 20</t>
  </si>
  <si>
    <t>COORDENADOR SCAB MUITOS CAPÕES / MOTORISTA/ COMBATENTE</t>
  </si>
  <si>
    <t>DOUGLAS</t>
  </si>
  <si>
    <t>douglas.pinter@hotmail.com</t>
  </si>
  <si>
    <t>54 9 9943 2495</t>
  </si>
  <si>
    <t>54 9 9917 8123</t>
  </si>
  <si>
    <t>RUA EMILIO TSCHOEPK 255</t>
  </si>
  <si>
    <t>EDELVAIS HAHN</t>
  </si>
  <si>
    <t>943.981.350-49</t>
  </si>
  <si>
    <t>EDELVAIS</t>
  </si>
  <si>
    <t>edelvaishahn21@gmail.com</t>
  </si>
  <si>
    <t>(51)998557745</t>
  </si>
  <si>
    <t>Rua Lauro Bruno Rott, 27</t>
  </si>
  <si>
    <t>EDEVALDO ANTONIO MORAIS TRAMONTIN</t>
  </si>
  <si>
    <t>985.182.160-87</t>
  </si>
  <si>
    <t>032.561.500-47</t>
  </si>
  <si>
    <t>EDIRAN</t>
  </si>
  <si>
    <t>9/22/1994</t>
  </si>
  <si>
    <t>ediranmendes@hotmail.com</t>
  </si>
  <si>
    <t>(51)99898-9994</t>
  </si>
  <si>
    <t>Rua Lauro Bruno Rott, 316</t>
  </si>
  <si>
    <t>EDUARDO ARAUJO DA ROSA</t>
  </si>
  <si>
    <t>026.536.360-85</t>
  </si>
  <si>
    <t>ELENISE ALVES CABRAL PEREIRA</t>
  </si>
  <si>
    <t>ELENISE</t>
  </si>
  <si>
    <t>elenisecabral@hotmail.com</t>
  </si>
  <si>
    <t>54 999178157</t>
  </si>
  <si>
    <t>54 996601854</t>
  </si>
  <si>
    <t>Rua Dorval Antunes Pereira 205</t>
  </si>
  <si>
    <t>ELONIR ROHLING</t>
  </si>
  <si>
    <t>072.278.089-39</t>
  </si>
  <si>
    <t>ELONIR</t>
  </si>
  <si>
    <t>elonirro@gmail.com</t>
  </si>
  <si>
    <t>(51)999822987</t>
  </si>
  <si>
    <t>Estrada Júlio de Castilhos,800</t>
  </si>
  <si>
    <t>Escadinhas</t>
  </si>
  <si>
    <t>ELVIO LUIS FARIAS</t>
  </si>
  <si>
    <t>534.502.050-72</t>
  </si>
  <si>
    <t>ERASMO CARLOS POSTAL BRUNELLI</t>
  </si>
  <si>
    <t>048.399.280-10</t>
  </si>
  <si>
    <t>BRUNELLI</t>
  </si>
  <si>
    <t>27/04/  2000</t>
  </si>
  <si>
    <t>carlosbrunelli27@gmail.com</t>
  </si>
  <si>
    <t>(51)995438388</t>
  </si>
  <si>
    <t>95708-610</t>
  </si>
  <si>
    <t>Avenida São Roque, SN</t>
  </si>
  <si>
    <t>São Roque</t>
  </si>
  <si>
    <t>ESTERLANO SANTOS PEREIRA</t>
  </si>
  <si>
    <t>732.204.000-78</t>
  </si>
  <si>
    <t>FABIO BAGGIO</t>
  </si>
  <si>
    <t>009.017.290-60</t>
  </si>
  <si>
    <t>000.168.840-51</t>
  </si>
  <si>
    <t>SCHIAM</t>
  </si>
  <si>
    <t>9/13/1982</t>
  </si>
  <si>
    <t>fschiam@gmail.com</t>
  </si>
  <si>
    <t>(54)99104-5387</t>
  </si>
  <si>
    <t>(54)99181-5620</t>
  </si>
  <si>
    <t>Caxias do Sul</t>
  </si>
  <si>
    <t>95110-483</t>
  </si>
  <si>
    <t>Rua Joanna Toscana Mezzomo Lora, 902 APTO 516 BLC D</t>
  </si>
  <si>
    <t>Desvio Rizzo</t>
  </si>
  <si>
    <t>FABIO PROPICIO DA COSTA</t>
  </si>
  <si>
    <t>002.493.890-45</t>
  </si>
  <si>
    <t>FABRÍCIO PRESTES IORI</t>
  </si>
  <si>
    <t>029.913.870-41</t>
  </si>
  <si>
    <t>FERNANDA ISABEL WEIMANN</t>
  </si>
  <si>
    <t>030.599.470-07</t>
  </si>
  <si>
    <t>FERNANDA POHLMANN ALVARES</t>
  </si>
  <si>
    <t>044.150.980-02</t>
  </si>
  <si>
    <t>FERNANDO DA SILVA MACIEL</t>
  </si>
  <si>
    <t>AUX ADMINISTRATIVO</t>
  </si>
  <si>
    <t>FERNANDO</t>
  </si>
  <si>
    <t>macielfernando390@gmail.com</t>
  </si>
  <si>
    <t>(54)992717105</t>
  </si>
  <si>
    <t>Rua Benjamin Constant</t>
  </si>
  <si>
    <t>vila maggi</t>
  </si>
  <si>
    <t>FERNANDO MINHOTTI PEREIRA</t>
  </si>
  <si>
    <t>032.130.580-92</t>
  </si>
  <si>
    <t>FERNANDO RIBEIRO</t>
  </si>
  <si>
    <t>020.039.800-83</t>
  </si>
  <si>
    <t>ENSINO MÉDIO</t>
  </si>
  <si>
    <t>fernandorubeiro1987@gmail.com</t>
  </si>
  <si>
    <t>54 999448010</t>
  </si>
  <si>
    <t>Estrada Vila Ituim</t>
  </si>
  <si>
    <t>INTERIOR</t>
  </si>
  <si>
    <t>FRANCIELE TAÍS MARTINY</t>
  </si>
  <si>
    <t>024.671.160-42</t>
  </si>
  <si>
    <t>FRANCIELE</t>
  </si>
  <si>
    <t>ft.martiny@hotmail.com</t>
  </si>
  <si>
    <t>(51) 991789385</t>
  </si>
  <si>
    <t>Vale Real</t>
  </si>
  <si>
    <t>95778-000</t>
  </si>
  <si>
    <t>Estrada Morro Gaúcho, SN</t>
  </si>
  <si>
    <t>Morro Gaúcho</t>
  </si>
  <si>
    <t>FRANCISCO EDGAR DA COSTA</t>
  </si>
  <si>
    <t>039.852.208-03</t>
  </si>
  <si>
    <t>FRANCYELLI POLLI</t>
  </si>
  <si>
    <t>031.426.080-36</t>
  </si>
  <si>
    <t>GABRIELA PEREIRA DAMINIS</t>
  </si>
  <si>
    <t>030.138.880-67</t>
  </si>
  <si>
    <t>GILMAR LOURENÇO JARDIM</t>
  </si>
  <si>
    <t>025.511.590-32</t>
  </si>
  <si>
    <t>583.064.120-87</t>
  </si>
  <si>
    <t>BORTOLI</t>
  </si>
  <si>
    <t>bortoli1067@gmail.com</t>
  </si>
  <si>
    <t>(54)98431-3862</t>
  </si>
  <si>
    <t>(54)98435-5140</t>
  </si>
  <si>
    <t>95170-156</t>
  </si>
  <si>
    <t>Rua Pref Baumgarten,31</t>
  </si>
  <si>
    <t>GILSON DORISETE SIMIANO SANTOS</t>
  </si>
  <si>
    <t>828.713.880-91</t>
  </si>
  <si>
    <t>GISIANE FRANZEN</t>
  </si>
  <si>
    <t>017.791.400-96</t>
  </si>
  <si>
    <t>GISIANE</t>
  </si>
  <si>
    <t>gisi240@gmail.com</t>
  </si>
  <si>
    <t>(51)997426325</t>
  </si>
  <si>
    <t>Rua João Fridolino Bennemann, 68</t>
  </si>
  <si>
    <t>Vila Rica</t>
  </si>
  <si>
    <t>GIULIANO CORREA LIMA</t>
  </si>
  <si>
    <t>778.785.820-68</t>
  </si>
  <si>
    <t>ISMAEL MACEDO DA SILVA</t>
  </si>
  <si>
    <t>032.648.540-66</t>
  </si>
  <si>
    <t>IURI AFONSO DA SILVEIRA</t>
  </si>
  <si>
    <t>848.723.060-15</t>
  </si>
  <si>
    <t>SILVEIRA</t>
  </si>
  <si>
    <t>iure.afonso0409@gmail.com</t>
  </si>
  <si>
    <t>(51)993718961</t>
  </si>
  <si>
    <t>91510-311</t>
  </si>
  <si>
    <t>Rua Tancredo Neves,143</t>
  </si>
  <si>
    <t>Aparício Borges</t>
  </si>
  <si>
    <t>499.065.850-72</t>
  </si>
  <si>
    <t>IVANI</t>
  </si>
  <si>
    <t>ivanidegregori@gmail.com</t>
  </si>
  <si>
    <t>(54)99935-6524</t>
  </si>
  <si>
    <t>(54)99963-7878</t>
  </si>
  <si>
    <t>95170-464</t>
  </si>
  <si>
    <t>Rua Carlos Fetter, 127 A</t>
  </si>
  <si>
    <t>JACKSON PINHEIRO SCHUTZ</t>
  </si>
  <si>
    <t>029.774.470-40</t>
  </si>
  <si>
    <t>SCHUTZ</t>
  </si>
  <si>
    <t>jacksonpschutz@gmail.com</t>
  </si>
  <si>
    <t>(54)999694551</t>
  </si>
  <si>
    <t>95030-810</t>
  </si>
  <si>
    <t>Rua Victor Sanvitto, 189</t>
  </si>
  <si>
    <t>JAIR ABEL PEREIRA</t>
  </si>
  <si>
    <t>988.568.200-72</t>
  </si>
  <si>
    <t>JAISON ANTÔNIO CAPITANI</t>
  </si>
  <si>
    <t>812.299.500-44</t>
  </si>
  <si>
    <t>CAPITANI</t>
  </si>
  <si>
    <t>treinamentos.hangar@gmail.com</t>
  </si>
  <si>
    <t>(54)99132-7587</t>
  </si>
  <si>
    <t>(54) 99116-5296</t>
  </si>
  <si>
    <t>95059-000</t>
  </si>
  <si>
    <t>Rua Armando Claudino Canali, 782, apto 302</t>
  </si>
  <si>
    <t>Jardim Eldorado</t>
  </si>
  <si>
    <t>JEAN VARGAS SIMÃO</t>
  </si>
  <si>
    <t>026.378.510-66</t>
  </si>
  <si>
    <t>JEFERSON COSTA MOREIRA</t>
  </si>
  <si>
    <t>011.285.510-55</t>
  </si>
  <si>
    <t>JEFERSON DA COSTA MOREIRA</t>
  </si>
  <si>
    <t>ENSINO MÉDIO COMPLETO</t>
  </si>
  <si>
    <t>jefersoncosta802@gmail.com</t>
  </si>
  <si>
    <t>54 999255539</t>
  </si>
  <si>
    <t>Avenida Coronel Avelino Paim número 313</t>
  </si>
  <si>
    <t>JÉSSICA ALVES MOURA</t>
  </si>
  <si>
    <t>035.482.840-19</t>
  </si>
  <si>
    <t>JÉSSICA WERNER PEREIRA</t>
  </si>
  <si>
    <t>015.323.870-40</t>
  </si>
  <si>
    <t>JOÃO BATISTA CRUZ</t>
  </si>
  <si>
    <t>000.599.020-35</t>
  </si>
  <si>
    <t>joaobatistacruz82@gmail.com</t>
  </si>
  <si>
    <t>(51)995050333</t>
  </si>
  <si>
    <t>Rua Princesa Isabel, SN</t>
  </si>
  <si>
    <t>JOÃO LUIZ DA SILVA GUERREIRO</t>
  </si>
  <si>
    <t>592.008.040-04</t>
  </si>
  <si>
    <t>JOCELITO JOSÉ KNEBEL</t>
  </si>
  <si>
    <t>473.200.010-04</t>
  </si>
  <si>
    <t>JOCELITO</t>
  </si>
  <si>
    <t>jocelitoknebel67@gmail.com</t>
  </si>
  <si>
    <t>(54)99236-9737</t>
  </si>
  <si>
    <t>95176-106</t>
  </si>
  <si>
    <t>Estrada Antônio Tesco, 58</t>
  </si>
  <si>
    <t>Santa Catarina</t>
  </si>
  <si>
    <t>JOELMA RONSSANI MEYER</t>
  </si>
  <si>
    <t>025.224.850-32</t>
  </si>
  <si>
    <t>697.483.490-04</t>
  </si>
  <si>
    <t>6/26/1976</t>
  </si>
  <si>
    <t>lysejh@gmail.com</t>
  </si>
  <si>
    <t>(54)99661-5135</t>
  </si>
  <si>
    <t>(54)3261-9427</t>
  </si>
  <si>
    <t>95180-000</t>
  </si>
  <si>
    <t>Estrada Desvio Blauth, 436</t>
  </si>
  <si>
    <t>3° Distrito</t>
  </si>
  <si>
    <t>JOSÉ DE MORAES</t>
  </si>
  <si>
    <t>062.568.349-84</t>
  </si>
  <si>
    <t>12/16/1988</t>
  </si>
  <si>
    <t>joserobertocostacosta@ymail.com</t>
  </si>
  <si>
    <t>(51)99823-5054</t>
  </si>
  <si>
    <t>Rua Eugênio Kuhn, 213 AP 205</t>
  </si>
  <si>
    <t>JULIANE MARIA GASS</t>
  </si>
  <si>
    <t>004.616.690-48</t>
  </si>
  <si>
    <t>JULIANE</t>
  </si>
  <si>
    <t>juligass07@gmail.com</t>
  </si>
  <si>
    <t>(51)995256569</t>
  </si>
  <si>
    <t>Rua Rio Branco, 625</t>
  </si>
  <si>
    <t>Arroio do Ouro</t>
  </si>
  <si>
    <t>JULIANO VISONA MELO</t>
  </si>
  <si>
    <t>815.084.090-72</t>
  </si>
  <si>
    <t>KAISON BONIATTI PAZ</t>
  </si>
  <si>
    <t>046.241.180-06</t>
  </si>
  <si>
    <t>KAISON</t>
  </si>
  <si>
    <t>kaisonpaz@hotmail.com</t>
  </si>
  <si>
    <t>(51)997017035</t>
  </si>
  <si>
    <t>Rua Lauro Bruno Rott, 876</t>
  </si>
  <si>
    <t>LAURA VISONA ALVES</t>
  </si>
  <si>
    <t>042.157.520-43</t>
  </si>
  <si>
    <t>LEANDRO DIAS</t>
  </si>
  <si>
    <t>557.730.360-53</t>
  </si>
  <si>
    <t>DIAS</t>
  </si>
  <si>
    <t>leandro2013viviane@gmail.com</t>
  </si>
  <si>
    <t>(51)997831315</t>
  </si>
  <si>
    <t>Rua Professor Miguel de Vargas, 720</t>
  </si>
  <si>
    <t>LEONARDO CAMARGO DE OLIVEIRA</t>
  </si>
  <si>
    <t>038.144.580-10</t>
  </si>
  <si>
    <t>LIZANDRA APARECIDA FERREIRA DE ARAÚJO</t>
  </si>
  <si>
    <t>618.851.770-20</t>
  </si>
  <si>
    <t>LUIS EDUARDO RIBEIRO D’AVILA</t>
  </si>
  <si>
    <t>853.576.700-97</t>
  </si>
  <si>
    <t>LUIZ CARLOS SCHMITT</t>
  </si>
  <si>
    <t>COMBATENTE - RESGATISTA</t>
  </si>
  <si>
    <t>LUIZ FELIPE SANTOS CAMARGO</t>
  </si>
  <si>
    <t>009.452.270-78</t>
  </si>
  <si>
    <t>042.178.560-83</t>
  </si>
  <si>
    <t>MAIARA</t>
  </si>
  <si>
    <t>8/15/1997</t>
  </si>
  <si>
    <t>maypetry18@gmail.com</t>
  </si>
  <si>
    <t>(51)99597-6024</t>
  </si>
  <si>
    <t>Rua Marcos Jose de Leão, 657</t>
  </si>
  <si>
    <t>MARENILÇO PADILHA</t>
  </si>
  <si>
    <t>408.959.980-68</t>
  </si>
  <si>
    <t>PADILHA</t>
  </si>
  <si>
    <t>arrecadacao@muitoscapoes.rs.gov.br</t>
  </si>
  <si>
    <t>54 999894018</t>
  </si>
  <si>
    <t>Rua Felicíssimo Emídio de Jesus, 150</t>
  </si>
  <si>
    <t>MARIELI MELO</t>
  </si>
  <si>
    <t>064.342.470-95</t>
  </si>
  <si>
    <t>MARIELI</t>
  </si>
  <si>
    <t>marielimelo2019@gmail.com</t>
  </si>
  <si>
    <t>Rua Claro João Pereira</t>
  </si>
  <si>
    <t>MARLON GUERRA HAAG</t>
  </si>
  <si>
    <t>017.420.360-82</t>
  </si>
  <si>
    <t>MATUSAEL LAMI MATOS</t>
  </si>
  <si>
    <t>040.210.280-05</t>
  </si>
  <si>
    <t>MAURÍCIO DOS SANTOS FERREIRA</t>
  </si>
  <si>
    <t>070.044.539-01</t>
  </si>
  <si>
    <t>MAURO JOÃO TONOLLI</t>
  </si>
  <si>
    <t>300.315.830-91</t>
  </si>
  <si>
    <t>MAURO</t>
  </si>
  <si>
    <t>9/22/1958</t>
  </si>
  <si>
    <t>maurojtonolli@gmail.com</t>
  </si>
  <si>
    <t>(51)99762-5094</t>
  </si>
  <si>
    <t>Estrada Canto do Rio</t>
  </si>
  <si>
    <t>NILSON SILVA DOS REIS</t>
  </si>
  <si>
    <t>040.323.020-90</t>
  </si>
  <si>
    <t>OLINDA LOPES DA SILVA</t>
  </si>
  <si>
    <t>622.660.200-72</t>
  </si>
  <si>
    <t>024.173.440-17</t>
  </si>
  <si>
    <t xml:space="preserve">PAULO DE MORAES ERTHAL </t>
  </si>
  <si>
    <t xml:space="preserve">PAULO </t>
  </si>
  <si>
    <t>pauloerthal187@gmail.com</t>
  </si>
  <si>
    <t>Rua da Republica ,68</t>
  </si>
  <si>
    <t>PAULO MORAES ERTHAL</t>
  </si>
  <si>
    <t>602.690.300-34</t>
  </si>
  <si>
    <t>007.203.750-45</t>
  </si>
  <si>
    <t>9/21/1984</t>
  </si>
  <si>
    <t>paulorenan.cvsr@gmail.com</t>
  </si>
  <si>
    <t>(51)98184-0768</t>
  </si>
  <si>
    <t>Rua Azaleias, 108</t>
  </si>
  <si>
    <t>019.263.050-43</t>
  </si>
  <si>
    <t>SCHMITZ</t>
  </si>
  <si>
    <t>2/14/1989</t>
  </si>
  <si>
    <t>schmitz_rafael@yahoo.com.br</t>
  </si>
  <si>
    <t>(51)99501-8282</t>
  </si>
  <si>
    <t>Avenida Voluntário da Pátria, 1112</t>
  </si>
  <si>
    <t>RAPHAELLA PEITSCH DA LUZ</t>
  </si>
  <si>
    <t>040.665.480-83</t>
  </si>
  <si>
    <t>REGINALDO FONSECA VAS DA SILVA</t>
  </si>
  <si>
    <t>637.397.120-15</t>
  </si>
  <si>
    <t>REGINALDO FONSECA VAZ</t>
  </si>
  <si>
    <t>ENSINO MEDIO COMPLETO,CONCURSO PUBLICO  PREFEITURA MUNICIPAL DE CANELA, CURSO BASICO SOCORRISTA RESGATE VEICULAR E COMBATE A INCENDIO FEITO EM NOVA PETROPOLIS</t>
  </si>
  <si>
    <t>REGINALDO</t>
  </si>
  <si>
    <t>fonsecareginaldo22@gmail.com</t>
  </si>
  <si>
    <t>54 999247655</t>
  </si>
  <si>
    <t>95680-000</t>
  </si>
  <si>
    <t>rua europa nº209 - palace hotel</t>
  </si>
  <si>
    <t>palacehotel</t>
  </si>
  <si>
    <t>ROBERTO RECH</t>
  </si>
  <si>
    <t>017.983.170-44</t>
  </si>
  <si>
    <t>RONALDO CASTANHA SOUZA</t>
  </si>
  <si>
    <t>024.138.510-54</t>
  </si>
  <si>
    <t>RONALDO DA SILVA OLIVEIRA</t>
  </si>
  <si>
    <t>975.604.640-68</t>
  </si>
  <si>
    <t>RUDINEI COSTA</t>
  </si>
  <si>
    <t>974.670.060-04</t>
  </si>
  <si>
    <t>Ensino Médio/APH</t>
  </si>
  <si>
    <t>RUDINEI</t>
  </si>
  <si>
    <t>rdn.cst@gmail.com</t>
  </si>
  <si>
    <t>Estrada Banhado Seco, 1350</t>
  </si>
  <si>
    <t>SINDOVAL DA SILVA PEREIRA</t>
  </si>
  <si>
    <t>ENSINO FUNDAMENTAL</t>
  </si>
  <si>
    <t>sindovalpereira1976@gmail.com</t>
  </si>
  <si>
    <t>54 9 99338146</t>
  </si>
  <si>
    <t>54 9 99962134</t>
  </si>
  <si>
    <t>Rua Claros João Pereira 225</t>
  </si>
  <si>
    <t>SIRLANE LUCILA DO AMARAL GODINHO</t>
  </si>
  <si>
    <t>Socorrista, Técnico agente comunitário de saúde,Suporte A.P.H/BLS RCP/DEA</t>
  </si>
  <si>
    <t>SIRLANE</t>
  </si>
  <si>
    <t>sirlanegodinho29@hotmail.com</t>
  </si>
  <si>
    <t>54 99912-6719</t>
  </si>
  <si>
    <t>Estrada dos Amaral, 4 Disrito</t>
  </si>
  <si>
    <t>TATIANA GIUSTI DOS SANTOS</t>
  </si>
  <si>
    <t>999.409.140-91</t>
  </si>
  <si>
    <t>979.906.040-00</t>
  </si>
  <si>
    <t>TATIANE</t>
  </si>
  <si>
    <t>8/28/1980</t>
  </si>
  <si>
    <t>tatibertotti@live.com</t>
  </si>
  <si>
    <t>(54)99912-4700</t>
  </si>
  <si>
    <t>(54)99918-0455</t>
  </si>
  <si>
    <t>95181-174</t>
  </si>
  <si>
    <t>Rua Jacomina Veronese , 229</t>
  </si>
  <si>
    <t>Primeiro de Maio</t>
  </si>
  <si>
    <t>TATIANE DUTRA CASTOLDI</t>
  </si>
  <si>
    <t>015.602.050-59</t>
  </si>
  <si>
    <t>TERESINO RODRIGUES BARBOSA</t>
  </si>
  <si>
    <t>704.753.441-54</t>
  </si>
  <si>
    <t>Fundamental incompleto</t>
  </si>
  <si>
    <t>teresinorodrigues@gmail.com</t>
  </si>
  <si>
    <t>(51)998601954</t>
  </si>
  <si>
    <t>Estrada Vale do Lobo</t>
  </si>
  <si>
    <t>Vale do Lobo</t>
  </si>
  <si>
    <t>THALIA OLIVEIRA DOS SANTOS</t>
  </si>
  <si>
    <t>031.928.880-32</t>
  </si>
  <si>
    <t>031.548.760-73</t>
  </si>
  <si>
    <t>SIm</t>
  </si>
  <si>
    <t>THIAGO</t>
  </si>
  <si>
    <t>hahn.thiago@hotmail.com</t>
  </si>
  <si>
    <t>(51)99543-6899</t>
  </si>
  <si>
    <t>Rua Vedelino Freiberger, 111</t>
  </si>
  <si>
    <t>THIAGO SANGUINÉ TIMÓTEO</t>
  </si>
  <si>
    <t>curso APH, curso BLS, curso bombeiro civil, concurso público prefeitura de Canela</t>
  </si>
  <si>
    <t>SANGUINÈ</t>
  </si>
  <si>
    <t>thiagosanguine@gmail.com</t>
  </si>
  <si>
    <t>rua são francisco 547</t>
  </si>
  <si>
    <t>vila boeira</t>
  </si>
  <si>
    <t>THIAGO SANGUINE TIMOTIO</t>
  </si>
  <si>
    <t>822.736.500-00</t>
  </si>
  <si>
    <t>THIAGO ZANCHETT</t>
  </si>
  <si>
    <t>938.073.760-20</t>
  </si>
  <si>
    <t>THOMAS MELO</t>
  </si>
  <si>
    <t>THOMAS</t>
  </si>
  <si>
    <t>aguinaldothomas762@gmail.com</t>
  </si>
  <si>
    <t>Estrada Mato Grande</t>
  </si>
  <si>
    <t>TIAGO BOENNY</t>
  </si>
  <si>
    <t>013.418.540-43</t>
  </si>
  <si>
    <t>TIAGO</t>
  </si>
  <si>
    <t>tiagoboenny@hotmail.com</t>
  </si>
  <si>
    <t>(51)996271653</t>
  </si>
  <si>
    <t>Rua Osvaldo Glaeser, 559</t>
  </si>
  <si>
    <t>VALDIR THOMÉ</t>
  </si>
  <si>
    <t>040.394.779-01</t>
  </si>
  <si>
    <t>THOME</t>
  </si>
  <si>
    <t>cbvfeliz193@gmail.com</t>
  </si>
  <si>
    <t>(51)99944-8207</t>
  </si>
  <si>
    <t>VALERIA DE MACEDO PIESTCH MASIERO</t>
  </si>
  <si>
    <t>697.902.800-68</t>
  </si>
  <si>
    <t>VANDER NAZARI</t>
  </si>
  <si>
    <t>601.410.690-15</t>
  </si>
  <si>
    <t>026.533.430-61</t>
  </si>
  <si>
    <t>WILLIANE</t>
  </si>
  <si>
    <t>williane.tst.rs@gmail.com</t>
  </si>
  <si>
    <t>(54)99666-4417</t>
  </si>
  <si>
    <t>(54)99237-8579</t>
  </si>
  <si>
    <t>95170-092</t>
  </si>
  <si>
    <t>Rua Manoel Zangalli, 92 AP 203</t>
  </si>
  <si>
    <t>Pio X</t>
  </si>
  <si>
    <t>CPF</t>
  </si>
  <si>
    <t>Função (maiúsculo)</t>
  </si>
  <si>
    <t>07° BBM</t>
  </si>
  <si>
    <t>ADAILTON GOSH MACHADO</t>
  </si>
  <si>
    <t>028.025.500-47</t>
  </si>
  <si>
    <t>Membro</t>
  </si>
  <si>
    <t>Combate a incêndio</t>
  </si>
  <si>
    <t>ADENILSON RODRIGUES</t>
  </si>
  <si>
    <t>008.651.220-08</t>
  </si>
  <si>
    <t>CAB - ALUNO</t>
  </si>
  <si>
    <t xml:space="preserve">APH / BLS - NR 10 NR 33 NR 35 </t>
  </si>
  <si>
    <t>Adenilson</t>
  </si>
  <si>
    <t>rrodrigues.ade@gmail.com</t>
  </si>
  <si>
    <t>(54)99670-5789</t>
  </si>
  <si>
    <t>(54)99918-8770</t>
  </si>
  <si>
    <t>99250-000</t>
  </si>
  <si>
    <t>Rua da beleza, 204</t>
  </si>
  <si>
    <t>Verdes Vales</t>
  </si>
  <si>
    <t>ADRIANO CADE DE SOUZA</t>
  </si>
  <si>
    <t>973.136.020-49</t>
  </si>
  <si>
    <t>Souza</t>
  </si>
  <si>
    <t>adriano.cade@yahoo.com.br</t>
  </si>
  <si>
    <t>(54)99149-4189</t>
  </si>
  <si>
    <t>99260-000</t>
  </si>
  <si>
    <t>Rua Victor Franciosi, 156</t>
  </si>
  <si>
    <t>Jardim Brasil</t>
  </si>
  <si>
    <t>009.930.350-78</t>
  </si>
  <si>
    <t>Bombeiro Civil Classe I - 306 HORAS CEVTE - Condutor de veiculo de emergencia - SEST/SENAT APH / BLS Primeira resposta em produtos perigosos - HAZMAT NR 10 NR 33 NR 35 Resgate de Passageiros Em Elevadores - Tyssen Kroup APH Tatico</t>
  </si>
  <si>
    <t>Alan</t>
  </si>
  <si>
    <t>alananjosdaguarda1@gmail.com</t>
  </si>
  <si>
    <t>(54)99211-6360</t>
  </si>
  <si>
    <t>(54)99649-6609</t>
  </si>
  <si>
    <t>99200-000</t>
  </si>
  <si>
    <t>Rua Aurora, 1495</t>
  </si>
  <si>
    <t>662.903.920-34</t>
  </si>
  <si>
    <t>ALDO LUIZ ZAVORSKI</t>
  </si>
  <si>
    <t>451.044.410-91</t>
  </si>
  <si>
    <t>voluntário</t>
  </si>
  <si>
    <t>ALENCAR FRANCIO DA FONTOURA</t>
  </si>
  <si>
    <t xml:space="preserve">971.623.450-34 </t>
  </si>
  <si>
    <t>CALE</t>
  </si>
  <si>
    <t>obras@constantina.rs.gov.br</t>
  </si>
  <si>
    <t>(54) 9 96886071</t>
  </si>
  <si>
    <t>99680-000</t>
  </si>
  <si>
    <t>Rua Jacob Giacomini</t>
  </si>
  <si>
    <t>Bairro Herval</t>
  </si>
  <si>
    <t>ALESSANDRA TUSSI</t>
  </si>
  <si>
    <t>048.991.110-29</t>
  </si>
  <si>
    <t>Secretaria</t>
  </si>
  <si>
    <t>ALESSANDRA</t>
  </si>
  <si>
    <t>BRANCA</t>
  </si>
  <si>
    <t>alessandratussi2408@gmail.com</t>
  </si>
  <si>
    <t>(54) 999395904</t>
  </si>
  <si>
    <t>(54) 996462699</t>
  </si>
  <si>
    <t>BARÃO DE COTEGIPE</t>
  </si>
  <si>
    <t>99740-000</t>
  </si>
  <si>
    <t>RUA ANTONIO DAUMER</t>
  </si>
  <si>
    <t>JARDIM AMERICA</t>
  </si>
  <si>
    <t>034.659.060-47</t>
  </si>
  <si>
    <t>Atendiimento Suporte Básico de Vida</t>
  </si>
  <si>
    <t>ALEX</t>
  </si>
  <si>
    <t>alextochetto2@gmail.com</t>
  </si>
  <si>
    <t>(54) 996891751</t>
  </si>
  <si>
    <t>(54) 999249531</t>
  </si>
  <si>
    <t>99820-000</t>
  </si>
  <si>
    <t>Linha Geral S/N</t>
  </si>
  <si>
    <t>Interior</t>
  </si>
  <si>
    <t>ALEXANDRE DO NASCIMENTO</t>
  </si>
  <si>
    <t>962.034.550-91</t>
  </si>
  <si>
    <t>COVE</t>
  </si>
  <si>
    <t>Condutor Veiculos de Emergência/Operação Caminhão/Nivelamento operacional CBMRS</t>
  </si>
  <si>
    <t>XANDE</t>
  </si>
  <si>
    <t>alexandrenascimento70@gmail.com</t>
  </si>
  <si>
    <t>(54)999371989</t>
  </si>
  <si>
    <t>99470-000</t>
  </si>
  <si>
    <t>Rua Lúcio Vargas da Silva,12</t>
  </si>
  <si>
    <t>Vial</t>
  </si>
  <si>
    <t>015.242.560-80</t>
  </si>
  <si>
    <t>Integrante</t>
  </si>
  <si>
    <t>CURSO APH/BLS - CURSO DE CONTROLE DE HEMORRAGIAS "STOP THE BLEEDING - CURSO DE RESGATE EM ALTURA - CURSO DE PRIMEIROS SOCORROS E PREVENÇÃO E COMBATE A INCÊNDIOS VIA EAD - TREINAMENTO EM MANUTENÇÃO E USO DE EQUIPAMENTOS - TREINAMENTOS EM APH, PREVENÇÃO E COMBATE A INCÊNDIOS E RESGATE EM ALTURA JUNTO AO CBM/RS</t>
  </si>
  <si>
    <t>Alex</t>
  </si>
  <si>
    <t>alex_leki@hotmail.com</t>
  </si>
  <si>
    <t>(54)991672063</t>
  </si>
  <si>
    <t>(54)991022063</t>
  </si>
  <si>
    <t>99730-000</t>
  </si>
  <si>
    <t>Rua Angelo Stefani, 90</t>
  </si>
  <si>
    <t>TAPERA</t>
  </si>
  <si>
    <t>ALMIRO ADILSON DE PAULA</t>
  </si>
  <si>
    <t>OP</t>
  </si>
  <si>
    <t>ALTAMIR FERREIRA GOULART</t>
  </si>
  <si>
    <t>011.258.950-20</t>
  </si>
  <si>
    <t>VOLUNTARIO</t>
  </si>
  <si>
    <t>APH,AIH TRAUMA DESENCARCERAMENTO BLS/RCP,STOP THE BLEED ,SOCORRISTA,CONDUTOR DE VEICULO DE EMERGÊNCIA ,OPERADOR DE GUINDASTE E BOMBA.</t>
  </si>
  <si>
    <t>ANA BEATRIZ COSTA DA SILVA</t>
  </si>
  <si>
    <t>952.988.860-00</t>
  </si>
  <si>
    <t>CURSO APH/BLS - CURSO DE COMBATE A HEMORRAGIAS "STOP THE BLEEDING - TREINAMENTO EM APH E PREVENÇÃO E COMBATE A INCÊNDIOS JUNTO AO CBM/RS - BOMBEIRO CIVIL EM FORMAÇÃO</t>
  </si>
  <si>
    <t>Ana</t>
  </si>
  <si>
    <t>anabeatrizentuni@gmail.com</t>
  </si>
  <si>
    <t>(54)997157475</t>
  </si>
  <si>
    <t>(54)996242257</t>
  </si>
  <si>
    <t>Av. Angelo Gasparetto, 38</t>
  </si>
  <si>
    <t>016.205.780-69</t>
  </si>
  <si>
    <t>Medica Bombeiro Civil Classe I - 306 HORAS CEVTE - Condutor de veiculo de emergencia - SEST/SENAT APH / BLS Primeira resposta em produtos perigosos - HAZMAT NR 10 NR 33 NR 35 Resgate de Passageiros Em Elevadores - Tyssen Kroup</t>
  </si>
  <si>
    <t>Ana Caroline</t>
  </si>
  <si>
    <t>bananadepijama28@gmail.com</t>
  </si>
  <si>
    <t>(54)99989-9335</t>
  </si>
  <si>
    <t>(54)99905-6683</t>
  </si>
  <si>
    <t>Rua Santos Dumont, 86</t>
  </si>
  <si>
    <t>ANA NILVA ALVES BALDO</t>
  </si>
  <si>
    <t>668.261.520-53</t>
  </si>
  <si>
    <t xml:space="preserve">Combate a Incendios-Massoterapia, Combate a Incendio </t>
  </si>
  <si>
    <t>ANA BALDO</t>
  </si>
  <si>
    <t>Anabaldo307@gmail.com</t>
  </si>
  <si>
    <t>(54)996273050</t>
  </si>
  <si>
    <t>RIO GRANDE DO SUL</t>
  </si>
  <si>
    <t>99655-000</t>
  </si>
  <si>
    <t xml:space="preserve">Interior </t>
  </si>
  <si>
    <t>ANA PAULA MARCON KRUGUER</t>
  </si>
  <si>
    <t>006.229.010-01</t>
  </si>
  <si>
    <t>ANA PAULA MICHAILOFF</t>
  </si>
  <si>
    <t>035.680.490-90</t>
  </si>
  <si>
    <t xml:space="preserve">Combate a Incendios - '- Emergências Clínicas; - Urgência e Emergência Neonatal e Pediatria; - APH e SBV; - Técnico em Enfermagem; - Combate a Incêndio pelo CBMRS. </t>
  </si>
  <si>
    <t>ANA MICHAILOFF</t>
  </si>
  <si>
    <t>25/06/1996</t>
  </si>
  <si>
    <t>ana_michailoff@hotmail.com</t>
  </si>
  <si>
    <t>(54)99964-6722</t>
  </si>
  <si>
    <t>(54)99662-6853</t>
  </si>
  <si>
    <t xml:space="preserve">Avenida Lido Armando Oltramari </t>
  </si>
  <si>
    <t xml:space="preserve">Coroados </t>
  </si>
  <si>
    <t>ANA PAULA RISSI</t>
  </si>
  <si>
    <t>027.646.810-46</t>
  </si>
  <si>
    <t>BOMBEIRO</t>
  </si>
  <si>
    <t>Brigada de Incêndio/Nivelamento Operacional BV/EPI's e EPRA/APH</t>
  </si>
  <si>
    <t>VIAU</t>
  </si>
  <si>
    <t>anderviau@gmail.com.br</t>
  </si>
  <si>
    <t>(54)999150279</t>
  </si>
  <si>
    <t>Rua Bento Gonçalves, 282</t>
  </si>
  <si>
    <t>Vila nova</t>
  </si>
  <si>
    <t>004.023.770-28</t>
  </si>
  <si>
    <t>Atendimento Suporte Básico de Vida</t>
  </si>
  <si>
    <t>WOSNIAK</t>
  </si>
  <si>
    <t>zilianeboncoski@outllok.com</t>
  </si>
  <si>
    <t>(54)99976236</t>
  </si>
  <si>
    <t>RUA SADI MASSARO</t>
  </si>
  <si>
    <t>LINDA MORADA</t>
  </si>
  <si>
    <t>ANDRE LUIZ RAMPANELLI</t>
  </si>
  <si>
    <t>028.025.450-43</t>
  </si>
  <si>
    <t>Tesoureiro - Combatente</t>
  </si>
  <si>
    <t>Combate à incêndio</t>
  </si>
  <si>
    <t>RAMPANELLI</t>
  </si>
  <si>
    <t>andre.rampanelli@hotmail.com</t>
  </si>
  <si>
    <t>(54)999643210</t>
  </si>
  <si>
    <t>Nair kaminski</t>
  </si>
  <si>
    <t>ANDRE OLZENSVKI</t>
  </si>
  <si>
    <t>032.937.070-76</t>
  </si>
  <si>
    <t>ANGELA MARIA SILVA TRINDADE</t>
  </si>
  <si>
    <t>021.164.230-40</t>
  </si>
  <si>
    <t>Angela</t>
  </si>
  <si>
    <t>ninasilvatrindade@gmail.com</t>
  </si>
  <si>
    <t>(54)99659-4328</t>
  </si>
  <si>
    <t>(54)99930-7471</t>
  </si>
  <si>
    <t>Rua Via Alto Piano, 125</t>
  </si>
  <si>
    <t>Aparecida</t>
  </si>
  <si>
    <t>ANGELA MORESCO</t>
  </si>
  <si>
    <t>006.589.319-03</t>
  </si>
  <si>
    <t>3857702/SSP-SC</t>
  </si>
  <si>
    <t>BOMBEIROS CIVIL,NR33,NR35,N10,NR23,APH.</t>
  </si>
  <si>
    <t>828.023.270-20</t>
  </si>
  <si>
    <t>BOMBEIRA</t>
  </si>
  <si>
    <t>Brigada de Incêndio/Nivelamento Operacional BV/BOMBEIRO CIVIL - CLASSE 1/SOCORRISTA</t>
  </si>
  <si>
    <t>ALVES</t>
  </si>
  <si>
    <t>tonhascherer.157@gmail.com</t>
  </si>
  <si>
    <t>(54)991090155</t>
  </si>
  <si>
    <t>Rua Mimosa, 719</t>
  </si>
  <si>
    <t>Santo Antônio</t>
  </si>
  <si>
    <t>ANTONIO JORGE SLUSSAREK</t>
  </si>
  <si>
    <t>750.534.970-87</t>
  </si>
  <si>
    <t>SOLEDADE</t>
  </si>
  <si>
    <t>ANTÔNIO MARCOS MORAES BATISTA</t>
  </si>
  <si>
    <t>001.221.870-75</t>
  </si>
  <si>
    <t>ARIEL ESCHER</t>
  </si>
  <si>
    <t>000.000.00-00</t>
  </si>
  <si>
    <t>ARIEL</t>
  </si>
  <si>
    <t>goronsielisa@gmail.com</t>
  </si>
  <si>
    <t>(54)996187326</t>
  </si>
  <si>
    <t>vila jardim</t>
  </si>
  <si>
    <t>interior</t>
  </si>
  <si>
    <t>GETULIO VARGAS</t>
  </si>
  <si>
    <t>ARNALDO RAASCH</t>
  </si>
  <si>
    <t>478.662.760-72</t>
  </si>
  <si>
    <t>043.434.600-45</t>
  </si>
  <si>
    <t>Bombeiro Civil Classe I - 306 HORAS CEVTE - Condutor de veiculo de emergencia - SEST/SENAT APH / BLS Primeira resposta em produtos perigosos - HAZMAT NR 10 NR 33 NR 35 Resgate de Passageiros Em Elevadores - Tyssen Kroup R.I.T - Rapid Intervencion Team</t>
  </si>
  <si>
    <t>Mercali</t>
  </si>
  <si>
    <t>arturmercali@gmail.com</t>
  </si>
  <si>
    <t>(54)98131 - 8067</t>
  </si>
  <si>
    <t>(54)99655 - 3199</t>
  </si>
  <si>
    <t>Rua Eutichiano davi, 200</t>
  </si>
  <si>
    <t>Sagrada Familia</t>
  </si>
  <si>
    <t>BRUNA CAROLINE DE SOUZA</t>
  </si>
  <si>
    <t>022.079.830-30</t>
  </si>
  <si>
    <t>BRUNO FAVERO</t>
  </si>
  <si>
    <t>007.110.899-81</t>
  </si>
  <si>
    <t>80274289 SSP/PR</t>
  </si>
  <si>
    <t>brunoflem@hotmail.com</t>
  </si>
  <si>
    <t>(54) 999016089</t>
  </si>
  <si>
    <t>Rua Mekitar Asturian 77</t>
  </si>
  <si>
    <t>CARLOS ANTONIO TRZINSKI</t>
  </si>
  <si>
    <t>997.668.090-20</t>
  </si>
  <si>
    <t>CARLOS MIGUEL DOS SANTOS</t>
  </si>
  <si>
    <t>024.697.830-97</t>
  </si>
  <si>
    <t>Bombeiro Civil Classe I - 306 HORAS CEVTE - Condutor de veiculo de emergencia - SEST/SENAT APH / BLS Primeira resposta em produtos perigosos - HAZMAT NR 10 NR 33 NR 35 Resgate de Passageiros Em Elevadores - Tyssen Kroup</t>
  </si>
  <si>
    <t>Miguel</t>
  </si>
  <si>
    <t>manomiguelsantos@gmail.com</t>
  </si>
  <si>
    <t>(54)99257-7809</t>
  </si>
  <si>
    <t>(54)99688-5149</t>
  </si>
  <si>
    <t>Rua Da Igualdade, 101</t>
  </si>
  <si>
    <t>CAROLINA MARIA CEZAR VALIM</t>
  </si>
  <si>
    <t>415.475.758-08</t>
  </si>
  <si>
    <t>Farmácia</t>
  </si>
  <si>
    <t>CAROL VALIM</t>
  </si>
  <si>
    <t>cmcvalim@hotmail.com</t>
  </si>
  <si>
    <t>(54) 99610-4472</t>
  </si>
  <si>
    <t>Av Lido Armando Oltramari n19</t>
  </si>
  <si>
    <t>CASSIANE TUSSI</t>
  </si>
  <si>
    <t>033.410.510-23</t>
  </si>
  <si>
    <t>NR35,NR10,APH</t>
  </si>
  <si>
    <t>CASSIANE</t>
  </si>
  <si>
    <t>F</t>
  </si>
  <si>
    <t>cassianetussi12@yahoo.com</t>
  </si>
  <si>
    <t>(54) 996168727</t>
  </si>
  <si>
    <t>CASSIANE ZAIONS</t>
  </si>
  <si>
    <t>026.351.870-00</t>
  </si>
  <si>
    <t>Tesoureiro</t>
  </si>
  <si>
    <t>APH,NR35,APH COM O CBM.</t>
  </si>
  <si>
    <t>Não SABE</t>
  </si>
  <si>
    <t>CASSI</t>
  </si>
  <si>
    <t>cassianezaions@hotmail.com</t>
  </si>
  <si>
    <t>(54) 997009364</t>
  </si>
  <si>
    <t>JARDIM AMÉRICA</t>
  </si>
  <si>
    <t>CASSIELE DA SILVA BRIZOLA</t>
  </si>
  <si>
    <t>037.611.300-66</t>
  </si>
  <si>
    <t>Cassiele</t>
  </si>
  <si>
    <t>cassieleandrieli@gmail.com</t>
  </si>
  <si>
    <t>(54)99696 - 0367</t>
  </si>
  <si>
    <t>(54)99609 - 5203</t>
  </si>
  <si>
    <t>Rua Marechal Deodoro, 696</t>
  </si>
  <si>
    <t>Santin</t>
  </si>
  <si>
    <t>CASSIO BABINSKI</t>
  </si>
  <si>
    <t>020.739.320-61</t>
  </si>
  <si>
    <t>CELITO EDSON GRIESER</t>
  </si>
  <si>
    <t>514.465.290-53</t>
  </si>
  <si>
    <t>Combatente/tesoureiro</t>
  </si>
  <si>
    <t>Atendimento Suporte Básico de Vida/ cursos Brigada Militar</t>
  </si>
  <si>
    <t>CELITO</t>
  </si>
  <si>
    <t>celito-edson@outlook.com</t>
  </si>
  <si>
    <t>(54)981480935</t>
  </si>
  <si>
    <t>RUA LIBANO ALVES DE OLIVEIRA</t>
  </si>
  <si>
    <t>CHAIANE CARLA BARBIERI PASINI</t>
  </si>
  <si>
    <t>016.531.190-80</t>
  </si>
  <si>
    <t>Secretária</t>
  </si>
  <si>
    <t>TÉCNICA EM ENFERMAGEM, TREINAMENTOS EM APH E RESGATE VEICULAR</t>
  </si>
  <si>
    <t>Barbieri</t>
  </si>
  <si>
    <t>chaianebarnieri58@gmail.com</t>
  </si>
  <si>
    <t>(54)991977611</t>
  </si>
  <si>
    <t>(54)996712687</t>
  </si>
  <si>
    <t>Av. Angelo Gasparetto, 477, Ap 03</t>
  </si>
  <si>
    <t>CHRISTOFER ROSA PEREIRA</t>
  </si>
  <si>
    <t>016.884.980-10</t>
  </si>
  <si>
    <t>COORDENADOR</t>
  </si>
  <si>
    <t>Tecnico de enfermagem Bombeiro Civil Classe III - 573 HORAS CEVTE - Condutor de veiculo de emergencia - SEST/SENAT APH / BLS Resgate Veicular - CBMRS Primeira resposta em produtos perigosos - HAZMAT NR 10 NR 33 NR 35 Curso de Noções Básicas de Atendimento Pré-Hospitalar no Ambiente Escolar Resgate de Passageiros Em Elevadores - Tyssen Kroup Capacitação em Proteção e Defesa Civil - UFSC Instrutor Master Internacional - CTILSB Curso Resgatista CBMRS 3º Ediçao - Tecnico em segurança do trabalho (cursando)</t>
  </si>
  <si>
    <t xml:space="preserve">Pereira </t>
  </si>
  <si>
    <t>christofer.pereira@gmail.com</t>
  </si>
  <si>
    <t>(53)98134-7508</t>
  </si>
  <si>
    <t>(54)98157 - 6818</t>
  </si>
  <si>
    <t>Rua Castelo Branco,350</t>
  </si>
  <si>
    <t xml:space="preserve">centro </t>
  </si>
  <si>
    <t>NONOAI</t>
  </si>
  <si>
    <t>CLAITON FAVERO</t>
  </si>
  <si>
    <t>018.249.940-52</t>
  </si>
  <si>
    <t>CLAUCIR CARLOS FERRONATO</t>
  </si>
  <si>
    <t>412.668.620-72</t>
  </si>
  <si>
    <t>CAB CHEFE DE SOCORRO</t>
  </si>
  <si>
    <t>Claucir</t>
  </si>
  <si>
    <t>ccferronato@net11.com.br</t>
  </si>
  <si>
    <t>(54)99122-1707</t>
  </si>
  <si>
    <t>(54)996152-2549</t>
  </si>
  <si>
    <t>Av. Miguel Soccol, 1670</t>
  </si>
  <si>
    <t>CLAUDEMIR RIMOLDI CORREIA</t>
  </si>
  <si>
    <t>018.662.000-46</t>
  </si>
  <si>
    <t>CLÁUDIO TRENTIN</t>
  </si>
  <si>
    <t>551.644.710-00</t>
  </si>
  <si>
    <t>Brigada de Incêndio/Nivelamento Operacional BV/EPI's e EPRA</t>
  </si>
  <si>
    <t>CLAUDIR PEGORARO</t>
  </si>
  <si>
    <t>000.328.680-06</t>
  </si>
  <si>
    <t>Vice-Presidente</t>
  </si>
  <si>
    <t>TREINAMENTO EM APH, RESGATE VEICULAR E PREVENÇÃO E COMBATE A INCÊNDIO JUNTO AO CBM/RS</t>
  </si>
  <si>
    <t>Pegoraro</t>
  </si>
  <si>
    <t>(54) 991932385</t>
  </si>
  <si>
    <t>(54)999030957</t>
  </si>
  <si>
    <t>Rua Pe. João Schimidt, 101</t>
  </si>
  <si>
    <t>CLEBER NEI SOBIS</t>
  </si>
  <si>
    <t>932.846.240-15</t>
  </si>
  <si>
    <t>Atendiemnto Suporte Básico de Vida</t>
  </si>
  <si>
    <t>SOBIS</t>
  </si>
  <si>
    <t>pilotosobis@gemail.com</t>
  </si>
  <si>
    <t>(54)99920274</t>
  </si>
  <si>
    <t>RUA JOSE ARMINDO MORON</t>
  </si>
  <si>
    <t>010.232.460-31</t>
  </si>
  <si>
    <t>Atendiimento Suporte Básico de Vida/Formação de Brigada de Incêndio</t>
  </si>
  <si>
    <t>clebertorresdossantos@51@gmail.com</t>
  </si>
  <si>
    <t xml:space="preserve">(54) 991278049 </t>
  </si>
  <si>
    <t>Rua Candido Munaro 58</t>
  </si>
  <si>
    <t>Frigorifico</t>
  </si>
  <si>
    <t>CLECIO MUSSI LARA</t>
  </si>
  <si>
    <t>718.763.320-34</t>
  </si>
  <si>
    <t>Comunicador</t>
  </si>
  <si>
    <t>Combate a Incendios</t>
  </si>
  <si>
    <t>000.432.250-98</t>
  </si>
  <si>
    <t>Sub Coordenador</t>
  </si>
  <si>
    <t>Curso de APH, CEVTE - Condutor de veiculo de emergência, prevenção e combate a incêndios junto ao CBM/RS</t>
  </si>
  <si>
    <t xml:space="preserve">FROZZA </t>
  </si>
  <si>
    <t>cfrozza@hotmail.com</t>
  </si>
  <si>
    <t>(54)991064627</t>
  </si>
  <si>
    <t>Rua Rafael Leocádio dos Santos n 106</t>
  </si>
  <si>
    <t xml:space="preserve">Santo Expedito </t>
  </si>
  <si>
    <t>CLEONEI BAZI</t>
  </si>
  <si>
    <t>CRISTIAN BELLÉ</t>
  </si>
  <si>
    <t>020.179.190-04</t>
  </si>
  <si>
    <t>BELLÉ</t>
  </si>
  <si>
    <t>ccristianbelle32.cb@gmail.com</t>
  </si>
  <si>
    <t>(54) 999846640</t>
  </si>
  <si>
    <t>Avenida Brasil 43</t>
  </si>
  <si>
    <t>CRISTIAN NONNENMACHER</t>
  </si>
  <si>
    <t>CRISTIANE REBONATTO PEREIRA</t>
  </si>
  <si>
    <t>824.002.450-53</t>
  </si>
  <si>
    <t>Pedagogia, psicopedagogia, combate a incêndio</t>
  </si>
  <si>
    <t>CRISTIANE</t>
  </si>
  <si>
    <t>rebonattocristiane@gmail.com</t>
  </si>
  <si>
    <t>(54)996917524</t>
  </si>
  <si>
    <t>VILA</t>
  </si>
  <si>
    <t>Votouro</t>
  </si>
  <si>
    <t>014.801.660-06</t>
  </si>
  <si>
    <t>Curso de APH</t>
  </si>
  <si>
    <t>cristianojoaovitor2016@gmail.com</t>
  </si>
  <si>
    <t>(54)991718428</t>
  </si>
  <si>
    <t>Rua Selvino Trentin, 87</t>
  </si>
  <si>
    <t>Natalia</t>
  </si>
  <si>
    <t>CRISTIANO DE OLIVEIRA DO PRADO</t>
  </si>
  <si>
    <t>086.699.389-44</t>
  </si>
  <si>
    <t>6028161 SSP/SC</t>
  </si>
  <si>
    <t>Presidente</t>
  </si>
  <si>
    <t>APH, NR35, NR10, TREINAMENTO APH CBM, MOTORISTA DE VEICULOS DE EMERGÊNCIA</t>
  </si>
  <si>
    <t>TUBIANO</t>
  </si>
  <si>
    <t>BRANCO</t>
  </si>
  <si>
    <t>cristiano.kosinski@hotmail.com</t>
  </si>
  <si>
    <t>Entre 1,91m e 1,95m</t>
  </si>
  <si>
    <t>(54) 999397794</t>
  </si>
  <si>
    <t>(54) 999267658</t>
  </si>
  <si>
    <t>RUA REINALDO SUTILI</t>
  </si>
  <si>
    <t>HORIZONTES NOVOS</t>
  </si>
  <si>
    <t>G3</t>
  </si>
  <si>
    <t>CRISTINA BELUSSO SIMON</t>
  </si>
  <si>
    <t>013.810.680-06</t>
  </si>
  <si>
    <t>2ª Secretária</t>
  </si>
  <si>
    <t>CURSO APH/BLS - CURSO DE COMBATE A HEMORRAGIAS "STOP THE BLEEDING - TREINAMENTO EM APH, PREVENÇÃO E COMBATE A INCÊNDIOS E RESGATE EM ALTURA JUNTO AO CBM/RS - 24 HORAS DE ESTÁGIO JUNTO AO CBM/RS</t>
  </si>
  <si>
    <t>Cristina</t>
  </si>
  <si>
    <t>crisbSimon@gmail.com</t>
  </si>
  <si>
    <t>(54)991555540</t>
  </si>
  <si>
    <t>(54)991136757</t>
  </si>
  <si>
    <t>Av. Luiz Pissetti, 397</t>
  </si>
  <si>
    <t>DAIANE BIASUS SOTORIVA</t>
  </si>
  <si>
    <t>006.857.830-06</t>
  </si>
  <si>
    <t>NR35,NR10,BOMBEIRA CIVIL APH.</t>
  </si>
  <si>
    <t>DAIANE HELENA ÜEBEL</t>
  </si>
  <si>
    <t>020.928.840-00</t>
  </si>
  <si>
    <t>027.762.210-70</t>
  </si>
  <si>
    <t>Comandante</t>
  </si>
  <si>
    <t>NR 10 - NR 33 - NR 35 - CURSO APH/BLS - CURSO DE COMBATE A HEMORRAGIAS "STOP THE BLEEDING" - CONDUÇÃO DE VEÍCULOS DE EMERGÊNCIA - TREINAMENTO EM APH, RESGATE VEICULAR, PREVENÇÃO E COMBATE A INCÊNDIOS E RESGATE EM ALTURA E PLANTÕES JUNTO AO CBM/RS</t>
  </si>
  <si>
    <t>AB-</t>
  </si>
  <si>
    <t>Bressan</t>
  </si>
  <si>
    <t>danielbressan58@gmail.com</t>
  </si>
  <si>
    <t>(54)991968602</t>
  </si>
  <si>
    <t>DANIEL MACIEL</t>
  </si>
  <si>
    <t>020.715.970-01</t>
  </si>
  <si>
    <t>maciel130518@gmail.com</t>
  </si>
  <si>
    <t>DANIELA ZANELLA</t>
  </si>
  <si>
    <t>026.128.210-74</t>
  </si>
  <si>
    <t>Dani</t>
  </si>
  <si>
    <t>(54) 996150197</t>
  </si>
  <si>
    <t>Rua José De Ré, 595</t>
  </si>
  <si>
    <t>DARI FERREIRA</t>
  </si>
  <si>
    <t>924.653.230-91</t>
  </si>
  <si>
    <t>DARI</t>
  </si>
  <si>
    <t>PARDO</t>
  </si>
  <si>
    <t>FUNDAMENTAL</t>
  </si>
  <si>
    <t>(54) 9 99324630</t>
  </si>
  <si>
    <t>Avenida João Mafessoni</t>
  </si>
  <si>
    <t>Bairro São Roque</t>
  </si>
  <si>
    <t>DARLAN JORGE DUARTE</t>
  </si>
  <si>
    <t>005.297.329-80</t>
  </si>
  <si>
    <t>4100210/SSP-SC</t>
  </si>
  <si>
    <t>BOMBEIRO CIVIL,NR35,DESGATE EM AGUAS RÁPIDO,BOMBEIRO INTRUTOR PELOS MILITARES DE SC.</t>
  </si>
  <si>
    <t>DARLAN</t>
  </si>
  <si>
    <t>darlancbvc@gmail.com</t>
  </si>
  <si>
    <t>(49) 998187831</t>
  </si>
  <si>
    <t>(49) 988658189</t>
  </si>
  <si>
    <t>SC</t>
  </si>
  <si>
    <t>CONCORDIA</t>
  </si>
  <si>
    <t>RUA GUILHERME BORRILI 240</t>
  </si>
  <si>
    <t>SÃO MIGUEL</t>
  </si>
  <si>
    <t>DAVI LEONARDO ALVES BALDO</t>
  </si>
  <si>
    <t>035.276.570-45</t>
  </si>
  <si>
    <t>Combate incêndio</t>
  </si>
  <si>
    <t>DAVI BALDO</t>
  </si>
  <si>
    <t>davileonardobaldo363@gmail.com</t>
  </si>
  <si>
    <t>(54)997157056</t>
  </si>
  <si>
    <t>(54) 997157056</t>
  </si>
  <si>
    <t>Linha Votouro</t>
  </si>
  <si>
    <t>DÉBORA BRUNA GASPARETTO</t>
  </si>
  <si>
    <t>DEIVIDI DAURI MACIEL</t>
  </si>
  <si>
    <t>075.494.809-90</t>
  </si>
  <si>
    <t>040.948.140-86</t>
  </si>
  <si>
    <t>DEIVIDI</t>
  </si>
  <si>
    <t>mari_chinba2@outlook.com</t>
  </si>
  <si>
    <t>(54)999286103</t>
  </si>
  <si>
    <t>Rua Santo João Lando</t>
  </si>
  <si>
    <t>Jardim ABC</t>
  </si>
  <si>
    <t>014.988.480-01</t>
  </si>
  <si>
    <t>TREINAMENTO EM APH - RESGATE VEICULAR - PREVENÇÃO E COMBATE A INCÊNDIOS - 24H DE PLANTÃO JUNTO AO CBM - RESGATE EM ALTURA NÍVEL 02 - CONDUÇÃO DE VEÍCLOS DE EMERGÊNCIA</t>
  </si>
  <si>
    <t>Rodhe</t>
  </si>
  <si>
    <t>diegorodhe@hotmail.com</t>
  </si>
  <si>
    <t>(54)999111218</t>
  </si>
  <si>
    <t>(54)996026736</t>
  </si>
  <si>
    <t>Rua XV de Novembro, 94</t>
  </si>
  <si>
    <t>DIEGO FRANCISCO FREITAG</t>
  </si>
  <si>
    <t>008.497.020_03</t>
  </si>
  <si>
    <t>diegofreitag1985@gmail.com</t>
  </si>
  <si>
    <t>001.725.663-40</t>
  </si>
  <si>
    <t>DIMORVAN VARGAS</t>
  </si>
  <si>
    <t>012.772.720-28</t>
  </si>
  <si>
    <t>APH/TRAUMA ,BLC/RDP,SOCORRISTA.</t>
  </si>
  <si>
    <t>DIMORVAN</t>
  </si>
  <si>
    <t>ENSINO SUPERIOR</t>
  </si>
  <si>
    <t>dimorvan.vargas@gmail.com</t>
  </si>
  <si>
    <t>(54) 999127191</t>
  </si>
  <si>
    <t>(54) 999500071</t>
  </si>
  <si>
    <t>ERECHIM</t>
  </si>
  <si>
    <t>99700-220</t>
  </si>
  <si>
    <t>ALVAR IZIDRO CPFFY</t>
  </si>
  <si>
    <t>ATLANTICO</t>
  </si>
  <si>
    <t>DIOGO POMAGERSKI</t>
  </si>
  <si>
    <t>812.966.730-49</t>
  </si>
  <si>
    <t>642.525.820-91</t>
  </si>
  <si>
    <t>DOUGLAS DAL PIVA</t>
  </si>
  <si>
    <t>001.047.310-60</t>
  </si>
  <si>
    <t>Conselho Fiscal - Combatente</t>
  </si>
  <si>
    <t>Técnico agrícola, Combate a incendio</t>
  </si>
  <si>
    <t>DAL PIVA</t>
  </si>
  <si>
    <t>dpiva@emater.tche.br</t>
  </si>
  <si>
    <t>(54)35461189</t>
  </si>
  <si>
    <t>(54) 997082841</t>
  </si>
  <si>
    <t>(54)997082841</t>
  </si>
  <si>
    <t>Rua da Matriz</t>
  </si>
  <si>
    <t>DOUGLAS JOSE RORIG</t>
  </si>
  <si>
    <t>992.934.550-72</t>
  </si>
  <si>
    <t>Combate à incêndio, Aph</t>
  </si>
  <si>
    <t>djrorig@yahoo.com.br</t>
  </si>
  <si>
    <t>54 99913-0129</t>
  </si>
  <si>
    <t>(54) 99913-0129</t>
  </si>
  <si>
    <t>54 999815018</t>
  </si>
  <si>
    <t>99700-500</t>
  </si>
  <si>
    <t>Av santo Dal Bosco 935</t>
  </si>
  <si>
    <t>Ipiranga</t>
  </si>
  <si>
    <t>DOUGLAS MADALOSSO</t>
  </si>
  <si>
    <t>040.055.880-77</t>
  </si>
  <si>
    <t>DOUGLAS MENTZ</t>
  </si>
  <si>
    <t>030.077.941-02</t>
  </si>
  <si>
    <t>MANINHO</t>
  </si>
  <si>
    <t>douglasmentz@hotmail.com</t>
  </si>
  <si>
    <t>(54)991796188</t>
  </si>
  <si>
    <t>Rua José Maté, 120</t>
  </si>
  <si>
    <t>Santo Expedito</t>
  </si>
  <si>
    <t>DOUGLAS RORIG</t>
  </si>
  <si>
    <t>BOMBEIRO MILITAR E CIVIL,RESGATE AQUÁTICO,APH,NR35,NR33.</t>
  </si>
  <si>
    <t>DYENIFER TAVARES CELINGA</t>
  </si>
  <si>
    <t>043.131.220-60</t>
  </si>
  <si>
    <t>Tavares</t>
  </si>
  <si>
    <t>dyenifertavares00@gmail.com</t>
  </si>
  <si>
    <t>(54)99940-5330</t>
  </si>
  <si>
    <t>(54)99652-7700</t>
  </si>
  <si>
    <t>Rua via torino,530</t>
  </si>
  <si>
    <t>EDEMAR MARCOS RODHE</t>
  </si>
  <si>
    <t>011.005.790-29</t>
  </si>
  <si>
    <t>CURSO DE CONDUÇÃO DE VEÍCULOS DE EMERGÊNCIA - TREINAMENTOS EM APH E PREVENÇÃO E COMBATE A INCÊNDIOS JUNTO AO CBM/RS</t>
  </si>
  <si>
    <t>Edemar</t>
  </si>
  <si>
    <t>(54) 991665325</t>
  </si>
  <si>
    <t>Rua Stefano Greggio,, 665</t>
  </si>
  <si>
    <t>EDGAR LUIZ VALENTINI</t>
  </si>
  <si>
    <t>Vice Presidente - Combatente</t>
  </si>
  <si>
    <t>Combate a incêndios CBMRS</t>
  </si>
  <si>
    <t>VALENTINI</t>
  </si>
  <si>
    <t>edgarluizvalentini@gmail.com</t>
  </si>
  <si>
    <t>54 99679 2035</t>
  </si>
  <si>
    <t>(54)99679 2035</t>
  </si>
  <si>
    <t>Casa</t>
  </si>
  <si>
    <t>EDNEI DE OLIVEIRA</t>
  </si>
  <si>
    <t>EDOMAR LUIS ARTUSO</t>
  </si>
  <si>
    <t>680.471.500-49</t>
  </si>
  <si>
    <t>CONDUTOR DE VEICULO DE EMERGÊNCIA,BOMBEIRO CIVIL,APH,SVB.</t>
  </si>
  <si>
    <t>ARTUSO</t>
  </si>
  <si>
    <t>edomarartuso60@gmail.com</t>
  </si>
  <si>
    <t>(54) 993188201</t>
  </si>
  <si>
    <t>(54) 99062678</t>
  </si>
  <si>
    <t>(54) 99318820</t>
  </si>
  <si>
    <t>FLORIANO PEIXOTO</t>
  </si>
  <si>
    <t>99910-000</t>
  </si>
  <si>
    <t>LINHA TANSINI</t>
  </si>
  <si>
    <t>EDSON JOSÉ BEVILACQUA</t>
  </si>
  <si>
    <t>687.489.650-49</t>
  </si>
  <si>
    <t>PRESIDENTE</t>
  </si>
  <si>
    <t>APH,MOTORISTA SOCORRISTA.</t>
  </si>
  <si>
    <t>BEVILACQUA</t>
  </si>
  <si>
    <t>edsonbevi@gmail.com</t>
  </si>
  <si>
    <t>(54) 996128488</t>
  </si>
  <si>
    <t>LINHA UMA SECCAO CRAVO</t>
  </si>
  <si>
    <t>EDUARDA CARVALHO</t>
  </si>
  <si>
    <t>048.437.360-90</t>
  </si>
  <si>
    <t>NR35,APH,NR10,PRIMEROS SOCORROS.</t>
  </si>
  <si>
    <t>EDVAN VAGNER DE OLIVEIRA</t>
  </si>
  <si>
    <t>ÉLIO FRANCISCO BACKES</t>
  </si>
  <si>
    <t>032.002.880-19</t>
  </si>
  <si>
    <t>ÉLIO</t>
  </si>
  <si>
    <t>tiofranciscobackes@gmail.com</t>
  </si>
  <si>
    <t>(54)991260646</t>
  </si>
  <si>
    <t>Rua Sete de Setembro, 487</t>
  </si>
  <si>
    <t>ELISA ANA GORONSI</t>
  </si>
  <si>
    <t>998.578.550-91</t>
  </si>
  <si>
    <t>Atendimento Suporte Básico de Vida/ resgate /bombeiro civil</t>
  </si>
  <si>
    <t>ELISA</t>
  </si>
  <si>
    <t>(54)996996622</t>
  </si>
  <si>
    <t>JACOB ALBANO SCHNEIDER</t>
  </si>
  <si>
    <t>ELOY ZAVAROSKI</t>
  </si>
  <si>
    <t>315.701.430-72</t>
  </si>
  <si>
    <t>ELSOM JOSE PELIN</t>
  </si>
  <si>
    <t>698.981.200-10</t>
  </si>
  <si>
    <t>Combate a incêndio, motorista.</t>
  </si>
  <si>
    <t>PELIN</t>
  </si>
  <si>
    <t>elsompelin@gmail.com</t>
  </si>
  <si>
    <t>(54) 996753146</t>
  </si>
  <si>
    <t>Rua Saul José Conci 1175</t>
  </si>
  <si>
    <t>EMERSON FAGUNDES DA SILVA</t>
  </si>
  <si>
    <t>007.907.350-67</t>
  </si>
  <si>
    <t>eng.dioice@gmail.com</t>
  </si>
  <si>
    <t>ENIO BUENO DA SILVA</t>
  </si>
  <si>
    <t>307.551.740-20</t>
  </si>
  <si>
    <t>enio2025mormaco@gmail.com</t>
  </si>
  <si>
    <t>ERIVELTOM DE OLIVEIRA</t>
  </si>
  <si>
    <t>ERNESTO RODRIGUES</t>
  </si>
  <si>
    <t>007.035.520-74</t>
  </si>
  <si>
    <t>EVANDRO CARLOS SLUSSAREK</t>
  </si>
  <si>
    <t>006.822.740-03</t>
  </si>
  <si>
    <t>EVANDRO MARCELO MULLER</t>
  </si>
  <si>
    <t>009.730.150-71</t>
  </si>
  <si>
    <t>Muller</t>
  </si>
  <si>
    <t>evandromuller85@gmail.com</t>
  </si>
  <si>
    <t>(54)99913-8550</t>
  </si>
  <si>
    <t>Rua Muçum, 12</t>
  </si>
  <si>
    <t>Planalto</t>
  </si>
  <si>
    <t>599.619.880-00</t>
  </si>
  <si>
    <t>Brigada de Incêndio/Nivelamento Operacional BV/EPI's e EPRA/Nivelamento Operacional CBMRS/Operador de Motosserra</t>
  </si>
  <si>
    <t>EVANDRO</t>
  </si>
  <si>
    <t>evandrotarso@gmail.com</t>
  </si>
  <si>
    <t>(54)991913102</t>
  </si>
  <si>
    <t>Rua Colorado, 461</t>
  </si>
  <si>
    <t>Martini</t>
  </si>
  <si>
    <t>EVERALDO BORBA</t>
  </si>
  <si>
    <t>009.036.610-71</t>
  </si>
  <si>
    <t>Combate a Incendio</t>
  </si>
  <si>
    <t>PARDA</t>
  </si>
  <si>
    <t>everaldoborba84a gmail.com</t>
  </si>
  <si>
    <t>(54) 996951384</t>
  </si>
  <si>
    <t>Avenida Lido Armando Ultramari</t>
  </si>
  <si>
    <t>COROADOS</t>
  </si>
  <si>
    <t>EVERALDO LUIS DAVID BALDO</t>
  </si>
  <si>
    <t>536.995.560-34</t>
  </si>
  <si>
    <t>Presidente - Combatente</t>
  </si>
  <si>
    <t>Quiropraxia, Combate a Incendio</t>
  </si>
  <si>
    <t>BALDO A+</t>
  </si>
  <si>
    <t>everaldolbaldo@gmail.com</t>
  </si>
  <si>
    <t>(54) 99932 8677</t>
  </si>
  <si>
    <t>(54) 999328677</t>
  </si>
  <si>
    <t>Linha Votouro 630</t>
  </si>
  <si>
    <t>EVERSON ROBERTO BURGRAFF</t>
  </si>
  <si>
    <t>005.299.840-16</t>
  </si>
  <si>
    <t>BURGGRAFF</t>
  </si>
  <si>
    <t>eversonburggraf@gmail.com</t>
  </si>
  <si>
    <t>(54)996857186</t>
  </si>
  <si>
    <t>RUA JOSE SPONCHIADO</t>
  </si>
  <si>
    <t>836.115.410-87</t>
  </si>
  <si>
    <t>SUB COORDENADOR</t>
  </si>
  <si>
    <t>Bombeiro Civil Classe II - 555 HORAS CEVTE - Condutor de veiculo de emergencia - SEST/SENAT APH / BLS Resgate Veicular - CBMRS Primeira resposta em produtos perigosos - HAZMAT NR 10 NR 33 NR 35 Resgate de Passageiros Em Elevadores - Tyssen Kroup Instrutor Master Internacional - CTILSB Curso de Resgatista CBMRS 2º Ediçao</t>
  </si>
  <si>
    <t>Rodrigues</t>
  </si>
  <si>
    <t>fabianocacapava2013@gmail.com</t>
  </si>
  <si>
    <t>(55)99681-5714</t>
  </si>
  <si>
    <t>(54)99610-0053</t>
  </si>
  <si>
    <t>Rua Dom Pedro II, 50</t>
  </si>
  <si>
    <t>FABIO KUCMANSKI</t>
  </si>
  <si>
    <t>006.311.330-97</t>
  </si>
  <si>
    <t>Secretário - Combatente</t>
  </si>
  <si>
    <t xml:space="preserve">Operador e condutor de veículos de emergência, resgate veicular CBMSC basico, Bombeiro Comunitário CBMSC, APH, NR10, Combate incêndio, Suporte Básico de Vida
</t>
  </si>
  <si>
    <t>FABIO</t>
  </si>
  <si>
    <t>fabiokucmanski@gmail.com</t>
  </si>
  <si>
    <t>(54) 9 9676-5455</t>
  </si>
  <si>
    <t>(49)98414-4551</t>
  </si>
  <si>
    <t>(54)99676-5455</t>
  </si>
  <si>
    <t>Av. Lido Armando Oltramari,577</t>
  </si>
  <si>
    <t>FELIPE CHIARELLO BASTIANI</t>
  </si>
  <si>
    <t>033.816.050-70</t>
  </si>
  <si>
    <t>Chiarello</t>
  </si>
  <si>
    <t>felipe.chiarello10@icloud.com</t>
  </si>
  <si>
    <t>(54)98164 - 7152</t>
  </si>
  <si>
    <t>(54)99913 - 3582</t>
  </si>
  <si>
    <t xml:space="preserve">Rua do Imigrante, 670 </t>
  </si>
  <si>
    <t>FELIPE PAGOTTO</t>
  </si>
  <si>
    <t>021.808.180-41</t>
  </si>
  <si>
    <t>FERNANDA FERREIRA</t>
  </si>
  <si>
    <t>017.530.340-19</t>
  </si>
  <si>
    <t>Conselho fiscal</t>
  </si>
  <si>
    <t>FERNANDO DOMINIQUE FRANK</t>
  </si>
  <si>
    <t>FERNANDO INOCÊNCIO DE MOURA</t>
  </si>
  <si>
    <t>027.045.300-84</t>
  </si>
  <si>
    <t>FERNANDO LUIZ MAZZUTI</t>
  </si>
  <si>
    <t>929.360.670-49</t>
  </si>
  <si>
    <t>fernandomazutti44@gmail.com</t>
  </si>
  <si>
    <t>(54)999993752</t>
  </si>
  <si>
    <t>RUA MAXIMILIANO MAZUTTI</t>
  </si>
  <si>
    <t>FERNANDO PIEROZAN</t>
  </si>
  <si>
    <t>778.548.450-34</t>
  </si>
  <si>
    <t>Somente ações cívicas e apoio administrativo</t>
  </si>
  <si>
    <t>Piero</t>
  </si>
  <si>
    <t>pierozan@pierozancontabilidade.com.br</t>
  </si>
  <si>
    <t>(54) 991097168</t>
  </si>
  <si>
    <t>(54) 991814068</t>
  </si>
  <si>
    <t xml:space="preserve">Rua Reinaldo Valente, </t>
  </si>
  <si>
    <t>FLÁVIO EGLON GUARDA</t>
  </si>
  <si>
    <t>399.338.650-72</t>
  </si>
  <si>
    <t>flavioguarda63@gmail.com</t>
  </si>
  <si>
    <t>994.295.150-34</t>
  </si>
  <si>
    <t>FRANCIANO</t>
  </si>
  <si>
    <t>fadalbosco@hotmail.com</t>
  </si>
  <si>
    <t>(54)991724003</t>
  </si>
  <si>
    <t>Travessa Otto João Rorig, 28</t>
  </si>
  <si>
    <t>994.295.190-34</t>
  </si>
  <si>
    <t>GABRIEL BENOVIT SILVA</t>
  </si>
  <si>
    <t>029.102.040-22</t>
  </si>
  <si>
    <t>5113012891</t>
  </si>
  <si>
    <t>ADMINISTRATIVO</t>
  </si>
  <si>
    <t>Curso de Resgate veicular operador 1º Edição- CBMRS, CIGOI Curso Internacional Gestão Operações de Incêndio 1º Edição,  Curso de Operaçoes em incendios florestais 1º Edição- CBMRS (cursando), Superior em Gestao Publica. Superior em Segurança Publica (cursando) Bombeiro Civil Classe I - 306 HORAS CEVTE - Condutor de veiculo de emergencia - SEST/SENAT APH / BLS, Primeira resposta em produtos perigosos - HAZMAT NR 10 NR 33 NR 35 Resgate de Passageiros Em Elevadores - Tyssen Kroup,</t>
  </si>
  <si>
    <t>Benovit</t>
  </si>
  <si>
    <t>benoxd1@gmail.com</t>
  </si>
  <si>
    <t>(54)99700 - 4557</t>
  </si>
  <si>
    <t>(54)99647 - 3263</t>
  </si>
  <si>
    <t>Rua Via Trento, 1052</t>
  </si>
  <si>
    <t>Monte grappa</t>
  </si>
  <si>
    <t>GILMAR MEIRA</t>
  </si>
  <si>
    <t>GILNEI ANTONIO PALAVICINI</t>
  </si>
  <si>
    <t>452.715.000-63</t>
  </si>
  <si>
    <t>TREINAMENTOS EM APH E PREVENÇÃO E COMBATE A INCÊNDIOS JUNTO AO CBM/RS</t>
  </si>
  <si>
    <t>Gilnei</t>
  </si>
  <si>
    <t>neipalavicini@yahoo.combr</t>
  </si>
  <si>
    <t>(54)999050084</t>
  </si>
  <si>
    <t>(54)33681247</t>
  </si>
  <si>
    <t>Rua isidoro Gasparetto, 182</t>
  </si>
  <si>
    <t>GIOVANE ANTONIO SCOLARI</t>
  </si>
  <si>
    <t>012.574.590-74</t>
  </si>
  <si>
    <t>socorrista</t>
  </si>
  <si>
    <t>primeiros socorros</t>
  </si>
  <si>
    <t>025.482.090-59</t>
  </si>
  <si>
    <t>Bacharel Em Educaçao Fisica Bombeiro Civil Classe I - 306 HORAS CEVTE - Condutor de veiculo de emergencia - SEST/SENAT APH / BLS Primeira resposta em produtos perigosos - HAZMAT NR 10 NR 33 NR 35 Resgate de Passageiros Em Elevadores - Tyssen Kroup</t>
  </si>
  <si>
    <t>Giovani</t>
  </si>
  <si>
    <t>giovani_batista99@hotmail.com</t>
  </si>
  <si>
    <t>(54)98143 - 3636</t>
  </si>
  <si>
    <t>(54)99607-9724</t>
  </si>
  <si>
    <t>Rua Jose Caberlon, 192</t>
  </si>
  <si>
    <t>Bella Vista</t>
  </si>
  <si>
    <t>GLEISON DIONATAN JESUS DE ANDRADE</t>
  </si>
  <si>
    <t>030.703.480-17</t>
  </si>
  <si>
    <t>GLEISSON</t>
  </si>
  <si>
    <t>(54) 996300750</t>
  </si>
  <si>
    <t>99700-000</t>
  </si>
  <si>
    <t>Rua Liberato Salzano, 65,</t>
  </si>
  <si>
    <t>GUILHERME DA SILVA SANTOS</t>
  </si>
  <si>
    <t>046.267.230-12</t>
  </si>
  <si>
    <t>Santos</t>
  </si>
  <si>
    <t>guisilvars01@gmail.com</t>
  </si>
  <si>
    <t>(54)99920-1407</t>
  </si>
  <si>
    <t>(54)99920-1425</t>
  </si>
  <si>
    <t>Rua Jose Frigo, 1057</t>
  </si>
  <si>
    <t>030.734.690-01</t>
  </si>
  <si>
    <t>guilhrmeluizbohm@gmail.com</t>
  </si>
  <si>
    <t>(54) 999480749</t>
  </si>
  <si>
    <t>Linha Barbara S/N</t>
  </si>
  <si>
    <t>GUSTAVO CHIOCHETTA</t>
  </si>
  <si>
    <t>028.563.190-09</t>
  </si>
  <si>
    <t>GUSTAVO</t>
  </si>
  <si>
    <t>gustavomauricioveronese@gmail.com</t>
  </si>
  <si>
    <t>(54) 984260190</t>
  </si>
  <si>
    <t>Rua Dalagnoll S/N</t>
  </si>
  <si>
    <t>INDIAMARA PACHECO</t>
  </si>
  <si>
    <t>038.146.750-37</t>
  </si>
  <si>
    <t>NR35,NR10,APH,CUIDADORA.</t>
  </si>
  <si>
    <t>ISALI FOLTZ KRIELOW</t>
  </si>
  <si>
    <t>013.738.909-40</t>
  </si>
  <si>
    <t>144913787/SSP-SC</t>
  </si>
  <si>
    <t>FOLTZ</t>
  </si>
  <si>
    <t>ENSINO FUNDAMENTAL INCOMPLETO</t>
  </si>
  <si>
    <t>isalifoltz1987@gmail.com</t>
  </si>
  <si>
    <t>(54) 996137984</t>
  </si>
  <si>
    <t>JUVENTILIO GALINA</t>
  </si>
  <si>
    <t>GG- 50</t>
  </si>
  <si>
    <t>ITAMAR LUIS SOARES</t>
  </si>
  <si>
    <t>385.061.300-34</t>
  </si>
  <si>
    <t>JACIR RODRIGUES DE PAULA</t>
  </si>
  <si>
    <t>642.409.590-04</t>
  </si>
  <si>
    <t>NR35 ,NR10,APH,PRIMEROS SOCORROS.</t>
  </si>
  <si>
    <t>JACSON JOSÉ SCHEMBRO</t>
  </si>
  <si>
    <t>022.559.840-08</t>
  </si>
  <si>
    <t>TREINAMENTOS EM APH, RESGATE VEICULAR E PREVENÇÃO E COMBATE A INCÊNDIOS - CONCLUINDO CURSO DE BOMBEIRO CIVIL</t>
  </si>
  <si>
    <t>JACSON LUIZ MUNARO</t>
  </si>
  <si>
    <t>007.922.380-01</t>
  </si>
  <si>
    <t>JACSON</t>
  </si>
  <si>
    <t>munarojacson7@gmail.com</t>
  </si>
  <si>
    <t>Menos de 1,49m</t>
  </si>
  <si>
    <t>(54)999462166</t>
  </si>
  <si>
    <t>RUA GUILHERME FRANCESCON</t>
  </si>
  <si>
    <t>JAIR MONTEMEZZO</t>
  </si>
  <si>
    <t>495.237.400-91</t>
  </si>
  <si>
    <t>JAIR SOARES</t>
  </si>
  <si>
    <t>656.161.030-04</t>
  </si>
  <si>
    <t>JAIR</t>
  </si>
  <si>
    <t>PRETA</t>
  </si>
  <si>
    <t>Obras@constantina.rs.gov.br</t>
  </si>
  <si>
    <t>(54) 9 96494501</t>
  </si>
  <si>
    <t>Rua Erich Brandtner</t>
  </si>
  <si>
    <t>Bairro Florestal</t>
  </si>
  <si>
    <t>JAQUELINE MARIA ARALDI</t>
  </si>
  <si>
    <t>026.110.730-58</t>
  </si>
  <si>
    <t>Bombeiro Civil Classe I - 306 HORAS APH / BLS Primeira resposta em produtos perigosos - HAZMAT NR 10 NR 33 NR 35 Resgate de Passageiros Em Elevadores - Tyssen Kroup</t>
  </si>
  <si>
    <t>Jaqueline</t>
  </si>
  <si>
    <t>jakearaldi1991@gmail.com</t>
  </si>
  <si>
    <t>(54)99162-6792</t>
  </si>
  <si>
    <t>Av.Da Felicidade, 15</t>
  </si>
  <si>
    <t>JEAN CARLOS SOTORIVA</t>
  </si>
  <si>
    <t>015.278.770-43</t>
  </si>
  <si>
    <t>JEAN</t>
  </si>
  <si>
    <t>sotorivajean@gmail.com</t>
  </si>
  <si>
    <t>(54)991030057</t>
  </si>
  <si>
    <t>Rua Santo João Lando, 377</t>
  </si>
  <si>
    <t>013.608.560-13</t>
  </si>
  <si>
    <t>Moser</t>
  </si>
  <si>
    <t>jefersonmoser01@yahoo.com.br</t>
  </si>
  <si>
    <t>(54)98100-0572</t>
  </si>
  <si>
    <t>(54)99651-4719</t>
  </si>
  <si>
    <t>Rua Via Verona, 1067</t>
  </si>
  <si>
    <t>JESSICA DE FATIMA ERCICO DUARTE</t>
  </si>
  <si>
    <t>033.829.490-24</t>
  </si>
  <si>
    <t>Jessica</t>
  </si>
  <si>
    <t>ercicojessica@gmail.com</t>
  </si>
  <si>
    <t>(55)99101-5651</t>
  </si>
  <si>
    <t>Rua Pedro Soccol, 1460</t>
  </si>
  <si>
    <t>JÉSSICA DE FÁTIMA ERCICO DUARTE</t>
  </si>
  <si>
    <t>033.729.490-24</t>
  </si>
  <si>
    <t>JOANES VOLNEI PENA DOS SANTOS</t>
  </si>
  <si>
    <t>JOÃO CARLOS MOTDKOWSKI</t>
  </si>
  <si>
    <t>921.940.520-20</t>
  </si>
  <si>
    <t>Sub-comandante</t>
  </si>
  <si>
    <t>TREINAMENTOS EM APH, RESGATE VEICULAR E PREVENÇÃO E COMBATE A INCENDIOS</t>
  </si>
  <si>
    <t>JOEL ADILIO BONATTO</t>
  </si>
  <si>
    <t>004.405.630-38</t>
  </si>
  <si>
    <t>Comandante - Combatente</t>
  </si>
  <si>
    <t>Combate Incendio CBMRS</t>
  </si>
  <si>
    <t>bonattoengenharia@gmail.com</t>
  </si>
  <si>
    <t>(54) 99601-6059</t>
  </si>
  <si>
    <t>(54)99601-6059</t>
  </si>
  <si>
    <t>Rua Getúlio vargas</t>
  </si>
  <si>
    <t>JOEL RODRIGUES</t>
  </si>
  <si>
    <t>038.438.790-01</t>
  </si>
  <si>
    <t>22/051996</t>
  </si>
  <si>
    <t>ENSINO MEDIO INCOMPLETO</t>
  </si>
  <si>
    <t>joelrodrigues49719@gmail.com</t>
  </si>
  <si>
    <t>(54) 996123502</t>
  </si>
  <si>
    <t>(54) 999550287</t>
  </si>
  <si>
    <t>RUA 7 DE SETEMBRO</t>
  </si>
  <si>
    <t>NOSSA SENHORA DE APARECIDA</t>
  </si>
  <si>
    <t>JOISSON LUIS HENICKA</t>
  </si>
  <si>
    <t>046.613.519-08</t>
  </si>
  <si>
    <t>48504785/SESPD-SC</t>
  </si>
  <si>
    <t>APH, TRAUMA SOCORRISTA, NR10, PRIMEIROS SOCORROS LEI LUCAS, PHRTS, RNC,.</t>
  </si>
  <si>
    <t>KOSINSKI</t>
  </si>
  <si>
    <t>SUPERIOR COMPLETO</t>
  </si>
  <si>
    <t>jorgeluis.kosinski@yahoo.com.br</t>
  </si>
  <si>
    <t>(54) 984257388</t>
  </si>
  <si>
    <t>(54) 984118779</t>
  </si>
  <si>
    <t>RUA TERCILIO RENE MENEGUEL 79</t>
  </si>
  <si>
    <t>JORGE PAULO DA SILVA</t>
  </si>
  <si>
    <t>687.574.250-00</t>
  </si>
  <si>
    <t>(54) 9 99481255</t>
  </si>
  <si>
    <t>Rua Italo Ferlautto</t>
  </si>
  <si>
    <t>Bairro Taquaruçu</t>
  </si>
  <si>
    <t>227.683.270-34</t>
  </si>
  <si>
    <t>LJORGE</t>
  </si>
  <si>
    <t>jorgerigotti4@gmail.com</t>
  </si>
  <si>
    <t>(54) 999320326</t>
  </si>
  <si>
    <t>Rua Padre Henrique Koch 290</t>
  </si>
  <si>
    <t>682.699.860-20</t>
  </si>
  <si>
    <t>Jose Carlos</t>
  </si>
  <si>
    <t>bvscbv05@gmail.com</t>
  </si>
  <si>
    <t>(54)99695-6791</t>
  </si>
  <si>
    <t>(54)98110-5993</t>
  </si>
  <si>
    <t>Rua jose benjamim de costa, 176</t>
  </si>
  <si>
    <t>Bella vista</t>
  </si>
  <si>
    <t>JOSÉ GABRIEL BARROS DE OLIVEIRA</t>
  </si>
  <si>
    <t>633.984.940-72</t>
  </si>
  <si>
    <t>Atendimento Suporte Básico de Vida/Brigada de Incendio</t>
  </si>
  <si>
    <t>naotememail@.com</t>
  </si>
  <si>
    <t>(54)999849771</t>
  </si>
  <si>
    <t>RECINTO FERROVIARIO</t>
  </si>
  <si>
    <t>JOSÉ JEREMIAS DE CAMARGO DE LIMA</t>
  </si>
  <si>
    <t>006.884.630-45</t>
  </si>
  <si>
    <t>jerelima10@hotmail.com</t>
  </si>
  <si>
    <t>JOSÉ VALMOR FERREIRA PRESTES</t>
  </si>
  <si>
    <t>653.971.690-72</t>
  </si>
  <si>
    <t>valmorprestes47@gmail.com</t>
  </si>
  <si>
    <t>JOSIELE SEGAT MOREIRA</t>
  </si>
  <si>
    <t>097.134.819-76</t>
  </si>
  <si>
    <t>6687208/SSP-SC</t>
  </si>
  <si>
    <t>JUAREZ DENARDI</t>
  </si>
  <si>
    <t>389.359.450-72</t>
  </si>
  <si>
    <t>JUCIELI FÁTIMA CORREIA</t>
  </si>
  <si>
    <t>023.808.150-89</t>
  </si>
  <si>
    <t>JUCIELE</t>
  </si>
  <si>
    <t>jucicorreia29.jc@gmail.com</t>
  </si>
  <si>
    <t>(54) 999304909</t>
  </si>
  <si>
    <t>005.302.480-00</t>
  </si>
  <si>
    <t>BOMBEIRA CIVIL,COUCH,APH</t>
  </si>
  <si>
    <t>DUTRA</t>
  </si>
  <si>
    <t>ENSINO MEDIO COMPLETO</t>
  </si>
  <si>
    <t>jhudutra0@gmail.com@gmail.com</t>
  </si>
  <si>
    <t>(54) 981289246</t>
  </si>
  <si>
    <t>(54) 991320432</t>
  </si>
  <si>
    <t>RUA SALVADOR NELSON FOSSATI 19</t>
  </si>
  <si>
    <t>PAIOL GRANDE</t>
  </si>
  <si>
    <t>KAUE VINICIOS SIMONI</t>
  </si>
  <si>
    <t>KEISMILI POLIANA DE SOUZA GOMES</t>
  </si>
  <si>
    <t>058.023.300-66</t>
  </si>
  <si>
    <t>Poliana</t>
  </si>
  <si>
    <t>ps950090@gmail.com</t>
  </si>
  <si>
    <t>(54)99286 - 5459</t>
  </si>
  <si>
    <t>(54)99328-4891</t>
  </si>
  <si>
    <t>Rua Joao Variani, 256</t>
  </si>
  <si>
    <t>042.237.400-83</t>
  </si>
  <si>
    <t>PAINES</t>
  </si>
  <si>
    <t>lauradetofolpaines123@gmail.com</t>
  </si>
  <si>
    <t>(54) 996219909</t>
  </si>
  <si>
    <t>Rua Padre Henrique Kock S/N</t>
  </si>
  <si>
    <t>LEISE OLSZEWSKI POMAGERSKI</t>
  </si>
  <si>
    <t>001.179.060-18</t>
  </si>
  <si>
    <t xml:space="preserve">LEODAIR CORASSA
</t>
  </si>
  <si>
    <t>975.497.460-87</t>
  </si>
  <si>
    <t>SARANDI</t>
  </si>
  <si>
    <t>LEOMAR CAMPANHA</t>
  </si>
  <si>
    <t>697.643.280-91</t>
  </si>
  <si>
    <t>LEOMAR CORRÊA</t>
  </si>
  <si>
    <t>927.698.370-87</t>
  </si>
  <si>
    <t>Leomarcorrea2017@gmail.com</t>
  </si>
  <si>
    <t>(54) 99936-6869</t>
  </si>
  <si>
    <t>LEONARDO AUGUSTO DILLENBURG</t>
  </si>
  <si>
    <t>035.912.660-00</t>
  </si>
  <si>
    <t>BOMBEIRO - AFASTADO</t>
  </si>
  <si>
    <t>038.225.490-29</t>
  </si>
  <si>
    <t>Cabral</t>
  </si>
  <si>
    <t>leodiascafe12@gmail.com</t>
  </si>
  <si>
    <t>(54)98167 - 6746</t>
  </si>
  <si>
    <t>(54)98114 - 8087</t>
  </si>
  <si>
    <t>Rua Orestes Assoni, 347</t>
  </si>
  <si>
    <t>LEOPOLDO GIL SCHINAIDER COSTA</t>
  </si>
  <si>
    <t>LILIANE MARA NISTOR</t>
  </si>
  <si>
    <t>LUANA PACHECO</t>
  </si>
  <si>
    <t>043.492.990-50</t>
  </si>
  <si>
    <t>NR35,NR10,APH.</t>
  </si>
  <si>
    <t>LUCAS DE LIMA</t>
  </si>
  <si>
    <t>032.317.260-18</t>
  </si>
  <si>
    <t>De Lima</t>
  </si>
  <si>
    <t>Lucasdeima91@gmail.com</t>
  </si>
  <si>
    <t>(54)996163308</t>
  </si>
  <si>
    <t>Rua Castro Alves, 75</t>
  </si>
  <si>
    <t xml:space="preserve">Gramadinho </t>
  </si>
  <si>
    <t>LUCAS GABRIEL DA SILVA BASTOS</t>
  </si>
  <si>
    <t>863.547.705-73</t>
  </si>
  <si>
    <t>Bastos</t>
  </si>
  <si>
    <t>Bastos_silvagabriel@hotmail.com</t>
  </si>
  <si>
    <t>(54)99175 - 0759</t>
  </si>
  <si>
    <t>(54)99969 - 0955</t>
  </si>
  <si>
    <t>Rua Euclides da cunha, 1550</t>
  </si>
  <si>
    <t>Nossa senhora saude</t>
  </si>
  <si>
    <t>LUCIANA NEULS</t>
  </si>
  <si>
    <t>987.861.990-72</t>
  </si>
  <si>
    <t>Enfermeira/APH/BLS/Brigada de Incêndio/Nivelamento Operacional BV/Nivelamento Operacional CBMRS</t>
  </si>
  <si>
    <t>LUIZ CARLOS BRUSTOLIN</t>
  </si>
  <si>
    <t>943.180.420-49</t>
  </si>
  <si>
    <t>LUIZ CARLOS SCHERER</t>
  </si>
  <si>
    <t>937.393.380-91</t>
  </si>
  <si>
    <t>Brigada de Incêndio/Nivelamento Operacional BV/Nivelamento Operacional CBMRS</t>
  </si>
  <si>
    <t>LUIZ FERNANDO DA SILVA LUPATINI</t>
  </si>
  <si>
    <t>025.590.280-85</t>
  </si>
  <si>
    <t>LUIZ FERNANDO DE OLIVEIRA</t>
  </si>
  <si>
    <t>003.579.230-22</t>
  </si>
  <si>
    <t>MAGNÓLIA MALLMANN</t>
  </si>
  <si>
    <t>BOMBEIRA - AFASTADA</t>
  </si>
  <si>
    <t>Brigada de Incêndio/Nivelamento Operacional BV/EPI's e EPRA/Nivelamento Operacional CBMRS</t>
  </si>
  <si>
    <t>MAIARA TRUCOLO</t>
  </si>
  <si>
    <t>044.936.200-05</t>
  </si>
  <si>
    <t>Trucolo</t>
  </si>
  <si>
    <t>maiatrucolo4@gmail.com</t>
  </si>
  <si>
    <t>(54)98153-9294</t>
  </si>
  <si>
    <t>(54)3444-1403</t>
  </si>
  <si>
    <t>Rua Salete, 1490</t>
  </si>
  <si>
    <t>Salete</t>
  </si>
  <si>
    <t>MAICO DE OLIVEIRA</t>
  </si>
  <si>
    <t>102.936.598-93</t>
  </si>
  <si>
    <t>APH/BLS.RCP/DEA NIVEL2 ,N35,NR33,TREINAMENTO APH CBM.</t>
  </si>
  <si>
    <t>marcelomiercoles133@gmail</t>
  </si>
  <si>
    <t>(54) 991253197</t>
  </si>
  <si>
    <t>(54) 991075461</t>
  </si>
  <si>
    <t>RUA JÃO PESSOA 81/77</t>
  </si>
  <si>
    <t>MARCELO ELIAS ROMANOSKI</t>
  </si>
  <si>
    <t>MARCELO PALOSCHI</t>
  </si>
  <si>
    <t>687.953.860-68</t>
  </si>
  <si>
    <t>Paloschi</t>
  </si>
  <si>
    <t>marcelopaloschi9@yahoo.com.br</t>
  </si>
  <si>
    <t>(54)99674-3155</t>
  </si>
  <si>
    <t>(54)99951-0435</t>
  </si>
  <si>
    <t>Rua Montauri , 132</t>
  </si>
  <si>
    <t>Gramadinho</t>
  </si>
  <si>
    <t>MARCOS BOHRER</t>
  </si>
  <si>
    <t>000.501.880.38</t>
  </si>
  <si>
    <t>marcosb.2025@gmail.com</t>
  </si>
  <si>
    <t>654.297.610-87</t>
  </si>
  <si>
    <t>Leno</t>
  </si>
  <si>
    <t>lenolorena@gmail.com</t>
  </si>
  <si>
    <t>(54)9997-3204</t>
  </si>
  <si>
    <t>(54)3444-1629</t>
  </si>
  <si>
    <t>Rua Otavio Rocha, 2559</t>
  </si>
  <si>
    <t>MARCOS ROBERTO CANTON</t>
  </si>
  <si>
    <t>007.488.860-95</t>
  </si>
  <si>
    <t>MARCOS TAILOR CAPPELLETTO</t>
  </si>
  <si>
    <t>026.244.760-67</t>
  </si>
  <si>
    <t>TREINAMENTOS EM APH, RESGATE VEICULAR E PREVENÇÃO E COMBATE A INCÊNDIOS - CURSO DE RECONHECIMENTO E CAPATURA DE ANIMAIS VENENOSOS E PEÇONHENTOS</t>
  </si>
  <si>
    <t>Teylor</t>
  </si>
  <si>
    <t>(54)992416624</t>
  </si>
  <si>
    <t>Rua João Tortelli</t>
  </si>
  <si>
    <t>MARINEZ IRACEMA SONDA</t>
  </si>
  <si>
    <t>698.989.870-49</t>
  </si>
  <si>
    <t>MARINEZ A+</t>
  </si>
  <si>
    <t>marinessonda076@gmail.com</t>
  </si>
  <si>
    <t>54 996362731</t>
  </si>
  <si>
    <t>(54) 996362731</t>
  </si>
  <si>
    <t>54 999854155</t>
  </si>
  <si>
    <t>MARISA BORBA CORREA</t>
  </si>
  <si>
    <t>MARLI RITA MEZOMO GOLFETTO</t>
  </si>
  <si>
    <t>MARLON WILIAN CASANOVA</t>
  </si>
  <si>
    <t>008.905.870.-43</t>
  </si>
  <si>
    <t>001.209.030-16</t>
  </si>
  <si>
    <t>830.294.860-87</t>
  </si>
  <si>
    <t>Bombeiro Civil Classe I - 306 HORAS CEVTE - Condutor de veiculo de emergencia - SEST/SENAT APH / BLS Primeira resposta em produtos perigosos - HAZMAT NR 10 NR 33 NR 35 Resgate de Passageiros Em Elevadores - Tyssen Kroup R.I.T - Rapid Intervencion Team Curso Resgatista CBMRS 3º Ediçao (cursando)</t>
  </si>
  <si>
    <t>Dallagnol</t>
  </si>
  <si>
    <t>clarencio.represenacores@gmail.com</t>
  </si>
  <si>
    <t>(54)98428-3001</t>
  </si>
  <si>
    <t>(54)98427-3002</t>
  </si>
  <si>
    <t>Av.Senador Alberto Pasqualini, 395</t>
  </si>
  <si>
    <t>829.856.260-72</t>
  </si>
  <si>
    <t>MATHEUS OLTRAMARI</t>
  </si>
  <si>
    <t>023.655.600-24</t>
  </si>
  <si>
    <t>Não possuo</t>
  </si>
  <si>
    <t>OLTRAMARI</t>
  </si>
  <si>
    <t>mateus_oltramari@hotmail.com</t>
  </si>
  <si>
    <t>(54) 999506403</t>
  </si>
  <si>
    <t>Rua Alfredo Cazzuni</t>
  </si>
  <si>
    <t>MAURI SANGALLI</t>
  </si>
  <si>
    <t>892.955.520-91</t>
  </si>
  <si>
    <t>TREINAMENTO EM APH E RESGATE VEICULAR JUNTO AO CBM/RS</t>
  </si>
  <si>
    <t>Sangalli</t>
  </si>
  <si>
    <t>maninhosanagalli@hotmail.com</t>
  </si>
  <si>
    <t>(54)991500852</t>
  </si>
  <si>
    <t>(54)991237383</t>
  </si>
  <si>
    <t>Rua João Tortelli, 738</t>
  </si>
  <si>
    <t>MAURÍCIO AUGUSTO MATTIELLO DE SÁ</t>
  </si>
  <si>
    <t>011.958.660-62</t>
  </si>
  <si>
    <t>MAURÍCIO MENEGHETTI</t>
  </si>
  <si>
    <t>MAURÍCIO VIEIRA</t>
  </si>
  <si>
    <t>010.385.090-25</t>
  </si>
  <si>
    <t>MAURICIO</t>
  </si>
  <si>
    <t>Mauríciovieira0706@gmail.com</t>
  </si>
  <si>
    <t>Nao</t>
  </si>
  <si>
    <t>(54) 999900591</t>
  </si>
  <si>
    <t>99655-009</t>
  </si>
  <si>
    <t>Rua Jose Pelin</t>
  </si>
  <si>
    <t>MAURO CHAGAS DA COSTA</t>
  </si>
  <si>
    <t>XG</t>
  </si>
  <si>
    <t>MICHEL PELLIN</t>
  </si>
  <si>
    <t>016.374.610-97</t>
  </si>
  <si>
    <t>Jurídico - Combatente</t>
  </si>
  <si>
    <t>Combate a incêndio,  manuseio de extintores</t>
  </si>
  <si>
    <t>MICHEL</t>
  </si>
  <si>
    <t>michelpelin.oab@yahoo.com</t>
  </si>
  <si>
    <t>(54) 999301754</t>
  </si>
  <si>
    <t>54 999903888</t>
  </si>
  <si>
    <t>Avenida Lido A Oltramari, 1117</t>
  </si>
  <si>
    <t>MILTON OMIZOLO</t>
  </si>
  <si>
    <t>760.368.710-15</t>
  </si>
  <si>
    <t>MOISÉS DA SILVA</t>
  </si>
  <si>
    <t>722.973.790-72</t>
  </si>
  <si>
    <t>143851925/SP</t>
  </si>
  <si>
    <t>MOISÉS</t>
  </si>
  <si>
    <t>dasilvamoises336@gmail.com</t>
  </si>
  <si>
    <t>(54)999938898</t>
  </si>
  <si>
    <t>Rua 15 de Novembro, 63</t>
  </si>
  <si>
    <t>987.992.820-20</t>
  </si>
  <si>
    <t>Nadia</t>
  </si>
  <si>
    <t>nadiakazmirski@yahoo.com.br</t>
  </si>
  <si>
    <t>(54)99816-7661</t>
  </si>
  <si>
    <t>(54)99702-8650</t>
  </si>
  <si>
    <t>Rua Fernando Ferrari, 213</t>
  </si>
  <si>
    <t>NADYA CRISTINA LEIRIA DA SILVA</t>
  </si>
  <si>
    <t>Técnica de enfermagem, curso de bombeiro civil, curso socorrista, APH, combate incêndio</t>
  </si>
  <si>
    <t>NADYA</t>
  </si>
  <si>
    <t>nadya.silva1102@gmail.com</t>
  </si>
  <si>
    <t>(54)336132211</t>
  </si>
  <si>
    <t>(54)999227250</t>
  </si>
  <si>
    <t>NATAL MIOR</t>
  </si>
  <si>
    <t>942.163.980-49</t>
  </si>
  <si>
    <t>Atendimento Suporte Básico de Vida/ Brigada de Incendio</t>
  </si>
  <si>
    <t>MIOR</t>
  </si>
  <si>
    <t>natalmior79@gmail.com</t>
  </si>
  <si>
    <t>(54)991272617</t>
  </si>
  <si>
    <t>recinto feroviario</t>
  </si>
  <si>
    <t>003.341.410-60</t>
  </si>
  <si>
    <t>NEI</t>
  </si>
  <si>
    <t>neimar.rasche21@gmail.com</t>
  </si>
  <si>
    <t>(54)991821076</t>
  </si>
  <si>
    <t>Rua Adão da Rosa, 22</t>
  </si>
  <si>
    <t>Arlindo Hermes</t>
  </si>
  <si>
    <t>NELIR MARCONDES DE QUADROS BREANCINI</t>
  </si>
  <si>
    <t>687.057.510-04</t>
  </si>
  <si>
    <t>983.461.999-53</t>
  </si>
  <si>
    <t>Curso de APH, CEVTE</t>
  </si>
  <si>
    <t>SCHIMIDT</t>
  </si>
  <si>
    <t>dalagnolneudir@gmail.com</t>
  </si>
  <si>
    <t>(54)999771993</t>
  </si>
  <si>
    <t>Rua Angelo Basso, 33</t>
  </si>
  <si>
    <t>Bairro Parque Dourado</t>
  </si>
  <si>
    <t>502.637.140-04</t>
  </si>
  <si>
    <t>Coordenador</t>
  </si>
  <si>
    <t>Curso de APH, CEVTE - Condutor de veiculo de emergência</t>
  </si>
  <si>
    <t>PIVA</t>
  </si>
  <si>
    <t>neumircpiva@yahoo.com.b</t>
  </si>
  <si>
    <t>(54)999771223</t>
  </si>
  <si>
    <t>Rua Frei Leonardo Stock, 44</t>
  </si>
  <si>
    <t>969.516.560-53</t>
  </si>
  <si>
    <t>COMANDANTE</t>
  </si>
  <si>
    <t>Eng. De Segurança do Trabalho/RIT/Resgate em Altura/APH/BLS/Operação de Motosserra/Brigada de Incêndio/Nivelamento Operacional BV/EPI's e EPRA/Nivelamento Operacional CBMRS/Especialista em ancoragens/Profissional de Acesso por Cordas N2 IRATA/Arborista</t>
  </si>
  <si>
    <t>SCALCO</t>
  </si>
  <si>
    <t>Mestrado</t>
  </si>
  <si>
    <t>nas.scalco@gmail.com</t>
  </si>
  <si>
    <t>54 31910061</t>
  </si>
  <si>
    <t>(54)996055507</t>
  </si>
  <si>
    <t>(54)996050881</t>
  </si>
  <si>
    <t>Rua Flamboyant, 228</t>
  </si>
  <si>
    <t>Jardim</t>
  </si>
  <si>
    <t>NILTON ANTÔNIO MOCELLIN</t>
  </si>
  <si>
    <t>549.226.150-91</t>
  </si>
  <si>
    <t>NILTON</t>
  </si>
  <si>
    <t>rpps@pmaratiba.rs.gov.br</t>
  </si>
  <si>
    <t>(54)996374520</t>
  </si>
  <si>
    <t>Rua Santo Granzotto, 487</t>
  </si>
  <si>
    <t>023.583.481-55</t>
  </si>
  <si>
    <t>ODAIR PAULO MOZELESKI</t>
  </si>
  <si>
    <t>993.473.930-53</t>
  </si>
  <si>
    <t>PRIMEIROS SOCORROS,NR35,APH.</t>
  </si>
  <si>
    <t>INDIO</t>
  </si>
  <si>
    <t>jefersoncosta4098@gmail.com</t>
  </si>
  <si>
    <t>(54) 996103156</t>
  </si>
  <si>
    <t>LINHA DUAS SECCÃO CRAVO</t>
  </si>
  <si>
    <t>ODAMIR JOSÉ CORREIA</t>
  </si>
  <si>
    <t>611.071.824-68</t>
  </si>
  <si>
    <t>589.742.020-34</t>
  </si>
  <si>
    <t>COMANDANTE/PRESIDENTE</t>
  </si>
  <si>
    <t>Atendiimento Suporte Básico de Vida/CFSD/CTSP</t>
  </si>
  <si>
    <t>onoribranco@gmail.com</t>
  </si>
  <si>
    <t>(54) 999580720</t>
  </si>
  <si>
    <t>Rua Luiz Alegretti 260</t>
  </si>
  <si>
    <t>OSMAR PAULO NADAL</t>
  </si>
  <si>
    <t>636.859.650-34</t>
  </si>
  <si>
    <t>TREINAMENTOS EM APH, PREVENÇÃO E COMBATE A INCÊNDIOS E RESGATE EM ALTURA JUNTO AO CBM/RS - 24 HORAS DE ESTÁGIO JUNTO AO CBM/RS</t>
  </si>
  <si>
    <t>Nadal</t>
  </si>
  <si>
    <t>(54)999765021</t>
  </si>
  <si>
    <t>Rua Angelo Tortelli, 121</t>
  </si>
  <si>
    <t>OVÍDIO FRIGOTTO</t>
  </si>
  <si>
    <t>402.034.500-78</t>
  </si>
  <si>
    <t>2º Tesoureiro</t>
  </si>
  <si>
    <t>TREINAMENTOS EM APH, RESGATE VEICULAR E PREVENÇÃO E COMBATE A INCENDIOS - CURSO APH/BLS</t>
  </si>
  <si>
    <t>Frigotto</t>
  </si>
  <si>
    <t>frigottoovidio@ymail.com</t>
  </si>
  <si>
    <t>(54)999388042</t>
  </si>
  <si>
    <t>(54)999764971</t>
  </si>
  <si>
    <t>Rua João Tortelli, 440</t>
  </si>
  <si>
    <t>PÂMELA ELLEN ALVES BALDO</t>
  </si>
  <si>
    <t>086.964.839-01</t>
  </si>
  <si>
    <t>Aph , combate a incêndios</t>
  </si>
  <si>
    <t>PÂMELA BALDO</t>
  </si>
  <si>
    <t>pamelaellen93@gmail.com</t>
  </si>
  <si>
    <t>(54) 999220493</t>
  </si>
  <si>
    <t>Linha Votouro,630</t>
  </si>
  <si>
    <t>PATRÍCIA BITARELLO VOLPI</t>
  </si>
  <si>
    <t>824.846.350-87</t>
  </si>
  <si>
    <t>Atendiimento Suporte Básico de Vida/Fisioterapeuta</t>
  </si>
  <si>
    <t>PATRICIA</t>
  </si>
  <si>
    <t>patybittarello@gmail.com</t>
  </si>
  <si>
    <t>(54) 999616445</t>
  </si>
  <si>
    <t>Rua Anchieta 275</t>
  </si>
  <si>
    <t>PATRÍCIA D'AGOSTINI SPINHIK</t>
  </si>
  <si>
    <t>001.421.080-06</t>
  </si>
  <si>
    <t>Manutenção Logística - Combatente</t>
  </si>
  <si>
    <t>Professora, Combate a Incendio</t>
  </si>
  <si>
    <t>PATRÍCIA</t>
  </si>
  <si>
    <t>paty_dago@hotmail.com</t>
  </si>
  <si>
    <t>54 999310628</t>
  </si>
  <si>
    <t>(54) 999310628</t>
  </si>
  <si>
    <t>José Pelin</t>
  </si>
  <si>
    <t>012.723.760-79</t>
  </si>
  <si>
    <t>PAULO CESAR DE ANDRADE</t>
  </si>
  <si>
    <t>898.375.410-91</t>
  </si>
  <si>
    <t>ANDRADE</t>
  </si>
  <si>
    <t>interandrade@yahoo.com.br</t>
  </si>
  <si>
    <t>(54)996123611</t>
  </si>
  <si>
    <t>Rua Mimosa, 315</t>
  </si>
  <si>
    <t>PAULO CEZAR BEDIN</t>
  </si>
  <si>
    <t>624.214.680-00</t>
  </si>
  <si>
    <t>Combate a incendios, Ensino fundamental</t>
  </si>
  <si>
    <t>PAULO</t>
  </si>
  <si>
    <t>Ensino fundamental</t>
  </si>
  <si>
    <t>(54) 9631-7110</t>
  </si>
  <si>
    <t>Linha Faxinal Grande</t>
  </si>
  <si>
    <t>026.173.940-93</t>
  </si>
  <si>
    <t>RAFAEL CUNICO</t>
  </si>
  <si>
    <t>RAFAEL DANIEL SCHERER</t>
  </si>
  <si>
    <t>039.232.980-80</t>
  </si>
  <si>
    <t>Combate incêndio pelo CBMRS, Resgate veicular basico</t>
  </si>
  <si>
    <t>SCHERER</t>
  </si>
  <si>
    <t>rafaelscherer194@gmail.com</t>
  </si>
  <si>
    <t>(54)99696-9256</t>
  </si>
  <si>
    <t>Av lido armando Oltramari N-1000</t>
  </si>
  <si>
    <t>RAFAEL TEIXEIRA MENDES</t>
  </si>
  <si>
    <t>044.144.630-25</t>
  </si>
  <si>
    <t>RAQUEL MARTINS</t>
  </si>
  <si>
    <t>RAQUEL MOREIRA</t>
  </si>
  <si>
    <t>RÉGIS BRUNO SKIBINSKI</t>
  </si>
  <si>
    <t>020.913.330-93</t>
  </si>
  <si>
    <t>Atendiimento Suporte Básico de Vida/ Socorrista/ Bombeiro Civil</t>
  </si>
  <si>
    <t>SKIBINSKI</t>
  </si>
  <si>
    <t>regisskibinski@yahoo.com.br</t>
  </si>
  <si>
    <t>(54) 999327430</t>
  </si>
  <si>
    <t>Rua Luiz Alegretti 95</t>
  </si>
  <si>
    <t>RENAM DE LIMA</t>
  </si>
  <si>
    <t>RENATO KUJAWINSKI</t>
  </si>
  <si>
    <t>022.655.000-11</t>
  </si>
  <si>
    <t>RICARDO LUIZ RUSTIK</t>
  </si>
  <si>
    <t>922.053.720-68</t>
  </si>
  <si>
    <t>motorista</t>
  </si>
  <si>
    <t>RICARDO SARETTO</t>
  </si>
  <si>
    <t>012.606.390-70</t>
  </si>
  <si>
    <t>821.427.930-53</t>
  </si>
  <si>
    <t>ROBERTA</t>
  </si>
  <si>
    <t>betadetofol@hormail.com</t>
  </si>
  <si>
    <t>(54) 996800739</t>
  </si>
  <si>
    <t>Rua Candido Munaro 63</t>
  </si>
  <si>
    <t>ROBSON SCHULTZ BORGES</t>
  </si>
  <si>
    <t>018.631.090-05</t>
  </si>
  <si>
    <t>robsonschultzborgesschultzborg@gmail.com</t>
  </si>
  <si>
    <t>ROGÉRIO DE MIRANDA VIDAL</t>
  </si>
  <si>
    <t>999.936.510.87</t>
  </si>
  <si>
    <t>013.002.900-99</t>
  </si>
  <si>
    <t>TATI</t>
  </si>
  <si>
    <t>TSCHIEDELTATIANA18@GMAIL.COM</t>
  </si>
  <si>
    <t>(54)997005678</t>
  </si>
  <si>
    <t>Rua Arlindo Lauxem, 153</t>
  </si>
  <si>
    <t>Harlindo Hermes</t>
  </si>
  <si>
    <t>ROSANE ARTINI</t>
  </si>
  <si>
    <t>ROSANE TEDESCO BOTTAN</t>
  </si>
  <si>
    <t>033.308.220-66</t>
  </si>
  <si>
    <t>Rosane</t>
  </si>
  <si>
    <t>(54)91801301</t>
  </si>
  <si>
    <t>Rua Isidoro Gasparetto,225</t>
  </si>
  <si>
    <t>RUDINEI DA SILVA LUCAS</t>
  </si>
  <si>
    <t>900.623.450.87</t>
  </si>
  <si>
    <t>900.623.450-87</t>
  </si>
  <si>
    <t>RUDINEI GONÇALVES DE OLIVEIRA</t>
  </si>
  <si>
    <t>815.751.490-87</t>
  </si>
  <si>
    <t>RUDI</t>
  </si>
  <si>
    <t>(54) 9 96163550</t>
  </si>
  <si>
    <t>Rua Faustino Licio de Oliveira</t>
  </si>
  <si>
    <t>073.909.626-58</t>
  </si>
  <si>
    <t>Subcomandante - Combatente</t>
  </si>
  <si>
    <t>Rapel vertical, Combate Incendio, Resgate Veicular basico</t>
  </si>
  <si>
    <t>RUI VALIM</t>
  </si>
  <si>
    <t>ruivalimneto@gmail.com</t>
  </si>
  <si>
    <t>Entre 1,66m e 170m</t>
  </si>
  <si>
    <t>(54) 996858181</t>
  </si>
  <si>
    <t>(54) 997148337</t>
  </si>
  <si>
    <t>(54)997148337</t>
  </si>
  <si>
    <t>Av Lido Armando Oltramari</t>
  </si>
  <si>
    <t>SERLI FRIGOTTO</t>
  </si>
  <si>
    <t>749.267.480-53</t>
  </si>
  <si>
    <t>Serli</t>
  </si>
  <si>
    <t>(54) 999764927</t>
  </si>
  <si>
    <t>PASSO FUNDO</t>
  </si>
  <si>
    <t>SIDINEI MACHADO DA SILVA</t>
  </si>
  <si>
    <t>bombeiro civil</t>
  </si>
  <si>
    <t>SIRLEI TEREZINHA NAZARIO</t>
  </si>
  <si>
    <t>010.002.900-00</t>
  </si>
  <si>
    <t>1 grau completo, Combate a Incendio</t>
  </si>
  <si>
    <t>Serleinazario16a gmail.com</t>
  </si>
  <si>
    <t>(54) 999211345</t>
  </si>
  <si>
    <t>Avenida Lido Armando Ultramari 1584</t>
  </si>
  <si>
    <t>Coroados</t>
  </si>
  <si>
    <t>TAINÁ CAUANE LOUREIRO</t>
  </si>
  <si>
    <t>TAINARA DE TOLEDO SCHLENDAK</t>
  </si>
  <si>
    <t>THIAGO RAMOS BARROSO</t>
  </si>
  <si>
    <t>010.579.910-66</t>
  </si>
  <si>
    <t>CURSO DE TRANSPORTE DE CARGAS PERIGOSAS - TREINAMENTOS EM APH, RESGATE VEICULAR E PREVENÇÃO E COMBATE A INCÊNDIOS</t>
  </si>
  <si>
    <t>TIAGO LUIS RORIG</t>
  </si>
  <si>
    <t>010.936.630-08</t>
  </si>
  <si>
    <t>RORIG</t>
  </si>
  <si>
    <t>rorigtiago10@gmail.com</t>
  </si>
  <si>
    <t>(54)992287042</t>
  </si>
  <si>
    <t>Linha 1º de Junho, S/N</t>
  </si>
  <si>
    <t>TIAGO LUÍS RORIG</t>
  </si>
  <si>
    <t>010.636.630-08</t>
  </si>
  <si>
    <t>UILLIAN VICARI</t>
  </si>
  <si>
    <t>007.893.200-96</t>
  </si>
  <si>
    <t>COVE - AFASTADO</t>
  </si>
  <si>
    <t>811.249.020-15</t>
  </si>
  <si>
    <t>vagnerbressan@yahoo.com.br</t>
  </si>
  <si>
    <t>(54)99968-7488</t>
  </si>
  <si>
    <t>(54)99941-7398</t>
  </si>
  <si>
    <t>Rua Berto Alban, 85</t>
  </si>
  <si>
    <t>VALDECIR ALVES FAGUNDES</t>
  </si>
  <si>
    <t>924.725.240-72</t>
  </si>
  <si>
    <t>VALDECIR</t>
  </si>
  <si>
    <t>prtetofagundes@gemail.com</t>
  </si>
  <si>
    <t>(54)996698241</t>
  </si>
  <si>
    <t>RUA VALDIR FAGUNDES</t>
  </si>
  <si>
    <t>020.198.480-66</t>
  </si>
  <si>
    <t>009.100.910-30</t>
  </si>
  <si>
    <t>VELCI PIRAN</t>
  </si>
  <si>
    <t>422.151.700.00</t>
  </si>
  <si>
    <t>Mecânico motorista operador</t>
  </si>
  <si>
    <t>PIRAN</t>
  </si>
  <si>
    <t>velcipiran2017@outlook.com</t>
  </si>
  <si>
    <t>54 3546 1134</t>
  </si>
  <si>
    <t>(54) 999413114</t>
  </si>
  <si>
    <t>Av lido armando oltramari 1250</t>
  </si>
  <si>
    <t>VILMAR BERGAMIN</t>
  </si>
  <si>
    <t>667.482.910-20</t>
  </si>
  <si>
    <t>BERGAMIN</t>
  </si>
  <si>
    <t>vilmar Bergamin 1970gdmeio .com</t>
  </si>
  <si>
    <t>(54)999508793</t>
  </si>
  <si>
    <t>votoro</t>
  </si>
  <si>
    <t>VINÍCIOS CARIEL VOLPI</t>
  </si>
  <si>
    <t>005.473.990-06</t>
  </si>
  <si>
    <t>VOLPI</t>
  </si>
  <si>
    <t>viniciosvolpi@gmail.com</t>
  </si>
  <si>
    <t>(54) 999056445</t>
  </si>
  <si>
    <t>VINICIUS RICARDO VICARI</t>
  </si>
  <si>
    <t>VIVIANE FÁTIMA QUADRI BATISTELLA</t>
  </si>
  <si>
    <t>VLADEMIR BORGES DOS SANTOS</t>
  </si>
  <si>
    <t>010.072.790-52</t>
  </si>
  <si>
    <t>danubiacherini@yahoo.com.br</t>
  </si>
  <si>
    <t>VOLMAR DALLA MONTA</t>
  </si>
  <si>
    <t>743.433.430-49</t>
  </si>
  <si>
    <t>TREINAMENTOS EM APH E PREVENÇÃO E COMBATE A INCÊNDIOS JUNTO AO CBM/RS E CURSO DE DIREÇÃO DE VEÍCULOS DE EMERGÊNCIA E HABILITAÇÃO NAVAL CONCEDIDA PELA MARINHA DO BRASIL.</t>
  </si>
  <si>
    <t>Dalla Monta</t>
  </si>
  <si>
    <t>(54) 991691017</t>
  </si>
  <si>
    <t>Rua Pascoal Montini, 20</t>
  </si>
  <si>
    <t>VOLMIR JOSÉ AMREIN</t>
  </si>
  <si>
    <t>619.287.040-34</t>
  </si>
  <si>
    <t>AMREIN</t>
  </si>
  <si>
    <t>amrein51@gmail.com</t>
  </si>
  <si>
    <t>(54)999669842</t>
  </si>
  <si>
    <t>RUA JOÃO AMANDIO SPERB</t>
  </si>
  <si>
    <t>471.345.770-15</t>
  </si>
  <si>
    <t>VOLNEI PICOLI</t>
  </si>
  <si>
    <t>WESLEY NAZZARI</t>
  </si>
  <si>
    <t>016.092.590-84</t>
  </si>
  <si>
    <t>Medicina</t>
  </si>
  <si>
    <t>ZELAVIR SYCHOCKI</t>
  </si>
  <si>
    <t>682.040.000-49</t>
  </si>
  <si>
    <t>931.187.670-49</t>
  </si>
  <si>
    <t>Comandante/Presidente</t>
  </si>
  <si>
    <t>Atendimento Suporte Básico de Vida/CVE/CTVE/ cursos Brigada Militar</t>
  </si>
  <si>
    <t>STEIN</t>
  </si>
  <si>
    <t>zonolei@hotmail.com</t>
  </si>
  <si>
    <t>(54)999845172</t>
  </si>
  <si>
    <t xml:space="preserve">Efetivo - Nome Completo </t>
  </si>
  <si>
    <t>08° BBM</t>
  </si>
  <si>
    <t>Esteio</t>
  </si>
  <si>
    <t>820.447.910-72</t>
  </si>
  <si>
    <t>Combatente Linha / socorrista</t>
  </si>
  <si>
    <t>Bombeiro Civil Classe III</t>
  </si>
  <si>
    <t>Adriano</t>
  </si>
  <si>
    <t>adrianomarcelomachado@gmail.com</t>
  </si>
  <si>
    <t>51 985696171</t>
  </si>
  <si>
    <t>51 991675163</t>
  </si>
  <si>
    <t>93260-140</t>
  </si>
  <si>
    <t>Av. Senador Salgado Filho, 1341, Apt 202</t>
  </si>
  <si>
    <t>966.212.300-87</t>
  </si>
  <si>
    <t>706.823.720-72</t>
  </si>
  <si>
    <t>Bombeiro Civil Classe I</t>
  </si>
  <si>
    <t>Alexsandro</t>
  </si>
  <si>
    <t>alexsandro.af107@gmail.com</t>
  </si>
  <si>
    <t>51 992645673</t>
  </si>
  <si>
    <t>9322-040</t>
  </si>
  <si>
    <t>Rua General Dalto Filho, 169</t>
  </si>
  <si>
    <t>ALEXSSANDRE DAL BOSCO DA SILVA</t>
  </si>
  <si>
    <t>654.183.870-49</t>
  </si>
  <si>
    <t>ANDRÉ CAMARGO DA MOTTA</t>
  </si>
  <si>
    <t>040.360.060-02</t>
  </si>
  <si>
    <t>ANDRÉ LUCIANO DA CONCEIÇÃO RAMOS</t>
  </si>
  <si>
    <t>737.069.570-00</t>
  </si>
  <si>
    <t>AUXILIAR DE LINHA / SOCORRISTA</t>
  </si>
  <si>
    <t>TECNICO EM SEGURANÇA DO TRABALHO</t>
  </si>
  <si>
    <t>RAMOS</t>
  </si>
  <si>
    <t>andreramostst@yahoo.com.br</t>
  </si>
  <si>
    <t>85kg</t>
  </si>
  <si>
    <t>(51)99249-5201</t>
  </si>
  <si>
    <t>(51)99730-7723</t>
  </si>
  <si>
    <t>91120-020</t>
  </si>
  <si>
    <t>RUA ANGELINA GONÇALVES, 293</t>
  </si>
  <si>
    <t>08°BBM</t>
  </si>
  <si>
    <t>Nova Santa Rita</t>
  </si>
  <si>
    <t>BRUNO MELLO BRASIL</t>
  </si>
  <si>
    <t>855.762.390-91</t>
  </si>
  <si>
    <t>OPERACIONAL</t>
  </si>
  <si>
    <t>BRASIL</t>
  </si>
  <si>
    <t>Negro</t>
  </si>
  <si>
    <t>ensino medio</t>
  </si>
  <si>
    <r>
      <rPr>
        <u/>
        <sz val="10"/>
        <color rgb="FF1155CC"/>
        <rFont val="Calibri"/>
        <charset val="134"/>
      </rPr>
      <t>brunnobrasil6@gmail.com</t>
    </r>
  </si>
  <si>
    <t>80kg</t>
  </si>
  <si>
    <t>entre 180m</t>
  </si>
  <si>
    <t>(51) 989702906</t>
  </si>
  <si>
    <t>(51) 997105460</t>
  </si>
  <si>
    <t>rua travessa das camelias</t>
  </si>
  <si>
    <t>partenon</t>
  </si>
  <si>
    <t>CAUÃ SILVEIRA CORREIA</t>
  </si>
  <si>
    <t>045.458.630-27</t>
  </si>
  <si>
    <t>CLEBER BOEIRA FRAGA</t>
  </si>
  <si>
    <t>020.932.670-04</t>
  </si>
  <si>
    <t>TÉCNICO DE SEGURANÇA DO TRABALHO / BLS / APH</t>
  </si>
  <si>
    <t>cleber.cvsr@gmail.com</t>
  </si>
  <si>
    <t>(51)99132-3873</t>
  </si>
  <si>
    <t>(51)99905-1230</t>
  </si>
  <si>
    <t>94190-000</t>
  </si>
  <si>
    <t>RUA BERNARDO JOAQUIM FERREIRA, 1900</t>
  </si>
  <si>
    <t>CAÇA E PESCA</t>
  </si>
  <si>
    <t>017.646.700-94</t>
  </si>
  <si>
    <t>BOMBEIRO CIVIL</t>
  </si>
  <si>
    <t>TROSCISKI</t>
  </si>
  <si>
    <t>cristiantrosciski.bc@gmail.com</t>
  </si>
  <si>
    <t>61kg</t>
  </si>
  <si>
    <t>(51)99157-7316</t>
  </si>
  <si>
    <t>(51)98476-3872</t>
  </si>
  <si>
    <t>94170-090</t>
  </si>
  <si>
    <t>TRAVESSA SANTO ANTONIO, 40</t>
  </si>
  <si>
    <t>SANTA CRUZ</t>
  </si>
  <si>
    <t>026.062.970-75</t>
  </si>
  <si>
    <t>Medina</t>
  </si>
  <si>
    <t>cristianlopesmedina@gmail.com</t>
  </si>
  <si>
    <t>93214-170</t>
  </si>
  <si>
    <t>AV: Lúcio Bittencourt</t>
  </si>
  <si>
    <t>DIEGO JESUS DOS SANTOS DA SILVA</t>
  </si>
  <si>
    <t>038.230.260-54</t>
  </si>
  <si>
    <t>DIONÍSIO NUNES DA SILVA</t>
  </si>
  <si>
    <t>921.780.300-68</t>
  </si>
  <si>
    <t>ELIANDRO FERREIRA GOMES</t>
  </si>
  <si>
    <t>012.729.390-65</t>
  </si>
  <si>
    <t>943.576.090-20</t>
  </si>
  <si>
    <t>850.715.870-68</t>
  </si>
  <si>
    <t>ELLEN</t>
  </si>
  <si>
    <t>ellen.gomes28@gmail.com</t>
  </si>
  <si>
    <t>56kg</t>
  </si>
  <si>
    <t>(51)98912-1981</t>
  </si>
  <si>
    <t>022.604.360-64</t>
  </si>
  <si>
    <t>BOMBEIRO CIVIL/ CAB</t>
  </si>
  <si>
    <t>FELIPE</t>
  </si>
  <si>
    <r>
      <rPr>
        <u/>
        <sz val="10"/>
        <color rgb="FF1155CC"/>
        <rFont val="Calibri"/>
        <charset val="134"/>
      </rPr>
      <t>felipecarneiro193@gmail.com</t>
    </r>
  </si>
  <si>
    <t>(51) 99610-3767</t>
  </si>
  <si>
    <t>(51) 99321-2700</t>
  </si>
  <si>
    <t>92420-080</t>
  </si>
  <si>
    <t>Rua Evaristo da Veiga, 250</t>
  </si>
  <si>
    <t>São Luís</t>
  </si>
  <si>
    <t>GIANCARLO BARBOSA GREINER</t>
  </si>
  <si>
    <t>039.799.210-69</t>
  </si>
  <si>
    <t>GIANCARLO</t>
  </si>
  <si>
    <t>ensino superior completo</t>
  </si>
  <si>
    <r>
      <rPr>
        <u/>
        <sz val="10"/>
        <color rgb="FF1155CC"/>
        <rFont val="Calibri"/>
        <charset val="134"/>
      </rPr>
      <t>giancarlogreiner388@gmail.com</t>
    </r>
  </si>
  <si>
    <t>entre 180</t>
  </si>
  <si>
    <t>(51) 995763658</t>
  </si>
  <si>
    <t>(51) 997492333</t>
  </si>
  <si>
    <t>rua guaruja,300</t>
  </si>
  <si>
    <t>são jose</t>
  </si>
  <si>
    <t>GILBERTO PAIXÃO PEREIRA DOS SANTOS</t>
  </si>
  <si>
    <t>935.096.500-34</t>
  </si>
  <si>
    <t>PAIXÃO</t>
  </si>
  <si>
    <t>mecanicabeto.paixao@gmail.com</t>
  </si>
  <si>
    <t>(51)99924-6719</t>
  </si>
  <si>
    <t>(51)99492-1329</t>
  </si>
  <si>
    <t>94100-560</t>
  </si>
  <si>
    <t>ESTRADA JORGE AMADO, 478</t>
  </si>
  <si>
    <t>473.244.810-00</t>
  </si>
  <si>
    <t>ITAMAR</t>
  </si>
  <si>
    <t>itamar.tst2015@gmail.com</t>
  </si>
  <si>
    <t>(51)98508-2426</t>
  </si>
  <si>
    <t>(51)98453-5115</t>
  </si>
  <si>
    <t>94155-150</t>
  </si>
  <si>
    <t>RUA CARLOS GARDEL, 535</t>
  </si>
  <si>
    <t>SÃO VICENTE</t>
  </si>
  <si>
    <t>033.863.010-45</t>
  </si>
  <si>
    <t>AUXILIAR</t>
  </si>
  <si>
    <t>JADER</t>
  </si>
  <si>
    <t>jaderbueno093@gmail.com</t>
  </si>
  <si>
    <t>(51) 990113726</t>
  </si>
  <si>
    <t>(51) 998606677</t>
  </si>
  <si>
    <t>94110-523</t>
  </si>
  <si>
    <t>RUA ANGRA DOS REIS 173</t>
  </si>
  <si>
    <t>PARQUE IPIRANGA</t>
  </si>
  <si>
    <t>676.007.270-72</t>
  </si>
  <si>
    <t>LEANDRO MACHADO</t>
  </si>
  <si>
    <t>729.282.200-20</t>
  </si>
  <si>
    <t>LEANDRO</t>
  </si>
  <si>
    <t>leandro.machado2010@hotmail.com</t>
  </si>
  <si>
    <t>130kg</t>
  </si>
  <si>
    <t>(51) 3488-9361</t>
  </si>
  <si>
    <t>(51)99712-2713</t>
  </si>
  <si>
    <t>(51)99937-1334</t>
  </si>
  <si>
    <t>94170-140</t>
  </si>
  <si>
    <t>RUA SÃO FRANCISCO, 211</t>
  </si>
  <si>
    <t>023.453.320-00</t>
  </si>
  <si>
    <t>CINÓFILO / TÉCNICO DE SEGURANÇA DO TRABALHO</t>
  </si>
  <si>
    <t>PEREZ</t>
  </si>
  <si>
    <t>luizcaperezjr@gmail.com</t>
  </si>
  <si>
    <t>(51)985863027</t>
  </si>
  <si>
    <t>(51)99333-1620</t>
  </si>
  <si>
    <t>94080-190</t>
  </si>
  <si>
    <t>RUA ALIANÇA, 479</t>
  </si>
  <si>
    <t>MORADA DO VALE III</t>
  </si>
  <si>
    <t>519.126.860-15</t>
  </si>
  <si>
    <t>MÁRCIO ANDRÉ RODRIGUES PIRES</t>
  </si>
  <si>
    <t>671.619.520-34</t>
  </si>
  <si>
    <t>751.535.250-91</t>
  </si>
  <si>
    <t>MAX GABRIEL ESCOUTO MELO DA SILVA</t>
  </si>
  <si>
    <t>859.637.630-53</t>
  </si>
  <si>
    <t>MAX</t>
  </si>
  <si>
    <r>
      <rPr>
        <u/>
        <sz val="10"/>
        <color rgb="FF1155CC"/>
        <rFont val="Calibri"/>
        <charset val="134"/>
      </rPr>
      <t>gabriel.escouto59@gmail.com</t>
    </r>
  </si>
  <si>
    <t>96kg</t>
  </si>
  <si>
    <t>Entre 178m</t>
  </si>
  <si>
    <t>(51) 993531172</t>
  </si>
  <si>
    <t>(51)989737528</t>
  </si>
  <si>
    <t>Rua nossa senhora do brasil, AL 5, 219</t>
  </si>
  <si>
    <t>santa teresa</t>
  </si>
  <si>
    <t>023.976.300-95</t>
  </si>
  <si>
    <t>NELSON NECKEL DA SILVA JUNIOR</t>
  </si>
  <si>
    <t>033.604.930-79</t>
  </si>
  <si>
    <t>039.875.450-03</t>
  </si>
  <si>
    <t>RANIERI SANTOS DOS SANTOS</t>
  </si>
  <si>
    <t>040.352.180-73</t>
  </si>
  <si>
    <t>REGINALDO ANTÔNIO MELO IANNONE</t>
  </si>
  <si>
    <t>992.451.400-91</t>
  </si>
  <si>
    <t>360.393.780-87</t>
  </si>
  <si>
    <t>ROBSON ORDOQUE OLIVEIRA</t>
  </si>
  <si>
    <t>038.244.020-09</t>
  </si>
  <si>
    <t>ORDOQUI</t>
  </si>
  <si>
    <r>
      <rPr>
        <u/>
        <sz val="10"/>
        <color rgb="FF1155CC"/>
        <rFont val="Calibri"/>
        <charset val="134"/>
      </rPr>
      <t>robsonordoqui@gmail.com</t>
    </r>
  </si>
  <si>
    <t>(51) 984763644</t>
  </si>
  <si>
    <t>(51) 985701810</t>
  </si>
  <si>
    <t>Rua edgar pires de castro.2901</t>
  </si>
  <si>
    <t>aberta dos morros</t>
  </si>
  <si>
    <t>ROBSON SCHULTZ ARQUES</t>
  </si>
  <si>
    <t>033.454.530-70</t>
  </si>
  <si>
    <t>626.581.660-87</t>
  </si>
  <si>
    <t>RODRIGO JOSÉ RODRIGUES</t>
  </si>
  <si>
    <t>818.042.020-53</t>
  </si>
  <si>
    <t xml:space="preserve">RODRIGO JOSÉ RODRIGUES </t>
  </si>
  <si>
    <t>rjrodrigues03@gmail.com</t>
  </si>
  <si>
    <t>110kg</t>
  </si>
  <si>
    <t>(51)99688-8582</t>
  </si>
  <si>
    <t>(51)99657-2915</t>
  </si>
  <si>
    <t>94199-709</t>
  </si>
  <si>
    <t>RUA BERTOLDO SCHNEIDER,362</t>
  </si>
  <si>
    <t>AUXILIADORA</t>
  </si>
  <si>
    <t>ROGER MALTA SOBROSA</t>
  </si>
  <si>
    <t>016.359.780-91</t>
  </si>
  <si>
    <t>BOMBEIRO CIVIL/CAB</t>
  </si>
  <si>
    <t>MALTA</t>
  </si>
  <si>
    <r>
      <rPr>
        <u/>
        <sz val="10"/>
        <color rgb="FF1155CC"/>
        <rFont val="Calibri"/>
        <charset val="134"/>
      </rPr>
      <t>roger_malta@hotmail.com</t>
    </r>
  </si>
  <si>
    <t>(51) 995594841</t>
  </si>
  <si>
    <t>(51) 984467662</t>
  </si>
  <si>
    <t>Rua cascavel,706</t>
  </si>
  <si>
    <t>parque da matriz</t>
  </si>
  <si>
    <t>007.852.900-01</t>
  </si>
  <si>
    <t>FERREIRA</t>
  </si>
  <si>
    <t>dutrarute474@gmail.com</t>
  </si>
  <si>
    <t>55kg</t>
  </si>
  <si>
    <t>(51)99686-8242</t>
  </si>
  <si>
    <t>(51)98652-3233</t>
  </si>
  <si>
    <t>94199-636</t>
  </si>
  <si>
    <t>RUA DA PAZ, 28</t>
  </si>
  <si>
    <t>NOVA CONQUISTA</t>
  </si>
  <si>
    <t>741.015.440-34</t>
  </si>
  <si>
    <t>bombeirosantos@gmail.com</t>
  </si>
  <si>
    <t>(51) 996245927</t>
  </si>
  <si>
    <t>(51)995347708</t>
  </si>
  <si>
    <t>94945-010</t>
  </si>
  <si>
    <t>ABRAHÃO LINCOLN 222</t>
  </si>
  <si>
    <t>VISTA ALEGRE</t>
  </si>
  <si>
    <t>SIDNEY RAIAN MENDES NOGUEIRA</t>
  </si>
  <si>
    <t>036.137.590-55</t>
  </si>
  <si>
    <t>ab+</t>
  </si>
  <si>
    <t>NOGUEIRA</t>
  </si>
  <si>
    <r>
      <rPr>
        <u/>
        <sz val="10"/>
        <color rgb="FF1155CC"/>
        <rFont val="Calibri"/>
        <charset val="134"/>
      </rPr>
      <t>nogueraian@gmail.com</t>
    </r>
  </si>
  <si>
    <t>92kg</t>
  </si>
  <si>
    <t>entre 175m</t>
  </si>
  <si>
    <t>(51)997772503</t>
  </si>
  <si>
    <t>(51) 994447743</t>
  </si>
  <si>
    <t>gravatai</t>
  </si>
  <si>
    <t>rua tv bahia,35</t>
  </si>
  <si>
    <t>g</t>
  </si>
  <si>
    <t>651.094.730-72</t>
  </si>
  <si>
    <t>812.137.270-49</t>
  </si>
  <si>
    <t>Bombeiro Civil Classe I, Bombeiro Voluntário, Educação Fìsica, TST, Emergências Aquáticas, APH, Resgate em Locais Remotos, Veículo de Emergência Cat D</t>
  </si>
  <si>
    <t>Cardoso</t>
  </si>
  <si>
    <t>Doutorado</t>
  </si>
  <si>
    <t>profcardoso@profcardoso.com</t>
  </si>
  <si>
    <t>(51)98182-6682</t>
  </si>
  <si>
    <t>(51)98408-3376</t>
  </si>
  <si>
    <t>90420-040</t>
  </si>
  <si>
    <t>Rua Santa Cecília, 1900/203</t>
  </si>
  <si>
    <t>Rio Branco</t>
  </si>
  <si>
    <r>
      <rPr>
        <u/>
        <sz val="10"/>
        <color rgb="FF1155CC"/>
        <rFont val="Calibri"/>
        <charset val="134"/>
      </rPr>
      <t>uilrobson193@gmail.com</t>
    </r>
  </si>
  <si>
    <t>75kg</t>
  </si>
  <si>
    <t>entre 170m</t>
  </si>
  <si>
    <t>(51) 998656798</t>
  </si>
  <si>
    <t>(51) 980205008</t>
  </si>
  <si>
    <t>capela santana</t>
  </si>
  <si>
    <t>Rua irai 252</t>
  </si>
  <si>
    <t>imigrante</t>
  </si>
  <si>
    <t>VAGNER ELPÍDIO SERRATTE</t>
  </si>
  <si>
    <t>922.096.880-00</t>
  </si>
  <si>
    <t>505.662.530-20</t>
  </si>
  <si>
    <t>022.667.830-09</t>
  </si>
  <si>
    <t>bombeiro civil classe 1, Socorrista, APH tático, Stop The blead, Urgência e Emergência, NRs 35, 33, 20 e 10, Informática.</t>
  </si>
  <si>
    <t>Oliveira</t>
  </si>
  <si>
    <t>williamoliveiraesteio@gmail.com</t>
  </si>
  <si>
    <t>83kg</t>
  </si>
  <si>
    <t>93490-390</t>
  </si>
  <si>
    <t>Francisco Waldemar bohrer</t>
  </si>
  <si>
    <t>ALESSANDRA MORAES DE ALMEIDA CARDOZO</t>
  </si>
  <si>
    <t>047059400-40</t>
  </si>
  <si>
    <t>09° BBM</t>
  </si>
  <si>
    <t>ALETEIA DE SOUSA NUNES</t>
  </si>
  <si>
    <t>983.757.840-87</t>
  </si>
  <si>
    <t>APH; BLS; TÉCNICO DE ENFERMAGEM; TECNÓLOGO SEGURANÇA DO TRABALHO; RESGATE VEICULAR; BOMBEIRO CIVIL CLASSE I</t>
  </si>
  <si>
    <t>ALETÉIA</t>
  </si>
  <si>
    <t>ALETEIANUNES@GMAIL.COM</t>
  </si>
  <si>
    <t>88KG</t>
  </si>
  <si>
    <t>Não POSSUI</t>
  </si>
  <si>
    <t>51996171734(RODRIGO)</t>
  </si>
  <si>
    <t>RUA TENENTE VIVIAN 1213</t>
  </si>
  <si>
    <t>ALINE MARIANA CAMARATTA DA SILVEIRA</t>
  </si>
  <si>
    <t>024926720-93</t>
  </si>
  <si>
    <t>ANDERSON PADILHA SCHARDOSIM</t>
  </si>
  <si>
    <t>028.780.960-96</t>
  </si>
  <si>
    <t>Inativo</t>
  </si>
  <si>
    <t>ANDERSON PADILHA SHARDOSim</t>
  </si>
  <si>
    <t>028.780960-96</t>
  </si>
  <si>
    <t>003.133.130-08</t>
  </si>
  <si>
    <t>SOCORRISTA</t>
  </si>
  <si>
    <t>TEC. ENFERMAGEM</t>
  </si>
  <si>
    <t>ANGÉLICA</t>
  </si>
  <si>
    <t>MARTINSANGELICA76@GMAIL.COM</t>
  </si>
  <si>
    <t>70KG</t>
  </si>
  <si>
    <t>51999538548(FRANCINE)</t>
  </si>
  <si>
    <t>OLMIRA PEREIRA GAMBA,42</t>
  </si>
  <si>
    <t>BRUNO FREITAS BLANCO</t>
  </si>
  <si>
    <t xml:space="preserve">049873840-00
</t>
  </si>
  <si>
    <t>APH,BLS,TEC. ENFERMAGEM, BOMBEIRO CIVIL CLASSE I</t>
  </si>
  <si>
    <t>FREITASBRUNO2801@GMAIL.COM</t>
  </si>
  <si>
    <t>CRISTÓVÃO COLOMBO 283 AP 14</t>
  </si>
  <si>
    <t>FLORESTA</t>
  </si>
  <si>
    <t>CARLOS ALEXANDRE DE JESUS MACIEL</t>
  </si>
  <si>
    <t>730.266.030-15</t>
  </si>
  <si>
    <t>APH; BLS; BOMBEIRO CIVIL CLASSE I</t>
  </si>
  <si>
    <t>MACIEL</t>
  </si>
  <si>
    <t>CAL.FORTE@HOTMAIL.COM</t>
  </si>
  <si>
    <t>112KG</t>
  </si>
  <si>
    <t>Viamão</t>
  </si>
  <si>
    <t>RUA MOSTARDAS, 95</t>
  </si>
  <si>
    <t>CARLOS AUGUSTO ROLIAN DA CUNHA</t>
  </si>
  <si>
    <t>024.279.240-59</t>
  </si>
  <si>
    <t>CARLOS EDUARDO MOREYRA</t>
  </si>
  <si>
    <t>017.594.460-17</t>
  </si>
  <si>
    <t>MOREYRA</t>
  </si>
  <si>
    <t>MOREYRA220@GMAIL.COM</t>
  </si>
  <si>
    <t>110KG</t>
  </si>
  <si>
    <t>51997055161(GRAZIELA)</t>
  </si>
  <si>
    <t>Imbé</t>
  </si>
  <si>
    <t>SANTA ROSA 1231</t>
  </si>
  <si>
    <t>MARILUZ</t>
  </si>
  <si>
    <t>CARLOS ROBERTO TOLEDO</t>
  </si>
  <si>
    <t>955.244.100-59</t>
  </si>
  <si>
    <t>CONDUTOR D</t>
  </si>
  <si>
    <t>APH; BLS; CAT D e VEÍCULO DE EMERGÊNCIA; BOMBEIRO CIVIL CLASSE I</t>
  </si>
  <si>
    <t>TOLEDO</t>
  </si>
  <si>
    <t>CHIQUINHOTOLETO23@GMAIL.COM</t>
  </si>
  <si>
    <t>75KG</t>
  </si>
  <si>
    <t>51990085479(LILIAN)</t>
  </si>
  <si>
    <t>TEREZA FORESTI 44</t>
  </si>
  <si>
    <t>PINHAL SUL</t>
  </si>
  <si>
    <t>CARLOS VINICIOS LOPES MARTINS</t>
  </si>
  <si>
    <t>036.351.660-30</t>
  </si>
  <si>
    <t>combate a incêndio-CBM/RS, APH, BLs, resgate veicular, nr 35, resgate ao solo-CBM/RS, Brec-CBM/RS.</t>
  </si>
  <si>
    <t>MARTINS</t>
  </si>
  <si>
    <t>CARLOSVINICIOSLOPESMARTINS338@GMAIL.COM</t>
  </si>
  <si>
    <t>93 KG</t>
  </si>
  <si>
    <t>NÃ0 POSSUI</t>
  </si>
  <si>
    <t>(51) 99591-5218</t>
  </si>
  <si>
    <t>Capão da Canoa</t>
  </si>
  <si>
    <t>95555-000</t>
  </si>
  <si>
    <t>RUA CACIQUE</t>
  </si>
  <si>
    <t>CURUMIM</t>
  </si>
  <si>
    <t>CELITA DE OLIVEIRA RADINS</t>
  </si>
  <si>
    <t>676.402.490-15</t>
  </si>
  <si>
    <t>RADINS</t>
  </si>
  <si>
    <t>CELITARADINS@GMAIL.COM</t>
  </si>
  <si>
    <t>101KG</t>
  </si>
  <si>
    <t>51992559781(DILNEI)</t>
  </si>
  <si>
    <t>ARNALDO JOSÉ BERGER 638</t>
  </si>
  <si>
    <t>CESAR MIRANDA DE LEME</t>
  </si>
  <si>
    <t>019037940-56</t>
  </si>
  <si>
    <t>APH, BLS, CAT D E VEÍCULO DE EMERGÊNCIA.</t>
  </si>
  <si>
    <t>LEME</t>
  </si>
  <si>
    <t>CERSC10@GMAIL.COM</t>
  </si>
  <si>
    <t>100KG</t>
  </si>
  <si>
    <t>51994289702(TÂNIA)</t>
  </si>
  <si>
    <t>Palmares do Sul</t>
  </si>
  <si>
    <t>JOSÉ NERES FERREIRA 234</t>
  </si>
  <si>
    <t>CLAUDIA CRISTINA GERMANO LUZIA</t>
  </si>
  <si>
    <t>037.300.789-25</t>
  </si>
  <si>
    <t>71617904/SESP/PR</t>
  </si>
  <si>
    <t>CLAUDIA LUZIA</t>
  </si>
  <si>
    <t>CLAUDINHALUZIA@HOTMAIL.COM</t>
  </si>
  <si>
    <t>60KG</t>
  </si>
  <si>
    <t>51998671476(ALANNA)</t>
  </si>
  <si>
    <t>Tramandaí</t>
  </si>
  <si>
    <t>EMANCIPAÇÃO 480</t>
  </si>
  <si>
    <t>826.355.360-15</t>
  </si>
  <si>
    <t>052.036.668-14</t>
  </si>
  <si>
    <t>mecânico, curso basico para bombeiros para civis auxiliares de bombeiros-operador cab.
 mecânico, curso basico para bombeiros para civis auxiliares de bombeiros-operador cab.</t>
  </si>
  <si>
    <t>MARQUES</t>
  </si>
  <si>
    <t>SANDROMARQUES1983@OUTLOOK.COM</t>
  </si>
  <si>
    <t>70 KG</t>
  </si>
  <si>
    <t>(51) 99792-8467</t>
  </si>
  <si>
    <t>(51) 99752-5032</t>
  </si>
  <si>
    <t>95585-000</t>
  </si>
  <si>
    <t>AV. ATLANTIDA</t>
  </si>
  <si>
    <t>DEMETRIO QUEIROZ FEIJO</t>
  </si>
  <si>
    <t>003.939.580-43</t>
  </si>
  <si>
    <t>APH; BLS; RESGATE VEICULAR; CAT D e VEÍCULO DE EMERGÊNCIA; BOMBEIRO CIVIL CLASSE I</t>
  </si>
  <si>
    <t>QUEIROZ</t>
  </si>
  <si>
    <t>DEMETRIOFEIJO@GMAIL.COM</t>
  </si>
  <si>
    <t>84KG</t>
  </si>
  <si>
    <t>51994304469(MARIA CRISTINE)</t>
  </si>
  <si>
    <t>SANTIAGO 522</t>
  </si>
  <si>
    <t>MAGISTÉRIO</t>
  </si>
  <si>
    <t>DIEGO QUEIROZ FEIJO</t>
  </si>
  <si>
    <t>824.281.820-72</t>
  </si>
  <si>
    <t>APH; BLS; RESGATE VEICULAR; BOMBEIRO CIVIL CLASSE I</t>
  </si>
  <si>
    <t>FEIJÓ</t>
  </si>
  <si>
    <t>DIEGOQUEIROZ55@GMAIL.COM</t>
  </si>
  <si>
    <t>51996681306(GENECI)</t>
  </si>
  <si>
    <t>MONTENEGRO 204</t>
  </si>
  <si>
    <t>003.145.220-50</t>
  </si>
  <si>
    <t>DILNEI</t>
  </si>
  <si>
    <t>DILNEICUSTODIO1@GMAIL.COM</t>
  </si>
  <si>
    <t>51985587281(CELITA)</t>
  </si>
  <si>
    <t>TRIUNFO 1046</t>
  </si>
  <si>
    <t>600.816.500-43</t>
  </si>
  <si>
    <t>APH, salvamento aquático-CBM/RS, BLs, bombeiro civil, NR35,curso de resgate e combate a incêndio</t>
  </si>
  <si>
    <t>SILVADIONATHA1@GMAIL.COM</t>
  </si>
  <si>
    <t>83 KG</t>
  </si>
  <si>
    <t>(51) 99630-8682</t>
  </si>
  <si>
    <t>(51) 98130-4895</t>
  </si>
  <si>
    <t>AV. PARAGUASSU, N°140 LOJA 01</t>
  </si>
  <si>
    <t>ARAÇÁ</t>
  </si>
  <si>
    <t>EDERSON LUIS DE OLIVEIRA CONCEIÇÃO</t>
  </si>
  <si>
    <t>904.503.100-00</t>
  </si>
  <si>
    <t>CONCEIÇÃO</t>
  </si>
  <si>
    <t>LUISCONCEICAO16221@GMAIL.COM</t>
  </si>
  <si>
    <t>51998271328(MARCIANO)</t>
  </si>
  <si>
    <t>JOSÉ ORLANDO DE FREITAS 1575</t>
  </si>
  <si>
    <t>826.725.120-00</t>
  </si>
  <si>
    <t>APH; BLS; CAT D e VEÍCULO DE EMERGÊNCIA;</t>
  </si>
  <si>
    <t>SEGATO</t>
  </si>
  <si>
    <t>EDINARDOREGISSEGATO@GMAIL.COM</t>
  </si>
  <si>
    <t>519984733982(MIRELA)</t>
  </si>
  <si>
    <t>JOSÉ ANTONIO  BRUNO 111</t>
  </si>
  <si>
    <t>SINDIPOLO</t>
  </si>
  <si>
    <t>EDUARDO DAVID DE MORAES</t>
  </si>
  <si>
    <t>017.133.330-66</t>
  </si>
  <si>
    <t>YNDIODADO@GMAIL.COM</t>
  </si>
  <si>
    <t>CACHOEIRA DO SUL 573</t>
  </si>
  <si>
    <t>029.859.432-30</t>
  </si>
  <si>
    <t>EVELLYN NAIUMI DA SILVA MORAIS</t>
  </si>
  <si>
    <t>051111320-07</t>
  </si>
  <si>
    <t>APH,BLS</t>
  </si>
  <si>
    <t>EVELLYN</t>
  </si>
  <si>
    <t>evellyn-ndsmorais@educar.rs.gov.br</t>
  </si>
  <si>
    <t>Dilcemar Nascimento Pinheiro,1579</t>
  </si>
  <si>
    <t>031.295.380-11</t>
  </si>
  <si>
    <t>FABIANO</t>
  </si>
  <si>
    <t>FABIANOMULLER@GMAIL.COM</t>
  </si>
  <si>
    <t>51993795387(MARGIA)</t>
  </si>
  <si>
    <t>ANTONIO DARCY DUARTE 582</t>
  </si>
  <si>
    <t>010.247.020-06</t>
  </si>
  <si>
    <t>GABRIEL PEREIRA CRAVO</t>
  </si>
  <si>
    <t>078.455.509-57</t>
  </si>
  <si>
    <t>instrutor de primeiros socorros, APH, curso avançado atendimento de emergência, prevention and fire fighting, Stop the bleed.</t>
  </si>
  <si>
    <t>CRAVO</t>
  </si>
  <si>
    <t>GABRIEL.CRAVO18@GMAIL.COM</t>
  </si>
  <si>
    <t>100 KG</t>
  </si>
  <si>
    <t>(51) 98195-9833</t>
  </si>
  <si>
    <t>95985-000</t>
  </si>
  <si>
    <t>GEN CÂMARA</t>
  </si>
  <si>
    <t>ARREIAS BRANCAS</t>
  </si>
  <si>
    <t>263.483.220-68</t>
  </si>
  <si>
    <t>APH e BLS</t>
  </si>
  <si>
    <t>FRAGA</t>
  </si>
  <si>
    <t>GILMARFRAGA193@GMAIL.COM</t>
  </si>
  <si>
    <t>SÃO BORJA 1998</t>
  </si>
  <si>
    <t>987.677.800-59</t>
  </si>
  <si>
    <t>APH; BLS; RESGATE VEICULAR</t>
  </si>
  <si>
    <t>silva.giovane@hotmail.com</t>
  </si>
  <si>
    <t>DOM PEDRO I 385</t>
  </si>
  <si>
    <t>PRAIA DO FRADE</t>
  </si>
  <si>
    <t>GRAZIELE GAIER SILVEIRA</t>
  </si>
  <si>
    <t>837.198.650-53</t>
  </si>
  <si>
    <t>APH; BLS; BOMBEIRO CIVIL</t>
  </si>
  <si>
    <t>GRAZIELLE</t>
  </si>
  <si>
    <t>GRAZYGAYER@HOTMAIL.COM</t>
  </si>
  <si>
    <t>51989546480(RAFAEL)</t>
  </si>
  <si>
    <t>ORFELINO DUARTE 1480</t>
  </si>
  <si>
    <t>040.154.890-20</t>
  </si>
  <si>
    <t>RIT rápida intervenção tática, APH, Bls, bombeiro civil, curso basico para bombeiros para civis auxiliares de bombeiros-operador cab.</t>
  </si>
  <si>
    <t>BEHENCK</t>
  </si>
  <si>
    <t>GUILHERMEBEHENCK@GMAIL.COM</t>
  </si>
  <si>
    <t>81 KG</t>
  </si>
  <si>
    <t>(51) 99940-5014</t>
  </si>
  <si>
    <t>(51) 98178-9942/ (51) 998827-7119</t>
  </si>
  <si>
    <t>Três Cachoeiras</t>
  </si>
  <si>
    <t>95580-000</t>
  </si>
  <si>
    <t>RUA DARCI DA PAZ CARDOSO</t>
  </si>
  <si>
    <t>BELA VISTA</t>
  </si>
  <si>
    <t>GUILHERME PRAUCHNER</t>
  </si>
  <si>
    <t>003.181.230-96</t>
  </si>
  <si>
    <t>PRAUNCHER</t>
  </si>
  <si>
    <t>GUIPRAUNCHER@GMAIL.COM</t>
  </si>
  <si>
    <t>JAGUARI 848</t>
  </si>
  <si>
    <t>CRISTAL</t>
  </si>
  <si>
    <t>033.609.180-02</t>
  </si>
  <si>
    <t>Apicultura- Emater/RS, Resgate em altura, Nr 35, Stop The bleed, Resgate veicular -cbm/RS, Montagem de tripé e nos e amarrações- cbm/RS, Salvamento aquático- cbm/rs, Combate a incêndio, Aph, Bls</t>
  </si>
  <si>
    <t>GUSTAVOLIMA180594@GMAIL.COM</t>
  </si>
  <si>
    <t>85 KG</t>
  </si>
  <si>
    <t>(54) 99963-0955</t>
  </si>
  <si>
    <t>(51) 8064-9035</t>
  </si>
  <si>
    <t>GUSTAVO RAUPP, N° 365</t>
  </si>
  <si>
    <t>GUSTAVO SOUZA DA SILVA</t>
  </si>
  <si>
    <t>041463380-69</t>
  </si>
  <si>
    <t>TRILHEIROGA@GMAIL.COM</t>
  </si>
  <si>
    <t>CLAITON HOFFMEISTER 4605</t>
  </si>
  <si>
    <t>984.489.860-91</t>
  </si>
  <si>
    <t>APH, BLS, enfermagem do trauma urgência e emergência, NR35, Resgate Veicular, combate a incêndio.</t>
  </si>
  <si>
    <t>NETY</t>
  </si>
  <si>
    <t>NETYCAMILO994@GMAIL.COM</t>
  </si>
  <si>
    <t>78 KG</t>
  </si>
  <si>
    <t>(51) 99804-9279</t>
  </si>
  <si>
    <t>(51) 99428-1708</t>
  </si>
  <si>
    <t>RUA CATUIPE, N° 207</t>
  </si>
  <si>
    <t>PRAIA DO BARCO</t>
  </si>
  <si>
    <t>JONATAN DOS SANTOS FERREIRA</t>
  </si>
  <si>
    <t>998417890-00</t>
  </si>
  <si>
    <t>522.726.990-49</t>
  </si>
  <si>
    <t>DOS ANJOS</t>
  </si>
  <si>
    <t>DOSANJOSA80@GMAIL.COM</t>
  </si>
  <si>
    <t>DAVID CANABARRO 1761</t>
  </si>
  <si>
    <t>JOSE FRANCISCO CEZIMBRA</t>
  </si>
  <si>
    <t>341.078.430-68</t>
  </si>
  <si>
    <t>CEZIMBRA</t>
  </si>
  <si>
    <t>JOSECEZIMBRA6559@GMAIL.COM</t>
  </si>
  <si>
    <t>TENENTE PENHA 2115</t>
  </si>
  <si>
    <t>979.565.540-04</t>
  </si>
  <si>
    <t>JOSIANE NUNES FEIJÓ</t>
  </si>
  <si>
    <t>044.526.210-90</t>
  </si>
  <si>
    <t>NUNESFEIJOJOSIANE@GMAIL.COM</t>
  </si>
  <si>
    <t>SANTA ROSA 1727</t>
  </si>
  <si>
    <t>JUCIMARA BARRETO PEDROSO</t>
  </si>
  <si>
    <t>023042050-89</t>
  </si>
  <si>
    <t>APH,BLS, BOMBEIRO CIVIL CLASSE I</t>
  </si>
  <si>
    <t>BARRETO</t>
  </si>
  <si>
    <t>jucimarabarretopedroso819@gmail.com</t>
  </si>
  <si>
    <t>(51)991616684</t>
  </si>
  <si>
    <t>(51)981624981</t>
  </si>
  <si>
    <t>ROLANTE 832</t>
  </si>
  <si>
    <t>040.411.630-21</t>
  </si>
  <si>
    <t>848.299.820-04</t>
  </si>
  <si>
    <t>LEANDRO DA SILVA MARTINS</t>
  </si>
  <si>
    <t>039.204.710-16</t>
  </si>
  <si>
    <t>leandrosilva2695@gmail.com</t>
  </si>
  <si>
    <t>(51)980272428</t>
  </si>
  <si>
    <t>(51)995481209</t>
  </si>
  <si>
    <t xml:space="preserve">OLMIRA PEREIRA GAMBA 42 </t>
  </si>
  <si>
    <t>812.538.770-68</t>
  </si>
  <si>
    <t>048.876.220-07</t>
  </si>
  <si>
    <t>COUTO</t>
  </si>
  <si>
    <t>LEORYANCORBACHO843@GMAIL.COM</t>
  </si>
  <si>
    <t>51991479299(LUCI)</t>
  </si>
  <si>
    <t>OSMANI DA SILVA BARBOSA 105</t>
  </si>
  <si>
    <t>034.185.310-08</t>
  </si>
  <si>
    <t>tec. enfermagem, Bls, APH, nr35, nr33, curso salva vidas, treinamento primeiros socorros, treinamento de prevenção e combate a incêndio, bombeiro civil,enfermagem urgência e emergência, enfermagem em serviços pediátricos e neonatais.</t>
  </si>
  <si>
    <t>ROSANELLI</t>
  </si>
  <si>
    <t>LEONARDOROSANELLI951@GMAIL.COM</t>
  </si>
  <si>
    <t>88 KG</t>
  </si>
  <si>
    <t>(54) 99624-3124</t>
  </si>
  <si>
    <t>RUA TUBIRAMA, N° 257 AP. 905</t>
  </si>
  <si>
    <t>LETÍCIA SOARES RIBEIRO</t>
  </si>
  <si>
    <t>070.086.739-22</t>
  </si>
  <si>
    <t>LUCAS MAGNUS BAETA RECH</t>
  </si>
  <si>
    <t>848.051.610-00</t>
  </si>
  <si>
    <t>RECHLUCAS73@GMAIL.COM</t>
  </si>
  <si>
    <t>VICTÓRIO SPEROTTO 1943</t>
  </si>
  <si>
    <t>LUCAS MAGNUS SCHMITZ</t>
  </si>
  <si>
    <t>036.350.730-24</t>
  </si>
  <si>
    <t>COORDENADOR/CONDUTOR D</t>
  </si>
  <si>
    <t>Apicultura- Emater/RS, Sar- Socorros em áreas remotas, Nr 35, Stop The bleed, Resgate veicular-cbm/RS, Covci- cbm/rs, Montagem de tripé e nos e amarrações- cbm/RS, Salvamento aquático- cbm/rs, Combate a incêndio, Aph, Bls.Graduando em gestão de segurança publica e privada</t>
  </si>
  <si>
    <t>SCHIMITZ</t>
  </si>
  <si>
    <t>LUCASMMSCHMITZ@HOTMAIL.COM</t>
  </si>
  <si>
    <t>115 KG</t>
  </si>
  <si>
    <t>(51) 99516-1835</t>
  </si>
  <si>
    <t>RUA DAS FIGUEIRAS, N° 204</t>
  </si>
  <si>
    <t>QUATRO LAGOS</t>
  </si>
  <si>
    <t>LUCIANE DOS SANTOS PEREIRA</t>
  </si>
  <si>
    <t>014.517.290-22</t>
  </si>
  <si>
    <t>LUCIANO DO AMARAL MACHADO</t>
  </si>
  <si>
    <t>754.735.340-15</t>
  </si>
  <si>
    <t>SOCORRISTA/CONDUTOR</t>
  </si>
  <si>
    <t>AMARAL</t>
  </si>
  <si>
    <t>AMARAL-MACHADO@HOTMAIL.COM</t>
  </si>
  <si>
    <t>RIO GRANDE 2255 AP411</t>
  </si>
  <si>
    <t>029.000.270-20</t>
  </si>
  <si>
    <t>MARCELO BARCELO VALIM</t>
  </si>
  <si>
    <t>953151950-15</t>
  </si>
  <si>
    <t>APH,BLS,CAT D e VEÍCULO DE EMERGÊNCIA;</t>
  </si>
  <si>
    <t>VALIM</t>
  </si>
  <si>
    <t>MARCELOBVALIM@GMAIL.COM</t>
  </si>
  <si>
    <t>PADRE ANTONIO VIEIRA 589</t>
  </si>
  <si>
    <t>REI DO PEIXE</t>
  </si>
  <si>
    <t>982.969.060-15</t>
  </si>
  <si>
    <t>APH; BLS; TÉCNICO DE ENFERMAGEM; REAGATE VEICULAR; BOMBEIRO CIVIL CLASSE I</t>
  </si>
  <si>
    <t>MARCIANE</t>
  </si>
  <si>
    <t>MARCIANEACS@GMAIL.COM</t>
  </si>
  <si>
    <t>013.487.590-70</t>
  </si>
  <si>
    <t>APH; BLS; TECNÓLOGO SEGURANÇA DO TRABALHO; CAT D e VEÍCULO DE EMERGÊNCIA; BOMBEIRO CIVIL CLASSE I</t>
  </si>
  <si>
    <t>MARCOS</t>
  </si>
  <si>
    <t>MARCOSVINIPIRES@HOTMAIL</t>
  </si>
  <si>
    <t>51 999127493</t>
  </si>
  <si>
    <t>51 996952385</t>
  </si>
  <si>
    <t>BEZERRA DE MENEZES 994</t>
  </si>
  <si>
    <t>009.154.190-50</t>
  </si>
  <si>
    <t>APH e BLS; FISIOYERAPEUTA</t>
  </si>
  <si>
    <t>GOTTARDI</t>
  </si>
  <si>
    <t>MCGOTTARDI@GMAIL.COM</t>
  </si>
  <si>
    <t>51 992159880</t>
  </si>
  <si>
    <t>MATEUS MIRANDA DA SILVA</t>
  </si>
  <si>
    <t>097160809-13</t>
  </si>
  <si>
    <t>MATHEUS FERREIRA MAGNI</t>
  </si>
  <si>
    <t>046529060-48</t>
  </si>
  <si>
    <t>015.365.790-17</t>
  </si>
  <si>
    <t>APH e BLS; BOMBEIRO CIVIL CLASSE I</t>
  </si>
  <si>
    <t>TATSCH</t>
  </si>
  <si>
    <t>MAURICIOPINHEIRO2701@GMAIL.COM</t>
  </si>
  <si>
    <t>51 994151631</t>
  </si>
  <si>
    <t>51 999295098</t>
  </si>
  <si>
    <t xml:space="preserve">OPERARIOS </t>
  </si>
  <si>
    <t>TUNEL VERDE</t>
  </si>
  <si>
    <t>MORGANA CHRISTINA MALLMANN</t>
  </si>
  <si>
    <t>017.335.450-50</t>
  </si>
  <si>
    <t>ADVICEMALLMANN@GMAIL.COM</t>
  </si>
  <si>
    <t>51 991942217</t>
  </si>
  <si>
    <t>51 991333873</t>
  </si>
  <si>
    <t>DOM PEDRO 1, 385</t>
  </si>
  <si>
    <t>058.603.550-84</t>
  </si>
  <si>
    <t>Resgate veicular, amarrações, Combate a incêndio, Aph, Bls, Nr 35</t>
  </si>
  <si>
    <t>LIMA</t>
  </si>
  <si>
    <t>NICOLASLIMADEAVEIRO@GMAIL.COM</t>
  </si>
  <si>
    <t>(51) 99574-0728</t>
  </si>
  <si>
    <t>(51) 98445-1186</t>
  </si>
  <si>
    <t>RUA DOS PLATANOS, N°1123</t>
  </si>
  <si>
    <t>NUBIA SANTANA RODRIGUES</t>
  </si>
  <si>
    <t>037.639.360-25</t>
  </si>
  <si>
    <t>APH e BLS; TEC. SEGURANÇA DO TRABALHO</t>
  </si>
  <si>
    <t>NUBIASANTANNA131327@GMAIL.COM</t>
  </si>
  <si>
    <t>51 9879546627</t>
  </si>
  <si>
    <t>51 94446190</t>
  </si>
  <si>
    <t>RONDONIA 276</t>
  </si>
  <si>
    <t>955.077.360-49</t>
  </si>
  <si>
    <t>ODEVAL</t>
  </si>
  <si>
    <t>ODEVALMORAES@GMAIL.COM</t>
  </si>
  <si>
    <t>MARGARIDA 2489</t>
  </si>
  <si>
    <t>COSTA DO SOL</t>
  </si>
  <si>
    <t>533.074.700-78</t>
  </si>
  <si>
    <t>ENFERMEIRA</t>
  </si>
  <si>
    <t>VILLEROY</t>
  </si>
  <si>
    <t>ENFPATRICIA@YAHOO.COM.BR</t>
  </si>
  <si>
    <t>51 985703258</t>
  </si>
  <si>
    <t>25 DE MARÇO 874</t>
  </si>
  <si>
    <t>PEDRO HENRIQUE B DOS S DA SILVA</t>
  </si>
  <si>
    <t>041.658.180-38</t>
  </si>
  <si>
    <t>PEDRO</t>
  </si>
  <si>
    <t>BARRETOPEDRO@GMAIL.COM</t>
  </si>
  <si>
    <t>51 996043626</t>
  </si>
  <si>
    <t>51 998576662</t>
  </si>
  <si>
    <t>NEI LUIZ ZANGUI 786</t>
  </si>
  <si>
    <t>RAFAEL DE SOUZA WENDELSTEIN</t>
  </si>
  <si>
    <t>013.369.720-76</t>
  </si>
  <si>
    <t>WENDELSTEIN</t>
  </si>
  <si>
    <t>RAFAELSWENDELSTEIN@GAMIL</t>
  </si>
  <si>
    <t>51 989546480</t>
  </si>
  <si>
    <t>51 985608606</t>
  </si>
  <si>
    <t>RAFAEL DIAS PEREIRA</t>
  </si>
  <si>
    <t>023.642.790-38</t>
  </si>
  <si>
    <t>RAFAELIPEREIRA909@GMAIL.COM</t>
  </si>
  <si>
    <t>51 998891397</t>
  </si>
  <si>
    <t>HERMES DA FONSECA 475</t>
  </si>
  <si>
    <t>009.974.860-66</t>
  </si>
  <si>
    <t>PEDROSO</t>
  </si>
  <si>
    <t>RAFAELALEMAO666@GMAIL.COM</t>
  </si>
  <si>
    <t>86KG</t>
  </si>
  <si>
    <t>51 981949468</t>
  </si>
  <si>
    <t>51 981556639</t>
  </si>
  <si>
    <t>MOSTARDEIRO</t>
  </si>
  <si>
    <t>690.401.330-34</t>
  </si>
  <si>
    <t>REGIS</t>
  </si>
  <si>
    <t>REGISALEXANDREA@GMAIL.COM</t>
  </si>
  <si>
    <t>51 996915167</t>
  </si>
  <si>
    <t>51 989076748</t>
  </si>
  <si>
    <t>GENERAL OSORIO 1515</t>
  </si>
  <si>
    <t>968.969.810-91</t>
  </si>
  <si>
    <t>RODRIGAONUNES@GMAIL.COM</t>
  </si>
  <si>
    <t>98KG</t>
  </si>
  <si>
    <t>51 996171734</t>
  </si>
  <si>
    <t>51 998576609</t>
  </si>
  <si>
    <t>TENENTE VIVALDO VIVIAN 12 13</t>
  </si>
  <si>
    <t>RÚBIA LIMA TONEL</t>
  </si>
  <si>
    <t>003.287.030-28</t>
  </si>
  <si>
    <t>SANDER JOSE CARVALHO FAGUNDES</t>
  </si>
  <si>
    <t>009.941.260-85</t>
  </si>
  <si>
    <t>FAGUNDES</t>
  </si>
  <si>
    <t>SANDERFAGUNDES3505@GMAIL.COM</t>
  </si>
  <si>
    <t>82KG</t>
  </si>
  <si>
    <t>51 995013387</t>
  </si>
  <si>
    <t>51 995861379</t>
  </si>
  <si>
    <t>ITALIA 2311</t>
  </si>
  <si>
    <t>SIMONE VIANA PEREIRA</t>
  </si>
  <si>
    <t>941.852.550-04</t>
  </si>
  <si>
    <t>APH; BLS; RESGATE VEICULAR; BREC CBMRS - TORRES; CAT D e VEÍCULO DE EMERGÊNCIA; BOMBEIRO CIVIL CLASSE I</t>
  </si>
  <si>
    <t>VIANA</t>
  </si>
  <si>
    <t>SimONEVIANA1325@GMAIL.COM</t>
  </si>
  <si>
    <t>51 992009759</t>
  </si>
  <si>
    <t>51 995933447</t>
  </si>
  <si>
    <t>LUCIANA DE ABREU 11327</t>
  </si>
  <si>
    <t>MAGISTERIO</t>
  </si>
  <si>
    <t>TIAGO ROCHA SZCSEPANIK</t>
  </si>
  <si>
    <t>009.941.450-39</t>
  </si>
  <si>
    <t>COMBATENTE/CONDUTOR</t>
  </si>
  <si>
    <t>Combate a incêndio, Resgate veicular cbm RS, NR35, Aph, Aph avançado, Briga de incêndio, NR33, Vigia de espaço confinado, Breck, Resgate em selva, Salvamento aquático, Combate a incêndio e prevenção avançado pela Petrobrás.</t>
  </si>
  <si>
    <t>TIAGOMARMORES@HOTMAIL.COM</t>
  </si>
  <si>
    <t>60 KG</t>
  </si>
  <si>
    <t>(51) 99864-5627</t>
  </si>
  <si>
    <t>(51) 99304-8396</t>
  </si>
  <si>
    <t>Osório</t>
  </si>
  <si>
    <t>95520-000</t>
  </si>
  <si>
    <t>AV. LEME, N° 1495</t>
  </si>
  <si>
    <t>ATLANTIDA SUL</t>
  </si>
  <si>
    <t>621.491.130-15</t>
  </si>
  <si>
    <t>UBIRAJARA</t>
  </si>
  <si>
    <t>UBIRAJARABARROS241@GMAIL.COM</t>
  </si>
  <si>
    <t>68KG</t>
  </si>
  <si>
    <t>51 991546621</t>
  </si>
  <si>
    <t>OSORIO 1684</t>
  </si>
  <si>
    <t>VALTER JUNIOR LUMERTZ</t>
  </si>
  <si>
    <t>020.672.490-02</t>
  </si>
  <si>
    <t>LUMERTZ</t>
  </si>
  <si>
    <t>JUNIORLUMERTZ213@GMAIL.COM</t>
  </si>
  <si>
    <t>90KG</t>
  </si>
  <si>
    <t>51 9985366672</t>
  </si>
  <si>
    <t>51 995960929</t>
  </si>
  <si>
    <t>NOVA 29</t>
  </si>
  <si>
    <t>PARQUE EMBOABA</t>
  </si>
  <si>
    <t>VANDERLEIA DORNELLES CHAMORRA</t>
  </si>
  <si>
    <t>012796590-41</t>
  </si>
  <si>
    <t>863.131.850-72</t>
  </si>
  <si>
    <t>VITOR CORREA ESPINDOLA</t>
  </si>
  <si>
    <t>027.429.980-12</t>
  </si>
  <si>
    <t>CORREA</t>
  </si>
  <si>
    <t>VITORCORREAESPINDULA@OUTLOOK.COM</t>
  </si>
  <si>
    <t>115KG</t>
  </si>
  <si>
    <t>51 9983241766</t>
  </si>
  <si>
    <t>51 981768934</t>
  </si>
  <si>
    <t>CARLOS ALBERTO WEISSEMER 46</t>
  </si>
  <si>
    <t>CRUZEIRO</t>
  </si>
  <si>
    <t>621.920.600-25</t>
  </si>
  <si>
    <t>PETZOLD</t>
  </si>
  <si>
    <t>VIVIANEPETZOLD087@GMAIL.COM</t>
  </si>
  <si>
    <t>63KG</t>
  </si>
  <si>
    <t>51 993057790</t>
  </si>
  <si>
    <t>51 989289538</t>
  </si>
  <si>
    <t>EMANCIPAÇÃO 99 APT 605</t>
  </si>
  <si>
    <t>ABRAÃO C. SILVA</t>
  </si>
  <si>
    <t>033.760.030-92</t>
  </si>
  <si>
    <t>Busca e Resgate em difícil acesso, Treinamento de serviço civil auxiliar de Bombeiros</t>
  </si>
  <si>
    <t>ABRAÃO</t>
  </si>
  <si>
    <t xml:space="preserve">abraaocastilhos904@gmail.com </t>
  </si>
  <si>
    <t>100 kg</t>
  </si>
  <si>
    <t>(55)99153-5321</t>
  </si>
  <si>
    <t xml:space="preserve">97450-000 </t>
  </si>
  <si>
    <t>José Bonifácio, 57</t>
  </si>
  <si>
    <t>965.898.840-72</t>
  </si>
  <si>
    <t xml:space="preserve">Combatente/Condutor </t>
  </si>
  <si>
    <t>CAB, APH, SBV, Urgência e Emergência, Primeiros Socorros, Socorrista, Arrais, Motonauta, Guarda Vidas, Condutor Veículo de Emergência</t>
  </si>
  <si>
    <t>ALEXANDRO</t>
  </si>
  <si>
    <t>alexandropdilva@gmail.com</t>
  </si>
  <si>
    <t>(55)99131-8282</t>
  </si>
  <si>
    <t>(55)99165-0309</t>
  </si>
  <si>
    <t>97450-000</t>
  </si>
  <si>
    <t>Beco Padre Quirino Bin</t>
  </si>
  <si>
    <t>956.241.040-49</t>
  </si>
  <si>
    <t>CAB Curso técnico em enfermagem , técnico de Agente de saúde ,aph adulto e pediátrico , emergência intra hospitalar , Primeiro socorro ,sbv</t>
  </si>
  <si>
    <t>PAULA</t>
  </si>
  <si>
    <t>acamejodutra@gmail.com</t>
  </si>
  <si>
    <t>140 kg</t>
  </si>
  <si>
    <t>(55)99914-9334</t>
  </si>
  <si>
    <t>Barão Da Candiota, 191</t>
  </si>
  <si>
    <t>Umbu</t>
  </si>
  <si>
    <t>015.642.990-07</t>
  </si>
  <si>
    <t>Combatente/Condutor</t>
  </si>
  <si>
    <t>cab, Aph, técnico em enfermagem, condutor de veiculo de emergência, combate a incêndios Florestais.</t>
  </si>
  <si>
    <t>ANDERSON FLORES</t>
  </si>
  <si>
    <t>andersonfloresfernandes@gmail.com.com</t>
  </si>
  <si>
    <t>70 kg</t>
  </si>
  <si>
    <t>(55)99191-9516</t>
  </si>
  <si>
    <t>Rua: Sadi Menezes, 210</t>
  </si>
  <si>
    <t>Vila Cruzeiro</t>
  </si>
  <si>
    <t>ANDRE ALEX LEAL RODRIGUES</t>
  </si>
  <si>
    <t>015.314.570-61</t>
  </si>
  <si>
    <t>ANDREALEX</t>
  </si>
  <si>
    <t xml:space="preserve">realexleal04@gmail.com </t>
  </si>
  <si>
    <t>82 kg</t>
  </si>
  <si>
    <t>(55)99127-6670</t>
  </si>
  <si>
    <t>Rio.Branco Número 444</t>
  </si>
  <si>
    <t>966.553.981-49</t>
  </si>
  <si>
    <t>Treinamento de serviço civil auxiliar de Bombeiros e Treinamento COV</t>
  </si>
  <si>
    <t>ROSAIS</t>
  </si>
  <si>
    <t>andre.rosais@gmail.com</t>
  </si>
  <si>
    <t>85 kg</t>
  </si>
  <si>
    <t>(55)99113-6065</t>
  </si>
  <si>
    <t>(55)99112-4700</t>
  </si>
  <si>
    <t>054.726.000-18</t>
  </si>
  <si>
    <t>VIEIRA</t>
  </si>
  <si>
    <t>angelo55vieira@gmail.com</t>
  </si>
  <si>
    <t>(55)99187-3918</t>
  </si>
  <si>
    <t>Hermínio Lira</t>
  </si>
  <si>
    <t>037.457.600-93</t>
  </si>
  <si>
    <t>CLEIDI HOLDE</t>
  </si>
  <si>
    <t xml:space="preserve">Cleidimarf38@Gmail.com </t>
  </si>
  <si>
    <t>58 kg</t>
  </si>
  <si>
    <t>(55)99694-9507</t>
  </si>
  <si>
    <t>Beco Do Berilo, 40</t>
  </si>
  <si>
    <t>Povo Novo</t>
  </si>
  <si>
    <t>978.493.590-20</t>
  </si>
  <si>
    <t>Treinamento de serviço civil auxiliar de Bombeiros</t>
  </si>
  <si>
    <t>PAIM</t>
  </si>
  <si>
    <t>cristianopaimevangelista7346@gmail.com</t>
  </si>
  <si>
    <t>115 kg</t>
  </si>
  <si>
    <t>(55)99167-5589</t>
  </si>
  <si>
    <t>(55)99210-2983</t>
  </si>
  <si>
    <t>Fernando Aboot, 626</t>
  </si>
  <si>
    <t>757.161.350-72</t>
  </si>
  <si>
    <t>CAB condutor socorrista APH/SBV condutor veiculo de emergencia movimentacao produtos perigosos</t>
  </si>
  <si>
    <t>LICHTENECKER</t>
  </si>
  <si>
    <t>lichteneckeredevarte@gmail.com</t>
  </si>
  <si>
    <t>92 kg</t>
  </si>
  <si>
    <t>(55)99642-6077</t>
  </si>
  <si>
    <t>Brasil, 585</t>
  </si>
  <si>
    <t>913.078.560-04</t>
  </si>
  <si>
    <t>Curso de Bombeiro Civil, Treinamento de Preveção e Combate a Incêndio, Primeiros socorros, Brigada de Incêndio e Emergência.NR-34, NR-18, NR-12, NR335, Trabalhador e Vigia- NR-33.</t>
  </si>
  <si>
    <t>EDSON</t>
  </si>
  <si>
    <t>edsonluizrodriguessoares40@gmail.com</t>
  </si>
  <si>
    <t>84 kg</t>
  </si>
  <si>
    <t>(55)99988-0351</t>
  </si>
  <si>
    <t>Bento Gonçalves, 1222</t>
  </si>
  <si>
    <t>Popular</t>
  </si>
  <si>
    <t>ELISIANE VARGAS ROSÁRIO MULLER</t>
  </si>
  <si>
    <t>016.472.560.11</t>
  </si>
  <si>
    <t>Técnico em enfermagem,Aph,Enfermagem do Trabalho</t>
  </si>
  <si>
    <t>lisivargasrosario@gmail.com</t>
  </si>
  <si>
    <t>69kg</t>
  </si>
  <si>
    <t>(55)991109420</t>
  </si>
  <si>
    <t>Bento Gonçalves 1063</t>
  </si>
  <si>
    <t>944.379.630-91</t>
  </si>
  <si>
    <t>Técnico de Enfermagem,Curso de Bombeiro Civil, Instrumentação Cirurgicas, Atendimento Pré-Hospitalar, Suporte Básico de Vida BLS, Noções Básicas em Urgencia e Emergência, Resgate emáreas de dificial, acesso em Emergência em Matas, Treinamento de Prevenção e Combate à Incêndios, Formação de Brigada de Incendio e Emergência, trabalhador e Vigia NR-33, NR-35. Nùcleo de Educação em Emergência/Samu.</t>
  </si>
  <si>
    <t>ELIZÂNGELA</t>
  </si>
  <si>
    <t>elizangelamendessoares@gmail.com</t>
  </si>
  <si>
    <t>68 kg</t>
  </si>
  <si>
    <t>(55)99103-4590</t>
  </si>
  <si>
    <t>991.951.190-00</t>
  </si>
  <si>
    <t>653.563.140-00</t>
  </si>
  <si>
    <t>APH, Técnico em enfermagem,</t>
  </si>
  <si>
    <t>SILVA</t>
  </si>
  <si>
    <t>Silvagomesgessi@gmail.com</t>
  </si>
  <si>
    <t>(55)99195-9343</t>
  </si>
  <si>
    <t>(55)99171-0806</t>
  </si>
  <si>
    <t>Rincão Dos Menezes,260</t>
  </si>
  <si>
    <t>GUILHERME MARIANO</t>
  </si>
  <si>
    <t>051.125.900-09</t>
  </si>
  <si>
    <t>CAB, Técnico de Enfermagem.</t>
  </si>
  <si>
    <t>MARIANO</t>
  </si>
  <si>
    <t>marianoguilherme872@gmail.com</t>
  </si>
  <si>
    <t>65 kg</t>
  </si>
  <si>
    <t>(55)99147-2423</t>
  </si>
  <si>
    <t>Rua Das Tropas, 580</t>
  </si>
  <si>
    <t>Vila Cândido</t>
  </si>
  <si>
    <t>988.568.550-20</t>
  </si>
  <si>
    <t>JEFFERSON DA LUZ FURTADO</t>
  </si>
  <si>
    <t>034.888.690-08</t>
  </si>
  <si>
    <t>Formação de Brigada de Incêndio e Emergência, Treinamento de Prevenção e Combate a incêndio, Treinamento de serviço civil auxiliar de Bombeiros</t>
  </si>
  <si>
    <t>FURTADO</t>
  </si>
  <si>
    <t>jeffersonfurtado520@gmail.com</t>
  </si>
  <si>
    <t>(55)99123-1801</t>
  </si>
  <si>
    <t>Argemiro Moreira De Carvalho, 889</t>
  </si>
  <si>
    <t>025.232.670-98</t>
  </si>
  <si>
    <t>JERONIMO</t>
  </si>
  <si>
    <t>cauriojeronimocaurio@gmail.com</t>
  </si>
  <si>
    <t>(55)99129-8048</t>
  </si>
  <si>
    <t>Oriovaldo Braga 315</t>
  </si>
  <si>
    <t>Maria Nora</t>
  </si>
  <si>
    <t>JOÃO ELMO DE OLIVEIRA RODRIGUES</t>
  </si>
  <si>
    <t>194.194-258-00</t>
  </si>
  <si>
    <t>joaoelmo03@gmail.com</t>
  </si>
  <si>
    <t>73 kg</t>
  </si>
  <si>
    <t>(55)99969-3004</t>
  </si>
  <si>
    <t>Jose Bonifacio, 444</t>
  </si>
  <si>
    <t>630.669.470-68</t>
  </si>
  <si>
    <t>CAB, NR23 - Proteção Contra Incêndios, Primeiros Socorros</t>
  </si>
  <si>
    <t>JÚLIA</t>
  </si>
  <si>
    <t>juliadutra12344@gmail.com</t>
  </si>
  <si>
    <t>59 kg</t>
  </si>
  <si>
    <t>(55)99128-5739</t>
  </si>
  <si>
    <t>Rua Barros Cassal, 70</t>
  </si>
  <si>
    <t>024-064-710-63</t>
  </si>
  <si>
    <t xml:space="preserve">Combatente/Motorista </t>
  </si>
  <si>
    <t>CAB, VEICULOS DE EMERGENCIA, NOÇÕES DE PRIMEIROS SOCORROS, LEGISLAÇÃO DE TRANSITO CARGAS RODOVIARIAS</t>
  </si>
  <si>
    <t>KAUE</t>
  </si>
  <si>
    <t>kaue.sauzem15@gmail.com</t>
  </si>
  <si>
    <t>61 kg</t>
  </si>
  <si>
    <t>(55)99146-7608</t>
  </si>
  <si>
    <t>Cap. Ernesto Rossi, 80</t>
  </si>
  <si>
    <t>042.368.540-66</t>
  </si>
  <si>
    <t>Técnico em Enfermagem, CAB.</t>
  </si>
  <si>
    <t>KEVINHO</t>
  </si>
  <si>
    <t>kevendra036@gmail.com</t>
  </si>
  <si>
    <t>83 kg</t>
  </si>
  <si>
    <t>(55)99104-0322</t>
  </si>
  <si>
    <t>João Pedro Vargas 50</t>
  </si>
  <si>
    <t>LUCAS MOURA DE OLIVEIRA</t>
  </si>
  <si>
    <t>024.525.710-16</t>
  </si>
  <si>
    <t>Curso de Bombeiro Civil, Faculdade Jovem Profissional. APH-2019/ 2020/ 2021/ 2022, Socorrista de Primeira Resposta Cruz Vermelha de Santa Maria, Condutor de Veiculos de Emergência, Curso Controle de Hemorragias,</t>
  </si>
  <si>
    <t>(54)99261-7538</t>
  </si>
  <si>
    <t>97590-000</t>
  </si>
  <si>
    <t>Osvaldo Aranha, 3547</t>
  </si>
  <si>
    <t>Zona Industrial</t>
  </si>
  <si>
    <t>015.998.860.81</t>
  </si>
  <si>
    <t xml:space="preserve">técnico em enfermagem </t>
  </si>
  <si>
    <t>RETAMAR</t>
  </si>
  <si>
    <t>lucianeretamardasilva41@gmail.com</t>
  </si>
  <si>
    <t>(55)99150-8923</t>
  </si>
  <si>
    <t>João Broll, 625</t>
  </si>
  <si>
    <t>015.998.860-81</t>
  </si>
  <si>
    <t>LUCIANO DA SILVA CANTARELLI</t>
  </si>
  <si>
    <t>006.384.290-48</t>
  </si>
  <si>
    <t>829.689.770-91</t>
  </si>
  <si>
    <t>002.818.220-00</t>
  </si>
  <si>
    <t>Graduado em segurança no trânsito, APH, SBV, Socorrista, Transporte de emergência, Especializado em transporte de emergência, Técnico em automobilística, Treinamento de serviço civil auxiliar de Bombeiros (COV), MOPP</t>
  </si>
  <si>
    <t>LUIZ EDUARDO</t>
  </si>
  <si>
    <t xml:space="preserve">luizrochacacequi@gmail.com </t>
  </si>
  <si>
    <t>(51)98915-6974</t>
  </si>
  <si>
    <t>(51)98914-9264</t>
  </si>
  <si>
    <t>Manol Ribas, 1235</t>
  </si>
  <si>
    <t>037.361.760-74</t>
  </si>
  <si>
    <t>Técnico em,Enfermagem, Resgate em área de difícil acesso, APH,SBV.</t>
  </si>
  <si>
    <t>marcelinhosilva25@hotmail.com</t>
  </si>
  <si>
    <t>(55)99177-3606</t>
  </si>
  <si>
    <t>Argemiro Moreira De Carvalho, 18</t>
  </si>
  <si>
    <t>Vila Candido</t>
  </si>
  <si>
    <t>729.678.540-34</t>
  </si>
  <si>
    <t>CAB, TPCCI (ABM), NR 35, Curso Superior Ciências da Natureza, Primeiro Socorros</t>
  </si>
  <si>
    <t>mlpedrosocacequi@gmail.com</t>
  </si>
  <si>
    <t>(55)99198-7951</t>
  </si>
  <si>
    <t>Beco Padre Querino Bin, 01</t>
  </si>
  <si>
    <t>MARÍLIA ELAINE ARANGULES MELO</t>
  </si>
  <si>
    <t>010.368.690.83</t>
  </si>
  <si>
    <t>MARÍLIA</t>
  </si>
  <si>
    <t>marilia_bio2020@outlook.com</t>
  </si>
  <si>
    <t>69 kg</t>
  </si>
  <si>
    <t>(55)99180-5099</t>
  </si>
  <si>
    <t>Senador Salgado Filho, 57</t>
  </si>
  <si>
    <t>041.460.290-07</t>
  </si>
  <si>
    <t>Atendimento Pré Hospitalar, Combate a incêndio, Brigada de incêndio e Bomba Hidráulica</t>
  </si>
  <si>
    <t>MILENA</t>
  </si>
  <si>
    <t>milenafurquimmadri22@gmail.com</t>
  </si>
  <si>
    <t>(55)99658-6899</t>
  </si>
  <si>
    <t>R.: Sadi Menezes, 210</t>
  </si>
  <si>
    <t>PABLO DO AMARAL MACIEL</t>
  </si>
  <si>
    <t>000.256.390-80</t>
  </si>
  <si>
    <t>Curso de Bombeiro Civil, Treinamento de serviço civil auxiliar de Bombeiros</t>
  </si>
  <si>
    <t>macielpablo75@gmail.com</t>
  </si>
  <si>
    <t>81 kg</t>
  </si>
  <si>
    <t>(55)99108-5546</t>
  </si>
  <si>
    <t>Rua Senador Salgado Filho Número</t>
  </si>
  <si>
    <t>304.314.760-04</t>
  </si>
  <si>
    <t>PAULO SOARES DUTRA</t>
  </si>
  <si>
    <t>474.250.910-20</t>
  </si>
  <si>
    <t>paulodutra12344@gmail.com</t>
  </si>
  <si>
    <t>(55)99219-1265</t>
  </si>
  <si>
    <t>034.815.600-60</t>
  </si>
  <si>
    <t xml:space="preserve">CAB - CURSANDO TEC em Enfermagem - APH/SBV - EMERGÊNCIA INTRA-HOSPITALAR - URGENCIAS  PSIQUIATRICAS - PRIMEIROS SOCORROS COM ENFASE NA LEI LUCAS - CURSO BASICO DE ATENDIMENTO A EMERGÊNCIAS - Condutor de Veículo de Emergência </t>
  </si>
  <si>
    <t>pedrocarvalhodarosa@gmail.com</t>
  </si>
  <si>
    <t>(55)99196-2002</t>
  </si>
  <si>
    <t>(55)99113-2086</t>
  </si>
  <si>
    <t>97032-090</t>
  </si>
  <si>
    <t>Carlos Pauletto , 10</t>
  </si>
  <si>
    <t>Tancredo Neves</t>
  </si>
  <si>
    <t>002.633.410-03</t>
  </si>
  <si>
    <t xml:space="preserve">CAB, motorista </t>
  </si>
  <si>
    <t>PEDROZO</t>
  </si>
  <si>
    <t>rafa_cacequi@hotmail.com</t>
  </si>
  <si>
    <t>(55)99645-5844</t>
  </si>
  <si>
    <t>(55)99925-9600</t>
  </si>
  <si>
    <t>Av. Oswaldo Aranha, 187</t>
  </si>
  <si>
    <t>026.284.950-07</t>
  </si>
  <si>
    <t>033.723.920-78</t>
  </si>
  <si>
    <t>Socorrista, CAB.</t>
  </si>
  <si>
    <t>RUANE</t>
  </si>
  <si>
    <t>andradesruane@gmail.com</t>
  </si>
  <si>
    <t>56 kg</t>
  </si>
  <si>
    <t>(55)99169-7991</t>
  </si>
  <si>
    <t>SANDRO RENAN DE OLIVEIRA BORGES</t>
  </si>
  <si>
    <t>937.731.290-68</t>
  </si>
  <si>
    <t>012.172.010-17</t>
  </si>
  <si>
    <t>UMBERTO DE ALENCAR DE ALMEIDA DE OLIVEIRA</t>
  </si>
  <si>
    <t>952.283.490-49</t>
  </si>
  <si>
    <t>Motorista</t>
  </si>
  <si>
    <t>CAB, motorista.</t>
  </si>
  <si>
    <t>UMBERTO</t>
  </si>
  <si>
    <t>umbertoalencar@hotmail.com</t>
  </si>
  <si>
    <t>74 kg</t>
  </si>
  <si>
    <t>(55)99958-9728</t>
  </si>
  <si>
    <t>(55)99140-1181</t>
  </si>
  <si>
    <t>João Antonio Da Silveira, 65</t>
  </si>
  <si>
    <t>WILLIAN RODRIGUES ALLENDE</t>
  </si>
  <si>
    <t>039.091.220-43</t>
  </si>
  <si>
    <t>Willianallende007@gmail.com</t>
  </si>
  <si>
    <t>135 kg</t>
  </si>
  <si>
    <t>(55)99934-1691</t>
  </si>
  <si>
    <t>Bairro Oliverio Ramos Dê Vasconcellos</t>
  </si>
  <si>
    <t>Rosario</t>
  </si>
  <si>
    <t>034.933.240-14</t>
  </si>
  <si>
    <t xml:space="preserve">CAB. APH, SBV, PRIMEIROS SOCORROS, TREINAMENTO CIVIL AUXILIAR DE BOMBEIRO, MONITOR EM SOBREVIVÊNCIA, RAPEL, CONDUTOR DE VEÍCULO DE EMERGÊNCIA, SUPERIOR EM LOGÍSTICA </t>
  </si>
  <si>
    <t>willianwittr35@gmail.com</t>
  </si>
  <si>
    <t>(55)99191-8556</t>
  </si>
  <si>
    <t>(55)98441-5082</t>
  </si>
  <si>
    <t>Pinheiro Machado, 254</t>
  </si>
  <si>
    <t>DIRETORIA 2026-2028</t>
  </si>
  <si>
    <t>RICARDO KRINDGES</t>
  </si>
  <si>
    <t>557.651.060-72</t>
  </si>
  <si>
    <t>CAB KRINDGES</t>
  </si>
  <si>
    <t>ricardotchemilk@hotmail.com</t>
  </si>
  <si>
    <t>55-999269323</t>
  </si>
  <si>
    <t>98960-000</t>
  </si>
  <si>
    <t>RUA TENENTE JUNG, 511, APT 15</t>
  </si>
  <si>
    <t>SIDNEI ANDRÉ LENZ</t>
  </si>
  <si>
    <t>929.190.570-49</t>
  </si>
  <si>
    <t>vice-presidente</t>
  </si>
  <si>
    <t>CAB LENZ</t>
  </si>
  <si>
    <t>sidneiandre.lenz@yahoo.com.br</t>
  </si>
  <si>
    <t>55-996281626</t>
  </si>
  <si>
    <t>RUA PARANA, 481</t>
  </si>
  <si>
    <t>PAULO ROBERTO LEMOS</t>
  </si>
  <si>
    <t>588.791.020-87</t>
  </si>
  <si>
    <t>Secretario</t>
  </si>
  <si>
    <t>CAB LEMOS</t>
  </si>
  <si>
    <t>pretolemos@yahoo.com.br</t>
  </si>
  <si>
    <t>55-996234641</t>
  </si>
  <si>
    <t>RUA EMILIO RIFFEL, 151</t>
  </si>
  <si>
    <t>VILA ESPERANÇA</t>
  </si>
  <si>
    <t>MARCO ANTONIO SAUTHIER</t>
  </si>
  <si>
    <t>923.797.880-49</t>
  </si>
  <si>
    <t>Vice Presidnete</t>
  </si>
  <si>
    <t>CAB SAUTHIER</t>
  </si>
  <si>
    <t>marcosauthier@gmail.com</t>
  </si>
  <si>
    <t>55-999031229</t>
  </si>
  <si>
    <t>MINAS GERIAS, 799</t>
  </si>
  <si>
    <t>VILA KLERING</t>
  </si>
  <si>
    <t>GIOVANI ANDRÉ FROELICH</t>
  </si>
  <si>
    <t>010.199.670-84</t>
  </si>
  <si>
    <t>CAB FROELICH</t>
  </si>
  <si>
    <t>_giovani_froelich@outlook.com</t>
  </si>
  <si>
    <t>55-996204234</t>
  </si>
  <si>
    <t>RUA JOAO STEFFEN, 96</t>
  </si>
  <si>
    <t>LA SALLE</t>
  </si>
  <si>
    <t>MARCELO FREITAS CARVALHO</t>
  </si>
  <si>
    <t>638.900700-00</t>
  </si>
  <si>
    <t>Vice tesoureiro</t>
  </si>
  <si>
    <t>CAB CARVALHO</t>
  </si>
  <si>
    <t>carvalhomarcelo197@gmail.com</t>
  </si>
  <si>
    <t>55-999174378</t>
  </si>
  <si>
    <t>rua 1º demaio, 596</t>
  </si>
  <si>
    <t>la salle</t>
  </si>
  <si>
    <t>CONSELHO FISCAL</t>
  </si>
  <si>
    <t>MAICON RAMBO</t>
  </si>
  <si>
    <t>023.424.930-70</t>
  </si>
  <si>
    <t>titular conselho fiscal</t>
  </si>
  <si>
    <t>CAB RAMBO</t>
  </si>
  <si>
    <t>MAICONRAMBINHOO@GMAIL.COM</t>
  </si>
  <si>
    <t>55-999986830</t>
  </si>
  <si>
    <t>RUA PRIMEIRO DE MAIO, 939</t>
  </si>
  <si>
    <t>BENTO INÁCIO BOTH</t>
  </si>
  <si>
    <t>998.146.410-49</t>
  </si>
  <si>
    <t>CAB BOTH</t>
  </si>
  <si>
    <t>bentoboth05@gmail.com</t>
  </si>
  <si>
    <t>55-996967696</t>
  </si>
  <si>
    <t>RUA BENJAMIM CONSTAT, 11</t>
  </si>
  <si>
    <t>BECO BURG</t>
  </si>
  <si>
    <t>LEILA LUCIA HERMANN</t>
  </si>
  <si>
    <t>004.669.549-48</t>
  </si>
  <si>
    <t>CAB LEILA</t>
  </si>
  <si>
    <t>leilaluciahermann@gmail.com</t>
  </si>
  <si>
    <t>55-999888871</t>
  </si>
  <si>
    <t>RUA ADENIR SCHREINER, 471</t>
  </si>
  <si>
    <t>MORADA DO SOL</t>
  </si>
  <si>
    <t>SUPLENTES</t>
  </si>
  <si>
    <t>ADAIR JOSÉ LAUXEN</t>
  </si>
  <si>
    <t>006.140.300-80</t>
  </si>
  <si>
    <t>suplente conselho fiscal</t>
  </si>
  <si>
    <t>CAB LAUXEN</t>
  </si>
  <si>
    <t>Adairjlauxen@hotmail.com</t>
  </si>
  <si>
    <t>55-996377937</t>
  </si>
  <si>
    <t>RUA OSCAR ANGST, 32</t>
  </si>
  <si>
    <t>CELSO JOSÉ FINGER</t>
  </si>
  <si>
    <t>989.387.890-04</t>
  </si>
  <si>
    <t>CAB FINGER</t>
  </si>
  <si>
    <t>celsojconterra@gmail.com</t>
  </si>
  <si>
    <t>55-996874164</t>
  </si>
  <si>
    <t>LINHA VENUS</t>
  </si>
  <si>
    <t>LINAH VENUS</t>
  </si>
  <si>
    <t>JOÃO HILARIO PUHL</t>
  </si>
  <si>
    <t>275.235.860-15</t>
  </si>
  <si>
    <t>CAB PUHL</t>
  </si>
  <si>
    <t>ricardokrindegs592@gmail.com</t>
  </si>
  <si>
    <t>55-999304212</t>
  </si>
  <si>
    <t>LINHA REVOLTA</t>
  </si>
  <si>
    <t>MARCIO LUIZ TOILLIER</t>
  </si>
  <si>
    <t>972.092.100-59</t>
  </si>
  <si>
    <t>CAB TOILLIER</t>
  </si>
  <si>
    <t>marcio.toillier@gmail.com</t>
  </si>
  <si>
    <t>55-999122787</t>
  </si>
  <si>
    <t>RUA NICOLAU BENDER 59</t>
  </si>
  <si>
    <t>VILA PHILLIPSENN 2</t>
  </si>
  <si>
    <t>ANA JANETE PINHEIRO DINAT</t>
  </si>
  <si>
    <t>668.881.150-20</t>
  </si>
  <si>
    <t>ÂNGELO DIONISIO DA SILVA RODRIGUES</t>
  </si>
  <si>
    <t>518.045.810-20</t>
  </si>
  <si>
    <t>Curso de Técnica e Tática de Combate à Incêndio - Nível I</t>
  </si>
  <si>
    <t>ANGELO</t>
  </si>
  <si>
    <t>(55) 99657-9817</t>
  </si>
  <si>
    <t>(55) 3433-4385</t>
  </si>
  <si>
    <t xml:space="preserve">           97650-000</t>
  </si>
  <si>
    <t>SÃO BORJA</t>
  </si>
  <si>
    <t>DR AYUB</t>
  </si>
  <si>
    <t>563.902.970-68</t>
  </si>
  <si>
    <t>CLEIDINEI</t>
  </si>
  <si>
    <t>(55) 98401-0538</t>
  </si>
  <si>
    <t xml:space="preserve">         97650-000</t>
  </si>
  <si>
    <t>RINCÃO DA CRUZ 3209</t>
  </si>
  <si>
    <t>JOSÉ DA LUZ</t>
  </si>
  <si>
    <t>EDUARDO DELLAMORA SILIPRANDI</t>
  </si>
  <si>
    <t>000.165.560-46</t>
  </si>
  <si>
    <t>EMERSON PIVOTO MELO</t>
  </si>
  <si>
    <t>000.738.830-69</t>
  </si>
  <si>
    <t>Combatente, socorrista e telefonista</t>
  </si>
  <si>
    <t>Curso Bombeiro Civil, Curso de Embarcações, Curso de motosserra</t>
  </si>
  <si>
    <t>MACHADO</t>
  </si>
  <si>
    <t>(55) 3419-1511</t>
  </si>
  <si>
    <t>(55) 9980-3712</t>
  </si>
  <si>
    <t>(55) 9674-1502</t>
  </si>
  <si>
    <t xml:space="preserve">         97538-000</t>
  </si>
  <si>
    <t>712.314.800-25</t>
  </si>
  <si>
    <t>C.O.V</t>
  </si>
  <si>
    <t>ISMAEL</t>
  </si>
  <si>
    <t>(55) 99684-4668</t>
  </si>
  <si>
    <t>XX DE SETEMBRO</t>
  </si>
  <si>
    <t>CIDADE ALTA</t>
  </si>
  <si>
    <t>Curso básico de CAB, Curso Bombeiro Civil</t>
  </si>
  <si>
    <t>JAIR201050@HOTMAIL.COM</t>
  </si>
  <si>
    <t>(55) 9 9972 1538</t>
  </si>
  <si>
    <t>(55) 3419-1347</t>
  </si>
  <si>
    <t xml:space="preserve">          97380-000 </t>
  </si>
  <si>
    <t>TRAV. LURDES APESTEGUI MARTY N,34</t>
  </si>
  <si>
    <t>VILA POPULAR</t>
  </si>
  <si>
    <t>JOÃO ÉLCIO DOS SANTOS</t>
  </si>
  <si>
    <t>635.917.230-53</t>
  </si>
  <si>
    <t>JOAO ELCIO</t>
  </si>
  <si>
    <t>(55) 99925-0526</t>
  </si>
  <si>
    <t>CASTELO BRANCO Nº 2257</t>
  </si>
  <si>
    <t>JOÃO LEONEL DISCONCI LOPES</t>
  </si>
  <si>
    <t>764.899.570-00</t>
  </si>
  <si>
    <t>JOSÉ OBERTAN BARBOSA DOS SANTOS</t>
  </si>
  <si>
    <t>911.719.970-00</t>
  </si>
  <si>
    <t>OBERTAN</t>
  </si>
  <si>
    <t>OBERTANEF@YAHOO.COM.BR</t>
  </si>
  <si>
    <t>(55) 99904-2828</t>
  </si>
  <si>
    <t>DR. ESCOBAR Nº 96</t>
  </si>
  <si>
    <t xml:space="preserve">LUIS FERNANDO MACHADO DO AMARAL </t>
  </si>
  <si>
    <t>Curso Bombeiro Civil, Curso motosserra, Curso de Combate a Incêndio</t>
  </si>
  <si>
    <t>(55) 9651-7968</t>
  </si>
  <si>
    <t xml:space="preserve">           97538-000</t>
  </si>
  <si>
    <t>FERMINIANO BICA 213</t>
  </si>
  <si>
    <t>MAURO MOTA</t>
  </si>
  <si>
    <t>943.268.000-20</t>
  </si>
  <si>
    <t>NERITO KAEFER</t>
  </si>
  <si>
    <t>891.666.710-00</t>
  </si>
  <si>
    <t>Motorista (COV)</t>
  </si>
  <si>
    <t>Condutor CAT D, Curso de condutor de veículo de transporte de emergência CACVTE, Curso de Combate a Incêndio, Curso de Transporte Coletivo</t>
  </si>
  <si>
    <t>OLDANI</t>
  </si>
  <si>
    <t>(55) 99911-8127</t>
  </si>
  <si>
    <t>(55) 99905-8129</t>
  </si>
  <si>
    <t>Uruguaiana</t>
  </si>
  <si>
    <t xml:space="preserve">          97502-804</t>
  </si>
  <si>
    <t>RUA JOSÉ GARIBALDI</t>
  </si>
  <si>
    <t>RENATO COELHO BALOK</t>
  </si>
  <si>
    <t xml:space="preserve">026.284.950-07 </t>
  </si>
  <si>
    <t>Condutor CAT D, Curso de condutor de veículo de transporte de emergência CACVTE</t>
  </si>
  <si>
    <t>RENATO</t>
  </si>
  <si>
    <t>(55) 9948-4679</t>
  </si>
  <si>
    <t>(55) 9693-2914</t>
  </si>
  <si>
    <t>VILA SÃO FRANCISCO 34</t>
  </si>
  <si>
    <t>645.841.510-91</t>
  </si>
  <si>
    <t>ROGERIO</t>
  </si>
  <si>
    <t>(55) 99694-1829</t>
  </si>
  <si>
    <t>BATISTA CAETANO Nº 1400-A</t>
  </si>
  <si>
    <t>CAFIFAS</t>
  </si>
  <si>
    <t>SILON FRANCISCO PEREIRA JUNIOR</t>
  </si>
  <si>
    <t>928.129.700-06</t>
  </si>
  <si>
    <t>MOTOrista (COV)</t>
  </si>
  <si>
    <t>Condutor CAT AD, Curso de condutor de veículo de transporte de emergência CACVTE</t>
  </si>
  <si>
    <t>SILON</t>
  </si>
  <si>
    <t>SILONJR@OUTLOOK.COM</t>
  </si>
  <si>
    <t>(51) 99810-7704</t>
  </si>
  <si>
    <t>(55) 9927-5076</t>
  </si>
  <si>
    <t xml:space="preserve">         97507-550</t>
  </si>
  <si>
    <t>RUA GUABIJU 489</t>
  </si>
  <si>
    <t>VILA JULIA</t>
  </si>
  <si>
    <t>Condutor CAT D, Curso de condutor de veículo de transporte de emergência CACVTE, APH, RESGATE, Curso básico de CAB</t>
  </si>
  <si>
    <t>thiagoribeironunes028@gmail.com</t>
  </si>
  <si>
    <t>(55) 99644-4359</t>
  </si>
  <si>
    <t>914.439.620-15</t>
  </si>
  <si>
    <t>Curso básico de CAB, Curso Bombeiro Civil, Curso de Motoserra</t>
  </si>
  <si>
    <t>VALDECI</t>
  </si>
  <si>
    <t>(55) 9674-2651</t>
  </si>
  <si>
    <t>BR 472</t>
  </si>
  <si>
    <t>WILLIAN MARTINS</t>
  </si>
  <si>
    <t>015.972.630-10</t>
  </si>
  <si>
    <t>Aceguá</t>
  </si>
  <si>
    <t>Água Santa</t>
  </si>
  <si>
    <t xml:space="preserve">Não ( quartel mil ) </t>
  </si>
  <si>
    <t>Outros</t>
  </si>
  <si>
    <t>Alecrim</t>
  </si>
  <si>
    <t>Alegrete</t>
  </si>
  <si>
    <t>Alegria</t>
  </si>
  <si>
    <t>Almirante Tamandaré do Sul</t>
  </si>
  <si>
    <t>Alpestre</t>
  </si>
  <si>
    <t>Alto Alegre</t>
  </si>
  <si>
    <t>Alvorada</t>
  </si>
  <si>
    <t>Amaral Ferrador</t>
  </si>
  <si>
    <t>Ametista do Sul</t>
  </si>
  <si>
    <t>André da Rocha</t>
  </si>
  <si>
    <t>Anta Gorda</t>
  </si>
  <si>
    <t>Arroio do Padre</t>
  </si>
  <si>
    <t>Augusto Pestana</t>
  </si>
  <si>
    <t>Barão</t>
  </si>
  <si>
    <t>Barão do Triunfo</t>
  </si>
  <si>
    <t>Barra do Guarita</t>
  </si>
  <si>
    <t>Barra do Ribeiro</t>
  </si>
  <si>
    <t>Barra do Rio Azul</t>
  </si>
  <si>
    <t>Barra Funda</t>
  </si>
  <si>
    <t>Benjamin Constant do Sul</t>
  </si>
  <si>
    <t>Boa Vista das Missões</t>
  </si>
  <si>
    <t>Boa Vista do Buricá</t>
  </si>
  <si>
    <t>Boa Vista do Cadeado</t>
  </si>
  <si>
    <t>Boa Vista do Incra</t>
  </si>
  <si>
    <t>Boa Vista do Sul</t>
  </si>
  <si>
    <t>Bom Progresso</t>
  </si>
  <si>
    <t>Bom Retiro do Sul</t>
  </si>
  <si>
    <t>Boqueirão do Leão</t>
  </si>
  <si>
    <t>Bossoroca</t>
  </si>
  <si>
    <t>Bozano</t>
  </si>
  <si>
    <t>Braga</t>
  </si>
  <si>
    <t>Brochier</t>
  </si>
  <si>
    <t>Caibaté</t>
  </si>
  <si>
    <t>Caiçara</t>
  </si>
  <si>
    <t>Camargo</t>
  </si>
  <si>
    <t>Campestre da Serra</t>
  </si>
  <si>
    <t>Campina das Missões</t>
  </si>
  <si>
    <t>Campo Novo</t>
  </si>
  <si>
    <t>Cândido Godói</t>
  </si>
  <si>
    <t>Canguçu</t>
  </si>
  <si>
    <t>Canudos do Vale</t>
  </si>
  <si>
    <t>Capão Bonito do Sul</t>
  </si>
  <si>
    <t>Capão do Cipó</t>
  </si>
  <si>
    <t>Capitão</t>
  </si>
  <si>
    <t>Capivari do Sul</t>
  </si>
  <si>
    <t>Caraá</t>
  </si>
  <si>
    <t>Carlos Gomes</t>
  </si>
  <si>
    <t>Caseiros</t>
  </si>
  <si>
    <t>Catuípe</t>
  </si>
  <si>
    <t>Centenário</t>
  </si>
  <si>
    <t>Cerrito</t>
  </si>
  <si>
    <t>Cerro Branco</t>
  </si>
  <si>
    <t>Cerro Grande</t>
  </si>
  <si>
    <t>Cerro Grande do Sul</t>
  </si>
  <si>
    <t>Charrua</t>
  </si>
  <si>
    <t>Chuí</t>
  </si>
  <si>
    <t>Chuvisca</t>
  </si>
  <si>
    <t>Ciríaco</t>
  </si>
  <si>
    <t>Colorado</t>
  </si>
  <si>
    <t>Condor</t>
  </si>
  <si>
    <t>Coqueiro Baixo</t>
  </si>
  <si>
    <t>Coqueiros do Sul</t>
  </si>
  <si>
    <t>Coronel Barros</t>
  </si>
  <si>
    <t>Coronel Bicaco</t>
  </si>
  <si>
    <t>Coronel Pilar</t>
  </si>
  <si>
    <t>Cotiporã</t>
  </si>
  <si>
    <t>Coxilha</t>
  </si>
  <si>
    <t>Cristal do Sul</t>
  </si>
  <si>
    <t>Cruzaltense</t>
  </si>
  <si>
    <t>Cruzeiro do Sul</t>
  </si>
  <si>
    <t>David Canabarro</t>
  </si>
  <si>
    <t>Derrubadas</t>
  </si>
  <si>
    <t>Dezesseis de Novembro</t>
  </si>
  <si>
    <t>Dilermando de Aguiar</t>
  </si>
  <si>
    <t>Dois Irmãos das Missões</t>
  </si>
  <si>
    <t>Dois Lajeados</t>
  </si>
  <si>
    <t>Dom Feliciano</t>
  </si>
  <si>
    <t>Dom Pedrito</t>
  </si>
  <si>
    <t>Dom Pedro de Alcântara</t>
  </si>
  <si>
    <t>Dona Francisca</t>
  </si>
  <si>
    <t>Doutor Maurício Cardoso</t>
  </si>
  <si>
    <t>Doutor Ricardo</t>
  </si>
  <si>
    <t>Engenho Velho</t>
  </si>
  <si>
    <t>Entre Rios do Sul</t>
  </si>
  <si>
    <t>Entre-Ijuís</t>
  </si>
  <si>
    <t>Erebango</t>
  </si>
  <si>
    <t>Ernestina</t>
  </si>
  <si>
    <t>Erval Seco</t>
  </si>
  <si>
    <t>Esmeralda</t>
  </si>
  <si>
    <t>Esperança do Sul</t>
  </si>
  <si>
    <t>Espumoso</t>
  </si>
  <si>
    <t>Estrela Velha</t>
  </si>
  <si>
    <t>Eugênio de Castro</t>
  </si>
  <si>
    <t>Fagundes Varela</t>
  </si>
  <si>
    <t>Fazenda Vilanova</t>
  </si>
  <si>
    <t>Floriano Peixoto</t>
  </si>
  <si>
    <t>Fontoura Xavier</t>
  </si>
  <si>
    <t>Formigueiro</t>
  </si>
  <si>
    <t>Forquetinha</t>
  </si>
  <si>
    <t>Fortaleza dos Valos</t>
  </si>
  <si>
    <t>Frederico Westphalen</t>
  </si>
  <si>
    <t>Garruchos</t>
  </si>
  <si>
    <t>Gentil</t>
  </si>
  <si>
    <t>Giruá</t>
  </si>
  <si>
    <t>Gramado dos Loureiros</t>
  </si>
  <si>
    <t>Gramado Xavier</t>
  </si>
  <si>
    <t>Guabiju</t>
  </si>
  <si>
    <t>Guarani das Missões</t>
  </si>
  <si>
    <t>Herval</t>
  </si>
  <si>
    <t>Herveiras</t>
  </si>
  <si>
    <t>Horizontina</t>
  </si>
  <si>
    <t>Hulha Negra</t>
  </si>
  <si>
    <t>Humaitá</t>
  </si>
  <si>
    <t>Ibarama</t>
  </si>
  <si>
    <t>Ibiaçá</t>
  </si>
  <si>
    <t>Ibiraiaras</t>
  </si>
  <si>
    <t>Ibirapuitã</t>
  </si>
  <si>
    <t>Ilópolis</t>
  </si>
  <si>
    <t>Independência</t>
  </si>
  <si>
    <t>Inhacorá</t>
  </si>
  <si>
    <t>Ipê</t>
  </si>
  <si>
    <t>Ipiranga do Sul</t>
  </si>
  <si>
    <t>Iraí</t>
  </si>
  <si>
    <t>Itaara</t>
  </si>
  <si>
    <t>Itacurubi</t>
  </si>
  <si>
    <t>Itapuca</t>
  </si>
  <si>
    <t>Itati</t>
  </si>
  <si>
    <t>Itatiba do Sul</t>
  </si>
  <si>
    <t>Ivorá</t>
  </si>
  <si>
    <t>Jaboticaba</t>
  </si>
  <si>
    <t>Jacuizinho</t>
  </si>
  <si>
    <t>Jaguari</t>
  </si>
  <si>
    <t>Jari</t>
  </si>
  <si>
    <t>Jóia</t>
  </si>
  <si>
    <t>Lagoa Bonita do Sul</t>
  </si>
  <si>
    <t>Lagoa dos Três Cantos</t>
  </si>
  <si>
    <t>Lajeado do Bugre</t>
  </si>
  <si>
    <t>Liberato Salzano</t>
  </si>
  <si>
    <t>Lindolfo Collor</t>
  </si>
  <si>
    <t>Linha Nova</t>
  </si>
  <si>
    <t>Mampituba</t>
  </si>
  <si>
    <t>Manoel Viana</t>
  </si>
  <si>
    <t>Maquiné</t>
  </si>
  <si>
    <t>Mariano Moro</t>
  </si>
  <si>
    <t>Marques de Souza</t>
  </si>
  <si>
    <t>Mato Castelhano</t>
  </si>
  <si>
    <t>Mato Leitão</t>
  </si>
  <si>
    <t>Mato Queimado</t>
  </si>
  <si>
    <t>Maximiliano de Almeida</t>
  </si>
  <si>
    <t>Minas do Leão</t>
  </si>
  <si>
    <t>Miraguaí</t>
  </si>
  <si>
    <t>Monte Alegre dos Campos</t>
  </si>
  <si>
    <t>Monte Belo do Sul</t>
  </si>
  <si>
    <t>Morrinhos do Sul</t>
  </si>
  <si>
    <t>Morro Redondo</t>
  </si>
  <si>
    <t>Muçum</t>
  </si>
  <si>
    <t>Muliterno</t>
  </si>
  <si>
    <t>Nicolau Vergueiro</t>
  </si>
  <si>
    <t>Nova Alvorada</t>
  </si>
  <si>
    <t>Nova Araçá</t>
  </si>
  <si>
    <t>Nova Bassano</t>
  </si>
  <si>
    <t>Nova Boa Vista</t>
  </si>
  <si>
    <t>Nova Bréscia</t>
  </si>
  <si>
    <t>Nova Candelária</t>
  </si>
  <si>
    <t>Nova Esperança do Sul</t>
  </si>
  <si>
    <t>Nova Pádua</t>
  </si>
  <si>
    <t>Nova Palma</t>
  </si>
  <si>
    <t>Nova Ramada</t>
  </si>
  <si>
    <t>Novo Barreiro</t>
  </si>
  <si>
    <t>Novo Machado</t>
  </si>
  <si>
    <t>Novo Tiradentes</t>
  </si>
  <si>
    <t>Novo Xingu</t>
  </si>
  <si>
    <t>Paim Filho</t>
  </si>
  <si>
    <t>Palmeira das Missões</t>
  </si>
  <si>
    <t>Pantano Grande</t>
  </si>
  <si>
    <t>Pareci Novo</t>
  </si>
  <si>
    <t>Passa Sete</t>
  </si>
  <si>
    <t>Paulo Bento</t>
  </si>
  <si>
    <t>Paverama</t>
  </si>
  <si>
    <t>Pedras Altas</t>
  </si>
  <si>
    <t>Pedro Osório</t>
  </si>
  <si>
    <t>Pejuçara</t>
  </si>
  <si>
    <t>Pinhal</t>
  </si>
  <si>
    <t>Pinhal da Serra</t>
  </si>
  <si>
    <t>Pinhal Grande</t>
  </si>
  <si>
    <t>Pinheirinho do Vale</t>
  </si>
  <si>
    <t>Pinheiro Machado</t>
  </si>
  <si>
    <t>Pinto Bandeira</t>
  </si>
  <si>
    <t>Pirapó</t>
  </si>
  <si>
    <t>Piratini</t>
  </si>
  <si>
    <t>Poço das Antas</t>
  </si>
  <si>
    <t>Pontão</t>
  </si>
  <si>
    <t>Ponte Preta</t>
  </si>
  <si>
    <t>Porto Lucena</t>
  </si>
  <si>
    <t>Porto Mauá</t>
  </si>
  <si>
    <t>Porto Vera Cruz</t>
  </si>
  <si>
    <t>Pouso Novo</t>
  </si>
  <si>
    <t>Presidente Lucena</t>
  </si>
  <si>
    <t>Progresso</t>
  </si>
  <si>
    <t>Protásio Alves</t>
  </si>
  <si>
    <t>Putinga</t>
  </si>
  <si>
    <t>Quaraí</t>
  </si>
  <si>
    <t>Quatro Irmãos</t>
  </si>
  <si>
    <t>Quevedos</t>
  </si>
  <si>
    <t>Redentora</t>
  </si>
  <si>
    <t>Relvado</t>
  </si>
  <si>
    <t>Rio dos Índios</t>
  </si>
  <si>
    <t>Rio Grande</t>
  </si>
  <si>
    <t>Rio Pardo</t>
  </si>
  <si>
    <t>Riozinho</t>
  </si>
  <si>
    <t>Roca Sales</t>
  </si>
  <si>
    <t>Rodeio Bonito</t>
  </si>
  <si>
    <t>Rolador</t>
  </si>
  <si>
    <t>Ronda Alta</t>
  </si>
  <si>
    <t>Rondinha</t>
  </si>
  <si>
    <t>Roque Gonzales</t>
  </si>
  <si>
    <t>Sagrada Família</t>
  </si>
  <si>
    <t>Saldanha Marinho</t>
  </si>
  <si>
    <t>Salvador das Missões</t>
  </si>
  <si>
    <t>Santa Cecília do Sul</t>
  </si>
  <si>
    <t>Santa Clara do Sul</t>
  </si>
  <si>
    <t>Santa Margarida do Sul</t>
  </si>
  <si>
    <t>Santa Maria do Herval</t>
  </si>
  <si>
    <t>Santa Tereza</t>
  </si>
  <si>
    <t>Santa Vitória do Palmar</t>
  </si>
  <si>
    <t>Santana da Boa Vista</t>
  </si>
  <si>
    <t>Santana do Livramento</t>
  </si>
  <si>
    <t>Santiago</t>
  </si>
  <si>
    <t>Santo Antônio da Patrulha</t>
  </si>
  <si>
    <t>Santo Antônio das Missões</t>
  </si>
  <si>
    <t>Santo Antônio do Palma</t>
  </si>
  <si>
    <t>Santo Antônio do Planalto</t>
  </si>
  <si>
    <t>São Borja</t>
  </si>
  <si>
    <t>São Domingos do Sul</t>
  </si>
  <si>
    <t>São Gabriel</t>
  </si>
  <si>
    <t>São João do Polêsine</t>
  </si>
  <si>
    <t>São José das Missões</t>
  </si>
  <si>
    <t>São José do Herval</t>
  </si>
  <si>
    <t>São José do Inhacorá</t>
  </si>
  <si>
    <t>São José do Norte</t>
  </si>
  <si>
    <t>São José do Sul</t>
  </si>
  <si>
    <t>São Lourenço do Sul</t>
  </si>
  <si>
    <t>São Martinho</t>
  </si>
  <si>
    <t>São Nicolau</t>
  </si>
  <si>
    <t>São Paulo das Missões</t>
  </si>
  <si>
    <t>São Pedro da Serra</t>
  </si>
  <si>
    <t>São Pedro das Missões</t>
  </si>
  <si>
    <t>São Pedro do Butiá</t>
  </si>
  <si>
    <t>São Valentim do Sul</t>
  </si>
  <si>
    <t>São Valério do Sul</t>
  </si>
  <si>
    <t>São Vicente do Sul</t>
  </si>
  <si>
    <t>Seberi</t>
  </si>
  <si>
    <t>Sede Nova</t>
  </si>
  <si>
    <t>Segredo</t>
  </si>
  <si>
    <t>Selbach</t>
  </si>
  <si>
    <t>Senador Salgado Filho</t>
  </si>
  <si>
    <t>Sentinela do Sul</t>
  </si>
  <si>
    <t>Sério</t>
  </si>
  <si>
    <t>Sertão</t>
  </si>
  <si>
    <t>Sertão Santana</t>
  </si>
  <si>
    <t>Sete de Setembro</t>
  </si>
  <si>
    <t>Severiano de Almeida</t>
  </si>
  <si>
    <t>Silveira Martins</t>
  </si>
  <si>
    <t>Sinimbu</t>
  </si>
  <si>
    <t>Tabaí</t>
  </si>
  <si>
    <t>Taquaruçu do Sul</t>
  </si>
  <si>
    <t>Terra de Areia</t>
  </si>
  <si>
    <t>Tio Hugo</t>
  </si>
  <si>
    <t>Tiradentes do Sul</t>
  </si>
  <si>
    <t>Toropi</t>
  </si>
  <si>
    <t>Travesseiro</t>
  </si>
  <si>
    <t>Três Arroios</t>
  </si>
  <si>
    <t>Três Forquilhas</t>
  </si>
  <si>
    <t>Três Palmeiras</t>
  </si>
  <si>
    <t>Trindade do Sul</t>
  </si>
  <si>
    <t>Tucunduva</t>
  </si>
  <si>
    <t>Tunas</t>
  </si>
  <si>
    <t>Tupanci do Sul</t>
  </si>
  <si>
    <t>Tuparendi</t>
  </si>
  <si>
    <t>Turuçu</t>
  </si>
  <si>
    <t>Ubiretama</t>
  </si>
  <si>
    <t>União da Serra</t>
  </si>
  <si>
    <t>Unistalda</t>
  </si>
  <si>
    <t>Vale do Sol</t>
  </si>
  <si>
    <t>Vale Verde</t>
  </si>
  <si>
    <t>Vanini</t>
  </si>
  <si>
    <t>Venâncio Aires</t>
  </si>
  <si>
    <t>Vespasiano Corrêa</t>
  </si>
  <si>
    <t>Vicente Dutra</t>
  </si>
  <si>
    <t>Victor Graeff</t>
  </si>
  <si>
    <t>Vila Flores</t>
  </si>
  <si>
    <t>Vila Lângaro</t>
  </si>
  <si>
    <t>Vila Maria</t>
  </si>
  <si>
    <t>Vila Nova do Sul</t>
  </si>
  <si>
    <t>Vista Alegre</t>
  </si>
  <si>
    <t>Vista Alegre do Prata</t>
  </si>
  <si>
    <t>Vista Gaúcha</t>
  </si>
  <si>
    <t>Vitória das Missões</t>
  </si>
  <si>
    <t>Westfália</t>
  </si>
  <si>
    <t>Xangri-lá</t>
  </si>
</sst>
</file>

<file path=xl/styles.xml><?xml version="1.0" encoding="utf-8"?>
<styleSheet xmlns="http://schemas.openxmlformats.org/spreadsheetml/2006/main">
  <numFmts count="14">
    <numFmt numFmtId="176" formatCode="_-&quot;R$&quot;\ * #,##0_-;\-&quot;R$&quot;\ * #,##0_-;_-&quot;R$&quot;\ * &quot;-&quot;_-;_-@_-"/>
    <numFmt numFmtId="177" formatCode="_-* #,##0.00_-;\-* #,##0.00_-;_-* &quot;-&quot;??_-;_-@_-"/>
    <numFmt numFmtId="178" formatCode="_-* #,##0_-;\-* #,##0_-;_-* &quot;-&quot;_-;_-@_-"/>
    <numFmt numFmtId="179" formatCode="_-&quot;R$&quot;\ * #,##0.00_-;\-&quot;R$&quot;\ * #,##0.00_-;_-&quot;R$&quot;\ * &quot;-&quot;??_-;_-@_-"/>
    <numFmt numFmtId="180" formatCode="d/m/yyyy"/>
    <numFmt numFmtId="181" formatCode="dd/mm/yy"/>
    <numFmt numFmtId="182" formatCode="0.0"/>
    <numFmt numFmtId="183" formatCode="d/m/yy"/>
    <numFmt numFmtId="184" formatCode="d/mmm"/>
    <numFmt numFmtId="185" formatCode="d\-m\-yyyy"/>
    <numFmt numFmtId="186" formatCode="dd\.mm\.yyyy"/>
    <numFmt numFmtId="187" formatCode="_-* #,##0.00_-;\-* #,##0.00_-;_-* \-??_-;_-@"/>
    <numFmt numFmtId="188" formatCode="00"/>
    <numFmt numFmtId="189" formatCode="0.0%"/>
  </numFmts>
  <fonts count="75">
    <font>
      <sz val="11"/>
      <color rgb="FF000000"/>
      <name val="Calibri"/>
      <charset val="134"/>
      <scheme val="minor"/>
    </font>
    <font>
      <sz val="11"/>
      <color theme="1"/>
      <name val="Calibri"/>
      <charset val="134"/>
      <scheme val="minor"/>
    </font>
    <font>
      <b/>
      <sz val="10"/>
      <color rgb="FF000000"/>
      <name val="Calibri"/>
      <charset val="134"/>
    </font>
    <font>
      <b/>
      <sz val="10"/>
      <color rgb="FFFFFFFF"/>
      <name val="Calibri"/>
      <charset val="134"/>
    </font>
    <font>
      <sz val="10"/>
      <color theme="1"/>
      <name val="Calibri"/>
      <charset val="134"/>
    </font>
    <font>
      <sz val="10"/>
      <color rgb="FF000000"/>
      <name val="Calibri"/>
      <charset val="134"/>
    </font>
    <font>
      <b/>
      <sz val="10"/>
      <color theme="1"/>
      <name val="Calibri"/>
      <charset val="134"/>
    </font>
    <font>
      <u/>
      <sz val="11"/>
      <color theme="10"/>
      <name val="Calibri"/>
      <charset val="134"/>
      <scheme val="minor"/>
    </font>
    <font>
      <u/>
      <sz val="10"/>
      <color rgb="FF0000FF"/>
      <name val="Calibri"/>
      <charset val="134"/>
    </font>
    <font>
      <u/>
      <sz val="10"/>
      <color rgb="FF0066CC"/>
      <name val="Calibri"/>
      <charset val="134"/>
    </font>
    <font>
      <u/>
      <sz val="10"/>
      <color rgb="FF1155CC"/>
      <name val="Calibri"/>
      <charset val="134"/>
    </font>
    <font>
      <u/>
      <sz val="10"/>
      <color theme="1"/>
      <name val="Calibri"/>
      <charset val="134"/>
    </font>
    <font>
      <u/>
      <sz val="10"/>
      <color rgb="FF0563C1"/>
      <name val="Calibri"/>
      <charset val="134"/>
    </font>
    <font>
      <sz val="10"/>
      <color rgb="FFFFFFFF"/>
      <name val="Calibri"/>
      <charset val="134"/>
    </font>
    <font>
      <b/>
      <sz val="10"/>
      <color rgb="FF666666"/>
      <name val="Calibri"/>
      <charset val="134"/>
    </font>
    <font>
      <sz val="10"/>
      <color rgb="FF081723"/>
      <name val="Calibri"/>
      <charset val="134"/>
    </font>
    <font>
      <strike/>
      <sz val="10"/>
      <color theme="1"/>
      <name val="Calibri"/>
      <charset val="134"/>
    </font>
    <font>
      <u/>
      <sz val="11"/>
      <color rgb="FF0000FF"/>
      <name val="Calibri"/>
      <charset val="134"/>
    </font>
    <font>
      <sz val="9"/>
      <color rgb="FF000000"/>
      <name val="&quot;Google Sans Mono&quot;"/>
      <charset val="134"/>
    </font>
    <font>
      <u/>
      <sz val="11"/>
      <color theme="1"/>
      <name val="Calibri"/>
      <charset val="134"/>
      <scheme val="minor"/>
    </font>
    <font>
      <b/>
      <sz val="10"/>
      <color rgb="FF1C4587"/>
      <name val="Calibri"/>
      <charset val="134"/>
    </font>
    <font>
      <sz val="10"/>
      <color rgb="FF1C4587"/>
      <name val="Calibri"/>
      <charset val="134"/>
    </font>
    <font>
      <sz val="10"/>
      <color theme="1"/>
      <name val="Calibri"/>
      <charset val="134"/>
      <scheme val="minor"/>
    </font>
    <font>
      <b/>
      <sz val="11"/>
      <color rgb="FFFFFFFF"/>
      <name val="Calibri"/>
      <charset val="134"/>
      <scheme val="minor"/>
    </font>
    <font>
      <b/>
      <sz val="18"/>
      <color rgb="FFFFFFFF"/>
      <name val="Calibri"/>
      <charset val="134"/>
    </font>
    <font>
      <sz val="11"/>
      <name val="Calibri"/>
      <charset val="134"/>
    </font>
    <font>
      <b/>
      <sz val="11"/>
      <color rgb="FFFFFFFF"/>
      <name val="Calibri"/>
      <charset val="134"/>
    </font>
    <font>
      <b/>
      <sz val="12"/>
      <color theme="1"/>
      <name val="Calibri"/>
      <charset val="134"/>
      <scheme val="minor"/>
    </font>
    <font>
      <sz val="12"/>
      <color theme="1"/>
      <name val="Calibri"/>
      <charset val="134"/>
    </font>
    <font>
      <b/>
      <sz val="14"/>
      <color rgb="FFFFFFFF"/>
      <name val="Calibri"/>
      <charset val="134"/>
    </font>
    <font>
      <b/>
      <sz val="17"/>
      <color rgb="FFFFFFFF"/>
      <name val="Calibri"/>
      <charset val="134"/>
    </font>
    <font>
      <sz val="48"/>
      <color rgb="FFFFFFFF"/>
      <name val="Calibri"/>
      <charset val="134"/>
    </font>
    <font>
      <b/>
      <sz val="15"/>
      <color theme="1"/>
      <name val="Calibri"/>
      <charset val="134"/>
    </font>
    <font>
      <sz val="15"/>
      <color theme="1"/>
      <name val="Calibri"/>
      <charset val="134"/>
    </font>
    <font>
      <b/>
      <sz val="15"/>
      <color rgb="FFFFFFFF"/>
      <name val="Calibri"/>
      <charset val="134"/>
    </font>
    <font>
      <b/>
      <sz val="18"/>
      <color rgb="FFFFFFFF"/>
      <name val="Calibri"/>
      <charset val="134"/>
      <scheme val="minor"/>
    </font>
    <font>
      <sz val="18"/>
      <color theme="1"/>
      <name val="Calibri"/>
      <charset val="134"/>
      <scheme val="minor"/>
    </font>
    <font>
      <b/>
      <sz val="18"/>
      <color theme="1"/>
      <name val="Calibri"/>
      <charset val="134"/>
      <scheme val="minor"/>
    </font>
    <font>
      <sz val="18"/>
      <color rgb="FFFF0000"/>
      <name val="Calibri"/>
      <charset val="134"/>
      <scheme val="minor"/>
    </font>
    <font>
      <sz val="18"/>
      <color theme="1"/>
      <name val="Calibri"/>
      <charset val="134"/>
    </font>
    <font>
      <sz val="18"/>
      <color rgb="FFFF0000"/>
      <name val="Calibri"/>
      <charset val="134"/>
    </font>
    <font>
      <sz val="45"/>
      <color rgb="FFFFFFFF"/>
      <name val="Calibri"/>
      <charset val="134"/>
    </font>
    <font>
      <b/>
      <sz val="12"/>
      <color theme="1"/>
      <name val="Calibri"/>
      <charset val="134"/>
    </font>
    <font>
      <b/>
      <sz val="12"/>
      <color rgb="FFFF0000"/>
      <name val="Calibri"/>
      <charset val="134"/>
    </font>
    <font>
      <sz val="12"/>
      <color theme="1"/>
      <name val="Calibri"/>
      <charset val="134"/>
      <scheme val="minor"/>
    </font>
    <font>
      <sz val="11"/>
      <color rgb="FFFF0000"/>
      <name val="Calibri"/>
      <charset val="134"/>
      <scheme val="minor"/>
    </font>
    <font>
      <b/>
      <sz val="11"/>
      <color theme="1"/>
      <name val="Calibri"/>
      <charset val="134"/>
      <scheme val="minor"/>
    </font>
    <font>
      <b/>
      <sz val="12"/>
      <color rgb="FFFFFFFF"/>
      <name val="Times New Roman"/>
      <charset val="134"/>
    </font>
    <font>
      <sz val="12"/>
      <color rgb="FF000000"/>
      <name val="Times New Roman"/>
      <charset val="134"/>
    </font>
    <font>
      <sz val="12"/>
      <color rgb="FF00000A"/>
      <name val="Times New Roman"/>
      <charset val="134"/>
    </font>
    <font>
      <sz val="12"/>
      <color theme="1"/>
      <name val="Times New Roman"/>
      <charset val="134"/>
    </font>
    <font>
      <u/>
      <sz val="11"/>
      <color rgb="FF800080"/>
      <name val="Calibri"/>
      <charset val="0"/>
      <scheme val="minor"/>
    </font>
    <font>
      <b/>
      <sz val="15"/>
      <color theme="3"/>
      <name val="Calibri"/>
      <charset val="134"/>
      <scheme val="minor"/>
    </font>
    <font>
      <b/>
      <sz val="18"/>
      <color theme="3"/>
      <name val="Calibri"/>
      <charset val="134"/>
      <scheme val="minor"/>
    </font>
    <font>
      <b/>
      <sz val="11"/>
      <color theme="1"/>
      <name val="Calibri"/>
      <charset val="0"/>
      <scheme val="minor"/>
    </font>
    <font>
      <b/>
      <sz val="11"/>
      <color rgb="FFFFFFFF"/>
      <name val="Calibri"/>
      <charset val="0"/>
      <scheme val="minor"/>
    </font>
    <font>
      <sz val="11"/>
      <color theme="0"/>
      <name val="Calibri"/>
      <charset val="0"/>
      <scheme val="minor"/>
    </font>
    <font>
      <sz val="11"/>
      <color rgb="FFFA7D00"/>
      <name val="Calibri"/>
      <charset val="0"/>
      <scheme val="minor"/>
    </font>
    <font>
      <sz val="11"/>
      <color theme="1"/>
      <name val="Calibri"/>
      <charset val="0"/>
      <scheme val="minor"/>
    </font>
    <font>
      <b/>
      <sz val="11"/>
      <color theme="3"/>
      <name val="Calibri"/>
      <charset val="134"/>
      <scheme val="minor"/>
    </font>
    <font>
      <sz val="11"/>
      <color rgb="FFFF0000"/>
      <name val="Calibri"/>
      <charset val="0"/>
      <scheme val="minor"/>
    </font>
    <font>
      <i/>
      <sz val="11"/>
      <color rgb="FF7F7F7F"/>
      <name val="Calibri"/>
      <charset val="0"/>
      <scheme val="minor"/>
    </font>
    <font>
      <b/>
      <sz val="13"/>
      <color theme="3"/>
      <name val="Calibri"/>
      <charset val="134"/>
      <scheme val="minor"/>
    </font>
    <font>
      <sz val="11"/>
      <color rgb="FF3F3F76"/>
      <name val="Calibri"/>
      <charset val="0"/>
      <scheme val="minor"/>
    </font>
    <font>
      <b/>
      <sz val="11"/>
      <color rgb="FFFA7D00"/>
      <name val="Calibri"/>
      <charset val="0"/>
      <scheme val="minor"/>
    </font>
    <font>
      <b/>
      <sz val="11"/>
      <color rgb="FF3F3F3F"/>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8"/>
      <color rgb="FFFFFFFF"/>
      <name val="Calibri"/>
      <charset val="134"/>
    </font>
    <font>
      <b/>
      <sz val="12"/>
      <color rgb="FF38761D"/>
      <name val="Calibri"/>
      <charset val="134"/>
    </font>
    <font>
      <b/>
      <sz val="12"/>
      <color rgb="FF6AA84F"/>
      <name val="Calibri"/>
      <charset val="134"/>
    </font>
    <font>
      <sz val="14"/>
      <color rgb="FFFFFFFF"/>
      <name val="Calibri"/>
      <charset val="134"/>
    </font>
    <font>
      <b/>
      <sz val="12"/>
      <color rgb="FF990000"/>
      <name val="Calibri"/>
      <charset val="134"/>
    </font>
    <font>
      <b/>
      <sz val="12"/>
      <color rgb="FF9900FF"/>
      <name val="Calibri"/>
      <charset val="134"/>
    </font>
  </fonts>
  <fills count="57">
    <fill>
      <patternFill patternType="none"/>
    </fill>
    <fill>
      <patternFill patternType="gray125"/>
    </fill>
    <fill>
      <patternFill patternType="solid">
        <fgColor rgb="FFA8D08D"/>
        <bgColor rgb="FFA8D08D"/>
      </patternFill>
    </fill>
    <fill>
      <patternFill patternType="solid">
        <fgColor rgb="FF6D9EEB"/>
        <bgColor rgb="FF6D9EEB"/>
      </patternFill>
    </fill>
    <fill>
      <patternFill patternType="solid">
        <fgColor rgb="FFB7B7B7"/>
        <bgColor rgb="FFB7B7B7"/>
      </patternFill>
    </fill>
    <fill>
      <patternFill patternType="solid">
        <fgColor rgb="FFFFFFFF"/>
        <bgColor rgb="FFFFFFFF"/>
      </patternFill>
    </fill>
    <fill>
      <patternFill patternType="solid">
        <fgColor rgb="FFFF0000"/>
        <bgColor rgb="FFFF0000"/>
      </patternFill>
    </fill>
    <fill>
      <patternFill patternType="solid">
        <fgColor rgb="FF4A86E8"/>
        <bgColor rgb="FF4A86E8"/>
      </patternFill>
    </fill>
    <fill>
      <patternFill patternType="solid">
        <fgColor rgb="FFFFFF00"/>
        <bgColor rgb="FFFFFF00"/>
      </patternFill>
    </fill>
    <fill>
      <patternFill patternType="solid">
        <fgColor rgb="FFB6D7A8"/>
        <bgColor rgb="FFB6D7A8"/>
      </patternFill>
    </fill>
    <fill>
      <patternFill patternType="solid">
        <fgColor theme="0"/>
        <bgColor theme="0"/>
      </patternFill>
    </fill>
    <fill>
      <patternFill patternType="solid">
        <fgColor rgb="FF073763"/>
        <bgColor rgb="FF073763"/>
      </patternFill>
    </fill>
    <fill>
      <patternFill patternType="solid">
        <fgColor rgb="FF999999"/>
        <bgColor rgb="FF999999"/>
      </patternFill>
    </fill>
    <fill>
      <patternFill patternType="solid">
        <fgColor rgb="FF001C48"/>
        <bgColor rgb="FF001C48"/>
      </patternFill>
    </fill>
    <fill>
      <patternFill patternType="solid">
        <fgColor rgb="FF0045B2"/>
        <bgColor rgb="FF0045B2"/>
      </patternFill>
    </fill>
    <fill>
      <patternFill patternType="solid">
        <fgColor rgb="FFF3F3F3"/>
        <bgColor rgb="FFF3F3F3"/>
      </patternFill>
    </fill>
    <fill>
      <patternFill patternType="solid">
        <fgColor rgb="FFEA9999"/>
        <bgColor rgb="FFEA9999"/>
      </patternFill>
    </fill>
    <fill>
      <patternFill patternType="solid">
        <fgColor rgb="FF93C47D"/>
        <bgColor rgb="FF93C47D"/>
      </patternFill>
    </fill>
    <fill>
      <patternFill patternType="solid">
        <fgColor rgb="FFEFEFEF"/>
        <bgColor rgb="FFEFEFEF"/>
      </patternFill>
    </fill>
    <fill>
      <patternFill patternType="solid">
        <fgColor rgb="FF6AA84F"/>
        <bgColor rgb="FF6AA84F"/>
      </patternFill>
    </fill>
    <fill>
      <patternFill patternType="solid">
        <fgColor rgb="FFF4CCCC"/>
        <bgColor rgb="FFF4CCCC"/>
      </patternFill>
    </fill>
    <fill>
      <patternFill patternType="solid">
        <fgColor rgb="FFFFE599"/>
        <bgColor rgb="FFFFE599"/>
      </patternFill>
    </fill>
    <fill>
      <patternFill patternType="solid">
        <fgColor rgb="FFFF9900"/>
        <bgColor rgb="FFFF9900"/>
      </patternFill>
    </fill>
    <fill>
      <patternFill patternType="solid">
        <fgColor rgb="FF0B5394"/>
        <bgColor rgb="FF0B5394"/>
      </patternFill>
    </fill>
    <fill>
      <patternFill patternType="solid">
        <fgColor rgb="FFD9D2E9"/>
        <bgColor rgb="FFD9D2E9"/>
      </patternFill>
    </fill>
    <fill>
      <patternFill patternType="solid">
        <fgColor rgb="FF38761D"/>
        <bgColor rgb="FF38761D"/>
      </patternFill>
    </fill>
    <fill>
      <patternFill patternType="solid">
        <fgColor rgb="FFA5A5A5"/>
        <bgColor indexed="64"/>
      </patternFill>
    </fill>
    <fill>
      <patternFill patternType="solid">
        <fgColor theme="4"/>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5"/>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8"/>
        <bgColor indexed="64"/>
      </patternFill>
    </fill>
    <fill>
      <patternFill patternType="solid">
        <fgColor rgb="FFFFCC99"/>
        <bgColor indexed="64"/>
      </patternFill>
    </fill>
    <fill>
      <patternFill patternType="solid">
        <fgColor rgb="FFF2F2F2"/>
        <bgColor indexed="64"/>
      </patternFill>
    </fill>
    <fill>
      <patternFill patternType="solid">
        <fgColor rgb="FFC6EFCE"/>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tint="0.799981688894314"/>
        <bgColor indexed="64"/>
      </patternFill>
    </fill>
  </fills>
  <borders count="47">
    <border>
      <left/>
      <right/>
      <top/>
      <bottom/>
      <diagonal/>
    </border>
    <border>
      <left style="thin">
        <color auto="1"/>
      </left>
      <right style="thin">
        <color auto="1"/>
      </right>
      <top style="thin">
        <color auto="1"/>
      </top>
      <bottom style="thin">
        <color auto="1"/>
      </bottom>
      <diagonal/>
    </border>
    <border>
      <left style="thin">
        <color rgb="FF000000"/>
      </left>
      <right/>
      <top/>
      <bottom/>
      <diagonal/>
    </border>
    <border>
      <left/>
      <right style="thin">
        <color rgb="FFD2D2DF"/>
      </right>
      <top/>
      <bottom style="thin">
        <color rgb="FFD2D2DF"/>
      </bottom>
      <diagonal/>
    </border>
    <border>
      <left style="thin">
        <color rgb="FFD2D2DF"/>
      </left>
      <right style="thin">
        <color rgb="FFD2D2DF"/>
      </right>
      <top/>
      <bottom style="thin">
        <color rgb="FFD2D2DF"/>
      </bottom>
      <diagonal/>
    </border>
    <border>
      <left style="thin">
        <color rgb="FFD2D2DF"/>
      </left>
      <right style="thin">
        <color rgb="FFD2D2DF"/>
      </right>
      <top style="thin">
        <color rgb="FFD2D2DF"/>
      </top>
      <bottom style="thin">
        <color rgb="FFD2D2DF"/>
      </bottom>
      <diagonal/>
    </border>
    <border>
      <left/>
      <right style="thin">
        <color rgb="FFD2D2DF"/>
      </right>
      <top style="thin">
        <color rgb="FFD2D2DF"/>
      </top>
      <bottom style="thin">
        <color rgb="FFD2D2DF"/>
      </bottom>
      <diagonal/>
    </border>
    <border>
      <left/>
      <right/>
      <top/>
      <bottom style="thin">
        <color rgb="FFD2D2D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D2D2DF"/>
      </top>
      <bottom style="thin">
        <color rgb="FFD2D2DF"/>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ABABAB"/>
      </left>
      <right/>
      <top style="thin">
        <color rgb="FFABABAB"/>
      </top>
      <bottom/>
      <diagonal/>
    </border>
    <border>
      <left style="thin">
        <color rgb="FFABABAB"/>
      </left>
      <right style="thin">
        <color rgb="FFABABAB"/>
      </right>
      <top style="thin">
        <color rgb="FFABABAB"/>
      </top>
      <bottom/>
      <diagonal/>
    </border>
    <border>
      <left style="thin">
        <color rgb="FFABABAB"/>
      </left>
      <right/>
      <top/>
      <bottom/>
      <diagonal/>
    </border>
    <border>
      <left style="thin">
        <color rgb="FFABABAB"/>
      </left>
      <right style="thin">
        <color rgb="FFABABAB"/>
      </right>
      <top/>
      <bottom/>
      <diagonal/>
    </border>
    <border>
      <left style="thin">
        <color rgb="FFABABAB"/>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
      <left style="thin">
        <color rgb="FFABABAB"/>
      </left>
      <right/>
      <top style="thin">
        <color indexed="65"/>
      </top>
      <bottom/>
      <diagonal/>
    </border>
    <border>
      <left style="thin">
        <color rgb="FFABABAB"/>
      </left>
      <right/>
      <top style="thin">
        <color indexed="65"/>
      </top>
      <bottom style="thin">
        <color rgb="FFABABAB"/>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177" fontId="22" fillId="0" borderId="0" applyFont="0" applyFill="0" applyBorder="0" applyAlignment="0" applyProtection="0">
      <alignment vertical="center"/>
    </xf>
    <xf numFmtId="178" fontId="22" fillId="0" borderId="0" applyFont="0" applyFill="0" applyBorder="0" applyAlignment="0" applyProtection="0">
      <alignment vertical="center"/>
    </xf>
    <xf numFmtId="0" fontId="58" fillId="29" borderId="0" applyNumberFormat="0" applyBorder="0" applyAlignment="0" applyProtection="0">
      <alignment vertical="center"/>
    </xf>
    <xf numFmtId="9" fontId="22" fillId="0" borderId="0" applyFont="0" applyFill="0" applyBorder="0" applyAlignment="0" applyProtection="0">
      <alignment vertical="center"/>
    </xf>
    <xf numFmtId="0" fontId="57" fillId="0" borderId="42" applyNumberFormat="0" applyFill="0" applyAlignment="0" applyProtection="0">
      <alignment vertical="center"/>
    </xf>
    <xf numFmtId="0" fontId="55" fillId="26" borderId="41" applyNumberFormat="0" applyAlignment="0" applyProtection="0">
      <alignment vertical="center"/>
    </xf>
    <xf numFmtId="176" fontId="22" fillId="0" borderId="0" applyFont="0" applyFill="0" applyBorder="0" applyAlignment="0" applyProtection="0">
      <alignment vertical="center"/>
    </xf>
    <xf numFmtId="0" fontId="58" fillId="32" borderId="0" applyNumberFormat="0" applyBorder="0" applyAlignment="0" applyProtection="0">
      <alignment vertical="center"/>
    </xf>
    <xf numFmtId="179" fontId="22" fillId="0" borderId="0" applyFont="0" applyFill="0" applyBorder="0" applyAlignment="0" applyProtection="0">
      <alignment vertical="center"/>
    </xf>
    <xf numFmtId="0" fontId="51" fillId="0" borderId="0" applyNumberFormat="0" applyFill="0" applyBorder="0" applyAlignment="0" applyProtection="0">
      <alignment vertical="center"/>
    </xf>
    <xf numFmtId="0" fontId="7" fillId="0" borderId="0" applyNumberFormat="0" applyFill="0" applyBorder="0" applyAlignment="0" applyProtection="0"/>
    <xf numFmtId="0" fontId="58" fillId="28" borderId="0" applyNumberFormat="0" applyBorder="0" applyAlignment="0" applyProtection="0">
      <alignment vertical="center"/>
    </xf>
    <xf numFmtId="0" fontId="22" fillId="37" borderId="44" applyNumberFormat="0" applyFont="0" applyAlignment="0" applyProtection="0">
      <alignment vertical="center"/>
    </xf>
    <xf numFmtId="0" fontId="58" fillId="35" borderId="0" applyNumberFormat="0" applyBorder="0" applyAlignment="0" applyProtection="0">
      <alignment vertical="center"/>
    </xf>
    <xf numFmtId="0" fontId="60"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56" fillId="39" borderId="0" applyNumberFormat="0" applyBorder="0" applyAlignment="0" applyProtection="0">
      <alignment vertical="center"/>
    </xf>
    <xf numFmtId="0" fontId="52" fillId="0" borderId="39" applyNumberFormat="0" applyFill="0" applyAlignment="0" applyProtection="0">
      <alignment vertical="center"/>
    </xf>
    <xf numFmtId="0" fontId="56" fillId="43" borderId="0" applyNumberFormat="0" applyBorder="0" applyAlignment="0" applyProtection="0">
      <alignment vertical="center"/>
    </xf>
    <xf numFmtId="0" fontId="62" fillId="0" borderId="39" applyNumberFormat="0" applyFill="0" applyAlignment="0" applyProtection="0">
      <alignment vertical="center"/>
    </xf>
    <xf numFmtId="0" fontId="56" fillId="46" borderId="0" applyNumberFormat="0" applyBorder="0" applyAlignment="0" applyProtection="0">
      <alignment vertical="center"/>
    </xf>
    <xf numFmtId="0" fontId="59" fillId="0" borderId="43" applyNumberFormat="0" applyFill="0" applyAlignment="0" applyProtection="0">
      <alignment vertical="center"/>
    </xf>
    <xf numFmtId="0" fontId="56" fillId="38" borderId="0" applyNumberFormat="0" applyBorder="0" applyAlignment="0" applyProtection="0">
      <alignment vertical="center"/>
    </xf>
    <xf numFmtId="0" fontId="59" fillId="0" borderId="0" applyNumberFormat="0" applyFill="0" applyBorder="0" applyAlignment="0" applyProtection="0">
      <alignment vertical="center"/>
    </xf>
    <xf numFmtId="0" fontId="63" fillId="47" borderId="45" applyNumberFormat="0" applyAlignment="0" applyProtection="0">
      <alignment vertical="center"/>
    </xf>
    <xf numFmtId="0" fontId="65" fillId="48" borderId="46" applyNumberFormat="0" applyAlignment="0" applyProtection="0">
      <alignment vertical="center"/>
    </xf>
    <xf numFmtId="0" fontId="64" fillId="48" borderId="45" applyNumberFormat="0" applyAlignment="0" applyProtection="0">
      <alignment vertical="center"/>
    </xf>
    <xf numFmtId="0" fontId="54" fillId="0" borderId="40" applyNumberFormat="0" applyFill="0" applyAlignment="0" applyProtection="0">
      <alignment vertical="center"/>
    </xf>
    <xf numFmtId="0" fontId="58" fillId="50" borderId="0" applyNumberFormat="0" applyBorder="0" applyAlignment="0" applyProtection="0">
      <alignment vertical="center"/>
    </xf>
    <xf numFmtId="0" fontId="66" fillId="49" borderId="0" applyNumberFormat="0" applyBorder="0" applyAlignment="0" applyProtection="0">
      <alignment vertical="center"/>
    </xf>
    <xf numFmtId="0" fontId="67" fillId="51" borderId="0" applyNumberFormat="0" applyBorder="0" applyAlignment="0" applyProtection="0">
      <alignment vertical="center"/>
    </xf>
    <xf numFmtId="0" fontId="68" fillId="53" borderId="0" applyNumberFormat="0" applyBorder="0" applyAlignment="0" applyProtection="0">
      <alignment vertical="center"/>
    </xf>
    <xf numFmtId="0" fontId="58" fillId="56" borderId="0" applyNumberFormat="0" applyBorder="0" applyAlignment="0" applyProtection="0">
      <alignment vertical="center"/>
    </xf>
    <xf numFmtId="0" fontId="56" fillId="27" borderId="0" applyNumberFormat="0" applyBorder="0" applyAlignment="0" applyProtection="0">
      <alignment vertical="center"/>
    </xf>
    <xf numFmtId="0" fontId="58" fillId="52" borderId="0" applyNumberFormat="0" applyBorder="0" applyAlignment="0" applyProtection="0">
      <alignment vertical="center"/>
    </xf>
    <xf numFmtId="0" fontId="56" fillId="45" borderId="0" applyNumberFormat="0" applyBorder="0" applyAlignment="0" applyProtection="0">
      <alignment vertical="center"/>
    </xf>
    <xf numFmtId="0" fontId="58" fillId="31" borderId="0" applyNumberFormat="0" applyBorder="0" applyAlignment="0" applyProtection="0">
      <alignment vertical="center"/>
    </xf>
    <xf numFmtId="0" fontId="56" fillId="34" borderId="0" applyNumberFormat="0" applyBorder="0" applyAlignment="0" applyProtection="0">
      <alignment vertical="center"/>
    </xf>
    <xf numFmtId="0" fontId="58" fillId="42" borderId="0" applyNumberFormat="0" applyBorder="0" applyAlignment="0" applyProtection="0">
      <alignment vertical="center"/>
    </xf>
    <xf numFmtId="0" fontId="56" fillId="36" borderId="0" applyNumberFormat="0" applyBorder="0" applyAlignment="0" applyProtection="0">
      <alignment vertical="center"/>
    </xf>
    <xf numFmtId="0" fontId="58" fillId="30" borderId="0" applyNumberFormat="0" applyBorder="0" applyAlignment="0" applyProtection="0">
      <alignment vertical="center"/>
    </xf>
    <xf numFmtId="0" fontId="56" fillId="41" borderId="0" applyNumberFormat="0" applyBorder="0" applyAlignment="0" applyProtection="0">
      <alignment vertical="center"/>
    </xf>
    <xf numFmtId="0" fontId="58" fillId="44" borderId="0" applyNumberFormat="0" applyBorder="0" applyAlignment="0" applyProtection="0">
      <alignment vertical="center"/>
    </xf>
    <xf numFmtId="0" fontId="56" fillId="55" borderId="0" applyNumberFormat="0" applyBorder="0" applyAlignment="0" applyProtection="0">
      <alignment vertical="center"/>
    </xf>
    <xf numFmtId="0" fontId="58" fillId="33" borderId="0" applyNumberFormat="0" applyBorder="0" applyAlignment="0" applyProtection="0">
      <alignment vertical="center"/>
    </xf>
    <xf numFmtId="0" fontId="56" fillId="40" borderId="0" applyNumberFormat="0" applyBorder="0" applyAlignment="0" applyProtection="0">
      <alignment vertical="center"/>
    </xf>
    <xf numFmtId="0" fontId="56" fillId="54" borderId="0" applyNumberFormat="0" applyBorder="0" applyAlignment="0" applyProtection="0">
      <alignment vertical="center"/>
    </xf>
  </cellStyleXfs>
  <cellXfs count="246">
    <xf numFmtId="0" fontId="0" fillId="0" borderId="0" xfId="0"/>
    <xf numFmtId="0" fontId="1" fillId="0" borderId="0" xfId="0" applyFont="1"/>
    <xf numFmtId="0" fontId="2" fillId="2" borderId="0" xfId="0" applyFont="1" applyFill="1" applyAlignment="1">
      <alignment horizontal="center" vertical="center"/>
    </xf>
    <xf numFmtId="0" fontId="2" fillId="2" borderId="0" xfId="0" applyFont="1" applyFill="1" applyBorder="1" applyAlignment="1">
      <alignment horizontal="center" vertical="center"/>
    </xf>
    <xf numFmtId="3" fontId="3" fillId="3" borderId="0" xfId="0" applyNumberFormat="1" applyFont="1" applyFill="1" applyAlignment="1">
      <alignment horizontal="center"/>
    </xf>
    <xf numFmtId="0" fontId="2" fillId="4" borderId="0" xfId="0" applyFont="1" applyFill="1" applyBorder="1" applyAlignment="1">
      <alignment horizontal="center" vertical="center" wrapText="1"/>
    </xf>
    <xf numFmtId="0" fontId="4" fillId="0" borderId="0" xfId="0" applyFont="1" applyAlignment="1">
      <alignment horizontal="center"/>
    </xf>
    <xf numFmtId="0" fontId="4" fillId="0" borderId="0" xfId="0" applyFont="1"/>
    <xf numFmtId="3" fontId="4" fillId="3" borderId="0" xfId="0" applyNumberFormat="1" applyFont="1" applyFill="1"/>
    <xf numFmtId="3" fontId="4" fillId="0" borderId="0" xfId="0" applyNumberFormat="1" applyFont="1"/>
    <xf numFmtId="0" fontId="4" fillId="0" borderId="0" xfId="0" applyFont="1" applyAlignment="1">
      <alignment horizontal="left"/>
    </xf>
    <xf numFmtId="0" fontId="5" fillId="5" borderId="0" xfId="0" applyFont="1" applyFill="1" applyAlignment="1">
      <alignment horizontal="left"/>
    </xf>
    <xf numFmtId="0" fontId="4" fillId="5" borderId="0" xfId="0" applyFont="1" applyFill="1" applyAlignment="1">
      <alignment horizontal="left"/>
    </xf>
    <xf numFmtId="0" fontId="4" fillId="6" borderId="0" xfId="0" applyFont="1" applyFill="1"/>
    <xf numFmtId="0" fontId="4" fillId="7" borderId="0" xfId="0" applyFont="1" applyFill="1"/>
    <xf numFmtId="58" fontId="4" fillId="0" borderId="0" xfId="0" applyNumberFormat="1" applyFont="1"/>
    <xf numFmtId="180" fontId="4" fillId="0" borderId="0" xfId="0" applyNumberFormat="1" applyFont="1"/>
    <xf numFmtId="0" fontId="0" fillId="0" borderId="0" xfId="0" applyFill="1"/>
    <xf numFmtId="0" fontId="2" fillId="0" borderId="1" xfId="0" applyFont="1" applyFill="1" applyBorder="1" applyAlignment="1">
      <alignment horizontal="center" vertical="center"/>
    </xf>
    <xf numFmtId="0" fontId="4" fillId="0" borderId="1" xfId="0" applyFont="1" applyFill="1" applyBorder="1"/>
    <xf numFmtId="0" fontId="4" fillId="0" borderId="1" xfId="0" applyFont="1" applyBorder="1"/>
    <xf numFmtId="58" fontId="4" fillId="0" borderId="1" xfId="0" applyNumberFormat="1" applyFont="1" applyBorder="1"/>
    <xf numFmtId="180" fontId="4" fillId="0" borderId="1" xfId="0" applyNumberFormat="1" applyFont="1" applyBorder="1"/>
    <xf numFmtId="0" fontId="6" fillId="0" borderId="1" xfId="0" applyFont="1" applyBorder="1"/>
    <xf numFmtId="0" fontId="7" fillId="0" borderId="1" xfId="11" applyBorder="1"/>
    <xf numFmtId="58" fontId="0" fillId="0" borderId="1" xfId="0" applyNumberFormat="1" applyBorder="1"/>
    <xf numFmtId="0" fontId="3" fillId="3" borderId="0" xfId="0" applyFont="1" applyFill="1" applyAlignment="1">
      <alignment horizontal="center" vertical="center"/>
    </xf>
    <xf numFmtId="0" fontId="5" fillId="0" borderId="0" xfId="0" applyFont="1" applyAlignment="1">
      <alignment horizontal="center"/>
    </xf>
    <xf numFmtId="0" fontId="5" fillId="0" borderId="0" xfId="0" applyFont="1"/>
    <xf numFmtId="3" fontId="4" fillId="0" borderId="0" xfId="0" applyNumberFormat="1" applyFont="1" applyAlignment="1">
      <alignment horizontal="center"/>
    </xf>
    <xf numFmtId="58" fontId="5" fillId="0" borderId="0" xfId="0" applyNumberFormat="1" applyFont="1"/>
    <xf numFmtId="0" fontId="4" fillId="7"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vertical="center"/>
    </xf>
    <xf numFmtId="58" fontId="5" fillId="0" borderId="0" xfId="0" applyNumberFormat="1" applyFont="1" applyAlignment="1">
      <alignment horizontal="right"/>
    </xf>
    <xf numFmtId="0" fontId="5" fillId="0" borderId="0" xfId="0" applyFont="1" applyAlignment="1">
      <alignment horizontal="left"/>
    </xf>
    <xf numFmtId="0" fontId="8" fillId="0" borderId="0" xfId="0" applyFont="1"/>
    <xf numFmtId="0" fontId="5" fillId="0" borderId="0" xfId="0" applyFont="1" applyAlignment="1">
      <alignment horizontal="right"/>
    </xf>
    <xf numFmtId="0" fontId="4" fillId="8" borderId="0" xfId="0" applyFont="1" applyFill="1" applyAlignment="1">
      <alignment horizontal="center"/>
    </xf>
    <xf numFmtId="0" fontId="5" fillId="5" borderId="0" xfId="0" applyFont="1" applyFill="1" applyAlignment="1">
      <alignment horizontal="center"/>
    </xf>
    <xf numFmtId="58" fontId="5" fillId="0" borderId="0" xfId="0" applyNumberFormat="1" applyFont="1" applyAlignment="1">
      <alignment horizontal="center"/>
    </xf>
    <xf numFmtId="180" fontId="5" fillId="0" borderId="0" xfId="0" applyNumberFormat="1" applyFont="1" applyAlignment="1">
      <alignment horizontal="center"/>
    </xf>
    <xf numFmtId="0" fontId="8" fillId="0" borderId="0" xfId="0" applyFont="1" applyAlignment="1">
      <alignment horizontal="center"/>
    </xf>
    <xf numFmtId="0" fontId="2" fillId="0" borderId="0" xfId="0" applyFont="1" applyAlignment="1">
      <alignment horizontal="center"/>
    </xf>
    <xf numFmtId="0" fontId="4" fillId="0" borderId="2" xfId="0" applyFont="1" applyBorder="1" applyAlignment="1">
      <alignment horizontal="center"/>
    </xf>
    <xf numFmtId="0" fontId="4" fillId="5" borderId="2" xfId="0" applyFont="1" applyFill="1" applyBorder="1" applyAlignment="1">
      <alignment horizontal="center"/>
    </xf>
    <xf numFmtId="0" fontId="4" fillId="5" borderId="0" xfId="0" applyFont="1" applyFill="1" applyAlignment="1">
      <alignment horizontal="center"/>
    </xf>
    <xf numFmtId="0" fontId="4" fillId="5" borderId="0" xfId="0" applyFont="1" applyFill="1"/>
    <xf numFmtId="49" fontId="4" fillId="5" borderId="0" xfId="0" applyNumberFormat="1" applyFont="1" applyFill="1" applyAlignment="1">
      <alignment horizontal="center"/>
    </xf>
    <xf numFmtId="0" fontId="5" fillId="5" borderId="2" xfId="0" applyFont="1" applyFill="1" applyBorder="1" applyAlignment="1">
      <alignment horizontal="center"/>
    </xf>
    <xf numFmtId="0" fontId="4" fillId="6" borderId="0" xfId="0" applyFont="1" applyFill="1" applyAlignment="1">
      <alignment horizontal="center"/>
    </xf>
    <xf numFmtId="58" fontId="4" fillId="0" borderId="0" xfId="0" applyNumberFormat="1" applyFont="1" applyAlignment="1">
      <alignment horizontal="right"/>
    </xf>
    <xf numFmtId="58" fontId="4" fillId="5" borderId="0" xfId="0" applyNumberFormat="1" applyFont="1" applyFill="1" applyAlignment="1">
      <alignment horizontal="center"/>
    </xf>
    <xf numFmtId="58" fontId="4" fillId="5" borderId="0" xfId="0" applyNumberFormat="1" applyFont="1" applyFill="1"/>
    <xf numFmtId="181" fontId="4" fillId="0" borderId="0" xfId="0" applyNumberFormat="1" applyFont="1" applyAlignment="1">
      <alignment horizontal="center"/>
    </xf>
    <xf numFmtId="180" fontId="4" fillId="0" borderId="0" xfId="0" applyNumberFormat="1" applyFont="1" applyAlignment="1">
      <alignment horizontal="right"/>
    </xf>
    <xf numFmtId="180" fontId="4" fillId="0" borderId="0" xfId="0" applyNumberFormat="1" applyFont="1" applyAlignment="1">
      <alignment horizontal="center"/>
    </xf>
    <xf numFmtId="58" fontId="4" fillId="5" borderId="0" xfId="0" applyNumberFormat="1" applyFont="1" applyFill="1" applyAlignment="1">
      <alignment horizontal="right"/>
    </xf>
    <xf numFmtId="180" fontId="4" fillId="5" borderId="0" xfId="0" applyNumberFormat="1" applyFont="1" applyFill="1"/>
    <xf numFmtId="0" fontId="4" fillId="0" borderId="0" xfId="0" applyFont="1" applyAlignment="1">
      <alignment horizontal="right"/>
    </xf>
    <xf numFmtId="0" fontId="9" fillId="5" borderId="0" xfId="0" applyFont="1" applyFill="1" applyAlignment="1">
      <alignment horizontal="center"/>
    </xf>
    <xf numFmtId="0" fontId="4" fillId="5" borderId="0" xfId="0" applyFont="1" applyFill="1" applyAlignment="1">
      <alignment horizontal="right"/>
    </xf>
    <xf numFmtId="3" fontId="4" fillId="5" borderId="0" xfId="0" applyNumberFormat="1" applyFont="1" applyFill="1"/>
    <xf numFmtId="0" fontId="6" fillId="0" borderId="0" xfId="0" applyFont="1"/>
    <xf numFmtId="3" fontId="4" fillId="5" borderId="0" xfId="0" applyNumberFormat="1" applyFont="1" applyFill="1" applyAlignment="1">
      <alignment horizontal="center"/>
    </xf>
    <xf numFmtId="180" fontId="4" fillId="5" borderId="0" xfId="0" applyNumberFormat="1" applyFont="1" applyFill="1" applyAlignment="1">
      <alignment horizontal="center"/>
    </xf>
    <xf numFmtId="183" fontId="4" fillId="0" borderId="0" xfId="0" applyNumberFormat="1" applyFont="1" applyAlignment="1">
      <alignment horizontal="center"/>
    </xf>
    <xf numFmtId="184" fontId="4" fillId="5" borderId="0" xfId="0" applyNumberFormat="1" applyFont="1" applyFill="1"/>
    <xf numFmtId="180" fontId="4" fillId="5" borderId="0" xfId="0" applyNumberFormat="1" applyFont="1" applyFill="1" applyAlignment="1">
      <alignment horizontal="right"/>
    </xf>
    <xf numFmtId="0" fontId="3" fillId="3" borderId="0" xfId="0" applyFont="1" applyFill="1" applyBorder="1" applyAlignment="1">
      <alignment horizontal="center" vertical="center"/>
    </xf>
    <xf numFmtId="3" fontId="4" fillId="0" borderId="0" xfId="0" applyNumberFormat="1" applyFont="1" applyAlignment="1">
      <alignment horizontal="right"/>
    </xf>
    <xf numFmtId="0" fontId="4" fillId="7" borderId="0" xfId="0" applyFont="1" applyFill="1" applyAlignment="1">
      <alignment horizontal="left"/>
    </xf>
    <xf numFmtId="0" fontId="10" fillId="0" borderId="0" xfId="0" applyFont="1"/>
    <xf numFmtId="0" fontId="11" fillId="0" borderId="0" xfId="0" applyFont="1"/>
    <xf numFmtId="0" fontId="4" fillId="7" borderId="0" xfId="0" applyFont="1" applyFill="1" applyAlignment="1">
      <alignment horizontal="right"/>
    </xf>
    <xf numFmtId="0" fontId="12" fillId="0" borderId="0" xfId="0" applyFont="1"/>
    <xf numFmtId="181" fontId="4" fillId="0" borderId="0" xfId="0" applyNumberFormat="1" applyFont="1" applyAlignment="1">
      <alignment horizontal="left"/>
    </xf>
    <xf numFmtId="58" fontId="4" fillId="0" borderId="0" xfId="0" applyNumberFormat="1" applyFont="1" applyAlignment="1">
      <alignment horizontal="left"/>
    </xf>
    <xf numFmtId="3" fontId="13" fillId="3" borderId="0" xfId="0" applyNumberFormat="1" applyFont="1" applyFill="1"/>
    <xf numFmtId="3" fontId="3" fillId="3" borderId="0" xfId="0" applyNumberFormat="1" applyFont="1" applyFill="1"/>
    <xf numFmtId="0" fontId="14" fillId="0" borderId="0" xfId="0" applyFont="1"/>
    <xf numFmtId="0" fontId="6" fillId="6" borderId="0" xfId="0" applyFont="1" applyFill="1"/>
    <xf numFmtId="0" fontId="6" fillId="7" borderId="0" xfId="0" applyFont="1" applyFill="1"/>
    <xf numFmtId="183" fontId="4" fillId="0" borderId="0" xfId="0" applyNumberFormat="1" applyFont="1" applyAlignment="1">
      <alignment horizontal="right"/>
    </xf>
    <xf numFmtId="0" fontId="15" fillId="0" borderId="0" xfId="0" applyFont="1"/>
    <xf numFmtId="0" fontId="4" fillId="0" borderId="0" xfId="0" applyFont="1" applyAlignment="1">
      <alignment vertical="top"/>
    </xf>
    <xf numFmtId="0" fontId="4" fillId="0" borderId="3" xfId="0" applyFont="1" applyBorder="1"/>
    <xf numFmtId="0" fontId="16" fillId="0" borderId="0" xfId="0" applyFont="1" applyAlignment="1">
      <alignment horizontal="right"/>
    </xf>
    <xf numFmtId="3" fontId="4" fillId="0" borderId="4" xfId="0" applyNumberFormat="1" applyFont="1" applyBorder="1"/>
    <xf numFmtId="0" fontId="4" fillId="0" borderId="3" xfId="0" applyFont="1" applyBorder="1" applyAlignment="1">
      <alignment horizontal="center"/>
    </xf>
    <xf numFmtId="0" fontId="4" fillId="5" borderId="3" xfId="0" applyFont="1" applyFill="1" applyBorder="1"/>
    <xf numFmtId="49" fontId="4" fillId="0" borderId="0" xfId="0" applyNumberFormat="1" applyFont="1"/>
    <xf numFmtId="0" fontId="4" fillId="0" borderId="0" xfId="0" applyFont="1" applyAlignment="1">
      <alignment horizontal="center" vertical="top"/>
    </xf>
    <xf numFmtId="3" fontId="3" fillId="3" borderId="0" xfId="0" applyNumberFormat="1" applyFont="1" applyFill="1" applyBorder="1" applyAlignment="1">
      <alignment horizontal="center"/>
    </xf>
    <xf numFmtId="3" fontId="4" fillId="3" borderId="0" xfId="0" applyNumberFormat="1" applyFont="1" applyFill="1" applyBorder="1"/>
    <xf numFmtId="0" fontId="4" fillId="5" borderId="5" xfId="0" applyFont="1" applyFill="1" applyBorder="1" applyAlignment="1">
      <alignment horizontal="center"/>
    </xf>
    <xf numFmtId="3" fontId="4" fillId="0" borderId="5" xfId="0" applyNumberFormat="1" applyFont="1" applyBorder="1"/>
    <xf numFmtId="0" fontId="4" fillId="0" borderId="6" xfId="0" applyFont="1" applyBorder="1" applyAlignment="1">
      <alignment horizontal="center"/>
    </xf>
    <xf numFmtId="0" fontId="4" fillId="0" borderId="6" xfId="0" applyFont="1" applyBorder="1"/>
    <xf numFmtId="58" fontId="4" fillId="0" borderId="3" xfId="0" applyNumberFormat="1" applyFont="1" applyBorder="1"/>
    <xf numFmtId="58" fontId="4" fillId="0" borderId="3" xfId="0" applyNumberFormat="1" applyFont="1" applyBorder="1" applyAlignment="1">
      <alignment horizontal="right"/>
    </xf>
    <xf numFmtId="0" fontId="4" fillId="5" borderId="7" xfId="0" applyFont="1" applyFill="1" applyBorder="1"/>
    <xf numFmtId="0" fontId="4" fillId="0" borderId="8" xfId="0" applyFont="1" applyBorder="1"/>
    <xf numFmtId="58" fontId="4" fillId="0" borderId="8" xfId="0" applyNumberFormat="1" applyFont="1" applyBorder="1" applyAlignment="1">
      <alignment horizontal="right"/>
    </xf>
    <xf numFmtId="0" fontId="4" fillId="0" borderId="9" xfId="0" applyFont="1" applyBorder="1"/>
    <xf numFmtId="58" fontId="4" fillId="0" borderId="9" xfId="0" applyNumberFormat="1" applyFont="1" applyBorder="1" applyAlignment="1">
      <alignment horizontal="right"/>
    </xf>
    <xf numFmtId="58" fontId="4" fillId="0" borderId="9" xfId="0" applyNumberFormat="1" applyFont="1" applyBorder="1"/>
    <xf numFmtId="180" fontId="4" fillId="0" borderId="9" xfId="0" applyNumberFormat="1" applyFont="1" applyBorder="1" applyAlignment="1">
      <alignment horizontal="right"/>
    </xf>
    <xf numFmtId="58" fontId="4" fillId="0" borderId="6" xfId="0" applyNumberFormat="1" applyFont="1" applyBorder="1" applyAlignment="1">
      <alignment horizontal="right"/>
    </xf>
    <xf numFmtId="0" fontId="4" fillId="0" borderId="7" xfId="0" applyFont="1" applyBorder="1"/>
    <xf numFmtId="0" fontId="4" fillId="0" borderId="3" xfId="0" applyFont="1" applyBorder="1" applyAlignment="1">
      <alignment horizontal="right"/>
    </xf>
    <xf numFmtId="0" fontId="4" fillId="0" borderId="8" xfId="0" applyFont="1" applyBorder="1" applyAlignment="1">
      <alignment horizontal="right"/>
    </xf>
    <xf numFmtId="0" fontId="4" fillId="0" borderId="9" xfId="0" applyFont="1" applyBorder="1" applyAlignment="1">
      <alignment horizontal="right"/>
    </xf>
    <xf numFmtId="0" fontId="12" fillId="0" borderId="6" xfId="0" applyFont="1" applyBorder="1"/>
    <xf numFmtId="0" fontId="4" fillId="0" borderId="6" xfId="0" applyFont="1" applyBorder="1" applyAlignment="1">
      <alignment horizontal="right"/>
    </xf>
    <xf numFmtId="0" fontId="4" fillId="0" borderId="10" xfId="0" applyFont="1" applyBorder="1" applyAlignment="1">
      <alignment horizontal="center"/>
    </xf>
    <xf numFmtId="3" fontId="4" fillId="0" borderId="8" xfId="0" applyNumberFormat="1" applyFont="1" applyBorder="1"/>
    <xf numFmtId="0" fontId="4" fillId="0" borderId="11" xfId="0" applyFont="1" applyBorder="1"/>
    <xf numFmtId="0" fontId="4" fillId="0" borderId="12" xfId="0" applyFont="1" applyBorder="1"/>
    <xf numFmtId="3" fontId="1" fillId="0" borderId="0" xfId="0" applyNumberFormat="1" applyFont="1"/>
    <xf numFmtId="58" fontId="1" fillId="0" borderId="0" xfId="0" applyNumberFormat="1" applyFont="1"/>
    <xf numFmtId="180" fontId="1" fillId="0" borderId="0" xfId="0" applyNumberFormat="1" applyFont="1"/>
    <xf numFmtId="183" fontId="1" fillId="0" borderId="0" xfId="0" applyNumberFormat="1" applyFont="1"/>
    <xf numFmtId="0" fontId="17" fillId="0" borderId="0" xfId="0" applyFont="1"/>
    <xf numFmtId="49" fontId="1" fillId="0" borderId="0" xfId="0" applyNumberFormat="1" applyFont="1"/>
    <xf numFmtId="181" fontId="1" fillId="0" borderId="0" xfId="0" applyNumberFormat="1" applyFont="1"/>
    <xf numFmtId="0" fontId="18" fillId="5" borderId="0" xfId="0" applyFont="1" applyFill="1"/>
    <xf numFmtId="185" fontId="1" fillId="0" borderId="0" xfId="0" applyNumberFormat="1" applyFont="1"/>
    <xf numFmtId="0" fontId="19" fillId="0" borderId="0" xfId="0" applyFont="1"/>
    <xf numFmtId="184" fontId="1" fillId="0" borderId="0" xfId="0" applyNumberFormat="1" applyFont="1"/>
    <xf numFmtId="186" fontId="1" fillId="0" borderId="0" xfId="0" applyNumberFormat="1" applyFont="1"/>
    <xf numFmtId="0" fontId="20" fillId="9" borderId="8" xfId="0" applyFont="1" applyFill="1" applyBorder="1" applyAlignment="1">
      <alignment horizontal="left" vertical="center"/>
    </xf>
    <xf numFmtId="187" fontId="20" fillId="9" borderId="8" xfId="0" applyNumberFormat="1" applyFont="1" applyFill="1" applyBorder="1" applyAlignment="1">
      <alignment horizontal="left" vertical="center" wrapText="1"/>
    </xf>
    <xf numFmtId="187" fontId="20" fillId="9" borderId="8" xfId="0" applyNumberFormat="1" applyFont="1" applyFill="1" applyBorder="1" applyAlignment="1">
      <alignment horizontal="center" vertical="center" wrapText="1"/>
    </xf>
    <xf numFmtId="0" fontId="21" fillId="10" borderId="8" xfId="0" applyFont="1" applyFill="1" applyBorder="1" applyAlignment="1">
      <alignment horizontal="left" vertical="center"/>
    </xf>
    <xf numFmtId="187" fontId="21" fillId="10" borderId="8" xfId="0" applyNumberFormat="1" applyFont="1" applyFill="1" applyBorder="1" applyAlignment="1">
      <alignment horizontal="left" vertical="center"/>
    </xf>
    <xf numFmtId="187" fontId="21" fillId="10" borderId="8" xfId="0" applyNumberFormat="1" applyFont="1" applyFill="1" applyBorder="1" applyAlignment="1">
      <alignment horizontal="center" vertical="center"/>
    </xf>
    <xf numFmtId="0" fontId="21" fillId="10" borderId="8" xfId="0" applyFont="1" applyFill="1" applyBorder="1" applyAlignment="1">
      <alignment horizontal="center" vertical="center"/>
    </xf>
    <xf numFmtId="188" fontId="21" fillId="10" borderId="8" xfId="0" applyNumberFormat="1" applyFont="1" applyFill="1" applyBorder="1" applyAlignment="1">
      <alignment horizontal="center" vertical="center"/>
    </xf>
    <xf numFmtId="0" fontId="22" fillId="0" borderId="0" xfId="0" applyFont="1"/>
    <xf numFmtId="0" fontId="23" fillId="11" borderId="0" xfId="0" applyFont="1" applyFill="1" applyAlignment="1">
      <alignment horizontal="center" vertical="center"/>
    </xf>
    <xf numFmtId="0" fontId="23" fillId="0" borderId="0" xfId="0" applyFont="1" applyAlignment="1">
      <alignment horizontal="center" vertical="center"/>
    </xf>
    <xf numFmtId="0" fontId="0" fillId="0" borderId="13" xfId="0" applyBorder="1"/>
    <xf numFmtId="0" fontId="0" fillId="0" borderId="14" xfId="0" applyBorder="1"/>
    <xf numFmtId="188" fontId="1" fillId="0" borderId="0" xfId="0" applyNumberFormat="1" applyFont="1"/>
    <xf numFmtId="0" fontId="1" fillId="0" borderId="0" xfId="0" applyFont="1" applyAlignment="1">
      <alignment horizontal="center"/>
    </xf>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187" fontId="4" fillId="0" borderId="15" xfId="0" applyNumberFormat="1" applyFont="1" applyBorder="1" applyAlignment="1">
      <alignment horizontal="center" vertical="center"/>
    </xf>
    <xf numFmtId="0" fontId="4" fillId="0" borderId="15" xfId="0" applyFont="1" applyBorder="1"/>
    <xf numFmtId="187" fontId="4" fillId="0" borderId="0" xfId="0" applyNumberFormat="1" applyFont="1" applyAlignment="1">
      <alignment horizontal="center" vertical="center"/>
    </xf>
    <xf numFmtId="0" fontId="1" fillId="12" borderId="0" xfId="0" applyFont="1" applyFill="1"/>
    <xf numFmtId="0" fontId="1" fillId="12" borderId="21" xfId="0" applyFont="1" applyFill="1" applyBorder="1"/>
    <xf numFmtId="0" fontId="1" fillId="12" borderId="22" xfId="0" applyFont="1" applyFill="1" applyBorder="1"/>
    <xf numFmtId="0" fontId="24" fillId="13" borderId="21" xfId="0" applyFont="1" applyFill="1" applyBorder="1" applyAlignment="1">
      <alignment horizontal="center" vertical="center"/>
    </xf>
    <xf numFmtId="0" fontId="25" fillId="0" borderId="22" xfId="0" applyFont="1" applyBorder="1"/>
    <xf numFmtId="0" fontId="25" fillId="0" borderId="23" xfId="0" applyFont="1" applyBorder="1"/>
    <xf numFmtId="0" fontId="26" fillId="12" borderId="0" xfId="0" applyFont="1" applyFill="1" applyAlignment="1">
      <alignment horizontal="center" vertical="center"/>
    </xf>
    <xf numFmtId="0" fontId="25" fillId="0" borderId="24" xfId="0" applyFont="1" applyBorder="1"/>
    <xf numFmtId="0" fontId="25" fillId="0" borderId="25" xfId="0" applyFont="1" applyBorder="1"/>
    <xf numFmtId="0" fontId="26" fillId="14" borderId="26" xfId="0" applyFont="1" applyFill="1" applyBorder="1" applyAlignment="1">
      <alignment horizontal="center" vertical="center"/>
    </xf>
    <xf numFmtId="0" fontId="26" fillId="14" borderId="27" xfId="0" applyFont="1" applyFill="1" applyBorder="1" applyAlignment="1">
      <alignment horizontal="center" vertical="center"/>
    </xf>
    <xf numFmtId="0" fontId="26" fillId="12" borderId="25" xfId="0" applyFont="1" applyFill="1" applyBorder="1" applyAlignment="1">
      <alignment horizontal="center" vertical="center"/>
    </xf>
    <xf numFmtId="0" fontId="27" fillId="12" borderId="28" xfId="0" applyFont="1" applyFill="1" applyBorder="1" applyAlignment="1">
      <alignment horizontal="center"/>
    </xf>
    <xf numFmtId="0" fontId="27" fillId="12" borderId="21" xfId="0" applyFont="1" applyFill="1" applyBorder="1" applyAlignment="1">
      <alignment horizontal="center"/>
    </xf>
    <xf numFmtId="0" fontId="27" fillId="9" borderId="21" xfId="0" applyFont="1" applyFill="1" applyBorder="1" applyAlignment="1">
      <alignment horizontal="center"/>
    </xf>
    <xf numFmtId="0" fontId="28" fillId="12" borderId="29" xfId="0" applyFont="1" applyFill="1" applyBorder="1"/>
    <xf numFmtId="0" fontId="28" fillId="15" borderId="24" xfId="0" applyFont="1" applyFill="1" applyBorder="1" applyAlignment="1">
      <alignment horizontal="right"/>
    </xf>
    <xf numFmtId="0" fontId="28" fillId="0" borderId="25" xfId="0" applyFont="1" applyBorder="1" applyAlignment="1">
      <alignment horizontal="center"/>
    </xf>
    <xf numFmtId="0" fontId="29" fillId="14" borderId="29" xfId="0" applyFont="1" applyFill="1" applyBorder="1" applyAlignment="1">
      <alignment horizontal="center" vertical="center"/>
    </xf>
    <xf numFmtId="0" fontId="30" fillId="14" borderId="24" xfId="0" applyFont="1" applyFill="1" applyBorder="1" applyAlignment="1">
      <alignment horizontal="center" vertical="center"/>
    </xf>
    <xf numFmtId="0" fontId="1" fillId="13" borderId="30" xfId="0" applyFont="1" applyFill="1" applyBorder="1"/>
    <xf numFmtId="0" fontId="25" fillId="0" borderId="31" xfId="0" applyFont="1" applyBorder="1"/>
    <xf numFmtId="0" fontId="25" fillId="0" borderId="32" xfId="0" applyFont="1" applyBorder="1"/>
    <xf numFmtId="0" fontId="27" fillId="12" borderId="29" xfId="0" applyFont="1" applyFill="1" applyBorder="1" applyAlignment="1">
      <alignment horizontal="center"/>
    </xf>
    <xf numFmtId="0" fontId="27" fillId="16" borderId="24" xfId="0" applyFont="1" applyFill="1" applyBorder="1" applyAlignment="1">
      <alignment horizontal="center"/>
    </xf>
    <xf numFmtId="0" fontId="27" fillId="17" borderId="24" xfId="0" applyFont="1" applyFill="1" applyBorder="1" applyAlignment="1">
      <alignment horizontal="center"/>
    </xf>
    <xf numFmtId="0" fontId="29" fillId="14" borderId="33" xfId="0" applyFont="1" applyFill="1" applyBorder="1" applyAlignment="1">
      <alignment horizontal="center" vertical="center"/>
    </xf>
    <xf numFmtId="0" fontId="30" fillId="14" borderId="26" xfId="0" applyFont="1" applyFill="1" applyBorder="1" applyAlignment="1">
      <alignment horizontal="center" vertical="center"/>
    </xf>
    <xf numFmtId="0" fontId="25" fillId="0" borderId="34" xfId="0" applyFont="1" applyBorder="1"/>
    <xf numFmtId="0" fontId="31" fillId="14" borderId="35" xfId="0" applyFont="1" applyFill="1" applyBorder="1" applyAlignment="1">
      <alignment horizontal="center" vertical="center" textRotation="90"/>
    </xf>
    <xf numFmtId="0" fontId="32" fillId="18" borderId="8" xfId="0" applyFont="1" applyFill="1" applyBorder="1" applyAlignment="1">
      <alignment horizontal="center"/>
    </xf>
    <xf numFmtId="0" fontId="32" fillId="19" borderId="8" xfId="0" applyFont="1" applyFill="1" applyBorder="1" applyAlignment="1">
      <alignment horizontal="center"/>
    </xf>
    <xf numFmtId="0" fontId="32" fillId="20" borderId="8" xfId="0" applyFont="1" applyFill="1" applyBorder="1" applyAlignment="1">
      <alignment horizontal="center"/>
    </xf>
    <xf numFmtId="0" fontId="32" fillId="21" borderId="8" xfId="0" applyFont="1" applyFill="1" applyBorder="1" applyAlignment="1">
      <alignment horizontal="center"/>
    </xf>
    <xf numFmtId="0" fontId="25" fillId="0" borderId="36" xfId="0" applyFont="1" applyBorder="1"/>
    <xf numFmtId="0" fontId="32" fillId="0" borderId="36" xfId="0" applyFont="1" applyBorder="1" applyAlignment="1">
      <alignment horizontal="center"/>
    </xf>
    <xf numFmtId="0" fontId="33" fillId="5" borderId="36" xfId="0" applyFont="1" applyFill="1" applyBorder="1" applyAlignment="1">
      <alignment horizontal="center" vertical="center"/>
    </xf>
    <xf numFmtId="0" fontId="25" fillId="0" borderId="9" xfId="0" applyFont="1" applyBorder="1"/>
    <xf numFmtId="0" fontId="34" fillId="11" borderId="8" xfId="0" applyFont="1" applyFill="1" applyBorder="1" applyAlignment="1">
      <alignment horizontal="center" vertical="center"/>
    </xf>
    <xf numFmtId="0" fontId="35" fillId="11" borderId="0" xfId="0" applyFont="1" applyFill="1" applyAlignment="1">
      <alignment horizontal="center" vertical="center"/>
    </xf>
    <xf numFmtId="0" fontId="36" fillId="0" borderId="0" xfId="0" applyFont="1" applyAlignment="1">
      <alignment horizontal="center"/>
    </xf>
    <xf numFmtId="0" fontId="37" fillId="0" borderId="0" xfId="0" applyFont="1" applyAlignment="1">
      <alignment horizontal="center"/>
    </xf>
    <xf numFmtId="0" fontId="37" fillId="18" borderId="8" xfId="0" applyFont="1" applyFill="1" applyBorder="1" applyAlignment="1">
      <alignment horizontal="center"/>
    </xf>
    <xf numFmtId="0" fontId="38" fillId="0" borderId="8" xfId="0" applyFont="1" applyBorder="1" applyAlignment="1">
      <alignment horizontal="center"/>
    </xf>
    <xf numFmtId="0" fontId="36" fillId="0" borderId="8" xfId="0" applyFont="1" applyBorder="1" applyAlignment="1">
      <alignment horizontal="center"/>
    </xf>
    <xf numFmtId="58" fontId="36" fillId="0" borderId="8" xfId="0" applyNumberFormat="1" applyFont="1" applyBorder="1" applyAlignment="1">
      <alignment horizontal="center"/>
    </xf>
    <xf numFmtId="180" fontId="36" fillId="0" borderId="8" xfId="0" applyNumberFormat="1" applyFont="1" applyBorder="1" applyAlignment="1">
      <alignment horizontal="center"/>
    </xf>
    <xf numFmtId="0" fontId="35" fillId="22" borderId="0" xfId="0" applyFont="1" applyFill="1" applyAlignment="1">
      <alignment horizontal="center" vertical="center"/>
    </xf>
    <xf numFmtId="0" fontId="36" fillId="5" borderId="8" xfId="0" applyFont="1" applyFill="1" applyBorder="1" applyAlignment="1">
      <alignment horizontal="center"/>
    </xf>
    <xf numFmtId="0" fontId="35" fillId="6" borderId="0" xfId="0" applyFont="1" applyFill="1" applyAlignment="1">
      <alignment horizontal="center" vertical="center"/>
    </xf>
    <xf numFmtId="0" fontId="39" fillId="0" borderId="8" xfId="0" applyFont="1" applyBorder="1" applyAlignment="1">
      <alignment horizontal="center"/>
    </xf>
    <xf numFmtId="58" fontId="39" fillId="0" borderId="8" xfId="0" applyNumberFormat="1" applyFont="1" applyBorder="1" applyAlignment="1">
      <alignment horizontal="center"/>
    </xf>
    <xf numFmtId="0" fontId="40" fillId="0" borderId="8" xfId="0" applyFont="1" applyBorder="1" applyAlignment="1">
      <alignment horizontal="center"/>
    </xf>
    <xf numFmtId="0" fontId="35" fillId="23" borderId="0" xfId="0" applyFont="1" applyFill="1" applyAlignment="1">
      <alignment horizontal="center" vertical="center"/>
    </xf>
    <xf numFmtId="0" fontId="26" fillId="13" borderId="21" xfId="0" applyFont="1" applyFill="1" applyBorder="1" applyAlignment="1">
      <alignment horizontal="center" vertical="center"/>
    </xf>
    <xf numFmtId="0" fontId="27" fillId="20" borderId="21" xfId="0" applyFont="1" applyFill="1" applyBorder="1" applyAlignment="1">
      <alignment horizontal="center"/>
    </xf>
    <xf numFmtId="0" fontId="41" fillId="14" borderId="35" xfId="0" applyFont="1" applyFill="1" applyBorder="1" applyAlignment="1">
      <alignment horizontal="center" vertical="center" textRotation="90"/>
    </xf>
    <xf numFmtId="0" fontId="6" fillId="18" borderId="8" xfId="0" applyFont="1" applyFill="1" applyBorder="1" applyAlignment="1">
      <alignment horizontal="center"/>
    </xf>
    <xf numFmtId="0" fontId="6" fillId="5" borderId="36" xfId="0" applyFont="1" applyFill="1" applyBorder="1" applyAlignment="1">
      <alignment horizontal="center"/>
    </xf>
    <xf numFmtId="0" fontId="4" fillId="5" borderId="36" xfId="0" applyFont="1" applyFill="1" applyBorder="1" applyAlignment="1">
      <alignment horizontal="center"/>
    </xf>
    <xf numFmtId="0" fontId="6" fillId="18" borderId="36" xfId="0" applyFont="1" applyFill="1" applyBorder="1" applyAlignment="1">
      <alignment horizontal="center"/>
    </xf>
    <xf numFmtId="0" fontId="4" fillId="18" borderId="36" xfId="0" applyFont="1" applyFill="1" applyBorder="1" applyAlignment="1">
      <alignment horizontal="center"/>
    </xf>
    <xf numFmtId="0" fontId="42" fillId="5" borderId="8" xfId="0" applyFont="1" applyFill="1" applyBorder="1" applyAlignment="1">
      <alignment horizontal="center"/>
    </xf>
    <xf numFmtId="0" fontId="26" fillId="0" borderId="0" xfId="0" applyFont="1" applyAlignment="1">
      <alignment horizontal="center" vertical="center"/>
    </xf>
    <xf numFmtId="0" fontId="26" fillId="14" borderId="34" xfId="0" applyFont="1" applyFill="1" applyBorder="1" applyAlignment="1">
      <alignment horizontal="center" vertical="center"/>
    </xf>
    <xf numFmtId="0" fontId="27" fillId="24" borderId="21" xfId="0" applyFont="1" applyFill="1" applyBorder="1" applyAlignment="1">
      <alignment horizontal="center"/>
    </xf>
    <xf numFmtId="0" fontId="4" fillId="5" borderId="35" xfId="0" applyFont="1" applyFill="1" applyBorder="1" applyAlignment="1">
      <alignment horizontal="center"/>
    </xf>
    <xf numFmtId="182" fontId="1" fillId="0" borderId="0" xfId="0" applyNumberFormat="1" applyFont="1" applyAlignment="1">
      <alignment horizontal="center"/>
    </xf>
    <xf numFmtId="0" fontId="43" fillId="5" borderId="8" xfId="0" applyFont="1" applyFill="1" applyBorder="1" applyAlignment="1">
      <alignment horizontal="center"/>
    </xf>
    <xf numFmtId="0" fontId="27" fillId="18" borderId="37" xfId="0" applyFont="1" applyFill="1" applyBorder="1" applyAlignment="1">
      <alignment horizontal="center"/>
    </xf>
    <xf numFmtId="0" fontId="25" fillId="0" borderId="38" xfId="0" applyFont="1" applyBorder="1"/>
    <xf numFmtId="0" fontId="25" fillId="0" borderId="11" xfId="0" applyFont="1" applyBorder="1"/>
    <xf numFmtId="0" fontId="44" fillId="15" borderId="8" xfId="0" applyFont="1" applyFill="1" applyBorder="1" applyAlignment="1">
      <alignment horizontal="right"/>
    </xf>
    <xf numFmtId="0" fontId="44" fillId="0" borderId="8" xfId="0" applyFont="1" applyBorder="1" applyAlignment="1">
      <alignment horizontal="center"/>
    </xf>
    <xf numFmtId="189" fontId="1" fillId="0" borderId="8" xfId="0" applyNumberFormat="1" applyFont="1" applyBorder="1" applyAlignment="1">
      <alignment horizontal="center"/>
    </xf>
    <xf numFmtId="0" fontId="45" fillId="5" borderId="0" xfId="0" applyFont="1" applyFill="1" applyAlignment="1">
      <alignment horizontal="center"/>
    </xf>
    <xf numFmtId="0" fontId="44" fillId="5" borderId="0" xfId="0" applyFont="1" applyFill="1" applyAlignment="1">
      <alignment horizontal="center"/>
    </xf>
    <xf numFmtId="0" fontId="1" fillId="5" borderId="0" xfId="0" applyFont="1" applyFill="1"/>
    <xf numFmtId="0" fontId="46" fillId="18" borderId="0" xfId="0" applyFont="1" applyFill="1" applyAlignment="1">
      <alignment horizontal="center" vertical="center"/>
    </xf>
    <xf numFmtId="187" fontId="1" fillId="0" borderId="0" xfId="0" applyNumberFormat="1" applyFont="1"/>
    <xf numFmtId="0" fontId="47" fillId="11" borderId="8" xfId="0" applyFont="1" applyFill="1" applyBorder="1" applyAlignment="1">
      <alignment horizontal="center"/>
    </xf>
    <xf numFmtId="0" fontId="47" fillId="25" borderId="8" xfId="0" applyFont="1" applyFill="1" applyBorder="1" applyAlignment="1">
      <alignment horizontal="center"/>
    </xf>
    <xf numFmtId="0" fontId="23" fillId="11" borderId="0" xfId="0" applyFont="1" applyFill="1" applyAlignment="1">
      <alignment horizontal="center"/>
    </xf>
    <xf numFmtId="0" fontId="47" fillId="6" borderId="8" xfId="0" applyFont="1" applyFill="1" applyBorder="1" applyAlignment="1">
      <alignment horizontal="center"/>
    </xf>
    <xf numFmtId="0" fontId="48" fillId="0" borderId="8" xfId="0" applyFont="1" applyBorder="1" applyAlignment="1">
      <alignment horizontal="left"/>
    </xf>
    <xf numFmtId="0" fontId="49" fillId="0" borderId="8" xfId="0" applyFont="1" applyBorder="1" applyAlignment="1">
      <alignment horizontal="center"/>
    </xf>
    <xf numFmtId="0" fontId="50" fillId="25" borderId="8" xfId="0" applyFont="1" applyFill="1" applyBorder="1" applyAlignment="1">
      <alignment horizontal="center"/>
    </xf>
    <xf numFmtId="0" fontId="49" fillId="0" borderId="8" xfId="0" applyFont="1" applyBorder="1" applyAlignment="1">
      <alignment horizontal="left"/>
    </xf>
    <xf numFmtId="0" fontId="50" fillId="6" borderId="8" xfId="0" applyFont="1" applyFill="1" applyBorder="1" applyAlignment="1">
      <alignment horizontal="center"/>
    </xf>
    <xf numFmtId="0" fontId="1" fillId="6" borderId="0" xfId="0" applyFont="1" applyFill="1"/>
    <xf numFmtId="0" fontId="1" fillId="25" borderId="0" xfId="0" applyFont="1" applyFill="1"/>
    <xf numFmtId="58" fontId="4" fillId="0" borderId="0" xfId="0" applyNumberFormat="1" applyFont="1" quotePrefix="1"/>
  </cellXfs>
  <cellStyles count="49">
    <cellStyle name="Normal" xfId="0" builtinId="0"/>
    <cellStyle name="Comma" xfId="1" builtinId="3"/>
    <cellStyle name="Comma [0]" xfId="2" builtinId="6"/>
    <cellStyle name="40% - Ênfase 4" xfId="3" builtinId="43"/>
    <cellStyle name="Porcentagem" xfId="4" builtinId="5"/>
    <cellStyle name="Célula Vinculada" xfId="5" builtinId="24"/>
    <cellStyle name="Célula de Verificação" xfId="6" builtinId="23"/>
    <cellStyle name="Moeda [0]" xfId="7" builtinId="7"/>
    <cellStyle name="20% - Ênfase 3" xfId="8" builtinId="38"/>
    <cellStyle name="Moeda" xfId="9" builtinId="4"/>
    <cellStyle name="Hyperlink seguido" xfId="10" builtinId="9"/>
    <cellStyle name="Hyperlink" xfId="11" builtinId="8"/>
    <cellStyle name="40% - Ênfase 2" xfId="12" builtinId="35"/>
    <cellStyle name="Observação" xfId="13" builtinId="10"/>
    <cellStyle name="40% - Ênfase 6" xfId="14" builtinId="51"/>
    <cellStyle name="Texto de Aviso" xfId="15" builtinId="11"/>
    <cellStyle name="Título" xfId="16" builtinId="15"/>
    <cellStyle name="Texto Explicativo" xfId="17" builtinId="53"/>
    <cellStyle name="Ênfase 3" xfId="18" builtinId="37"/>
    <cellStyle name="Título 1" xfId="19" builtinId="16"/>
    <cellStyle name="Ênfase 4" xfId="20" builtinId="41"/>
    <cellStyle name="Título 2" xfId="21" builtinId="17"/>
    <cellStyle name="Ênfase 5" xfId="22" builtinId="45"/>
    <cellStyle name="Título 3" xfId="23" builtinId="18"/>
    <cellStyle name="Ênfase 6" xfId="24" builtinId="49"/>
    <cellStyle name="Título 4" xfId="25" builtinId="19"/>
    <cellStyle name="Entrada" xfId="26" builtinId="20"/>
    <cellStyle name="Saída" xfId="27" builtinId="21"/>
    <cellStyle name="Cálculo" xfId="28" builtinId="22"/>
    <cellStyle name="Total" xfId="29" builtinId="25"/>
    <cellStyle name="40% - Ênfase 1" xfId="30" builtinId="31"/>
    <cellStyle name="Bom" xfId="31" builtinId="26"/>
    <cellStyle name="Ruim" xfId="32" builtinId="27"/>
    <cellStyle name="Neutro" xfId="33" builtinId="28"/>
    <cellStyle name="20% - Ênfase 5" xfId="34" builtinId="46"/>
    <cellStyle name="Ênfase 1" xfId="35" builtinId="29"/>
    <cellStyle name="20% - Ênfase 1" xfId="36" builtinId="30"/>
    <cellStyle name="60% - Ênfase 1" xfId="37" builtinId="32"/>
    <cellStyle name="20% - Ênfase 6" xfId="38" builtinId="50"/>
    <cellStyle name="Ênfase 2" xfId="39" builtinId="33"/>
    <cellStyle name="20% - Ênfase 2" xfId="40" builtinId="34"/>
    <cellStyle name="60% - Ênfase 2" xfId="41" builtinId="36"/>
    <cellStyle name="40% - Ênfase 3" xfId="42" builtinId="39"/>
    <cellStyle name="60% - Ênfase 3" xfId="43" builtinId="40"/>
    <cellStyle name="20% - Ênfase 4" xfId="44" builtinId="42"/>
    <cellStyle name="60% - Ênfase 4" xfId="45" builtinId="44"/>
    <cellStyle name="40% - Ênfase 5" xfId="46" builtinId="47"/>
    <cellStyle name="60% - Ênfase 5" xfId="47" builtinId="48"/>
    <cellStyle name="60% - Ênfase 6" xfId="48" builtinId="52"/>
  </cellStyles>
  <dxfs count="10">
    <dxf>
      <font>
        <color rgb="FFFF0000"/>
      </font>
      <fill>
        <patternFill patternType="none"/>
      </fill>
    </dxf>
    <dxf>
      <font>
        <color rgb="FF000000"/>
      </font>
      <fill>
        <patternFill patternType="solid">
          <fgColor rgb="FFB6D7A8"/>
          <bgColor rgb="FFB6D7A8"/>
        </patternFill>
      </fill>
    </dxf>
    <dxf>
      <fill>
        <patternFill patternType="solid">
          <fgColor rgb="FFFFF2CC"/>
          <bgColor rgb="FFFFF2CC"/>
        </patternFill>
      </fill>
    </dxf>
    <dxf>
      <font>
        <color rgb="FFFFFFFF"/>
      </font>
      <fill>
        <patternFill patternType="solid">
          <fgColor rgb="FFE06666"/>
          <bgColor rgb="FFE06666"/>
        </patternFill>
      </fill>
    </dxf>
    <dxf>
      <font>
        <color rgb="FFFFFFFF"/>
      </font>
      <fill>
        <patternFill patternType="solid">
          <fgColor rgb="FFFF9900"/>
          <bgColor rgb="FFFF9900"/>
        </patternFill>
      </fill>
    </dxf>
    <dxf>
      <fill>
        <patternFill patternType="solid">
          <fgColor rgb="FFB7E1CD"/>
          <bgColor rgb="FFB7E1CD"/>
        </patternFill>
      </fill>
    </dxf>
    <dxf>
      <fill>
        <patternFill patternType="solid">
          <fgColor rgb="FFD9D9D9"/>
          <bgColor rgb="FFD9D9D9"/>
        </patternFill>
      </fill>
    </dxf>
    <dxf>
      <fill>
        <patternFill patternType="solid">
          <fgColor rgb="FFA4C2F4"/>
          <bgColor rgb="FFA4C2F4"/>
        </patternFill>
      </fill>
    </dxf>
    <dxf>
      <fill>
        <patternFill patternType="solid">
          <fgColor rgb="FFE8F0FE"/>
          <bgColor rgb="FFE8F0FE"/>
        </patternFill>
      </fill>
    </dxf>
    <dxf>
      <fill>
        <patternFill patternType="solid">
          <fgColor rgb="FFFFFFFF"/>
          <bgColor rgb="FFFFFFFF"/>
        </patternFill>
      </fill>
    </dxf>
  </dxfs>
  <tableStyles count="1">
    <tableStyle name="Dashboard Ensino-style" pivot="0" count="2">
      <tableStyleElement type="firstRowStripe" dxfId="9"/>
      <tableStyleElement type="secondRowStripe"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pivotCacheDefinition" Target="pivotCache/pivotCacheDefinition2.xml"/><Relationship Id="rId21" Type="http://schemas.openxmlformats.org/officeDocument/2006/relationships/pivotCacheDefinition" Target="pivotCache/pivotCacheDefinition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1</xdr:col>
      <xdr:colOff>66675</xdr:colOff>
      <xdr:row>1</xdr:row>
      <xdr:rowOff>66675</xdr:rowOff>
    </xdr:from>
    <xdr:ext cx="781050" cy="811530"/>
    <xdr:pic>
      <xdr:nvPicPr>
        <xdr:cNvPr id="2" name="image1.png" title="Imagem"/>
        <xdr:cNvPicPr preferRelativeResize="0"/>
      </xdr:nvPicPr>
      <xdr:blipFill>
        <a:blip r:embed="rId1" cstate="print"/>
        <a:stretch>
          <a:fillRect/>
        </a:stretch>
      </xdr:blipFill>
      <xdr:spPr>
        <a:xfrm>
          <a:off x="133350" y="152400"/>
          <a:ext cx="781050" cy="811530"/>
        </a:xfrm>
        <a:prstGeom prst="rect">
          <a:avLst/>
        </a:prstGeom>
        <a:noFill/>
      </xdr:spPr>
    </xdr:pic>
    <xdr:clientData fLocksWithSheet="0"/>
  </xdr:oneCellAnchor>
  <xdr:oneCellAnchor>
    <xdr:from>
      <xdr:col>8</xdr:col>
      <xdr:colOff>1066800</xdr:colOff>
      <xdr:row>1</xdr:row>
      <xdr:rowOff>66675</xdr:rowOff>
    </xdr:from>
    <xdr:ext cx="781050" cy="811530"/>
    <xdr:pic>
      <xdr:nvPicPr>
        <xdr:cNvPr id="3" name="image1.png" title="Imagem"/>
        <xdr:cNvPicPr preferRelativeResize="0"/>
      </xdr:nvPicPr>
      <xdr:blipFill>
        <a:blip r:embed="rId1" cstate="print"/>
        <a:stretch>
          <a:fillRect/>
        </a:stretch>
      </xdr:blipFill>
      <xdr:spPr>
        <a:xfrm>
          <a:off x="7585075" y="152400"/>
          <a:ext cx="781050" cy="811530"/>
        </a:xfrm>
        <a:prstGeom prst="rect">
          <a:avLst/>
        </a:prstGeom>
        <a:noFill/>
      </xdr:spPr>
    </xdr:pic>
    <xdr:clientData fLocksWithSheet="0"/>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5</xdr:col>
      <xdr:colOff>485775</xdr:colOff>
      <xdr:row>1</xdr:row>
      <xdr:rowOff>57150</xdr:rowOff>
    </xdr:from>
    <xdr:ext cx="1352550" cy="1352550"/>
    <xdr:pic>
      <xdr:nvPicPr>
        <xdr:cNvPr id="2" name="image1.png" title="Imagem"/>
        <xdr:cNvPicPr preferRelativeResize="0"/>
      </xdr:nvPicPr>
      <xdr:blipFill>
        <a:blip r:embed="rId1" cstate="print"/>
        <a:stretch>
          <a:fillRect/>
        </a:stretch>
      </xdr:blipFill>
      <xdr:spPr>
        <a:xfrm>
          <a:off x="6975475" y="352425"/>
          <a:ext cx="1352550" cy="1352550"/>
        </a:xfrm>
        <a:prstGeom prst="rect">
          <a:avLst/>
        </a:prstGeom>
        <a:noFill/>
      </xdr:spPr>
    </xdr:pic>
    <xdr:clientData fLocksWithSheet="0"/>
  </xdr:oneCellAnchor>
  <xdr:oneCellAnchor>
    <xdr:from>
      <xdr:col>1</xdr:col>
      <xdr:colOff>85725</xdr:colOff>
      <xdr:row>1</xdr:row>
      <xdr:rowOff>57150</xdr:rowOff>
    </xdr:from>
    <xdr:ext cx="1352550" cy="1352550"/>
    <xdr:pic>
      <xdr:nvPicPr>
        <xdr:cNvPr id="3" name="image1.png" title="Imagem"/>
        <xdr:cNvPicPr preferRelativeResize="0"/>
      </xdr:nvPicPr>
      <xdr:blipFill>
        <a:blip r:embed="rId1" cstate="print"/>
        <a:stretch>
          <a:fillRect/>
        </a:stretch>
      </xdr:blipFill>
      <xdr:spPr>
        <a:xfrm>
          <a:off x="152400" y="352425"/>
          <a:ext cx="1352550" cy="1352550"/>
        </a:xfrm>
        <a:prstGeom prst="rect">
          <a:avLst/>
        </a:prstGeom>
        <a:noFill/>
      </xdr:spPr>
    </xdr:pic>
    <xdr:clientData fLocksWithSheet="0"/>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OnLoad="1" refreshedVersion="5" refreshedDate="46175.4386574074" refreshedBy="cristiane.weyh" recordCount="498">
  <cacheSource type="worksheet">
    <worksheetSource ref="A1:E1000" sheet="Comunitário Existentes"/>
  </cacheSource>
  <cacheFields count="5">
    <cacheField name="Município" numFmtId="0">
      <sharedItems containsBlank="1" count="498">
        <s v="Aceguá"/>
        <s v="Água Santa"/>
        <s v="Agudo"/>
        <s v="Ajuricaba"/>
        <s v="Alecrim"/>
        <s v="Alegrete"/>
        <s v="Alegria"/>
        <s v="Almirante Tamandaré do Sul"/>
        <s v="Alpestre"/>
        <s v="Alto Alegre"/>
        <s v="Alto Feliz"/>
        <s v="Alvorada"/>
        <s v="Amaral Ferrador"/>
        <s v="Ametista do Sul"/>
        <s v="André da Rocha"/>
        <s v="Anta Gorda"/>
        <s v="Antônio Prado"/>
        <s v="Arambaré"/>
        <s v="Araricá"/>
        <s v="Aratiba"/>
        <s v="Arroio do Meio"/>
        <s v="Arroio do Padre"/>
        <s v="Arroio do Sal"/>
        <s v="Arroio do Tigre"/>
        <s v="Arroio dos Ratos"/>
        <s v="Arroio Grande"/>
        <s v="Arvorezinha"/>
        <s v="Augusto Pestana"/>
        <s v="Áurea"/>
        <s v="Bagé"/>
        <s v="Balneário Pinhal"/>
        <s v="Barão"/>
        <s v="Barão de Cotegipe"/>
        <s v="Barão do Triunfo"/>
        <s v="Barra do Guarita"/>
        <s v="Barra do Quaraí"/>
        <s v="Barra do Ribeiro"/>
        <s v="Barra do Rio Azul"/>
        <s v="Barra Funda"/>
        <s v="Barracão"/>
        <s v="Barros Cassal"/>
        <s v="Benjamin Constant do Sul"/>
        <s v="Bento Gonçalves"/>
        <s v="Boa Vista das Missões"/>
        <s v="Boa Vista do Buricá"/>
        <s v="Boa Vista do Cadeado"/>
        <s v="Boa Vista do Incra"/>
        <s v="Boa Vista do Sul"/>
        <s v="Bom Jesus"/>
        <s v="Bom Princípio"/>
        <s v="Bom Progresso"/>
        <s v="Bom Retiro do Sul"/>
        <s v="Boqueirão do Leão"/>
        <s v="Bossoroca"/>
        <s v="Bozano"/>
        <s v="Braga"/>
        <s v="Brochier"/>
        <s v="Butiá"/>
        <s v="Caçapava do Sul"/>
        <s v="Cacequi"/>
        <s v="Cachoeira do Sul"/>
        <s v="Cachoeirinha"/>
        <s v="Cacique Doble"/>
        <s v="Caibaté"/>
        <s v="Caiçara"/>
        <s v="Camaquã"/>
        <s v="Camargo"/>
        <s v="Cambará do Sul"/>
        <s v="Campestre da Serra"/>
        <s v="Campina das Missões"/>
        <s v="Campinas do Sul"/>
        <s v="Campo Bom"/>
        <s v="Campo Novo"/>
        <s v="Campos Borges"/>
        <s v="Candelária"/>
        <s v="Cândido Godói"/>
        <s v="Candiota"/>
        <s v="Canela"/>
        <s v="Canguçu"/>
        <s v="Canoas"/>
        <s v="Canudos do Vale"/>
        <s v="Capão Bonito do Sul"/>
        <s v="Capão da Canoa"/>
        <s v="Capão do Cipó"/>
        <s v="Capão do Leão"/>
        <s v="Capela de Santana"/>
        <s v="Capitão"/>
        <s v="Capivari do Sul"/>
        <s v="Caraá"/>
        <s v="Carazinho"/>
        <s v="Carlos Barbosa"/>
        <s v="Carlos Gomes"/>
        <s v="Casca"/>
        <s v="Caseiros"/>
        <s v="Catuípe"/>
        <s v="Caxias do Sul"/>
        <s v="Centenário"/>
        <s v="Cerrito"/>
        <s v="Cerro Branco"/>
        <s v="Cerro Grande"/>
        <s v="Cerro Grande do Sul"/>
        <s v="Cerro Largo"/>
        <s v="Chapada"/>
        <s v="Charqueadas"/>
        <s v="Charrua"/>
        <s v="Chiapetta"/>
        <s v="Chuí"/>
        <s v="Chuvisca"/>
        <s v="Cidreira"/>
        <s v="Ciríaco"/>
        <s v="Colinas"/>
        <s v="Colorado"/>
        <s v="Condor"/>
        <s v="Constantina"/>
        <s v="Coqueiro Baixo"/>
        <s v="Coqueiros do Sul"/>
        <s v="Coronel Barros"/>
        <s v="Coronel Bicaco"/>
        <s v="Coronel Pilar"/>
        <s v="Cotiporã"/>
        <s v="Coxilha"/>
        <s v="Crissiumal"/>
        <s v="Cristal"/>
        <s v="Cristal do Sul"/>
        <s v="Cruz Alta"/>
        <s v="Cruzaltense"/>
        <s v="Cruzeiro do Sul"/>
        <s v="David Canabarro"/>
        <s v="Derrubadas"/>
        <s v="Dezesseis de Novembro"/>
        <s v="Dilermando de Aguiar"/>
        <s v="Dois Irmãos"/>
        <s v="Dois Irmãos das Missões"/>
        <s v="Dois Lajeados"/>
        <s v="Dom Feliciano"/>
        <s v="Dom Pedrito"/>
        <s v="Dom Pedro de Alcântara"/>
        <s v="Dona Francisca"/>
        <s v="Doutor Maurício Cardoso"/>
        <s v="Doutor Ricardo"/>
        <s v="Eldorado do Sul"/>
        <s v="Encantado"/>
        <s v="Encruzilhada do Sul"/>
        <s v="Engenho Velho"/>
        <s v="Entre Rios do Sul"/>
        <s v="Entre-Ijuís"/>
        <s v="Erebango"/>
        <s v="Erechim"/>
        <s v="Ernestina"/>
        <s v="Erval Grande"/>
        <s v="Erval Seco"/>
        <s v="Esmeralda"/>
        <s v="Esperança do Sul"/>
        <s v="Espumoso"/>
        <s v="Estação"/>
        <s v="Estância Velha"/>
        <s v="Esteio"/>
        <s v="Estrela"/>
        <s v="Estrela Velha"/>
        <s v="Eugênio de Castro"/>
        <s v="Fagundes Varela"/>
        <s v="Farroupilha"/>
        <s v="Faxinal do Soturno"/>
        <s v="Faxinalzinho"/>
        <s v="Fazenda Vilanova"/>
        <s v="Feliz"/>
        <s v="Flores da Cunha"/>
        <s v="Floriano Peixoto"/>
        <s v="Fontoura Xavier"/>
        <s v="Formigueiro"/>
        <s v="Forquetinha"/>
        <s v="Fortaleza dos Valos"/>
        <s v="Frederico Westphalen"/>
        <s v="Garibaldi"/>
        <s v="Garruchos"/>
        <s v="Gaurama"/>
        <s v="General Câmara"/>
        <s v="Gentil"/>
        <s v="Getúlio Vargas"/>
        <s v="Giruá"/>
        <s v="Glorinha"/>
        <s v="Gramado"/>
        <s v="Gramado dos Loureiros"/>
        <s v="Gramado Xavier"/>
        <s v="Gravataí"/>
        <s v="Guabiju"/>
        <s v="Guaíba"/>
        <s v="Guaporé"/>
        <s v="Guarani das Missões"/>
        <s v="Harmonia"/>
        <s v="Herval"/>
        <s v="Herveiras"/>
        <s v="Horizontina"/>
        <s v="Hulha Negra"/>
        <s v="Humaitá"/>
        <s v="Ibarama"/>
        <s v="Ibiaçá"/>
        <s v="Ibiraiaras"/>
        <s v="Ibirapuitã"/>
        <s v="Ibirubá"/>
        <s v="Igrejinha"/>
        <s v="Ijuí"/>
        <s v="Ilópolis"/>
        <s v="Imbé"/>
        <s v="Imigrante"/>
        <s v="Independência"/>
        <s v="Inhacorá"/>
        <s v="Ipê"/>
        <s v="Ipiranga do Sul"/>
        <s v="Iraí"/>
        <s v="Itaara"/>
        <s v="Itacurubi"/>
        <s v="Itapuca"/>
        <s v="Itaqui"/>
        <s v="Itati"/>
        <s v="Itatiba do Sul"/>
        <s v="Ivorá"/>
        <s v="Ivoti"/>
        <s v="Jaboticaba"/>
        <s v="Jacuizinho"/>
        <s v="Jacutinga"/>
        <s v="Jaguarão"/>
        <s v="Jaguari"/>
        <s v="Jaquirana"/>
        <s v="Jari"/>
        <s v="Jóia"/>
        <s v="Júlio de Castilhos"/>
        <s v="Lagoa Bonita do Sul"/>
        <s v="Lagoa dos Três Cantos"/>
        <s v="Lagoa Vermelha"/>
        <s v="Lagoão"/>
        <s v="Lajeado"/>
        <s v="Lajeado do Bugre"/>
        <s v="Lavras do Sul"/>
        <s v="Liberato Salzano"/>
        <s v="Lindolfo Collor"/>
        <s v="Linha Nova"/>
        <s v="Maçambará"/>
        <s v="Machadinho"/>
        <s v="Mampituba"/>
        <s v="Manoel Viana"/>
        <s v="Maquiné"/>
        <s v="Maratá"/>
        <s v="Marau"/>
        <s v="Marcelino Ramos"/>
        <s v="Mariana Pimentel"/>
        <s v="Mariano Moro"/>
        <s v="Marques de Souza"/>
        <s v="Mata"/>
        <s v="Mato Castelhano"/>
        <s v="Mato Leitão"/>
        <s v="Mato Queimado"/>
        <s v="Maximiliano de Almeida"/>
        <s v="Minas do Leão"/>
        <s v="Miraguaí"/>
        <s v="Montauri"/>
        <s v="Monte Alegre dos Campos"/>
        <s v="Monte Belo do Sul"/>
        <s v="Montenegro"/>
        <s v="Mormaço"/>
        <s v="Morrinhos do Sul"/>
        <s v="Morro Redondo"/>
        <s v="Morro Reuter"/>
        <s v="Mostardas"/>
        <s v="Muçum"/>
        <s v="Muitos Capões"/>
        <s v="Muliterno"/>
        <s v="Não-Me-Toque"/>
        <s v="Nicolau Vergueiro"/>
        <s v="Nonoai"/>
        <s v="Nova Alvorada"/>
        <s v="Nova Araçá"/>
        <s v="Nova Bassano"/>
        <s v="Nova Boa Vista"/>
        <s v="Nova Bréscia"/>
        <s v="Nova Candelária"/>
        <s v="Nova Esperança do Sul"/>
        <s v="Nova Hartz"/>
        <s v="Nova Pádua"/>
        <s v="Nova Palma"/>
        <s v="Nova Petrópolis"/>
        <s v="Nova Prata"/>
        <s v="Nova Ramada"/>
        <s v="Nova Roma do Sul"/>
        <s v="Nova Santa Rita"/>
        <s v="Novo Barreiro"/>
        <s v="Novo Cabrais"/>
        <s v="Novo Hamburgo"/>
        <s v="Novo Machado"/>
        <s v="Novo Tiradentes"/>
        <s v="Novo Xingu"/>
        <s v="Osório"/>
        <s v="Paim Filho"/>
        <s v="Palmares do Sul"/>
        <s v="Palmeira das Missões"/>
        <s v="Palmitinho"/>
        <s v="Panambi"/>
        <s v="Pantano Grande"/>
        <s v="Paraí"/>
        <s v="Paraíso do Sul"/>
        <s v="Pareci Novo"/>
        <s v="Parobé"/>
        <s v="Passa Sete"/>
        <s v="Passo do Sobrado"/>
        <s v="Passo Fundo"/>
        <s v="Paulo Bento"/>
        <s v="Paverama"/>
        <s v="Pedras Altas"/>
        <s v="Pedro Osório"/>
        <s v="Pejuçara"/>
        <s v="Pelotas"/>
        <s v="Picada Café"/>
        <s v="Pinhal"/>
        <s v="Pinhal da Serra"/>
        <s v="Pinhal Grande"/>
        <s v="Pinheirinho do Vale"/>
        <s v="Pinheiro Machado"/>
        <s v="Pinto Bandeira"/>
        <s v="Pirapó"/>
        <s v="Piratini"/>
        <s v="Planalto"/>
        <s v="Poço das Antas"/>
        <s v="Pontão"/>
        <s v="Ponte Preta"/>
        <s v="Portão"/>
        <s v="Porto Alegre"/>
        <s v="Porto Lucena"/>
        <s v="Porto Mauá"/>
        <s v="Porto Vera Cruz"/>
        <s v="Porto Xavier"/>
        <s v="Pouso Novo"/>
        <s v="Presidente Lucena"/>
        <s v="Progresso"/>
        <s v="Protásio Alves"/>
        <s v="Putinga"/>
        <s v="Quaraí"/>
        <s v="Quatro Irmãos"/>
        <s v="Quevedos"/>
        <s v="Quinze de Novembro"/>
        <s v="Redentora"/>
        <s v="Relvado"/>
        <s v="Restinga Sêca"/>
        <s v="Rio dos Índios"/>
        <s v="Rio Grande"/>
        <s v="Rio Pardo"/>
        <s v="Riozinho"/>
        <s v="Roca Sales"/>
        <s v="Rodeio Bonito"/>
        <s v="Rolador"/>
        <s v="Rolante"/>
        <s v="Ronda Alta"/>
        <s v="Rondinha"/>
        <s v="Roque Gonzales"/>
        <s v="Rosário do Sul"/>
        <s v="Sagrada Família"/>
        <s v="Saldanha Marinho"/>
        <s v="Salto do Jacuí"/>
        <s v="Salvador das Missões"/>
        <s v="Salvador do Sul"/>
        <s v="Sananduva"/>
        <s v="Santa Bárbara do Sul"/>
        <s v="Santa Cecília do Sul"/>
        <s v="Santa Clara do Sul"/>
        <s v="Santa Cruz do Sul"/>
        <s v="Santa Margarida do Sul"/>
        <s v="Santa Maria"/>
        <s v="Santa Maria do Herval"/>
        <s v="Santa Rosa"/>
        <s v="Santa Tereza"/>
        <s v="Santa Vitória do Palmar"/>
        <s v="Santana da Boa Vista"/>
        <s v="Santana do Livramento"/>
        <s v="Santiago"/>
        <s v="Santo Ângelo"/>
        <s v="Santo Antônio da Patrulha"/>
        <s v="Santo Antônio das Missões"/>
        <s v="Santo Antônio do Palma"/>
        <s v="Santo Antônio do Planalto"/>
        <s v="Santo Augusto"/>
        <s v="Santo Cristo"/>
        <s v="Santo Expedito do Sul"/>
        <s v="São Borja"/>
        <s v="São Domingos do Sul"/>
        <s v="São Francisco de Assis"/>
        <s v="São Francisco de Paula"/>
        <s v="São Gabriel"/>
        <s v="São Jerônimo"/>
        <s v="São João da Urtiga"/>
        <s v="São João do Polêsine"/>
        <s v="São Jorge"/>
        <s v="São José das Missões"/>
        <s v="São José do Herval"/>
        <s v="São José do Hortêncio"/>
        <s v="São José do Inhacorá"/>
        <s v="São José do Norte"/>
        <s v="São José do Ouro"/>
        <s v="São José do Sul"/>
        <s v="São José dos Ausentes"/>
        <s v="São Leopoldo"/>
        <s v="São Lourenço do Sul"/>
        <s v="São Luiz Gonzaga"/>
        <s v="São Marcos"/>
        <s v="São Martinho"/>
        <s v="São Martinho da Serra"/>
        <s v="São Miguel das Missões"/>
        <s v="São Nicolau"/>
        <s v="São Paulo das Missões"/>
        <s v="São Pedro da Serra"/>
        <s v="São Pedro das Missões"/>
        <s v="São Pedro do Butiá"/>
        <s v="São Pedro do Sul"/>
        <s v="São Sebastião do Caí"/>
        <s v="São Sepé"/>
        <s v="São Valentim"/>
        <s v="São Valentim do Sul"/>
        <s v="São Valério do Sul"/>
        <s v="São Vendelino"/>
        <s v="São Vicente do Sul"/>
        <s v="Sapiranga"/>
        <s v="Sapucaia do Sul"/>
        <s v="Sarandi"/>
        <s v="Seberi"/>
        <s v="Sede Nova"/>
        <s v="Segredo"/>
        <s v="Selbach"/>
        <s v="Senador Salgado Filho"/>
        <s v="Sentinela do Sul"/>
        <s v="Serafina Corrêa"/>
        <s v="Sério"/>
        <s v="Sertão"/>
        <s v="Sertão Santana"/>
        <s v="Sete de Setembro"/>
        <s v="Severiano de Almeida"/>
        <s v="Silveira Martins"/>
        <s v="Sinimbu"/>
        <s v="Sobradinho"/>
        <s v="Soledade"/>
        <s v="Tabaí"/>
        <s v="Tapejara"/>
        <s v="Tapera"/>
        <s v="Tapes"/>
        <s v="Taquara"/>
        <s v="Taquari"/>
        <s v="Taquaruçu do Sul"/>
        <s v="Tavares"/>
        <s v="Tenente Portela"/>
        <s v="Terra de Areia"/>
        <s v="Teutônia"/>
        <s v="Tio Hugo"/>
        <s v="Tiradentes do Sul"/>
        <s v="Toropi"/>
        <s v="Torres"/>
        <s v="Tramandaí"/>
        <s v="Travesseiro"/>
        <s v="Três Arroios"/>
        <s v="Três Cachoeiras"/>
        <s v="Três Coroas"/>
        <s v="Três de Maio"/>
        <s v="Três Forquilhas"/>
        <s v="Três Palmeiras"/>
        <s v="Três Passos"/>
        <s v="Trindade do Sul"/>
        <s v="Triunfo"/>
        <s v="Tucunduva"/>
        <s v="Tunas"/>
        <s v="Tupanci do Sul"/>
        <s v="Tupanciretã"/>
        <s v="Tupandi"/>
        <s v="Tuparendi"/>
        <s v="Turuçu"/>
        <s v="Ubiretama"/>
        <s v="União da Serra"/>
        <s v="Unistalda"/>
        <s v="Uruguaiana"/>
        <s v="Vacaria"/>
        <s v="Vale do Sol"/>
        <s v="Vale Real"/>
        <s v="Vale Verde"/>
        <s v="Vanini"/>
        <s v="Venâncio Aires"/>
        <s v="Vera Cruz"/>
        <s v="Veranópolis"/>
        <s v="Vespasiano Corrêa"/>
        <s v="Viadutos"/>
        <s v="Viamão"/>
        <s v="Vicente Dutra"/>
        <s v="Victor Graeff"/>
        <s v="Vila Flores"/>
        <s v="Vila Lângaro"/>
        <s v="Vila Maria"/>
        <s v="Vila Nova do Sul"/>
        <s v="Vista Alegre"/>
        <s v="Vista Alegre do Prata"/>
        <s v="Vista Gaúcha"/>
        <s v="Vitória das Missões"/>
        <s v="Westfália"/>
        <s v="Xangri-lá"/>
        <m/>
      </sharedItems>
    </cacheField>
    <cacheField name="CRBM" numFmtId="0">
      <sharedItems containsBlank="1" count="5">
        <s v="3º CRBM"/>
        <s v="2º CRBM"/>
        <s v="4º CRBM"/>
        <s v="1º CRBM"/>
        <m/>
      </sharedItems>
    </cacheField>
    <cacheField name="BBM" numFmtId="0">
      <sharedItems containsBlank="1" count="14">
        <s v="10º BBM"/>
        <s v="7º BBM"/>
        <s v="4º BBM"/>
        <s v="12º BBM"/>
        <s v="11º BBM"/>
        <s v="13º BBM"/>
        <s v="2º BBM"/>
        <s v="8º BBM"/>
        <s v="6º BBM"/>
        <s v="5º BBM"/>
        <s v="3º BBM"/>
        <s v="9º BBM"/>
        <s v="1º BBM"/>
        <m/>
      </sharedItems>
    </cacheField>
    <cacheField name="Pel/Gr" numFmtId="0">
      <sharedItems containsBlank="1" count="99">
        <s v="Bagé"/>
        <s v="Passo Fundo"/>
        <s v="Restinga Sêca"/>
        <s v="Ijuí"/>
        <s v="Santa Rosa"/>
        <s v="Alegrete"/>
        <s v="Três de Maio"/>
        <s v="Carazinho"/>
        <s v="Nonoai"/>
        <s v="Tapera"/>
        <s v="Farroupilha"/>
        <s v="Alvorada"/>
        <s v="Encruzilhada do Sul"/>
        <s v="Frederico Westphalen"/>
        <s v="Veranópolis"/>
        <s v="Encantado"/>
        <s v="Flores da Cunha"/>
        <s v="Camaquã"/>
        <s v="Sapiranga"/>
        <s v="Erechim"/>
        <s v="Lajeado"/>
        <s v="Pelotas"/>
        <s v="Torres"/>
        <s v="Santa Cruz do Sul"/>
        <s v="São Jerônimo"/>
        <s v="Jaguarão"/>
        <s v="Soledade"/>
        <s v="Getúlio Vargas"/>
        <s v="Cidreira"/>
        <s v="Bento Gonçalves"/>
        <s v="Guaíba"/>
        <s v="Três Passos"/>
        <s v="Barra do Quaraí"/>
        <s v="Sarandi"/>
        <s v="Lagoa Vermelha"/>
        <s v="Palmeira das Missões"/>
        <s v="Cruz Alta"/>
        <s v="Vacaria"/>
        <s v="Portão"/>
        <s v="Estrela"/>
        <s v="São Luiz Gonzaga"/>
        <s v="Montenegro"/>
        <s v="Caçapava do Sul"/>
        <s v="Rosário do Sul"/>
        <s v="Cachoeira do Sul"/>
        <s v="Cachoeirinha"/>
        <s v="Canela"/>
        <s v="Campo Bom"/>
        <s v="Canguçu"/>
        <s v="Canoas"/>
        <s v="Capão da Canoa"/>
        <s v="Santiago"/>
        <s v="Santo Antônio da Patrulha"/>
        <s v="Guaporé"/>
        <s v="Caxias do Sul"/>
        <s v="Santo Ângelo"/>
        <s v="Santa Vitória do Palmar"/>
        <s v="Panambi"/>
        <s v="São Pedro do Sul"/>
        <s v="Dois Irmãos"/>
        <s v="Dom Pedrito"/>
        <s v="Horizontina"/>
        <s v="Estância Velha"/>
        <s v="Esteio"/>
        <s v="Ibirubá"/>
        <s v="São Borja"/>
        <s v="Giruá"/>
        <s v="Gravataí"/>
        <s v="Gramado"/>
        <s v="Taquara"/>
        <s v="Tramandaí"/>
        <s v="Santa Maria"/>
        <s v="Itaqui"/>
        <s v="Terra de Areia"/>
        <s v="Júlio de Castilhos"/>
        <s v="Ivoti"/>
        <s v="Venâncio Aires"/>
        <s v="Nova Santa Rita"/>
        <s v="Novo Hamburgo"/>
        <s v="Osório"/>
        <s v="Rio Pardo"/>
        <s v="Parobé"/>
        <s v="Porto Alegre"/>
        <s v="Quaraí"/>
        <s v="Rio Grande"/>
        <s v="São Gabriel"/>
        <s v="Santana do Livramento"/>
        <s v="São José do Norte"/>
        <s v="São Leopoldo"/>
        <s v="São Lourenço do Sul"/>
        <s v="São Marcos"/>
        <s v="São Sepé"/>
        <s v="Sapucaia do Sul"/>
        <s v="Taquari"/>
        <s v="Triunfo"/>
        <s v="Uruguaiana"/>
        <s v="Vera Cruz"/>
        <s v="Viamão"/>
        <m/>
      </sharedItems>
    </cacheField>
    <cacheField name="Tipo de _x000a_Bombeiro" numFmtId="0">
      <sharedItems containsBlank="1" count="6">
        <s v="NPBM"/>
        <s v="Voluntersul"/>
        <s v="SCAB"/>
        <s v="Militar"/>
        <s v="Comunitário"/>
        <m/>
      </sharedItems>
    </cacheField>
  </cacheFields>
</pivotCacheDefinition>
</file>

<file path=xl/pivotCache/pivotCacheDefinition2.xml><?xml version="1.0" encoding="utf-8"?>
<pivotCacheDefinition xmlns="http://schemas.openxmlformats.org/spreadsheetml/2006/main" xmlns:r="http://schemas.openxmlformats.org/officeDocument/2006/relationships" r:id="rId1" refreshOnLoad="1" refreshedVersion="5" refreshedDate="46175.4386574074" refreshedBy="cristiane.weyh" recordCount="498">
  <cacheSource type="worksheet">
    <worksheetSource ref="A1:I1407" sheet="articul"/>
  </cacheSource>
  <cacheFields count="9">
    <cacheField name="Município" numFmtId="0">
      <sharedItems containsBlank="1" count="498">
        <s v="Aceguá"/>
        <s v="Água Santa"/>
        <s v="Agudo"/>
        <s v="Ajuricaba"/>
        <s v="Alecrim"/>
        <s v="Alegrete"/>
        <s v="Alegria"/>
        <s v="Almirante Tamandaré do Sul"/>
        <s v="Alpestre"/>
        <s v="Alto Alegre"/>
        <s v="Alto Feliz"/>
        <s v="Alvorada"/>
        <s v="Amaral Ferrador"/>
        <s v="Ametista do Sul"/>
        <s v="André da Rocha"/>
        <s v="Anta Gorda"/>
        <s v="Antônio Prado"/>
        <s v="Arambaré"/>
        <s v="Araricá"/>
        <s v="Aratiba"/>
        <s v="Arroio do Meio"/>
        <s v="Arroio do Padre"/>
        <s v="Arroio do Sal"/>
        <s v="Arroio do Tigre"/>
        <s v="Arroio dos Ratos"/>
        <s v="Arroio Grande"/>
        <s v="Arvorezinha"/>
        <s v="Augusto Pestana"/>
        <s v="Áurea"/>
        <s v="Bagé"/>
        <s v="Balneário Pinhal"/>
        <s v="Barão"/>
        <s v="Barão de Cotegipe"/>
        <s v="Barão do Triunfo"/>
        <s v="Barra do Guarita"/>
        <s v="Barra do Quaraí"/>
        <s v="Barra do Ribeiro"/>
        <s v="Barra do Rio Azul"/>
        <s v="Barra Funda"/>
        <s v="Barracão"/>
        <s v="Barros Cassal"/>
        <s v="Benjamin Constant do Sul"/>
        <s v="Bento Gonçalves"/>
        <s v="Boa Vista das Missões"/>
        <s v="Boa Vista do Buricá"/>
        <s v="Boa Vista do Cadeado"/>
        <s v="Boa Vista do Incra"/>
        <s v="Boa Vista do Sul"/>
        <s v="Bom Jesus"/>
        <s v="Bom Princípio"/>
        <s v="Bom Progresso"/>
        <s v="Bom Retiro do Sul"/>
        <s v="Boqueirão do Leão"/>
        <s v="Bossoroca"/>
        <s v="Bozano"/>
        <s v="Braga"/>
        <s v="Brochier"/>
        <s v="Butiá"/>
        <s v="Caçapava do Sul"/>
        <s v="Cacequi"/>
        <s v="Cachoeira do Sul"/>
        <s v="Cachoeirinha"/>
        <s v="Cacique Doble"/>
        <s v="Caibaté"/>
        <s v="Caiçara"/>
        <s v="Camaquã"/>
        <s v="Camargo"/>
        <s v="Cambará do Sul"/>
        <s v="Campestre da Serra"/>
        <s v="Campina das Missões"/>
        <s v="Campinas do Sul"/>
        <s v="Campo Bom"/>
        <s v="Campo Novo"/>
        <s v="Campos Borges"/>
        <s v="Candelária"/>
        <s v="Cândido Godói"/>
        <s v="Candiota"/>
        <s v="Canela"/>
        <s v="Canguçu"/>
        <s v="Canoas"/>
        <s v="Canudos do Vale"/>
        <s v="Capão Bonito do Sul"/>
        <s v="Capão da Canoa"/>
        <s v="Capão do Cipó"/>
        <s v="Capão do Leão"/>
        <s v="Capela de Santana"/>
        <s v="Capitão"/>
        <s v="Capivari do Sul"/>
        <s v="Caraá"/>
        <s v="Carazinho"/>
        <s v="Carlos Barbosa"/>
        <s v="Carlos Gomes"/>
        <s v="Casca"/>
        <s v="Caseiros"/>
        <s v="Catuípe"/>
        <s v="Caxias do Sul"/>
        <s v="Centenário"/>
        <s v="Cerrito"/>
        <s v="Cerro Branco"/>
        <s v="Cerro Grande"/>
        <s v="Cerro Grande do Sul"/>
        <s v="Cerro Largo"/>
        <s v="Chapada"/>
        <s v="Charqueadas"/>
        <s v="Charrua"/>
        <s v="Chiapetta"/>
        <s v="Chuí"/>
        <s v="Chuvisca"/>
        <s v="Cidreira"/>
        <s v="Ciríaco"/>
        <s v="Colinas"/>
        <s v="Colorado"/>
        <s v="Condor"/>
        <s v="Constantina"/>
        <s v="Coqueiro Baixo"/>
        <s v="Coqueiros do Sul"/>
        <s v="Coronel Barros"/>
        <s v="Coronel Bicaco"/>
        <s v="Coronel Pilar"/>
        <s v="Cotiporã"/>
        <s v="Coxilha"/>
        <s v="Crissiumal"/>
        <s v="Cristal"/>
        <s v="Cristal do Sul"/>
        <s v="Cruz Alta"/>
        <s v="Cruzaltense"/>
        <s v="Cruzeiro do Sul"/>
        <s v="David Canabarro"/>
        <s v="Derrubadas"/>
        <s v="Dezesseis de Novembro"/>
        <s v="Dilermando de Aguiar"/>
        <s v="Dois Irmãos"/>
        <s v="Dois Irmãos das Missões"/>
        <s v="Dois Lajeados"/>
        <s v="Dom Feliciano"/>
        <s v="Dom Pedrito"/>
        <s v="Dom Pedro de Alcântara"/>
        <s v="Dona Francisca"/>
        <s v="Doutor Maurício Cardoso"/>
        <s v="Doutor Ricardo"/>
        <s v="Eldorado do Sul"/>
        <s v="Encantado"/>
        <s v="Encruzilhada do Sul"/>
        <s v="Engenho Velho"/>
        <s v="Entre Rios do Sul"/>
        <s v="Entre-Ijuís"/>
        <s v="Erebango"/>
        <s v="Erechim"/>
        <s v="Ernestina"/>
        <s v="Erval Grande"/>
        <s v="Erval Seco"/>
        <s v="Esmeralda"/>
        <s v="Esperança do Sul"/>
        <s v="Espumoso"/>
        <s v="Estação"/>
        <s v="Estância Velha"/>
        <s v="Esteio"/>
        <s v="Estrela"/>
        <s v="Estrela Velha"/>
        <s v="Eugênio de Castro"/>
        <s v="Fagundes Varela"/>
        <s v="Farroupilha"/>
        <s v="Faxinal do Soturno"/>
        <s v="Faxinalzinho"/>
        <s v="Fazenda Vilanova"/>
        <s v="Feliz"/>
        <s v="Flores da Cunha"/>
        <s v="Floriano Peixoto"/>
        <s v="Fontoura Xavier"/>
        <s v="Formigueiro"/>
        <s v="Forquetinha"/>
        <s v="Fortaleza dos Valos"/>
        <s v="Frederico Westphalen"/>
        <s v="Garibaldi"/>
        <s v="Garruchos"/>
        <s v="Gaurama"/>
        <s v="General Câmara"/>
        <s v="Gentil"/>
        <s v="Getúlio Vargas"/>
        <s v="Giruá"/>
        <s v="Glorinha"/>
        <s v="Gramado"/>
        <s v="Gramado dos Loureiros"/>
        <s v="Gramado Xavier"/>
        <s v="Gravataí"/>
        <s v="Guabiju"/>
        <s v="Guaíba"/>
        <s v="Guaporé"/>
        <s v="Guarani das Missões"/>
        <s v="Harmonia"/>
        <s v="Herval"/>
        <s v="Herveiras"/>
        <s v="Horizontina"/>
        <s v="Hulha Negra"/>
        <s v="Humaitá"/>
        <s v="Ibarama"/>
        <s v="Ibiaçá"/>
        <s v="Ibiraiaras"/>
        <s v="Ibirapuitã"/>
        <s v="Ibirubá"/>
        <s v="Igrejinha"/>
        <s v="Ijuí"/>
        <s v="Ilópolis"/>
        <s v="Imbé"/>
        <s v="Imigrante"/>
        <s v="Independência"/>
        <s v="Inhacorá"/>
        <s v="Ipê"/>
        <s v="Ipiranga do Sul"/>
        <s v="Iraí"/>
        <s v="Itaara"/>
        <s v="Itacurubi"/>
        <s v="Itapuca"/>
        <s v="Itaqui"/>
        <s v="Itati"/>
        <s v="Itatiba do Sul"/>
        <s v="Ivorá"/>
        <s v="Ivoti"/>
        <s v="Jaboticaba"/>
        <s v="Jacuizinho"/>
        <s v="Jacutinga"/>
        <s v="Jaguarão"/>
        <s v="Jaguari"/>
        <s v="Jaquirana"/>
        <s v="Jari"/>
        <s v="Jóia"/>
        <s v="Júlio de Castilhos"/>
        <s v="Lagoa Bonita do Sul"/>
        <s v="Lagoa dos Três Cantos"/>
        <s v="Lagoa Vermelha"/>
        <s v="Lagoão"/>
        <s v="Lajeado"/>
        <s v="Lajeado do Bugre"/>
        <s v="Lavras do Sul"/>
        <s v="Liberato Salzano"/>
        <s v="Lindolfo Collor"/>
        <s v="Linha Nova"/>
        <s v="Maçambará"/>
        <s v="Machadinho"/>
        <s v="Mampituba"/>
        <s v="Manoel Viana"/>
        <s v="Maquiné"/>
        <s v="Maratá"/>
        <s v="Marau"/>
        <s v="Marcelino Ramos"/>
        <s v="Mariana Pimentel"/>
        <s v="Mariano Moro"/>
        <s v="Marques de Souza"/>
        <s v="Mata"/>
        <s v="Mato Castelhano"/>
        <s v="Mato Leitão"/>
        <s v="Mato Queimado"/>
        <s v="Maximiliano de Almeida"/>
        <s v="Minas do Leão"/>
        <s v="Miraguaí"/>
        <s v="Montauri"/>
        <s v="Monte Alegre dos Campos"/>
        <s v="Monte Belo do Sul"/>
        <s v="Montenegro"/>
        <s v="Mormaço"/>
        <s v="Morrinhos do Sul"/>
        <s v="Morro Redondo"/>
        <s v="Morro Reuter"/>
        <s v="Mostardas"/>
        <s v="Muçum"/>
        <s v="Muitos Capões"/>
        <s v="Muliterno"/>
        <s v="Não-Me-Toque"/>
        <s v="Nicolau Vergueiro"/>
        <s v="Nonoai"/>
        <s v="Nova Alvorada"/>
        <s v="Nova Araçá"/>
        <s v="Nova Bassano"/>
        <s v="Nova Boa Vista"/>
        <s v="Nova Bréscia"/>
        <s v="Nova Candelária"/>
        <s v="Nova Esperança do Sul"/>
        <s v="Nova Hartz"/>
        <s v="Nova Pádua"/>
        <s v="Nova Palma"/>
        <s v="Nova Petrópolis"/>
        <s v="Nova Prata"/>
        <s v="Nova Ramada"/>
        <s v="Nova Roma do Sul"/>
        <s v="Nova Santa Rita"/>
        <s v="Novo Barreiro"/>
        <s v="Novo Cabrais"/>
        <s v="Novo Hamburgo"/>
        <s v="Novo Machado"/>
        <s v="Novo Tiradentes"/>
        <s v="Novo Xingu"/>
        <s v="Osório"/>
        <s v="Paim Filho"/>
        <s v="Palmares do Sul"/>
        <s v="Palmeira das Missões"/>
        <s v="Palmitinho"/>
        <s v="Panambi"/>
        <s v="Pantano Grande"/>
        <s v="Paraí"/>
        <s v="Paraíso do Sul"/>
        <s v="Pareci Novo"/>
        <s v="Parobé"/>
        <s v="Passa Sete"/>
        <s v="Passo do Sobrado"/>
        <s v="Passo Fundo"/>
        <s v="Paulo Bento"/>
        <s v="Paverama"/>
        <s v="Pedras Altas"/>
        <s v="Pedro Osório"/>
        <s v="Pejuçara"/>
        <s v="Pelotas"/>
        <s v="Picada Café"/>
        <s v="Pinhal"/>
        <s v="Pinhal da Serra"/>
        <s v="Pinhal Grande"/>
        <s v="Pinheirinho do Vale"/>
        <s v="Pinheiro Machado"/>
        <s v="Pinto Bandeira"/>
        <s v="Pirapó"/>
        <s v="Piratini"/>
        <s v="Planalto"/>
        <s v="Poço das Antas"/>
        <s v="Pontão"/>
        <s v="Ponte Preta"/>
        <s v="Portão"/>
        <s v="Porto Alegre"/>
        <s v="Porto Lucena"/>
        <s v="Porto Mauá"/>
        <s v="Porto Vera Cruz"/>
        <s v="Porto Xavier"/>
        <s v="Pouso Novo"/>
        <s v="Presidente Lucena"/>
        <s v="Progresso"/>
        <s v="Protásio Alves"/>
        <s v="Putinga"/>
        <s v="Quaraí"/>
        <s v="Quatro Irmãos"/>
        <s v="Quevedos"/>
        <s v="Quinze de Novembro"/>
        <s v="Redentora"/>
        <s v="Relvado"/>
        <s v="Restinga Sêca"/>
        <s v="Rio dos Índios"/>
        <s v="Rio Grande"/>
        <s v="Rio Pardo"/>
        <s v="Riozinho"/>
        <s v="Roca Sales"/>
        <s v="Rodeio Bonito"/>
        <s v="Rolador"/>
        <s v="Rolante"/>
        <s v="Ronda Alta"/>
        <s v="Rondinha"/>
        <s v="Roque Gonzales"/>
        <s v="Rosário do Sul"/>
        <s v="Sagrada Família"/>
        <s v="Saldanha Marinho"/>
        <s v="Salto do Jacuí"/>
        <s v="Salvador das Missões"/>
        <s v="Salvador do Sul"/>
        <s v="Sananduva"/>
        <s v="Santa Bárbara do Sul"/>
        <s v="Santa Cecília do Sul"/>
        <s v="Santa Clara do Sul"/>
        <s v="Santa Cruz do Sul"/>
        <s v="Santa Margarida do Sul"/>
        <s v="Santa Maria"/>
        <s v="Santa Maria do Herval"/>
        <s v="Santa Rosa"/>
        <s v="Santa Tereza"/>
        <s v="Santa Vitória do Palmar"/>
        <s v="Santana da Boa Vista"/>
        <s v="Santana do Livramento"/>
        <s v="Santiago"/>
        <s v="Santo Ângelo"/>
        <s v="Santo Antônio da Patrulha"/>
        <s v="Santo Antônio das Missões"/>
        <s v="Santo Antônio do Palma"/>
        <s v="Santo Antônio do Planalto"/>
        <s v="Santo Augusto"/>
        <s v="Santo Cristo"/>
        <s v="Santo Expedito do Sul"/>
        <s v="São Borja"/>
        <s v="São Domingos do Sul"/>
        <s v="São Francisco de Assis"/>
        <s v="São Francisco de Paula"/>
        <s v="São Gabriel"/>
        <s v="São Jerônimo"/>
        <s v="São João da Urtiga"/>
        <s v="São João do Polêsine"/>
        <s v="São Jorge"/>
        <s v="São José das Missões"/>
        <s v="São José do Herval"/>
        <s v="São José do Hortêncio"/>
        <s v="São José do Inhacorá"/>
        <s v="São José do Norte"/>
        <s v="São José do Ouro"/>
        <s v="São José do Sul"/>
        <s v="São José dos Ausentes"/>
        <s v="São Leopoldo"/>
        <s v="São Lourenço do Sul"/>
        <s v="São Luiz Gonzaga"/>
        <s v="São Marcos"/>
        <s v="São Martinho"/>
        <s v="São Martinho da Serra"/>
        <s v="São Miguel das Missões"/>
        <s v="São Nicolau"/>
        <s v="São Paulo das Missões"/>
        <s v="São Pedro da Serra"/>
        <s v="São Pedro das Missões"/>
        <s v="São Pedro do Butiá"/>
        <s v="São Pedro do Sul"/>
        <s v="São Sebastião do Caí"/>
        <s v="São Sepé"/>
        <s v="São Valentim"/>
        <s v="São Valentim do Sul"/>
        <s v="São Valério do Sul"/>
        <s v="São Vendelino"/>
        <s v="São Vicente do Sul"/>
        <s v="Sapiranga"/>
        <s v="Sapucaia do Sul"/>
        <s v="Sarandi"/>
        <s v="Seberi"/>
        <s v="Sede Nova"/>
        <s v="Segredo"/>
        <s v="Selbach"/>
        <s v="Senador Salgado Filho"/>
        <s v="Sentinela do Sul"/>
        <s v="Serafina Corrêa"/>
        <s v="Sério"/>
        <s v="Sertão"/>
        <s v="Sertão Santana"/>
        <s v="Sete de Setembro"/>
        <s v="Severiano de Almeida"/>
        <s v="Silveira Martins"/>
        <s v="Sinimbu"/>
        <s v="Sobradinho"/>
        <s v="Soledade"/>
        <s v="Tabaí"/>
        <s v="Tapejara"/>
        <s v="Tapera"/>
        <s v="Tapes"/>
        <s v="Taquara"/>
        <s v="Taquari"/>
        <s v="Taquaruçu do Sul"/>
        <s v="Tavares"/>
        <s v="Tenente Portela"/>
        <s v="Terra de Areia"/>
        <s v="Teutônia"/>
        <s v="Tio Hugo"/>
        <s v="Tiradentes do Sul"/>
        <s v="Toropi"/>
        <s v="Torres"/>
        <s v="Tramandaí"/>
        <s v="Travesseiro"/>
        <s v="Três Arroios"/>
        <s v="Três Cachoeiras"/>
        <s v="Três Coroas"/>
        <s v="Três de Maio"/>
        <s v="Três Forquilhas"/>
        <s v="Três Palmeiras"/>
        <s v="Três Passos"/>
        <s v="Trindade do Sul"/>
        <s v="Triunfo"/>
        <s v="Tucunduva"/>
        <s v="Tunas"/>
        <s v="Tupanci do Sul"/>
        <s v="Tupanciretã"/>
        <s v="Tupandi"/>
        <s v="Tuparendi"/>
        <s v="Turuçu"/>
        <s v="Ubiretama"/>
        <s v="União da Serra"/>
        <s v="Unistalda"/>
        <s v="Uruguaiana"/>
        <s v="Vacaria"/>
        <s v="Vale do Sol"/>
        <s v="Vale Real"/>
        <s v="Vale Verde"/>
        <s v="Vanini"/>
        <s v="Venâncio Aires"/>
        <s v="Vera Cruz"/>
        <s v="Veranópolis"/>
        <s v="Vespasiano Corrêa"/>
        <s v="Viadutos"/>
        <s v="Viamão"/>
        <s v="Vicente Dutra"/>
        <s v="Victor Graeff"/>
        <s v="Vila Flores"/>
        <s v="Vila Lângaro"/>
        <s v="Vila Maria"/>
        <s v="Vila Nova do Sul"/>
        <s v="Vista Alegre"/>
        <s v="Vista Alegre do Prata"/>
        <s v="Vista Gaúcha"/>
        <s v="Vitória das Missões"/>
        <s v="Westfália"/>
        <s v="Xangri-lá"/>
        <m/>
      </sharedItems>
    </cacheField>
    <cacheField name="CRBM" numFmtId="0">
      <sharedItems containsBlank="1" count="5">
        <s v="3º CRBM"/>
        <s v="2º CRBM"/>
        <s v="4º CRBM"/>
        <s v="1º CRBM"/>
        <m/>
      </sharedItems>
    </cacheField>
    <cacheField name="BBM" numFmtId="0">
      <sharedItems containsBlank="1" count="14">
        <s v="10º BBM"/>
        <s v="7º BBM"/>
        <s v="4º BBM"/>
        <s v="12º BBM"/>
        <s v="11º BBM"/>
        <s v="13º BBM"/>
        <s v="2º BBM"/>
        <s v="8º BBM"/>
        <s v="6º BBM"/>
        <s v="5º BBM"/>
        <s v="3º BBM"/>
        <s v="9º BBM"/>
        <s v="1º BBM"/>
        <m/>
      </sharedItems>
    </cacheField>
    <cacheField name="Pel/Gr" numFmtId="0">
      <sharedItems containsBlank="1" count="99">
        <s v="Bagé"/>
        <s v="Passo Fundo"/>
        <s v="Restinga Sêca"/>
        <s v="Ijuí"/>
        <s v="Santa Rosa"/>
        <s v="Alegrete"/>
        <s v="Três de Maio"/>
        <s v="Carazinho"/>
        <s v="Nonoai"/>
        <s v="Tapera"/>
        <s v="Farroupilha"/>
        <s v="Alvorada"/>
        <s v="Encruzilhada do Sul"/>
        <s v="Frederico Westphalen"/>
        <s v="Veranópolis"/>
        <s v="Encantado"/>
        <s v="Flores da Cunha"/>
        <s v="Camaquã"/>
        <s v="Sapiranga"/>
        <s v="Erechim"/>
        <s v="Lajeado"/>
        <s v="Pelotas"/>
        <s v="Torres"/>
        <s v="Santa Cruz do Sul"/>
        <s v="São Jerônimo"/>
        <s v="Jaguarão"/>
        <s v="Soledade"/>
        <s v="Getúlio Vargas"/>
        <s v="Cidreira"/>
        <s v="Bento Gonçalves"/>
        <s v="Guaíba"/>
        <s v="Três Passos"/>
        <s v="Barra do Quaraí"/>
        <s v="Sarandi"/>
        <s v="Lagoa Vermelha"/>
        <s v="Palmeira das Missões"/>
        <s v="Cruz Alta"/>
        <s v="Vacaria"/>
        <s v="Portão"/>
        <s v="Estrela"/>
        <s v="São Luiz Gonzaga"/>
        <s v="Montenegro"/>
        <s v="Caçapava do Sul"/>
        <s v="Rosário do Sul"/>
        <s v="Cachoeira do Sul"/>
        <s v="Cachoeirinha"/>
        <s v="Canela"/>
        <s v="Campo Bom"/>
        <s v="Canguçu"/>
        <s v="Canoas"/>
        <s v="Capão da Canoa"/>
        <s v="Santiago"/>
        <s v="Santo Antônio da Patrulha"/>
        <s v="Guaporé"/>
        <s v="Caxias do Sul"/>
        <s v="Santo Ângelo"/>
        <s v="Santa Vitória do Palmar"/>
        <s v="Panambi"/>
        <s v="São Pedro do Sul"/>
        <s v="Dois Irmãos"/>
        <s v="Dom Pedrito"/>
        <s v="Horizontina"/>
        <s v="Estância Velha"/>
        <s v="Esteio"/>
        <s v="Ibirubá"/>
        <s v="São Borja"/>
        <s v="Giruá"/>
        <s v="Gravataí"/>
        <s v="Gramado"/>
        <s v="Taquara"/>
        <s v="Tramandaí"/>
        <s v="Santa Maria"/>
        <s v="Itaqui"/>
        <s v="Terra de Areia"/>
        <s v="Júlio de Castilhos"/>
        <s v="Ivoti"/>
        <s v="Venâncio Aires"/>
        <s v="Nova Santa Rita"/>
        <s v="Novo Hamburgo"/>
        <s v="Osório"/>
        <s v="Rio Pardo"/>
        <s v="Parobé"/>
        <s v="Porto Alegre"/>
        <s v="Quaraí"/>
        <s v="Rio Grande"/>
        <s v="São Gabriel"/>
        <s v="Santana do Livramento"/>
        <s v="São José do Norte"/>
        <s v="São Leopoldo"/>
        <s v="São Lourenço do Sul"/>
        <s v="São Marcos"/>
        <s v="São Sepé"/>
        <s v="Sapucaia do Sul"/>
        <s v="Taquari"/>
        <s v="Triunfo"/>
        <s v="Uruguaiana"/>
        <s v="Vera Cruz"/>
        <s v="Viamão"/>
        <m/>
      </sharedItems>
    </cacheField>
    <cacheField name="Tipo de _x000a_Bombeiro" numFmtId="0">
      <sharedItems containsBlank="1" count="6">
        <s v="NPBM"/>
        <s v="Voluntersul"/>
        <s v="SCAB"/>
        <s v="Militar"/>
        <s v="Comunitário"/>
        <m/>
      </sharedItems>
    </cacheField>
    <cacheField name="Tipo de _x000a_Bombeiro - Detalhado" numFmtId="0">
      <sharedItems containsBlank="1" count="10">
        <s v="NPBM"/>
        <s v="Voluntersul"/>
        <s v="Municipal"/>
        <s v="Militar"/>
        <s v="Projeto Com."/>
        <s v="Mil + Mun"/>
        <s v="Mil + Vol"/>
        <s v="Mil + Mun + Vol"/>
        <s v="Comunitário"/>
        <m/>
      </sharedItems>
    </cacheField>
    <cacheField name="Situação se SCAB" numFmtId="0">
      <sharedItems containsBlank="1" count="5">
        <m/>
        <s v=" 3 - Não Regularizado"/>
        <s v=" 1 - Credenciado"/>
        <s v=" 2 - Em Credenciamento"/>
        <s v=" 4 - Desfavorável"/>
      </sharedItems>
    </cacheField>
    <cacheField name="Frações_x000a_Operativas" numFmtId="0">
      <sharedItems containsBlank="1" containsNumber="1" containsInteger="1" containsMixedTypes="1" count="8">
        <s v=""/>
        <n v="1"/>
        <s v="(*1)"/>
        <n v="2"/>
        <n v="5"/>
        <n v="3"/>
        <n v="13"/>
        <m/>
      </sharedItems>
    </cacheField>
    <cacheField name="Frações_x000a_Fechadas" numFmtId="0">
      <sharedItems containsBlank="1" containsNumber="1" containsInteger="1" containsMixedTypes="1" count="3">
        <s v=""/>
        <n v="1"/>
        <m/>
      </sharedItems>
    </cacheField>
  </cacheFields>
</pivotCacheDefinition>
</file>

<file path=xl/pivotCache/pivotCacheRecords1.xml><?xml version="1.0" encoding="utf-8"?>
<pivotCacheRecords xmlns="http://schemas.openxmlformats.org/spreadsheetml/2006/main" xmlns:r="http://schemas.openxmlformats.org/officeDocument/2006/relationships" count="498">
  <r>
    <x v="0"/>
    <x v="0"/>
    <x v="0"/>
    <x v="0"/>
    <x v="0"/>
  </r>
  <r>
    <x v="1"/>
    <x v="1"/>
    <x v="1"/>
    <x v="1"/>
    <x v="0"/>
  </r>
  <r>
    <x v="2"/>
    <x v="2"/>
    <x v="2"/>
    <x v="2"/>
    <x v="1"/>
  </r>
  <r>
    <x v="3"/>
    <x v="2"/>
    <x v="3"/>
    <x v="3"/>
    <x v="2"/>
  </r>
  <r>
    <x v="4"/>
    <x v="2"/>
    <x v="4"/>
    <x v="4"/>
    <x v="0"/>
  </r>
  <r>
    <x v="5"/>
    <x v="0"/>
    <x v="5"/>
    <x v="5"/>
    <x v="3"/>
  </r>
  <r>
    <x v="6"/>
    <x v="2"/>
    <x v="4"/>
    <x v="6"/>
    <x v="0"/>
  </r>
  <r>
    <x v="7"/>
    <x v="1"/>
    <x v="1"/>
    <x v="7"/>
    <x v="0"/>
  </r>
  <r>
    <x v="8"/>
    <x v="2"/>
    <x v="3"/>
    <x v="8"/>
    <x v="0"/>
  </r>
  <r>
    <x v="9"/>
    <x v="1"/>
    <x v="1"/>
    <x v="9"/>
    <x v="0"/>
  </r>
  <r>
    <x v="10"/>
    <x v="1"/>
    <x v="6"/>
    <x v="10"/>
    <x v="1"/>
  </r>
  <r>
    <x v="11"/>
    <x v="3"/>
    <x v="7"/>
    <x v="11"/>
    <x v="3"/>
  </r>
  <r>
    <x v="12"/>
    <x v="2"/>
    <x v="8"/>
    <x v="12"/>
    <x v="0"/>
  </r>
  <r>
    <x v="13"/>
    <x v="2"/>
    <x v="3"/>
    <x v="13"/>
    <x v="0"/>
  </r>
  <r>
    <x v="14"/>
    <x v="1"/>
    <x v="9"/>
    <x v="14"/>
    <x v="0"/>
  </r>
  <r>
    <x v="15"/>
    <x v="1"/>
    <x v="1"/>
    <x v="15"/>
    <x v="0"/>
  </r>
  <r>
    <x v="16"/>
    <x v="1"/>
    <x v="9"/>
    <x v="16"/>
    <x v="2"/>
  </r>
  <r>
    <x v="17"/>
    <x v="2"/>
    <x v="8"/>
    <x v="17"/>
    <x v="2"/>
  </r>
  <r>
    <x v="18"/>
    <x v="1"/>
    <x v="6"/>
    <x v="18"/>
    <x v="2"/>
  </r>
  <r>
    <x v="19"/>
    <x v="1"/>
    <x v="1"/>
    <x v="19"/>
    <x v="2"/>
  </r>
  <r>
    <x v="20"/>
    <x v="2"/>
    <x v="8"/>
    <x v="20"/>
    <x v="2"/>
  </r>
  <r>
    <x v="21"/>
    <x v="0"/>
    <x v="10"/>
    <x v="21"/>
    <x v="0"/>
  </r>
  <r>
    <x v="22"/>
    <x v="3"/>
    <x v="11"/>
    <x v="22"/>
    <x v="2"/>
  </r>
  <r>
    <x v="23"/>
    <x v="2"/>
    <x v="8"/>
    <x v="23"/>
    <x v="1"/>
  </r>
  <r>
    <x v="24"/>
    <x v="2"/>
    <x v="8"/>
    <x v="24"/>
    <x v="1"/>
  </r>
  <r>
    <x v="25"/>
    <x v="0"/>
    <x v="10"/>
    <x v="25"/>
    <x v="2"/>
  </r>
  <r>
    <x v="26"/>
    <x v="1"/>
    <x v="1"/>
    <x v="26"/>
    <x v="1"/>
  </r>
  <r>
    <x v="27"/>
    <x v="2"/>
    <x v="3"/>
    <x v="3"/>
    <x v="0"/>
  </r>
  <r>
    <x v="28"/>
    <x v="1"/>
    <x v="1"/>
    <x v="27"/>
    <x v="2"/>
  </r>
  <r>
    <x v="29"/>
    <x v="0"/>
    <x v="0"/>
    <x v="0"/>
    <x v="3"/>
  </r>
  <r>
    <x v="30"/>
    <x v="3"/>
    <x v="11"/>
    <x v="28"/>
    <x v="2"/>
  </r>
  <r>
    <x v="31"/>
    <x v="1"/>
    <x v="6"/>
    <x v="29"/>
    <x v="0"/>
  </r>
  <r>
    <x v="32"/>
    <x v="1"/>
    <x v="1"/>
    <x v="19"/>
    <x v="2"/>
  </r>
  <r>
    <x v="33"/>
    <x v="2"/>
    <x v="8"/>
    <x v="30"/>
    <x v="0"/>
  </r>
  <r>
    <x v="34"/>
    <x v="2"/>
    <x v="4"/>
    <x v="31"/>
    <x v="0"/>
  </r>
  <r>
    <x v="35"/>
    <x v="0"/>
    <x v="5"/>
    <x v="32"/>
    <x v="4"/>
  </r>
  <r>
    <x v="36"/>
    <x v="2"/>
    <x v="8"/>
    <x v="30"/>
    <x v="0"/>
  </r>
  <r>
    <x v="37"/>
    <x v="1"/>
    <x v="1"/>
    <x v="19"/>
    <x v="0"/>
  </r>
  <r>
    <x v="38"/>
    <x v="1"/>
    <x v="1"/>
    <x v="33"/>
    <x v="0"/>
  </r>
  <r>
    <x v="39"/>
    <x v="1"/>
    <x v="9"/>
    <x v="34"/>
    <x v="1"/>
  </r>
  <r>
    <x v="40"/>
    <x v="1"/>
    <x v="1"/>
    <x v="26"/>
    <x v="2"/>
  </r>
  <r>
    <x v="41"/>
    <x v="1"/>
    <x v="1"/>
    <x v="19"/>
    <x v="0"/>
  </r>
  <r>
    <x v="42"/>
    <x v="1"/>
    <x v="9"/>
    <x v="29"/>
    <x v="3"/>
  </r>
  <r>
    <x v="43"/>
    <x v="2"/>
    <x v="3"/>
    <x v="35"/>
    <x v="0"/>
  </r>
  <r>
    <x v="44"/>
    <x v="2"/>
    <x v="4"/>
    <x v="6"/>
    <x v="0"/>
  </r>
  <r>
    <x v="45"/>
    <x v="2"/>
    <x v="3"/>
    <x v="36"/>
    <x v="0"/>
  </r>
  <r>
    <x v="46"/>
    <x v="2"/>
    <x v="3"/>
    <x v="36"/>
    <x v="0"/>
  </r>
  <r>
    <x v="47"/>
    <x v="1"/>
    <x v="9"/>
    <x v="29"/>
    <x v="0"/>
  </r>
  <r>
    <x v="48"/>
    <x v="1"/>
    <x v="9"/>
    <x v="37"/>
    <x v="2"/>
  </r>
  <r>
    <x v="49"/>
    <x v="1"/>
    <x v="6"/>
    <x v="38"/>
    <x v="1"/>
  </r>
  <r>
    <x v="50"/>
    <x v="2"/>
    <x v="4"/>
    <x v="31"/>
    <x v="0"/>
  </r>
  <r>
    <x v="51"/>
    <x v="2"/>
    <x v="8"/>
    <x v="39"/>
    <x v="0"/>
  </r>
  <r>
    <x v="52"/>
    <x v="2"/>
    <x v="8"/>
    <x v="20"/>
    <x v="0"/>
  </r>
  <r>
    <x v="53"/>
    <x v="2"/>
    <x v="4"/>
    <x v="40"/>
    <x v="0"/>
  </r>
  <r>
    <x v="54"/>
    <x v="2"/>
    <x v="3"/>
    <x v="3"/>
    <x v="0"/>
  </r>
  <r>
    <x v="55"/>
    <x v="2"/>
    <x v="4"/>
    <x v="31"/>
    <x v="0"/>
  </r>
  <r>
    <x v="56"/>
    <x v="1"/>
    <x v="6"/>
    <x v="41"/>
    <x v="0"/>
  </r>
  <r>
    <x v="57"/>
    <x v="2"/>
    <x v="8"/>
    <x v="24"/>
    <x v="1"/>
  </r>
  <r>
    <x v="58"/>
    <x v="2"/>
    <x v="2"/>
    <x v="42"/>
    <x v="3"/>
  </r>
  <r>
    <x v="59"/>
    <x v="0"/>
    <x v="0"/>
    <x v="43"/>
    <x v="2"/>
  </r>
  <r>
    <x v="60"/>
    <x v="2"/>
    <x v="2"/>
    <x v="44"/>
    <x v="3"/>
  </r>
  <r>
    <x v="61"/>
    <x v="3"/>
    <x v="7"/>
    <x v="45"/>
    <x v="3"/>
  </r>
  <r>
    <x v="62"/>
    <x v="1"/>
    <x v="9"/>
    <x v="34"/>
    <x v="1"/>
  </r>
  <r>
    <x v="63"/>
    <x v="2"/>
    <x v="4"/>
    <x v="40"/>
    <x v="0"/>
  </r>
  <r>
    <x v="64"/>
    <x v="2"/>
    <x v="3"/>
    <x v="13"/>
    <x v="0"/>
  </r>
  <r>
    <x v="65"/>
    <x v="2"/>
    <x v="8"/>
    <x v="17"/>
    <x v="4"/>
  </r>
  <r>
    <x v="66"/>
    <x v="1"/>
    <x v="1"/>
    <x v="1"/>
    <x v="0"/>
  </r>
  <r>
    <x v="67"/>
    <x v="1"/>
    <x v="9"/>
    <x v="46"/>
    <x v="2"/>
  </r>
  <r>
    <x v="68"/>
    <x v="1"/>
    <x v="9"/>
    <x v="37"/>
    <x v="0"/>
  </r>
  <r>
    <x v="69"/>
    <x v="2"/>
    <x v="4"/>
    <x v="4"/>
    <x v="0"/>
  </r>
  <r>
    <x v="70"/>
    <x v="1"/>
    <x v="1"/>
    <x v="19"/>
    <x v="1"/>
  </r>
  <r>
    <x v="71"/>
    <x v="1"/>
    <x v="6"/>
    <x v="47"/>
    <x v="4"/>
  </r>
  <r>
    <x v="72"/>
    <x v="2"/>
    <x v="4"/>
    <x v="31"/>
    <x v="0"/>
  </r>
  <r>
    <x v="73"/>
    <x v="1"/>
    <x v="1"/>
    <x v="9"/>
    <x v="2"/>
  </r>
  <r>
    <x v="74"/>
    <x v="2"/>
    <x v="8"/>
    <x v="23"/>
    <x v="1"/>
  </r>
  <r>
    <x v="75"/>
    <x v="2"/>
    <x v="4"/>
    <x v="4"/>
    <x v="0"/>
  </r>
  <r>
    <x v="76"/>
    <x v="0"/>
    <x v="0"/>
    <x v="0"/>
    <x v="1"/>
  </r>
  <r>
    <x v="77"/>
    <x v="1"/>
    <x v="9"/>
    <x v="46"/>
    <x v="4"/>
  </r>
  <r>
    <x v="78"/>
    <x v="0"/>
    <x v="10"/>
    <x v="48"/>
    <x v="3"/>
  </r>
  <r>
    <x v="79"/>
    <x v="3"/>
    <x v="7"/>
    <x v="49"/>
    <x v="3"/>
  </r>
  <r>
    <x v="80"/>
    <x v="2"/>
    <x v="8"/>
    <x v="20"/>
    <x v="0"/>
  </r>
  <r>
    <x v="81"/>
    <x v="1"/>
    <x v="9"/>
    <x v="34"/>
    <x v="0"/>
  </r>
  <r>
    <x v="82"/>
    <x v="3"/>
    <x v="11"/>
    <x v="50"/>
    <x v="3"/>
  </r>
  <r>
    <x v="83"/>
    <x v="0"/>
    <x v="5"/>
    <x v="51"/>
    <x v="0"/>
  </r>
  <r>
    <x v="84"/>
    <x v="0"/>
    <x v="10"/>
    <x v="21"/>
    <x v="1"/>
  </r>
  <r>
    <x v="85"/>
    <x v="1"/>
    <x v="6"/>
    <x v="38"/>
    <x v="0"/>
  </r>
  <r>
    <x v="86"/>
    <x v="2"/>
    <x v="8"/>
    <x v="15"/>
    <x v="0"/>
  </r>
  <r>
    <x v="87"/>
    <x v="3"/>
    <x v="11"/>
    <x v="28"/>
    <x v="0"/>
  </r>
  <r>
    <x v="88"/>
    <x v="3"/>
    <x v="11"/>
    <x v="52"/>
    <x v="1"/>
  </r>
  <r>
    <x v="89"/>
    <x v="1"/>
    <x v="1"/>
    <x v="7"/>
    <x v="3"/>
  </r>
  <r>
    <x v="90"/>
    <x v="1"/>
    <x v="9"/>
    <x v="29"/>
    <x v="1"/>
  </r>
  <r>
    <x v="91"/>
    <x v="1"/>
    <x v="1"/>
    <x v="27"/>
    <x v="0"/>
  </r>
  <r>
    <x v="92"/>
    <x v="1"/>
    <x v="1"/>
    <x v="53"/>
    <x v="2"/>
  </r>
  <r>
    <x v="93"/>
    <x v="1"/>
    <x v="9"/>
    <x v="34"/>
    <x v="0"/>
  </r>
  <r>
    <x v="94"/>
    <x v="2"/>
    <x v="3"/>
    <x v="3"/>
    <x v="0"/>
  </r>
  <r>
    <x v="95"/>
    <x v="1"/>
    <x v="9"/>
    <x v="54"/>
    <x v="3"/>
  </r>
  <r>
    <x v="96"/>
    <x v="1"/>
    <x v="1"/>
    <x v="27"/>
    <x v="0"/>
  </r>
  <r>
    <x v="97"/>
    <x v="0"/>
    <x v="10"/>
    <x v="21"/>
    <x v="0"/>
  </r>
  <r>
    <x v="98"/>
    <x v="2"/>
    <x v="2"/>
    <x v="44"/>
    <x v="0"/>
  </r>
  <r>
    <x v="99"/>
    <x v="2"/>
    <x v="3"/>
    <x v="35"/>
    <x v="0"/>
  </r>
  <r>
    <x v="100"/>
    <x v="2"/>
    <x v="8"/>
    <x v="17"/>
    <x v="0"/>
  </r>
  <r>
    <x v="101"/>
    <x v="2"/>
    <x v="4"/>
    <x v="55"/>
    <x v="2"/>
  </r>
  <r>
    <x v="102"/>
    <x v="1"/>
    <x v="1"/>
    <x v="7"/>
    <x v="0"/>
  </r>
  <r>
    <x v="103"/>
    <x v="2"/>
    <x v="8"/>
    <x v="24"/>
    <x v="1"/>
  </r>
  <r>
    <x v="104"/>
    <x v="1"/>
    <x v="1"/>
    <x v="27"/>
    <x v="0"/>
  </r>
  <r>
    <x v="105"/>
    <x v="2"/>
    <x v="3"/>
    <x v="3"/>
    <x v="2"/>
  </r>
  <r>
    <x v="106"/>
    <x v="0"/>
    <x v="10"/>
    <x v="56"/>
    <x v="0"/>
  </r>
  <r>
    <x v="107"/>
    <x v="2"/>
    <x v="8"/>
    <x v="17"/>
    <x v="0"/>
  </r>
  <r>
    <x v="108"/>
    <x v="3"/>
    <x v="11"/>
    <x v="28"/>
    <x v="3"/>
  </r>
  <r>
    <x v="109"/>
    <x v="1"/>
    <x v="1"/>
    <x v="34"/>
    <x v="0"/>
  </r>
  <r>
    <x v="110"/>
    <x v="2"/>
    <x v="8"/>
    <x v="39"/>
    <x v="1"/>
  </r>
  <r>
    <x v="111"/>
    <x v="1"/>
    <x v="1"/>
    <x v="9"/>
    <x v="0"/>
  </r>
  <r>
    <x v="112"/>
    <x v="2"/>
    <x v="3"/>
    <x v="57"/>
    <x v="0"/>
  </r>
  <r>
    <x v="113"/>
    <x v="1"/>
    <x v="1"/>
    <x v="33"/>
    <x v="2"/>
  </r>
  <r>
    <x v="114"/>
    <x v="2"/>
    <x v="8"/>
    <x v="15"/>
    <x v="0"/>
  </r>
  <r>
    <x v="115"/>
    <x v="1"/>
    <x v="1"/>
    <x v="7"/>
    <x v="0"/>
  </r>
  <r>
    <x v="116"/>
    <x v="2"/>
    <x v="3"/>
    <x v="3"/>
    <x v="0"/>
  </r>
  <r>
    <x v="117"/>
    <x v="2"/>
    <x v="4"/>
    <x v="31"/>
    <x v="0"/>
  </r>
  <r>
    <x v="118"/>
    <x v="1"/>
    <x v="9"/>
    <x v="29"/>
    <x v="0"/>
  </r>
  <r>
    <x v="119"/>
    <x v="1"/>
    <x v="9"/>
    <x v="14"/>
    <x v="0"/>
  </r>
  <r>
    <x v="120"/>
    <x v="1"/>
    <x v="1"/>
    <x v="1"/>
    <x v="0"/>
  </r>
  <r>
    <x v="121"/>
    <x v="2"/>
    <x v="4"/>
    <x v="31"/>
    <x v="2"/>
  </r>
  <r>
    <x v="122"/>
    <x v="2"/>
    <x v="8"/>
    <x v="17"/>
    <x v="0"/>
  </r>
  <r>
    <x v="123"/>
    <x v="2"/>
    <x v="3"/>
    <x v="13"/>
    <x v="0"/>
  </r>
  <r>
    <x v="124"/>
    <x v="2"/>
    <x v="3"/>
    <x v="36"/>
    <x v="3"/>
  </r>
  <r>
    <x v="125"/>
    <x v="1"/>
    <x v="1"/>
    <x v="19"/>
    <x v="0"/>
  </r>
  <r>
    <x v="126"/>
    <x v="2"/>
    <x v="8"/>
    <x v="20"/>
    <x v="0"/>
  </r>
  <r>
    <x v="127"/>
    <x v="1"/>
    <x v="1"/>
    <x v="34"/>
    <x v="0"/>
  </r>
  <r>
    <x v="128"/>
    <x v="2"/>
    <x v="4"/>
    <x v="31"/>
    <x v="0"/>
  </r>
  <r>
    <x v="129"/>
    <x v="2"/>
    <x v="4"/>
    <x v="40"/>
    <x v="0"/>
  </r>
  <r>
    <x v="130"/>
    <x v="2"/>
    <x v="2"/>
    <x v="58"/>
    <x v="0"/>
  </r>
  <r>
    <x v="131"/>
    <x v="1"/>
    <x v="6"/>
    <x v="59"/>
    <x v="4"/>
  </r>
  <r>
    <x v="132"/>
    <x v="2"/>
    <x v="3"/>
    <x v="35"/>
    <x v="0"/>
  </r>
  <r>
    <x v="133"/>
    <x v="1"/>
    <x v="1"/>
    <x v="53"/>
    <x v="0"/>
  </r>
  <r>
    <x v="134"/>
    <x v="2"/>
    <x v="8"/>
    <x v="17"/>
    <x v="0"/>
  </r>
  <r>
    <x v="135"/>
    <x v="0"/>
    <x v="0"/>
    <x v="60"/>
    <x v="3"/>
  </r>
  <r>
    <x v="136"/>
    <x v="3"/>
    <x v="11"/>
    <x v="22"/>
    <x v="0"/>
  </r>
  <r>
    <x v="137"/>
    <x v="2"/>
    <x v="2"/>
    <x v="2"/>
    <x v="0"/>
  </r>
  <r>
    <x v="138"/>
    <x v="2"/>
    <x v="4"/>
    <x v="61"/>
    <x v="0"/>
  </r>
  <r>
    <x v="139"/>
    <x v="2"/>
    <x v="8"/>
    <x v="15"/>
    <x v="0"/>
  </r>
  <r>
    <x v="140"/>
    <x v="2"/>
    <x v="8"/>
    <x v="30"/>
    <x v="1"/>
  </r>
  <r>
    <x v="141"/>
    <x v="2"/>
    <x v="8"/>
    <x v="15"/>
    <x v="4"/>
  </r>
  <r>
    <x v="142"/>
    <x v="2"/>
    <x v="8"/>
    <x v="12"/>
    <x v="4"/>
  </r>
  <r>
    <x v="143"/>
    <x v="1"/>
    <x v="1"/>
    <x v="33"/>
    <x v="0"/>
  </r>
  <r>
    <x v="144"/>
    <x v="1"/>
    <x v="1"/>
    <x v="8"/>
    <x v="0"/>
  </r>
  <r>
    <x v="145"/>
    <x v="2"/>
    <x v="4"/>
    <x v="55"/>
    <x v="0"/>
  </r>
  <r>
    <x v="146"/>
    <x v="1"/>
    <x v="1"/>
    <x v="27"/>
    <x v="0"/>
  </r>
  <r>
    <x v="147"/>
    <x v="1"/>
    <x v="1"/>
    <x v="19"/>
    <x v="3"/>
  </r>
  <r>
    <x v="148"/>
    <x v="1"/>
    <x v="1"/>
    <x v="1"/>
    <x v="0"/>
  </r>
  <r>
    <x v="149"/>
    <x v="1"/>
    <x v="1"/>
    <x v="8"/>
    <x v="2"/>
  </r>
  <r>
    <x v="150"/>
    <x v="2"/>
    <x v="3"/>
    <x v="13"/>
    <x v="0"/>
  </r>
  <r>
    <x v="151"/>
    <x v="1"/>
    <x v="9"/>
    <x v="37"/>
    <x v="0"/>
  </r>
  <r>
    <x v="152"/>
    <x v="2"/>
    <x v="4"/>
    <x v="31"/>
    <x v="0"/>
  </r>
  <r>
    <x v="153"/>
    <x v="1"/>
    <x v="1"/>
    <x v="9"/>
    <x v="0"/>
  </r>
  <r>
    <x v="154"/>
    <x v="1"/>
    <x v="1"/>
    <x v="27"/>
    <x v="0"/>
  </r>
  <r>
    <x v="155"/>
    <x v="1"/>
    <x v="6"/>
    <x v="62"/>
    <x v="4"/>
  </r>
  <r>
    <x v="156"/>
    <x v="3"/>
    <x v="7"/>
    <x v="63"/>
    <x v="3"/>
  </r>
  <r>
    <x v="157"/>
    <x v="2"/>
    <x v="8"/>
    <x v="39"/>
    <x v="3"/>
  </r>
  <r>
    <x v="158"/>
    <x v="2"/>
    <x v="8"/>
    <x v="36"/>
    <x v="0"/>
  </r>
  <r>
    <x v="159"/>
    <x v="2"/>
    <x v="4"/>
    <x v="55"/>
    <x v="0"/>
  </r>
  <r>
    <x v="160"/>
    <x v="1"/>
    <x v="9"/>
    <x v="14"/>
    <x v="0"/>
  </r>
  <r>
    <x v="161"/>
    <x v="1"/>
    <x v="9"/>
    <x v="10"/>
    <x v="3"/>
  </r>
  <r>
    <x v="162"/>
    <x v="2"/>
    <x v="2"/>
    <x v="2"/>
    <x v="1"/>
  </r>
  <r>
    <x v="163"/>
    <x v="1"/>
    <x v="1"/>
    <x v="8"/>
    <x v="2"/>
  </r>
  <r>
    <x v="164"/>
    <x v="2"/>
    <x v="8"/>
    <x v="39"/>
    <x v="0"/>
  </r>
  <r>
    <x v="165"/>
    <x v="1"/>
    <x v="6"/>
    <x v="10"/>
    <x v="2"/>
  </r>
  <r>
    <x v="166"/>
    <x v="1"/>
    <x v="9"/>
    <x v="16"/>
    <x v="3"/>
  </r>
  <r>
    <x v="167"/>
    <x v="1"/>
    <x v="1"/>
    <x v="27"/>
    <x v="0"/>
  </r>
  <r>
    <x v="168"/>
    <x v="1"/>
    <x v="1"/>
    <x v="26"/>
    <x v="0"/>
  </r>
  <r>
    <x v="169"/>
    <x v="2"/>
    <x v="2"/>
    <x v="2"/>
    <x v="0"/>
  </r>
  <r>
    <x v="170"/>
    <x v="2"/>
    <x v="8"/>
    <x v="20"/>
    <x v="0"/>
  </r>
  <r>
    <x v="171"/>
    <x v="2"/>
    <x v="3"/>
    <x v="64"/>
    <x v="0"/>
  </r>
  <r>
    <x v="172"/>
    <x v="2"/>
    <x v="3"/>
    <x v="13"/>
    <x v="3"/>
  </r>
  <r>
    <x v="173"/>
    <x v="1"/>
    <x v="9"/>
    <x v="29"/>
    <x v="1"/>
  </r>
  <r>
    <x v="174"/>
    <x v="2"/>
    <x v="4"/>
    <x v="65"/>
    <x v="0"/>
  </r>
  <r>
    <x v="175"/>
    <x v="1"/>
    <x v="1"/>
    <x v="19"/>
    <x v="2"/>
  </r>
  <r>
    <x v="176"/>
    <x v="2"/>
    <x v="8"/>
    <x v="24"/>
    <x v="1"/>
  </r>
  <r>
    <x v="177"/>
    <x v="1"/>
    <x v="1"/>
    <x v="1"/>
    <x v="0"/>
  </r>
  <r>
    <x v="178"/>
    <x v="1"/>
    <x v="1"/>
    <x v="27"/>
    <x v="4"/>
  </r>
  <r>
    <x v="179"/>
    <x v="2"/>
    <x v="4"/>
    <x v="66"/>
    <x v="3"/>
  </r>
  <r>
    <x v="180"/>
    <x v="3"/>
    <x v="7"/>
    <x v="67"/>
    <x v="1"/>
  </r>
  <r>
    <x v="181"/>
    <x v="1"/>
    <x v="9"/>
    <x v="68"/>
    <x v="3"/>
  </r>
  <r>
    <x v="182"/>
    <x v="1"/>
    <x v="1"/>
    <x v="8"/>
    <x v="0"/>
  </r>
  <r>
    <x v="183"/>
    <x v="2"/>
    <x v="8"/>
    <x v="26"/>
    <x v="0"/>
  </r>
  <r>
    <x v="184"/>
    <x v="3"/>
    <x v="7"/>
    <x v="67"/>
    <x v="3"/>
  </r>
  <r>
    <x v="185"/>
    <x v="1"/>
    <x v="9"/>
    <x v="14"/>
    <x v="0"/>
  </r>
  <r>
    <x v="186"/>
    <x v="2"/>
    <x v="8"/>
    <x v="30"/>
    <x v="3"/>
  </r>
  <r>
    <x v="187"/>
    <x v="1"/>
    <x v="1"/>
    <x v="53"/>
    <x v="3"/>
  </r>
  <r>
    <x v="188"/>
    <x v="2"/>
    <x v="4"/>
    <x v="55"/>
    <x v="0"/>
  </r>
  <r>
    <x v="189"/>
    <x v="1"/>
    <x v="6"/>
    <x v="41"/>
    <x v="1"/>
  </r>
  <r>
    <x v="190"/>
    <x v="0"/>
    <x v="10"/>
    <x v="25"/>
    <x v="0"/>
  </r>
  <r>
    <x v="191"/>
    <x v="2"/>
    <x v="8"/>
    <x v="23"/>
    <x v="0"/>
  </r>
  <r>
    <x v="192"/>
    <x v="2"/>
    <x v="4"/>
    <x v="61"/>
    <x v="3"/>
  </r>
  <r>
    <x v="193"/>
    <x v="0"/>
    <x v="0"/>
    <x v="0"/>
    <x v="0"/>
  </r>
  <r>
    <x v="194"/>
    <x v="2"/>
    <x v="4"/>
    <x v="31"/>
    <x v="0"/>
  </r>
  <r>
    <x v="195"/>
    <x v="2"/>
    <x v="8"/>
    <x v="23"/>
    <x v="0"/>
  </r>
  <r>
    <x v="196"/>
    <x v="1"/>
    <x v="9"/>
    <x v="34"/>
    <x v="0"/>
  </r>
  <r>
    <x v="197"/>
    <x v="1"/>
    <x v="9"/>
    <x v="34"/>
    <x v="0"/>
  </r>
  <r>
    <x v="198"/>
    <x v="1"/>
    <x v="1"/>
    <x v="26"/>
    <x v="0"/>
  </r>
  <r>
    <x v="199"/>
    <x v="2"/>
    <x v="3"/>
    <x v="64"/>
    <x v="4"/>
  </r>
  <r>
    <x v="200"/>
    <x v="1"/>
    <x v="9"/>
    <x v="69"/>
    <x v="1"/>
  </r>
  <r>
    <x v="201"/>
    <x v="2"/>
    <x v="3"/>
    <x v="3"/>
    <x v="3"/>
  </r>
  <r>
    <x v="202"/>
    <x v="1"/>
    <x v="1"/>
    <x v="15"/>
    <x v="0"/>
  </r>
  <r>
    <x v="203"/>
    <x v="3"/>
    <x v="11"/>
    <x v="70"/>
    <x v="0"/>
  </r>
  <r>
    <x v="204"/>
    <x v="2"/>
    <x v="8"/>
    <x v="39"/>
    <x v="1"/>
  </r>
  <r>
    <x v="205"/>
    <x v="2"/>
    <x v="4"/>
    <x v="6"/>
    <x v="0"/>
  </r>
  <r>
    <x v="206"/>
    <x v="2"/>
    <x v="3"/>
    <x v="3"/>
    <x v="0"/>
  </r>
  <r>
    <x v="207"/>
    <x v="1"/>
    <x v="9"/>
    <x v="16"/>
    <x v="0"/>
  </r>
  <r>
    <x v="208"/>
    <x v="1"/>
    <x v="1"/>
    <x v="27"/>
    <x v="0"/>
  </r>
  <r>
    <x v="209"/>
    <x v="2"/>
    <x v="3"/>
    <x v="13"/>
    <x v="0"/>
  </r>
  <r>
    <x v="210"/>
    <x v="2"/>
    <x v="2"/>
    <x v="71"/>
    <x v="0"/>
  </r>
  <r>
    <x v="211"/>
    <x v="0"/>
    <x v="5"/>
    <x v="51"/>
    <x v="0"/>
  </r>
  <r>
    <x v="212"/>
    <x v="1"/>
    <x v="1"/>
    <x v="26"/>
    <x v="0"/>
  </r>
  <r>
    <x v="213"/>
    <x v="0"/>
    <x v="5"/>
    <x v="72"/>
    <x v="4"/>
  </r>
  <r>
    <x v="214"/>
    <x v="3"/>
    <x v="11"/>
    <x v="73"/>
    <x v="0"/>
  </r>
  <r>
    <x v="215"/>
    <x v="1"/>
    <x v="1"/>
    <x v="19"/>
    <x v="0"/>
  </r>
  <r>
    <x v="216"/>
    <x v="2"/>
    <x v="2"/>
    <x v="74"/>
    <x v="0"/>
  </r>
  <r>
    <x v="217"/>
    <x v="1"/>
    <x v="6"/>
    <x v="75"/>
    <x v="4"/>
  </r>
  <r>
    <x v="218"/>
    <x v="2"/>
    <x v="3"/>
    <x v="35"/>
    <x v="0"/>
  </r>
  <r>
    <x v="219"/>
    <x v="2"/>
    <x v="3"/>
    <x v="36"/>
    <x v="0"/>
  </r>
  <r>
    <x v="220"/>
    <x v="1"/>
    <x v="1"/>
    <x v="19"/>
    <x v="2"/>
  </r>
  <r>
    <x v="221"/>
    <x v="0"/>
    <x v="10"/>
    <x v="25"/>
    <x v="3"/>
  </r>
  <r>
    <x v="222"/>
    <x v="0"/>
    <x v="5"/>
    <x v="51"/>
    <x v="0"/>
  </r>
  <r>
    <x v="223"/>
    <x v="1"/>
    <x v="9"/>
    <x v="37"/>
    <x v="1"/>
  </r>
  <r>
    <x v="224"/>
    <x v="2"/>
    <x v="2"/>
    <x v="58"/>
    <x v="0"/>
  </r>
  <r>
    <x v="225"/>
    <x v="2"/>
    <x v="3"/>
    <x v="3"/>
    <x v="0"/>
  </r>
  <r>
    <x v="226"/>
    <x v="2"/>
    <x v="2"/>
    <x v="74"/>
    <x v="4"/>
  </r>
  <r>
    <x v="227"/>
    <x v="2"/>
    <x v="8"/>
    <x v="23"/>
    <x v="0"/>
  </r>
  <r>
    <x v="228"/>
    <x v="1"/>
    <x v="1"/>
    <x v="9"/>
    <x v="0"/>
  </r>
  <r>
    <x v="229"/>
    <x v="1"/>
    <x v="9"/>
    <x v="34"/>
    <x v="3"/>
  </r>
  <r>
    <x v="230"/>
    <x v="2"/>
    <x v="8"/>
    <x v="26"/>
    <x v="0"/>
  </r>
  <r>
    <x v="231"/>
    <x v="2"/>
    <x v="8"/>
    <x v="20"/>
    <x v="3"/>
  </r>
  <r>
    <x v="232"/>
    <x v="2"/>
    <x v="3"/>
    <x v="35"/>
    <x v="0"/>
  </r>
  <r>
    <x v="233"/>
    <x v="0"/>
    <x v="0"/>
    <x v="42"/>
    <x v="0"/>
  </r>
  <r>
    <x v="234"/>
    <x v="1"/>
    <x v="1"/>
    <x v="8"/>
    <x v="0"/>
  </r>
  <r>
    <x v="235"/>
    <x v="1"/>
    <x v="6"/>
    <x v="75"/>
    <x v="0"/>
  </r>
  <r>
    <x v="236"/>
    <x v="1"/>
    <x v="6"/>
    <x v="75"/>
    <x v="0"/>
  </r>
  <r>
    <x v="237"/>
    <x v="0"/>
    <x v="5"/>
    <x v="72"/>
    <x v="2"/>
  </r>
  <r>
    <x v="238"/>
    <x v="1"/>
    <x v="1"/>
    <x v="34"/>
    <x v="1"/>
  </r>
  <r>
    <x v="239"/>
    <x v="3"/>
    <x v="11"/>
    <x v="22"/>
    <x v="0"/>
  </r>
  <r>
    <x v="240"/>
    <x v="0"/>
    <x v="5"/>
    <x v="5"/>
    <x v="0"/>
  </r>
  <r>
    <x v="241"/>
    <x v="3"/>
    <x v="11"/>
    <x v="73"/>
    <x v="0"/>
  </r>
  <r>
    <x v="242"/>
    <x v="1"/>
    <x v="6"/>
    <x v="41"/>
    <x v="2"/>
  </r>
  <r>
    <x v="243"/>
    <x v="1"/>
    <x v="1"/>
    <x v="1"/>
    <x v="1"/>
  </r>
  <r>
    <x v="244"/>
    <x v="1"/>
    <x v="1"/>
    <x v="19"/>
    <x v="1"/>
  </r>
  <r>
    <x v="245"/>
    <x v="2"/>
    <x v="8"/>
    <x v="30"/>
    <x v="1"/>
  </r>
  <r>
    <x v="246"/>
    <x v="1"/>
    <x v="1"/>
    <x v="19"/>
    <x v="0"/>
  </r>
  <r>
    <x v="247"/>
    <x v="2"/>
    <x v="8"/>
    <x v="20"/>
    <x v="0"/>
  </r>
  <r>
    <x v="248"/>
    <x v="0"/>
    <x v="5"/>
    <x v="58"/>
    <x v="0"/>
  </r>
  <r>
    <x v="249"/>
    <x v="1"/>
    <x v="1"/>
    <x v="1"/>
    <x v="0"/>
  </r>
  <r>
    <x v="250"/>
    <x v="2"/>
    <x v="8"/>
    <x v="76"/>
    <x v="0"/>
  </r>
  <r>
    <x v="251"/>
    <x v="2"/>
    <x v="4"/>
    <x v="40"/>
    <x v="0"/>
  </r>
  <r>
    <x v="252"/>
    <x v="1"/>
    <x v="1"/>
    <x v="34"/>
    <x v="0"/>
  </r>
  <r>
    <x v="253"/>
    <x v="2"/>
    <x v="8"/>
    <x v="24"/>
    <x v="0"/>
  </r>
  <r>
    <x v="254"/>
    <x v="2"/>
    <x v="4"/>
    <x v="31"/>
    <x v="0"/>
  </r>
  <r>
    <x v="255"/>
    <x v="1"/>
    <x v="1"/>
    <x v="53"/>
    <x v="2"/>
  </r>
  <r>
    <x v="256"/>
    <x v="1"/>
    <x v="9"/>
    <x v="37"/>
    <x v="0"/>
  </r>
  <r>
    <x v="257"/>
    <x v="1"/>
    <x v="9"/>
    <x v="29"/>
    <x v="0"/>
  </r>
  <r>
    <x v="258"/>
    <x v="1"/>
    <x v="6"/>
    <x v="41"/>
    <x v="4"/>
  </r>
  <r>
    <x v="259"/>
    <x v="1"/>
    <x v="1"/>
    <x v="26"/>
    <x v="2"/>
  </r>
  <r>
    <x v="260"/>
    <x v="3"/>
    <x v="11"/>
    <x v="22"/>
    <x v="0"/>
  </r>
  <r>
    <x v="261"/>
    <x v="0"/>
    <x v="10"/>
    <x v="48"/>
    <x v="0"/>
  </r>
  <r>
    <x v="262"/>
    <x v="1"/>
    <x v="6"/>
    <x v="59"/>
    <x v="0"/>
  </r>
  <r>
    <x v="263"/>
    <x v="3"/>
    <x v="11"/>
    <x v="28"/>
    <x v="0"/>
  </r>
  <r>
    <x v="264"/>
    <x v="2"/>
    <x v="8"/>
    <x v="15"/>
    <x v="0"/>
  </r>
  <r>
    <x v="265"/>
    <x v="1"/>
    <x v="9"/>
    <x v="37"/>
    <x v="2"/>
  </r>
  <r>
    <x v="266"/>
    <x v="1"/>
    <x v="1"/>
    <x v="34"/>
    <x v="0"/>
  </r>
  <r>
    <x v="267"/>
    <x v="1"/>
    <x v="1"/>
    <x v="7"/>
    <x v="2"/>
  </r>
  <r>
    <x v="268"/>
    <x v="1"/>
    <x v="1"/>
    <x v="1"/>
    <x v="0"/>
  </r>
  <r>
    <x v="269"/>
    <x v="1"/>
    <x v="1"/>
    <x v="8"/>
    <x v="4"/>
  </r>
  <r>
    <x v="270"/>
    <x v="1"/>
    <x v="1"/>
    <x v="1"/>
    <x v="0"/>
  </r>
  <r>
    <x v="271"/>
    <x v="1"/>
    <x v="9"/>
    <x v="14"/>
    <x v="0"/>
  </r>
  <r>
    <x v="272"/>
    <x v="1"/>
    <x v="9"/>
    <x v="14"/>
    <x v="0"/>
  </r>
  <r>
    <x v="273"/>
    <x v="1"/>
    <x v="1"/>
    <x v="33"/>
    <x v="0"/>
  </r>
  <r>
    <x v="274"/>
    <x v="2"/>
    <x v="8"/>
    <x v="15"/>
    <x v="0"/>
  </r>
  <r>
    <x v="275"/>
    <x v="2"/>
    <x v="4"/>
    <x v="6"/>
    <x v="0"/>
  </r>
  <r>
    <x v="276"/>
    <x v="0"/>
    <x v="5"/>
    <x v="51"/>
    <x v="0"/>
  </r>
  <r>
    <x v="277"/>
    <x v="1"/>
    <x v="6"/>
    <x v="18"/>
    <x v="1"/>
  </r>
  <r>
    <x v="278"/>
    <x v="1"/>
    <x v="9"/>
    <x v="16"/>
    <x v="0"/>
  </r>
  <r>
    <x v="279"/>
    <x v="2"/>
    <x v="2"/>
    <x v="2"/>
    <x v="0"/>
  </r>
  <r>
    <x v="280"/>
    <x v="1"/>
    <x v="9"/>
    <x v="68"/>
    <x v="1"/>
  </r>
  <r>
    <x v="281"/>
    <x v="1"/>
    <x v="9"/>
    <x v="14"/>
    <x v="1"/>
  </r>
  <r>
    <x v="282"/>
    <x v="2"/>
    <x v="3"/>
    <x v="3"/>
    <x v="0"/>
  </r>
  <r>
    <x v="283"/>
    <x v="1"/>
    <x v="9"/>
    <x v="10"/>
    <x v="0"/>
  </r>
  <r>
    <x v="284"/>
    <x v="3"/>
    <x v="7"/>
    <x v="77"/>
    <x v="3"/>
  </r>
  <r>
    <x v="285"/>
    <x v="2"/>
    <x v="3"/>
    <x v="35"/>
    <x v="0"/>
  </r>
  <r>
    <x v="286"/>
    <x v="2"/>
    <x v="2"/>
    <x v="44"/>
    <x v="1"/>
  </r>
  <r>
    <x v="287"/>
    <x v="1"/>
    <x v="6"/>
    <x v="78"/>
    <x v="3"/>
  </r>
  <r>
    <x v="288"/>
    <x v="2"/>
    <x v="4"/>
    <x v="61"/>
    <x v="0"/>
  </r>
  <r>
    <x v="289"/>
    <x v="2"/>
    <x v="3"/>
    <x v="35"/>
    <x v="0"/>
  </r>
  <r>
    <x v="290"/>
    <x v="1"/>
    <x v="1"/>
    <x v="33"/>
    <x v="0"/>
  </r>
  <r>
    <x v="291"/>
    <x v="3"/>
    <x v="11"/>
    <x v="79"/>
    <x v="3"/>
  </r>
  <r>
    <x v="292"/>
    <x v="1"/>
    <x v="1"/>
    <x v="34"/>
    <x v="0"/>
  </r>
  <r>
    <x v="293"/>
    <x v="3"/>
    <x v="11"/>
    <x v="28"/>
    <x v="0"/>
  </r>
  <r>
    <x v="294"/>
    <x v="2"/>
    <x v="3"/>
    <x v="35"/>
    <x v="3"/>
  </r>
  <r>
    <x v="295"/>
    <x v="2"/>
    <x v="3"/>
    <x v="13"/>
    <x v="0"/>
  </r>
  <r>
    <x v="296"/>
    <x v="2"/>
    <x v="3"/>
    <x v="57"/>
    <x v="3"/>
  </r>
  <r>
    <x v="297"/>
    <x v="2"/>
    <x v="8"/>
    <x v="80"/>
    <x v="0"/>
  </r>
  <r>
    <x v="298"/>
    <x v="1"/>
    <x v="9"/>
    <x v="14"/>
    <x v="0"/>
  </r>
  <r>
    <x v="299"/>
    <x v="2"/>
    <x v="2"/>
    <x v="2"/>
    <x v="1"/>
  </r>
  <r>
    <x v="300"/>
    <x v="1"/>
    <x v="6"/>
    <x v="41"/>
    <x v="0"/>
  </r>
  <r>
    <x v="301"/>
    <x v="1"/>
    <x v="6"/>
    <x v="81"/>
    <x v="4"/>
  </r>
  <r>
    <x v="302"/>
    <x v="2"/>
    <x v="8"/>
    <x v="23"/>
    <x v="0"/>
  </r>
  <r>
    <x v="303"/>
    <x v="2"/>
    <x v="8"/>
    <x v="23"/>
    <x v="1"/>
  </r>
  <r>
    <x v="304"/>
    <x v="1"/>
    <x v="1"/>
    <x v="1"/>
    <x v="3"/>
  </r>
  <r>
    <x v="305"/>
    <x v="1"/>
    <x v="1"/>
    <x v="19"/>
    <x v="0"/>
  </r>
  <r>
    <x v="306"/>
    <x v="2"/>
    <x v="8"/>
    <x v="39"/>
    <x v="0"/>
  </r>
  <r>
    <x v="307"/>
    <x v="0"/>
    <x v="0"/>
    <x v="0"/>
    <x v="0"/>
  </r>
  <r>
    <x v="308"/>
    <x v="0"/>
    <x v="10"/>
    <x v="21"/>
    <x v="0"/>
  </r>
  <r>
    <x v="309"/>
    <x v="2"/>
    <x v="3"/>
    <x v="57"/>
    <x v="0"/>
  </r>
  <r>
    <x v="310"/>
    <x v="0"/>
    <x v="10"/>
    <x v="21"/>
    <x v="3"/>
  </r>
  <r>
    <x v="311"/>
    <x v="1"/>
    <x v="9"/>
    <x v="59"/>
    <x v="1"/>
  </r>
  <r>
    <x v="312"/>
    <x v="2"/>
    <x v="3"/>
    <x v="13"/>
    <x v="0"/>
  </r>
  <r>
    <x v="313"/>
    <x v="1"/>
    <x v="9"/>
    <x v="37"/>
    <x v="0"/>
  </r>
  <r>
    <x v="314"/>
    <x v="2"/>
    <x v="2"/>
    <x v="74"/>
    <x v="0"/>
  </r>
  <r>
    <x v="315"/>
    <x v="2"/>
    <x v="3"/>
    <x v="13"/>
    <x v="0"/>
  </r>
  <r>
    <x v="316"/>
    <x v="0"/>
    <x v="0"/>
    <x v="0"/>
    <x v="0"/>
  </r>
  <r>
    <x v="317"/>
    <x v="1"/>
    <x v="9"/>
    <x v="29"/>
    <x v="0"/>
  </r>
  <r>
    <x v="318"/>
    <x v="2"/>
    <x v="4"/>
    <x v="40"/>
    <x v="0"/>
  </r>
  <r>
    <x v="319"/>
    <x v="0"/>
    <x v="10"/>
    <x v="48"/>
    <x v="0"/>
  </r>
  <r>
    <x v="320"/>
    <x v="2"/>
    <x v="3"/>
    <x v="8"/>
    <x v="1"/>
  </r>
  <r>
    <x v="321"/>
    <x v="2"/>
    <x v="8"/>
    <x v="39"/>
    <x v="0"/>
  </r>
  <r>
    <x v="322"/>
    <x v="1"/>
    <x v="1"/>
    <x v="1"/>
    <x v="0"/>
  </r>
  <r>
    <x v="323"/>
    <x v="1"/>
    <x v="1"/>
    <x v="19"/>
    <x v="0"/>
  </r>
  <r>
    <x v="324"/>
    <x v="1"/>
    <x v="6"/>
    <x v="38"/>
    <x v="4"/>
  </r>
  <r>
    <x v="325"/>
    <x v="3"/>
    <x v="12"/>
    <x v="82"/>
    <x v="3"/>
  </r>
  <r>
    <x v="326"/>
    <x v="2"/>
    <x v="4"/>
    <x v="4"/>
    <x v="0"/>
  </r>
  <r>
    <x v="327"/>
    <x v="2"/>
    <x v="4"/>
    <x v="4"/>
    <x v="0"/>
  </r>
  <r>
    <x v="328"/>
    <x v="2"/>
    <x v="4"/>
    <x v="4"/>
    <x v="0"/>
  </r>
  <r>
    <x v="329"/>
    <x v="2"/>
    <x v="4"/>
    <x v="40"/>
    <x v="1"/>
  </r>
  <r>
    <x v="330"/>
    <x v="2"/>
    <x v="8"/>
    <x v="20"/>
    <x v="0"/>
  </r>
  <r>
    <x v="331"/>
    <x v="1"/>
    <x v="6"/>
    <x v="75"/>
    <x v="0"/>
  </r>
  <r>
    <x v="332"/>
    <x v="2"/>
    <x v="8"/>
    <x v="20"/>
    <x v="0"/>
  </r>
  <r>
    <x v="333"/>
    <x v="1"/>
    <x v="9"/>
    <x v="14"/>
    <x v="0"/>
  </r>
  <r>
    <x v="334"/>
    <x v="1"/>
    <x v="1"/>
    <x v="15"/>
    <x v="0"/>
  </r>
  <r>
    <x v="335"/>
    <x v="0"/>
    <x v="0"/>
    <x v="83"/>
    <x v="3"/>
  </r>
  <r>
    <x v="336"/>
    <x v="1"/>
    <x v="1"/>
    <x v="19"/>
    <x v="0"/>
  </r>
  <r>
    <x v="337"/>
    <x v="2"/>
    <x v="2"/>
    <x v="58"/>
    <x v="0"/>
  </r>
  <r>
    <x v="338"/>
    <x v="2"/>
    <x v="3"/>
    <x v="64"/>
    <x v="2"/>
  </r>
  <r>
    <x v="339"/>
    <x v="2"/>
    <x v="4"/>
    <x v="31"/>
    <x v="0"/>
  </r>
  <r>
    <x v="340"/>
    <x v="2"/>
    <x v="8"/>
    <x v="15"/>
    <x v="0"/>
  </r>
  <r>
    <x v="341"/>
    <x v="2"/>
    <x v="2"/>
    <x v="2"/>
    <x v="4"/>
  </r>
  <r>
    <x v="342"/>
    <x v="1"/>
    <x v="1"/>
    <x v="8"/>
    <x v="0"/>
  </r>
  <r>
    <x v="343"/>
    <x v="0"/>
    <x v="10"/>
    <x v="84"/>
    <x v="3"/>
  </r>
  <r>
    <x v="344"/>
    <x v="2"/>
    <x v="8"/>
    <x v="80"/>
    <x v="3"/>
  </r>
  <r>
    <x v="345"/>
    <x v="1"/>
    <x v="9"/>
    <x v="69"/>
    <x v="0"/>
  </r>
  <r>
    <x v="346"/>
    <x v="2"/>
    <x v="8"/>
    <x v="15"/>
    <x v="0"/>
  </r>
  <r>
    <x v="347"/>
    <x v="2"/>
    <x v="3"/>
    <x v="13"/>
    <x v="0"/>
  </r>
  <r>
    <x v="348"/>
    <x v="2"/>
    <x v="4"/>
    <x v="40"/>
    <x v="0"/>
  </r>
  <r>
    <x v="349"/>
    <x v="1"/>
    <x v="9"/>
    <x v="69"/>
    <x v="1"/>
  </r>
  <r>
    <x v="350"/>
    <x v="1"/>
    <x v="1"/>
    <x v="33"/>
    <x v="0"/>
  </r>
  <r>
    <x v="351"/>
    <x v="1"/>
    <x v="1"/>
    <x v="33"/>
    <x v="0"/>
  </r>
  <r>
    <x v="352"/>
    <x v="2"/>
    <x v="4"/>
    <x v="40"/>
    <x v="0"/>
  </r>
  <r>
    <x v="353"/>
    <x v="0"/>
    <x v="0"/>
    <x v="43"/>
    <x v="3"/>
  </r>
  <r>
    <x v="354"/>
    <x v="2"/>
    <x v="3"/>
    <x v="33"/>
    <x v="0"/>
  </r>
  <r>
    <x v="355"/>
    <x v="2"/>
    <x v="3"/>
    <x v="7"/>
    <x v="0"/>
  </r>
  <r>
    <x v="356"/>
    <x v="2"/>
    <x v="3"/>
    <x v="36"/>
    <x v="2"/>
  </r>
  <r>
    <x v="357"/>
    <x v="2"/>
    <x v="4"/>
    <x v="40"/>
    <x v="0"/>
  </r>
  <r>
    <x v="358"/>
    <x v="1"/>
    <x v="6"/>
    <x v="41"/>
    <x v="1"/>
  </r>
  <r>
    <x v="359"/>
    <x v="1"/>
    <x v="9"/>
    <x v="34"/>
    <x v="2"/>
  </r>
  <r>
    <x v="360"/>
    <x v="2"/>
    <x v="3"/>
    <x v="57"/>
    <x v="2"/>
  </r>
  <r>
    <x v="361"/>
    <x v="1"/>
    <x v="1"/>
    <x v="27"/>
    <x v="0"/>
  </r>
  <r>
    <x v="362"/>
    <x v="2"/>
    <x v="8"/>
    <x v="20"/>
    <x v="0"/>
  </r>
  <r>
    <x v="363"/>
    <x v="2"/>
    <x v="8"/>
    <x v="23"/>
    <x v="3"/>
  </r>
  <r>
    <x v="364"/>
    <x v="0"/>
    <x v="0"/>
    <x v="85"/>
    <x v="0"/>
  </r>
  <r>
    <x v="365"/>
    <x v="2"/>
    <x v="2"/>
    <x v="71"/>
    <x v="3"/>
  </r>
  <r>
    <x v="366"/>
    <x v="1"/>
    <x v="6"/>
    <x v="59"/>
    <x v="0"/>
  </r>
  <r>
    <x v="367"/>
    <x v="2"/>
    <x v="4"/>
    <x v="4"/>
    <x v="3"/>
  </r>
  <r>
    <x v="368"/>
    <x v="1"/>
    <x v="9"/>
    <x v="29"/>
    <x v="0"/>
  </r>
  <r>
    <x v="369"/>
    <x v="0"/>
    <x v="10"/>
    <x v="56"/>
    <x v="3"/>
  </r>
  <r>
    <x v="370"/>
    <x v="2"/>
    <x v="2"/>
    <x v="42"/>
    <x v="0"/>
  </r>
  <r>
    <x v="371"/>
    <x v="0"/>
    <x v="0"/>
    <x v="86"/>
    <x v="3"/>
  </r>
  <r>
    <x v="372"/>
    <x v="0"/>
    <x v="5"/>
    <x v="51"/>
    <x v="3"/>
  </r>
  <r>
    <x v="373"/>
    <x v="2"/>
    <x v="4"/>
    <x v="55"/>
    <x v="3"/>
  </r>
  <r>
    <x v="374"/>
    <x v="3"/>
    <x v="11"/>
    <x v="52"/>
    <x v="3"/>
  </r>
  <r>
    <x v="375"/>
    <x v="2"/>
    <x v="4"/>
    <x v="40"/>
    <x v="0"/>
  </r>
  <r>
    <x v="376"/>
    <x v="1"/>
    <x v="1"/>
    <x v="53"/>
    <x v="0"/>
  </r>
  <r>
    <x v="377"/>
    <x v="1"/>
    <x v="1"/>
    <x v="7"/>
    <x v="0"/>
  </r>
  <r>
    <x v="378"/>
    <x v="2"/>
    <x v="3"/>
    <x v="3"/>
    <x v="2"/>
  </r>
  <r>
    <x v="379"/>
    <x v="2"/>
    <x v="4"/>
    <x v="4"/>
    <x v="2"/>
  </r>
  <r>
    <x v="380"/>
    <x v="1"/>
    <x v="9"/>
    <x v="34"/>
    <x v="2"/>
  </r>
  <r>
    <x v="381"/>
    <x v="0"/>
    <x v="5"/>
    <x v="65"/>
    <x v="3"/>
  </r>
  <r>
    <x v="382"/>
    <x v="1"/>
    <x v="1"/>
    <x v="53"/>
    <x v="0"/>
  </r>
  <r>
    <x v="383"/>
    <x v="0"/>
    <x v="5"/>
    <x v="51"/>
    <x v="0"/>
  </r>
  <r>
    <x v="384"/>
    <x v="1"/>
    <x v="9"/>
    <x v="46"/>
    <x v="1"/>
  </r>
  <r>
    <x v="385"/>
    <x v="0"/>
    <x v="0"/>
    <x v="85"/>
    <x v="3"/>
  </r>
  <r>
    <x v="386"/>
    <x v="2"/>
    <x v="8"/>
    <x v="24"/>
    <x v="3"/>
  </r>
  <r>
    <x v="387"/>
    <x v="1"/>
    <x v="9"/>
    <x v="34"/>
    <x v="2"/>
  </r>
  <r>
    <x v="388"/>
    <x v="2"/>
    <x v="2"/>
    <x v="2"/>
    <x v="0"/>
  </r>
  <r>
    <x v="389"/>
    <x v="1"/>
    <x v="9"/>
    <x v="14"/>
    <x v="0"/>
  </r>
  <r>
    <x v="390"/>
    <x v="2"/>
    <x v="3"/>
    <x v="33"/>
    <x v="0"/>
  </r>
  <r>
    <x v="391"/>
    <x v="1"/>
    <x v="1"/>
    <x v="26"/>
    <x v="0"/>
  </r>
  <r>
    <x v="392"/>
    <x v="1"/>
    <x v="6"/>
    <x v="75"/>
    <x v="1"/>
  </r>
  <r>
    <x v="393"/>
    <x v="2"/>
    <x v="4"/>
    <x v="6"/>
    <x v="0"/>
  </r>
  <r>
    <x v="394"/>
    <x v="0"/>
    <x v="10"/>
    <x v="87"/>
    <x v="3"/>
  </r>
  <r>
    <x v="395"/>
    <x v="1"/>
    <x v="9"/>
    <x v="34"/>
    <x v="1"/>
  </r>
  <r>
    <x v="396"/>
    <x v="1"/>
    <x v="6"/>
    <x v="41"/>
    <x v="0"/>
  </r>
  <r>
    <x v="397"/>
    <x v="1"/>
    <x v="9"/>
    <x v="37"/>
    <x v="1"/>
  </r>
  <r>
    <x v="398"/>
    <x v="1"/>
    <x v="6"/>
    <x v="88"/>
    <x v="3"/>
  </r>
  <r>
    <x v="399"/>
    <x v="2"/>
    <x v="8"/>
    <x v="89"/>
    <x v="3"/>
  </r>
  <r>
    <x v="400"/>
    <x v="2"/>
    <x v="4"/>
    <x v="40"/>
    <x v="3"/>
  </r>
  <r>
    <x v="401"/>
    <x v="1"/>
    <x v="9"/>
    <x v="90"/>
    <x v="4"/>
  </r>
  <r>
    <x v="402"/>
    <x v="2"/>
    <x v="4"/>
    <x v="6"/>
    <x v="0"/>
  </r>
  <r>
    <x v="403"/>
    <x v="2"/>
    <x v="2"/>
    <x v="71"/>
    <x v="2"/>
  </r>
  <r>
    <x v="404"/>
    <x v="2"/>
    <x v="4"/>
    <x v="55"/>
    <x v="0"/>
  </r>
  <r>
    <x v="405"/>
    <x v="2"/>
    <x v="4"/>
    <x v="40"/>
    <x v="0"/>
  </r>
  <r>
    <x v="406"/>
    <x v="2"/>
    <x v="4"/>
    <x v="4"/>
    <x v="0"/>
  </r>
  <r>
    <x v="407"/>
    <x v="1"/>
    <x v="6"/>
    <x v="41"/>
    <x v="0"/>
  </r>
  <r>
    <x v="408"/>
    <x v="2"/>
    <x v="3"/>
    <x v="35"/>
    <x v="0"/>
  </r>
  <r>
    <x v="409"/>
    <x v="2"/>
    <x v="4"/>
    <x v="40"/>
    <x v="0"/>
  </r>
  <r>
    <x v="410"/>
    <x v="2"/>
    <x v="2"/>
    <x v="58"/>
    <x v="3"/>
  </r>
  <r>
    <x v="411"/>
    <x v="1"/>
    <x v="6"/>
    <x v="38"/>
    <x v="1"/>
  </r>
  <r>
    <x v="412"/>
    <x v="2"/>
    <x v="2"/>
    <x v="91"/>
    <x v="4"/>
  </r>
  <r>
    <x v="413"/>
    <x v="1"/>
    <x v="1"/>
    <x v="19"/>
    <x v="1"/>
  </r>
  <r>
    <x v="414"/>
    <x v="1"/>
    <x v="1"/>
    <x v="53"/>
    <x v="0"/>
  </r>
  <r>
    <x v="415"/>
    <x v="2"/>
    <x v="3"/>
    <x v="3"/>
    <x v="0"/>
  </r>
  <r>
    <x v="416"/>
    <x v="1"/>
    <x v="6"/>
    <x v="10"/>
    <x v="1"/>
  </r>
  <r>
    <x v="417"/>
    <x v="0"/>
    <x v="5"/>
    <x v="58"/>
    <x v="0"/>
  </r>
  <r>
    <x v="418"/>
    <x v="1"/>
    <x v="6"/>
    <x v="18"/>
    <x v="3"/>
  </r>
  <r>
    <x v="419"/>
    <x v="3"/>
    <x v="7"/>
    <x v="92"/>
    <x v="3"/>
  </r>
  <r>
    <x v="420"/>
    <x v="1"/>
    <x v="1"/>
    <x v="33"/>
    <x v="4"/>
  </r>
  <r>
    <x v="421"/>
    <x v="2"/>
    <x v="3"/>
    <x v="13"/>
    <x v="0"/>
  </r>
  <r>
    <x v="422"/>
    <x v="2"/>
    <x v="4"/>
    <x v="31"/>
    <x v="0"/>
  </r>
  <r>
    <x v="423"/>
    <x v="2"/>
    <x v="8"/>
    <x v="23"/>
    <x v="0"/>
  </r>
  <r>
    <x v="424"/>
    <x v="2"/>
    <x v="3"/>
    <x v="9"/>
    <x v="0"/>
  </r>
  <r>
    <x v="425"/>
    <x v="2"/>
    <x v="4"/>
    <x v="66"/>
    <x v="0"/>
  </r>
  <r>
    <x v="426"/>
    <x v="2"/>
    <x v="8"/>
    <x v="17"/>
    <x v="0"/>
  </r>
  <r>
    <x v="427"/>
    <x v="1"/>
    <x v="1"/>
    <x v="53"/>
    <x v="2"/>
  </r>
  <r>
    <x v="428"/>
    <x v="2"/>
    <x v="8"/>
    <x v="20"/>
    <x v="0"/>
  </r>
  <r>
    <x v="429"/>
    <x v="1"/>
    <x v="1"/>
    <x v="27"/>
    <x v="0"/>
  </r>
  <r>
    <x v="430"/>
    <x v="2"/>
    <x v="8"/>
    <x v="30"/>
    <x v="0"/>
  </r>
  <r>
    <x v="431"/>
    <x v="2"/>
    <x v="4"/>
    <x v="55"/>
    <x v="0"/>
  </r>
  <r>
    <x v="432"/>
    <x v="1"/>
    <x v="1"/>
    <x v="19"/>
    <x v="0"/>
  </r>
  <r>
    <x v="433"/>
    <x v="2"/>
    <x v="2"/>
    <x v="71"/>
    <x v="0"/>
  </r>
  <r>
    <x v="434"/>
    <x v="2"/>
    <x v="8"/>
    <x v="23"/>
    <x v="0"/>
  </r>
  <r>
    <x v="435"/>
    <x v="2"/>
    <x v="8"/>
    <x v="23"/>
    <x v="1"/>
  </r>
  <r>
    <x v="436"/>
    <x v="1"/>
    <x v="1"/>
    <x v="26"/>
    <x v="4"/>
  </r>
  <r>
    <x v="437"/>
    <x v="2"/>
    <x v="8"/>
    <x v="93"/>
    <x v="0"/>
  </r>
  <r>
    <x v="438"/>
    <x v="1"/>
    <x v="1"/>
    <x v="27"/>
    <x v="1"/>
  </r>
  <r>
    <x v="439"/>
    <x v="1"/>
    <x v="1"/>
    <x v="9"/>
    <x v="4"/>
  </r>
  <r>
    <x v="440"/>
    <x v="2"/>
    <x v="8"/>
    <x v="17"/>
    <x v="1"/>
  </r>
  <r>
    <x v="441"/>
    <x v="1"/>
    <x v="9"/>
    <x v="69"/>
    <x v="3"/>
  </r>
  <r>
    <x v="442"/>
    <x v="2"/>
    <x v="8"/>
    <x v="93"/>
    <x v="3"/>
  </r>
  <r>
    <x v="443"/>
    <x v="2"/>
    <x v="3"/>
    <x v="13"/>
    <x v="0"/>
  </r>
  <r>
    <x v="444"/>
    <x v="3"/>
    <x v="11"/>
    <x v="87"/>
    <x v="0"/>
  </r>
  <r>
    <x v="445"/>
    <x v="2"/>
    <x v="4"/>
    <x v="31"/>
    <x v="1"/>
  </r>
  <r>
    <x v="446"/>
    <x v="3"/>
    <x v="11"/>
    <x v="73"/>
    <x v="3"/>
  </r>
  <r>
    <x v="447"/>
    <x v="2"/>
    <x v="8"/>
    <x v="39"/>
    <x v="1"/>
  </r>
  <r>
    <x v="448"/>
    <x v="1"/>
    <x v="1"/>
    <x v="9"/>
    <x v="0"/>
  </r>
  <r>
    <x v="449"/>
    <x v="2"/>
    <x v="4"/>
    <x v="31"/>
    <x v="0"/>
  </r>
  <r>
    <x v="450"/>
    <x v="2"/>
    <x v="2"/>
    <x v="58"/>
    <x v="0"/>
  </r>
  <r>
    <x v="451"/>
    <x v="3"/>
    <x v="11"/>
    <x v="22"/>
    <x v="3"/>
  </r>
  <r>
    <x v="452"/>
    <x v="3"/>
    <x v="11"/>
    <x v="70"/>
    <x v="3"/>
  </r>
  <r>
    <x v="453"/>
    <x v="2"/>
    <x v="8"/>
    <x v="20"/>
    <x v="0"/>
  </r>
  <r>
    <x v="454"/>
    <x v="1"/>
    <x v="1"/>
    <x v="19"/>
    <x v="0"/>
  </r>
  <r>
    <x v="455"/>
    <x v="3"/>
    <x v="11"/>
    <x v="73"/>
    <x v="0"/>
  </r>
  <r>
    <x v="456"/>
    <x v="1"/>
    <x v="9"/>
    <x v="69"/>
    <x v="1"/>
  </r>
  <r>
    <x v="457"/>
    <x v="2"/>
    <x v="4"/>
    <x v="6"/>
    <x v="4"/>
  </r>
  <r>
    <x v="458"/>
    <x v="3"/>
    <x v="11"/>
    <x v="73"/>
    <x v="0"/>
  </r>
  <r>
    <x v="459"/>
    <x v="1"/>
    <x v="1"/>
    <x v="8"/>
    <x v="0"/>
  </r>
  <r>
    <x v="460"/>
    <x v="2"/>
    <x v="4"/>
    <x v="31"/>
    <x v="3"/>
  </r>
  <r>
    <x v="461"/>
    <x v="1"/>
    <x v="1"/>
    <x v="8"/>
    <x v="0"/>
  </r>
  <r>
    <x v="462"/>
    <x v="1"/>
    <x v="6"/>
    <x v="94"/>
    <x v="3"/>
  </r>
  <r>
    <x v="463"/>
    <x v="2"/>
    <x v="4"/>
    <x v="61"/>
    <x v="0"/>
  </r>
  <r>
    <x v="464"/>
    <x v="2"/>
    <x v="8"/>
    <x v="9"/>
    <x v="0"/>
  </r>
  <r>
    <x v="465"/>
    <x v="1"/>
    <x v="9"/>
    <x v="34"/>
    <x v="0"/>
  </r>
  <r>
    <x v="466"/>
    <x v="2"/>
    <x v="2"/>
    <x v="74"/>
    <x v="1"/>
  </r>
  <r>
    <x v="467"/>
    <x v="1"/>
    <x v="6"/>
    <x v="41"/>
    <x v="0"/>
  </r>
  <r>
    <x v="468"/>
    <x v="2"/>
    <x v="4"/>
    <x v="4"/>
    <x v="0"/>
  </r>
  <r>
    <x v="469"/>
    <x v="0"/>
    <x v="10"/>
    <x v="89"/>
    <x v="0"/>
  </r>
  <r>
    <x v="470"/>
    <x v="2"/>
    <x v="4"/>
    <x v="66"/>
    <x v="0"/>
  </r>
  <r>
    <x v="471"/>
    <x v="1"/>
    <x v="1"/>
    <x v="53"/>
    <x v="0"/>
  </r>
  <r>
    <x v="472"/>
    <x v="0"/>
    <x v="5"/>
    <x v="51"/>
    <x v="0"/>
  </r>
  <r>
    <x v="473"/>
    <x v="0"/>
    <x v="5"/>
    <x v="95"/>
    <x v="3"/>
  </r>
  <r>
    <x v="474"/>
    <x v="1"/>
    <x v="9"/>
    <x v="37"/>
    <x v="3"/>
  </r>
  <r>
    <x v="475"/>
    <x v="2"/>
    <x v="8"/>
    <x v="96"/>
    <x v="0"/>
  </r>
  <r>
    <x v="476"/>
    <x v="1"/>
    <x v="6"/>
    <x v="54"/>
    <x v="0"/>
  </r>
  <r>
    <x v="477"/>
    <x v="2"/>
    <x v="8"/>
    <x v="23"/>
    <x v="0"/>
  </r>
  <r>
    <x v="478"/>
    <x v="1"/>
    <x v="1"/>
    <x v="53"/>
    <x v="0"/>
  </r>
  <r>
    <x v="479"/>
    <x v="2"/>
    <x v="8"/>
    <x v="76"/>
    <x v="3"/>
  </r>
  <r>
    <x v="480"/>
    <x v="2"/>
    <x v="8"/>
    <x v="96"/>
    <x v="4"/>
  </r>
  <r>
    <x v="481"/>
    <x v="1"/>
    <x v="9"/>
    <x v="14"/>
    <x v="3"/>
  </r>
  <r>
    <x v="482"/>
    <x v="2"/>
    <x v="8"/>
    <x v="15"/>
    <x v="0"/>
  </r>
  <r>
    <x v="483"/>
    <x v="1"/>
    <x v="1"/>
    <x v="19"/>
    <x v="2"/>
  </r>
  <r>
    <x v="484"/>
    <x v="3"/>
    <x v="7"/>
    <x v="97"/>
    <x v="3"/>
  </r>
  <r>
    <x v="485"/>
    <x v="2"/>
    <x v="3"/>
    <x v="13"/>
    <x v="0"/>
  </r>
  <r>
    <x v="486"/>
    <x v="1"/>
    <x v="1"/>
    <x v="9"/>
    <x v="0"/>
  </r>
  <r>
    <x v="487"/>
    <x v="1"/>
    <x v="9"/>
    <x v="14"/>
    <x v="0"/>
  </r>
  <r>
    <x v="488"/>
    <x v="1"/>
    <x v="1"/>
    <x v="1"/>
    <x v="0"/>
  </r>
  <r>
    <x v="489"/>
    <x v="1"/>
    <x v="1"/>
    <x v="1"/>
    <x v="0"/>
  </r>
  <r>
    <x v="490"/>
    <x v="0"/>
    <x v="0"/>
    <x v="85"/>
    <x v="0"/>
  </r>
  <r>
    <x v="491"/>
    <x v="2"/>
    <x v="3"/>
    <x v="13"/>
    <x v="0"/>
  </r>
  <r>
    <x v="492"/>
    <x v="1"/>
    <x v="9"/>
    <x v="53"/>
    <x v="0"/>
  </r>
  <r>
    <x v="493"/>
    <x v="2"/>
    <x v="4"/>
    <x v="31"/>
    <x v="0"/>
  </r>
  <r>
    <x v="494"/>
    <x v="2"/>
    <x v="4"/>
    <x v="55"/>
    <x v="0"/>
  </r>
  <r>
    <x v="495"/>
    <x v="2"/>
    <x v="8"/>
    <x v="39"/>
    <x v="0"/>
  </r>
  <r>
    <x v="496"/>
    <x v="3"/>
    <x v="11"/>
    <x v="50"/>
    <x v="0"/>
  </r>
  <r>
    <x v="497"/>
    <x v="4"/>
    <x v="13"/>
    <x v="98"/>
    <x v="5"/>
  </r>
</pivotCacheRecords>
</file>

<file path=xl/pivotCache/pivotCacheRecords2.xml><?xml version="1.0" encoding="utf-8"?>
<pivotCacheRecords xmlns="http://schemas.openxmlformats.org/spreadsheetml/2006/main" xmlns:r="http://schemas.openxmlformats.org/officeDocument/2006/relationships" count="498">
  <r>
    <x v="0"/>
    <x v="0"/>
    <x v="0"/>
    <x v="0"/>
    <x v="0"/>
    <x v="0"/>
    <x v="0"/>
    <x v="0"/>
    <x v="0"/>
  </r>
  <r>
    <x v="1"/>
    <x v="1"/>
    <x v="1"/>
    <x v="1"/>
    <x v="0"/>
    <x v="0"/>
    <x v="0"/>
    <x v="0"/>
    <x v="0"/>
  </r>
  <r>
    <x v="2"/>
    <x v="2"/>
    <x v="2"/>
    <x v="2"/>
    <x v="1"/>
    <x v="1"/>
    <x v="1"/>
    <x v="0"/>
    <x v="0"/>
  </r>
  <r>
    <x v="3"/>
    <x v="2"/>
    <x v="3"/>
    <x v="3"/>
    <x v="2"/>
    <x v="2"/>
    <x v="2"/>
    <x v="0"/>
    <x v="0"/>
  </r>
  <r>
    <x v="4"/>
    <x v="2"/>
    <x v="4"/>
    <x v="4"/>
    <x v="0"/>
    <x v="0"/>
    <x v="0"/>
    <x v="0"/>
    <x v="0"/>
  </r>
  <r>
    <x v="5"/>
    <x v="0"/>
    <x v="5"/>
    <x v="5"/>
    <x v="3"/>
    <x v="3"/>
    <x v="0"/>
    <x v="1"/>
    <x v="0"/>
  </r>
  <r>
    <x v="6"/>
    <x v="2"/>
    <x v="4"/>
    <x v="6"/>
    <x v="0"/>
    <x v="0"/>
    <x v="0"/>
    <x v="0"/>
    <x v="0"/>
  </r>
  <r>
    <x v="7"/>
    <x v="1"/>
    <x v="1"/>
    <x v="7"/>
    <x v="0"/>
    <x v="0"/>
    <x v="0"/>
    <x v="0"/>
    <x v="0"/>
  </r>
  <r>
    <x v="8"/>
    <x v="2"/>
    <x v="3"/>
    <x v="8"/>
    <x v="0"/>
    <x v="0"/>
    <x v="0"/>
    <x v="0"/>
    <x v="0"/>
  </r>
  <r>
    <x v="9"/>
    <x v="1"/>
    <x v="1"/>
    <x v="9"/>
    <x v="0"/>
    <x v="0"/>
    <x v="0"/>
    <x v="0"/>
    <x v="0"/>
  </r>
  <r>
    <x v="10"/>
    <x v="1"/>
    <x v="6"/>
    <x v="10"/>
    <x v="1"/>
    <x v="1"/>
    <x v="1"/>
    <x v="0"/>
    <x v="0"/>
  </r>
  <r>
    <x v="11"/>
    <x v="3"/>
    <x v="7"/>
    <x v="11"/>
    <x v="3"/>
    <x v="3"/>
    <x v="0"/>
    <x v="1"/>
    <x v="0"/>
  </r>
  <r>
    <x v="12"/>
    <x v="2"/>
    <x v="8"/>
    <x v="12"/>
    <x v="0"/>
    <x v="0"/>
    <x v="0"/>
    <x v="0"/>
    <x v="0"/>
  </r>
  <r>
    <x v="13"/>
    <x v="2"/>
    <x v="3"/>
    <x v="13"/>
    <x v="0"/>
    <x v="0"/>
    <x v="0"/>
    <x v="0"/>
    <x v="0"/>
  </r>
  <r>
    <x v="14"/>
    <x v="1"/>
    <x v="9"/>
    <x v="14"/>
    <x v="0"/>
    <x v="0"/>
    <x v="0"/>
    <x v="0"/>
    <x v="0"/>
  </r>
  <r>
    <x v="15"/>
    <x v="1"/>
    <x v="1"/>
    <x v="15"/>
    <x v="0"/>
    <x v="0"/>
    <x v="0"/>
    <x v="0"/>
    <x v="0"/>
  </r>
  <r>
    <x v="16"/>
    <x v="1"/>
    <x v="9"/>
    <x v="16"/>
    <x v="2"/>
    <x v="2"/>
    <x v="3"/>
    <x v="0"/>
    <x v="0"/>
  </r>
  <r>
    <x v="17"/>
    <x v="2"/>
    <x v="8"/>
    <x v="17"/>
    <x v="2"/>
    <x v="2"/>
    <x v="2"/>
    <x v="0"/>
    <x v="0"/>
  </r>
  <r>
    <x v="18"/>
    <x v="1"/>
    <x v="6"/>
    <x v="18"/>
    <x v="2"/>
    <x v="2"/>
    <x v="2"/>
    <x v="0"/>
    <x v="0"/>
  </r>
  <r>
    <x v="19"/>
    <x v="1"/>
    <x v="1"/>
    <x v="19"/>
    <x v="2"/>
    <x v="2"/>
    <x v="2"/>
    <x v="0"/>
    <x v="0"/>
  </r>
  <r>
    <x v="20"/>
    <x v="2"/>
    <x v="8"/>
    <x v="20"/>
    <x v="2"/>
    <x v="4"/>
    <x v="2"/>
    <x v="0"/>
    <x v="0"/>
  </r>
  <r>
    <x v="21"/>
    <x v="0"/>
    <x v="10"/>
    <x v="21"/>
    <x v="0"/>
    <x v="0"/>
    <x v="0"/>
    <x v="0"/>
    <x v="0"/>
  </r>
  <r>
    <x v="22"/>
    <x v="3"/>
    <x v="11"/>
    <x v="22"/>
    <x v="2"/>
    <x v="4"/>
    <x v="2"/>
    <x v="0"/>
    <x v="0"/>
  </r>
  <r>
    <x v="23"/>
    <x v="2"/>
    <x v="8"/>
    <x v="23"/>
    <x v="1"/>
    <x v="1"/>
    <x v="4"/>
    <x v="0"/>
    <x v="0"/>
  </r>
  <r>
    <x v="24"/>
    <x v="2"/>
    <x v="8"/>
    <x v="24"/>
    <x v="1"/>
    <x v="1"/>
    <x v="1"/>
    <x v="0"/>
    <x v="0"/>
  </r>
  <r>
    <x v="25"/>
    <x v="0"/>
    <x v="10"/>
    <x v="25"/>
    <x v="2"/>
    <x v="2"/>
    <x v="2"/>
    <x v="0"/>
    <x v="0"/>
  </r>
  <r>
    <x v="26"/>
    <x v="1"/>
    <x v="1"/>
    <x v="26"/>
    <x v="1"/>
    <x v="1"/>
    <x v="4"/>
    <x v="0"/>
    <x v="0"/>
  </r>
  <r>
    <x v="27"/>
    <x v="2"/>
    <x v="3"/>
    <x v="3"/>
    <x v="0"/>
    <x v="0"/>
    <x v="0"/>
    <x v="0"/>
    <x v="0"/>
  </r>
  <r>
    <x v="28"/>
    <x v="1"/>
    <x v="1"/>
    <x v="27"/>
    <x v="2"/>
    <x v="2"/>
    <x v="2"/>
    <x v="0"/>
    <x v="0"/>
  </r>
  <r>
    <x v="29"/>
    <x v="0"/>
    <x v="0"/>
    <x v="0"/>
    <x v="3"/>
    <x v="3"/>
    <x v="0"/>
    <x v="1"/>
    <x v="0"/>
  </r>
  <r>
    <x v="30"/>
    <x v="3"/>
    <x v="11"/>
    <x v="28"/>
    <x v="2"/>
    <x v="4"/>
    <x v="2"/>
    <x v="2"/>
    <x v="0"/>
  </r>
  <r>
    <x v="31"/>
    <x v="1"/>
    <x v="6"/>
    <x v="29"/>
    <x v="0"/>
    <x v="0"/>
    <x v="0"/>
    <x v="0"/>
    <x v="0"/>
  </r>
  <r>
    <x v="32"/>
    <x v="1"/>
    <x v="1"/>
    <x v="19"/>
    <x v="2"/>
    <x v="2"/>
    <x v="2"/>
    <x v="0"/>
    <x v="0"/>
  </r>
  <r>
    <x v="33"/>
    <x v="2"/>
    <x v="8"/>
    <x v="30"/>
    <x v="0"/>
    <x v="0"/>
    <x v="0"/>
    <x v="0"/>
    <x v="0"/>
  </r>
  <r>
    <x v="34"/>
    <x v="2"/>
    <x v="4"/>
    <x v="31"/>
    <x v="0"/>
    <x v="0"/>
    <x v="0"/>
    <x v="0"/>
    <x v="0"/>
  </r>
  <r>
    <x v="35"/>
    <x v="0"/>
    <x v="5"/>
    <x v="32"/>
    <x v="4"/>
    <x v="5"/>
    <x v="0"/>
    <x v="1"/>
    <x v="0"/>
  </r>
  <r>
    <x v="36"/>
    <x v="2"/>
    <x v="8"/>
    <x v="30"/>
    <x v="0"/>
    <x v="0"/>
    <x v="0"/>
    <x v="0"/>
    <x v="0"/>
  </r>
  <r>
    <x v="37"/>
    <x v="1"/>
    <x v="1"/>
    <x v="19"/>
    <x v="0"/>
    <x v="0"/>
    <x v="0"/>
    <x v="0"/>
    <x v="0"/>
  </r>
  <r>
    <x v="38"/>
    <x v="1"/>
    <x v="1"/>
    <x v="33"/>
    <x v="0"/>
    <x v="0"/>
    <x v="0"/>
    <x v="0"/>
    <x v="0"/>
  </r>
  <r>
    <x v="39"/>
    <x v="1"/>
    <x v="9"/>
    <x v="34"/>
    <x v="1"/>
    <x v="1"/>
    <x v="1"/>
    <x v="0"/>
    <x v="0"/>
  </r>
  <r>
    <x v="40"/>
    <x v="1"/>
    <x v="1"/>
    <x v="26"/>
    <x v="2"/>
    <x v="2"/>
    <x v="2"/>
    <x v="0"/>
    <x v="0"/>
  </r>
  <r>
    <x v="41"/>
    <x v="1"/>
    <x v="1"/>
    <x v="19"/>
    <x v="0"/>
    <x v="0"/>
    <x v="0"/>
    <x v="0"/>
    <x v="0"/>
  </r>
  <r>
    <x v="42"/>
    <x v="1"/>
    <x v="9"/>
    <x v="29"/>
    <x v="3"/>
    <x v="3"/>
    <x v="0"/>
    <x v="1"/>
    <x v="1"/>
  </r>
  <r>
    <x v="43"/>
    <x v="2"/>
    <x v="3"/>
    <x v="35"/>
    <x v="0"/>
    <x v="0"/>
    <x v="0"/>
    <x v="0"/>
    <x v="0"/>
  </r>
  <r>
    <x v="44"/>
    <x v="2"/>
    <x v="4"/>
    <x v="6"/>
    <x v="0"/>
    <x v="0"/>
    <x v="0"/>
    <x v="0"/>
    <x v="0"/>
  </r>
  <r>
    <x v="45"/>
    <x v="2"/>
    <x v="3"/>
    <x v="36"/>
    <x v="0"/>
    <x v="0"/>
    <x v="0"/>
    <x v="0"/>
    <x v="0"/>
  </r>
  <r>
    <x v="46"/>
    <x v="2"/>
    <x v="3"/>
    <x v="36"/>
    <x v="0"/>
    <x v="0"/>
    <x v="0"/>
    <x v="0"/>
    <x v="0"/>
  </r>
  <r>
    <x v="47"/>
    <x v="1"/>
    <x v="9"/>
    <x v="29"/>
    <x v="0"/>
    <x v="0"/>
    <x v="0"/>
    <x v="0"/>
    <x v="0"/>
  </r>
  <r>
    <x v="48"/>
    <x v="1"/>
    <x v="9"/>
    <x v="37"/>
    <x v="2"/>
    <x v="2"/>
    <x v="2"/>
    <x v="0"/>
    <x v="0"/>
  </r>
  <r>
    <x v="49"/>
    <x v="1"/>
    <x v="6"/>
    <x v="38"/>
    <x v="1"/>
    <x v="1"/>
    <x v="1"/>
    <x v="0"/>
    <x v="0"/>
  </r>
  <r>
    <x v="50"/>
    <x v="2"/>
    <x v="4"/>
    <x v="31"/>
    <x v="0"/>
    <x v="0"/>
    <x v="0"/>
    <x v="0"/>
    <x v="0"/>
  </r>
  <r>
    <x v="51"/>
    <x v="2"/>
    <x v="8"/>
    <x v="39"/>
    <x v="0"/>
    <x v="0"/>
    <x v="0"/>
    <x v="0"/>
    <x v="0"/>
  </r>
  <r>
    <x v="52"/>
    <x v="2"/>
    <x v="8"/>
    <x v="20"/>
    <x v="0"/>
    <x v="0"/>
    <x v="0"/>
    <x v="0"/>
    <x v="0"/>
  </r>
  <r>
    <x v="53"/>
    <x v="2"/>
    <x v="4"/>
    <x v="40"/>
    <x v="0"/>
    <x v="0"/>
    <x v="0"/>
    <x v="0"/>
    <x v="0"/>
  </r>
  <r>
    <x v="54"/>
    <x v="2"/>
    <x v="3"/>
    <x v="3"/>
    <x v="0"/>
    <x v="0"/>
    <x v="0"/>
    <x v="0"/>
    <x v="0"/>
  </r>
  <r>
    <x v="55"/>
    <x v="2"/>
    <x v="4"/>
    <x v="31"/>
    <x v="0"/>
    <x v="0"/>
    <x v="0"/>
    <x v="0"/>
    <x v="0"/>
  </r>
  <r>
    <x v="56"/>
    <x v="1"/>
    <x v="6"/>
    <x v="41"/>
    <x v="0"/>
    <x v="0"/>
    <x v="0"/>
    <x v="0"/>
    <x v="0"/>
  </r>
  <r>
    <x v="57"/>
    <x v="2"/>
    <x v="8"/>
    <x v="24"/>
    <x v="1"/>
    <x v="1"/>
    <x v="1"/>
    <x v="0"/>
    <x v="0"/>
  </r>
  <r>
    <x v="58"/>
    <x v="2"/>
    <x v="2"/>
    <x v="42"/>
    <x v="3"/>
    <x v="3"/>
    <x v="0"/>
    <x v="1"/>
    <x v="0"/>
  </r>
  <r>
    <x v="59"/>
    <x v="0"/>
    <x v="0"/>
    <x v="43"/>
    <x v="2"/>
    <x v="2"/>
    <x v="2"/>
    <x v="0"/>
    <x v="0"/>
  </r>
  <r>
    <x v="60"/>
    <x v="2"/>
    <x v="2"/>
    <x v="44"/>
    <x v="3"/>
    <x v="3"/>
    <x v="0"/>
    <x v="3"/>
    <x v="0"/>
  </r>
  <r>
    <x v="61"/>
    <x v="3"/>
    <x v="7"/>
    <x v="45"/>
    <x v="3"/>
    <x v="3"/>
    <x v="0"/>
    <x v="1"/>
    <x v="0"/>
  </r>
  <r>
    <x v="62"/>
    <x v="1"/>
    <x v="9"/>
    <x v="34"/>
    <x v="1"/>
    <x v="1"/>
    <x v="1"/>
    <x v="0"/>
    <x v="0"/>
  </r>
  <r>
    <x v="63"/>
    <x v="2"/>
    <x v="4"/>
    <x v="40"/>
    <x v="0"/>
    <x v="0"/>
    <x v="0"/>
    <x v="0"/>
    <x v="0"/>
  </r>
  <r>
    <x v="64"/>
    <x v="2"/>
    <x v="3"/>
    <x v="13"/>
    <x v="0"/>
    <x v="0"/>
    <x v="0"/>
    <x v="0"/>
    <x v="0"/>
  </r>
  <r>
    <x v="65"/>
    <x v="2"/>
    <x v="8"/>
    <x v="17"/>
    <x v="4"/>
    <x v="5"/>
    <x v="0"/>
    <x v="1"/>
    <x v="0"/>
  </r>
  <r>
    <x v="66"/>
    <x v="1"/>
    <x v="1"/>
    <x v="1"/>
    <x v="0"/>
    <x v="0"/>
    <x v="0"/>
    <x v="0"/>
    <x v="0"/>
  </r>
  <r>
    <x v="67"/>
    <x v="1"/>
    <x v="9"/>
    <x v="46"/>
    <x v="2"/>
    <x v="2"/>
    <x v="2"/>
    <x v="0"/>
    <x v="0"/>
  </r>
  <r>
    <x v="68"/>
    <x v="1"/>
    <x v="9"/>
    <x v="37"/>
    <x v="0"/>
    <x v="0"/>
    <x v="0"/>
    <x v="0"/>
    <x v="0"/>
  </r>
  <r>
    <x v="69"/>
    <x v="2"/>
    <x v="4"/>
    <x v="4"/>
    <x v="0"/>
    <x v="0"/>
    <x v="0"/>
    <x v="0"/>
    <x v="0"/>
  </r>
  <r>
    <x v="70"/>
    <x v="1"/>
    <x v="1"/>
    <x v="19"/>
    <x v="1"/>
    <x v="1"/>
    <x v="4"/>
    <x v="0"/>
    <x v="0"/>
  </r>
  <r>
    <x v="71"/>
    <x v="1"/>
    <x v="6"/>
    <x v="47"/>
    <x v="4"/>
    <x v="6"/>
    <x v="0"/>
    <x v="1"/>
    <x v="0"/>
  </r>
  <r>
    <x v="72"/>
    <x v="2"/>
    <x v="4"/>
    <x v="31"/>
    <x v="0"/>
    <x v="0"/>
    <x v="0"/>
    <x v="0"/>
    <x v="0"/>
  </r>
  <r>
    <x v="73"/>
    <x v="1"/>
    <x v="1"/>
    <x v="9"/>
    <x v="2"/>
    <x v="2"/>
    <x v="2"/>
    <x v="0"/>
    <x v="0"/>
  </r>
  <r>
    <x v="74"/>
    <x v="2"/>
    <x v="8"/>
    <x v="23"/>
    <x v="1"/>
    <x v="1"/>
    <x v="4"/>
    <x v="0"/>
    <x v="0"/>
  </r>
  <r>
    <x v="75"/>
    <x v="2"/>
    <x v="4"/>
    <x v="4"/>
    <x v="0"/>
    <x v="0"/>
    <x v="0"/>
    <x v="0"/>
    <x v="0"/>
  </r>
  <r>
    <x v="76"/>
    <x v="0"/>
    <x v="0"/>
    <x v="0"/>
    <x v="1"/>
    <x v="1"/>
    <x v="1"/>
    <x v="0"/>
    <x v="0"/>
  </r>
  <r>
    <x v="77"/>
    <x v="1"/>
    <x v="9"/>
    <x v="46"/>
    <x v="4"/>
    <x v="5"/>
    <x v="0"/>
    <x v="1"/>
    <x v="0"/>
  </r>
  <r>
    <x v="78"/>
    <x v="0"/>
    <x v="10"/>
    <x v="48"/>
    <x v="3"/>
    <x v="3"/>
    <x v="0"/>
    <x v="1"/>
    <x v="0"/>
  </r>
  <r>
    <x v="79"/>
    <x v="3"/>
    <x v="7"/>
    <x v="49"/>
    <x v="3"/>
    <x v="3"/>
    <x v="0"/>
    <x v="3"/>
    <x v="1"/>
  </r>
  <r>
    <x v="80"/>
    <x v="2"/>
    <x v="8"/>
    <x v="20"/>
    <x v="0"/>
    <x v="0"/>
    <x v="0"/>
    <x v="0"/>
    <x v="0"/>
  </r>
  <r>
    <x v="81"/>
    <x v="1"/>
    <x v="9"/>
    <x v="34"/>
    <x v="0"/>
    <x v="0"/>
    <x v="0"/>
    <x v="0"/>
    <x v="0"/>
  </r>
  <r>
    <x v="82"/>
    <x v="3"/>
    <x v="11"/>
    <x v="50"/>
    <x v="3"/>
    <x v="3"/>
    <x v="0"/>
    <x v="1"/>
    <x v="0"/>
  </r>
  <r>
    <x v="83"/>
    <x v="0"/>
    <x v="5"/>
    <x v="51"/>
    <x v="0"/>
    <x v="0"/>
    <x v="0"/>
    <x v="0"/>
    <x v="0"/>
  </r>
  <r>
    <x v="84"/>
    <x v="0"/>
    <x v="10"/>
    <x v="21"/>
    <x v="1"/>
    <x v="1"/>
    <x v="3"/>
    <x v="0"/>
    <x v="0"/>
  </r>
  <r>
    <x v="85"/>
    <x v="1"/>
    <x v="6"/>
    <x v="38"/>
    <x v="0"/>
    <x v="0"/>
    <x v="0"/>
    <x v="0"/>
    <x v="0"/>
  </r>
  <r>
    <x v="86"/>
    <x v="2"/>
    <x v="8"/>
    <x v="15"/>
    <x v="0"/>
    <x v="0"/>
    <x v="0"/>
    <x v="0"/>
    <x v="0"/>
  </r>
  <r>
    <x v="87"/>
    <x v="3"/>
    <x v="11"/>
    <x v="28"/>
    <x v="0"/>
    <x v="0"/>
    <x v="0"/>
    <x v="0"/>
    <x v="0"/>
  </r>
  <r>
    <x v="88"/>
    <x v="3"/>
    <x v="11"/>
    <x v="52"/>
    <x v="1"/>
    <x v="1"/>
    <x v="0"/>
    <x v="0"/>
    <x v="0"/>
  </r>
  <r>
    <x v="89"/>
    <x v="1"/>
    <x v="1"/>
    <x v="7"/>
    <x v="3"/>
    <x v="3"/>
    <x v="0"/>
    <x v="1"/>
    <x v="0"/>
  </r>
  <r>
    <x v="90"/>
    <x v="1"/>
    <x v="9"/>
    <x v="29"/>
    <x v="1"/>
    <x v="1"/>
    <x v="1"/>
    <x v="0"/>
    <x v="0"/>
  </r>
  <r>
    <x v="91"/>
    <x v="1"/>
    <x v="1"/>
    <x v="27"/>
    <x v="0"/>
    <x v="0"/>
    <x v="0"/>
    <x v="0"/>
    <x v="0"/>
  </r>
  <r>
    <x v="92"/>
    <x v="1"/>
    <x v="1"/>
    <x v="53"/>
    <x v="2"/>
    <x v="2"/>
    <x v="2"/>
    <x v="0"/>
    <x v="0"/>
  </r>
  <r>
    <x v="93"/>
    <x v="1"/>
    <x v="9"/>
    <x v="34"/>
    <x v="0"/>
    <x v="0"/>
    <x v="0"/>
    <x v="0"/>
    <x v="0"/>
  </r>
  <r>
    <x v="94"/>
    <x v="2"/>
    <x v="3"/>
    <x v="3"/>
    <x v="0"/>
    <x v="0"/>
    <x v="0"/>
    <x v="0"/>
    <x v="0"/>
  </r>
  <r>
    <x v="95"/>
    <x v="1"/>
    <x v="9"/>
    <x v="54"/>
    <x v="3"/>
    <x v="3"/>
    <x v="0"/>
    <x v="4"/>
    <x v="0"/>
  </r>
  <r>
    <x v="96"/>
    <x v="1"/>
    <x v="1"/>
    <x v="27"/>
    <x v="0"/>
    <x v="0"/>
    <x v="0"/>
    <x v="0"/>
    <x v="0"/>
  </r>
  <r>
    <x v="97"/>
    <x v="0"/>
    <x v="10"/>
    <x v="21"/>
    <x v="0"/>
    <x v="0"/>
    <x v="0"/>
    <x v="0"/>
    <x v="0"/>
  </r>
  <r>
    <x v="98"/>
    <x v="2"/>
    <x v="2"/>
    <x v="44"/>
    <x v="0"/>
    <x v="0"/>
    <x v="0"/>
    <x v="0"/>
    <x v="0"/>
  </r>
  <r>
    <x v="99"/>
    <x v="2"/>
    <x v="3"/>
    <x v="35"/>
    <x v="0"/>
    <x v="0"/>
    <x v="0"/>
    <x v="0"/>
    <x v="0"/>
  </r>
  <r>
    <x v="100"/>
    <x v="2"/>
    <x v="8"/>
    <x v="17"/>
    <x v="0"/>
    <x v="0"/>
    <x v="0"/>
    <x v="0"/>
    <x v="0"/>
  </r>
  <r>
    <x v="101"/>
    <x v="2"/>
    <x v="4"/>
    <x v="55"/>
    <x v="2"/>
    <x v="2"/>
    <x v="2"/>
    <x v="0"/>
    <x v="0"/>
  </r>
  <r>
    <x v="102"/>
    <x v="1"/>
    <x v="1"/>
    <x v="7"/>
    <x v="0"/>
    <x v="0"/>
    <x v="3"/>
    <x v="0"/>
    <x v="0"/>
  </r>
  <r>
    <x v="103"/>
    <x v="2"/>
    <x v="8"/>
    <x v="24"/>
    <x v="1"/>
    <x v="1"/>
    <x v="1"/>
    <x v="0"/>
    <x v="0"/>
  </r>
  <r>
    <x v="104"/>
    <x v="1"/>
    <x v="1"/>
    <x v="27"/>
    <x v="0"/>
    <x v="0"/>
    <x v="0"/>
    <x v="0"/>
    <x v="0"/>
  </r>
  <r>
    <x v="105"/>
    <x v="2"/>
    <x v="3"/>
    <x v="3"/>
    <x v="2"/>
    <x v="2"/>
    <x v="2"/>
    <x v="0"/>
    <x v="0"/>
  </r>
  <r>
    <x v="106"/>
    <x v="0"/>
    <x v="10"/>
    <x v="56"/>
    <x v="0"/>
    <x v="0"/>
    <x v="0"/>
    <x v="0"/>
    <x v="0"/>
  </r>
  <r>
    <x v="107"/>
    <x v="2"/>
    <x v="8"/>
    <x v="17"/>
    <x v="0"/>
    <x v="0"/>
    <x v="0"/>
    <x v="0"/>
    <x v="0"/>
  </r>
  <r>
    <x v="108"/>
    <x v="3"/>
    <x v="11"/>
    <x v="28"/>
    <x v="3"/>
    <x v="3"/>
    <x v="0"/>
    <x v="1"/>
    <x v="0"/>
  </r>
  <r>
    <x v="109"/>
    <x v="1"/>
    <x v="1"/>
    <x v="34"/>
    <x v="0"/>
    <x v="0"/>
    <x v="0"/>
    <x v="0"/>
    <x v="0"/>
  </r>
  <r>
    <x v="110"/>
    <x v="2"/>
    <x v="8"/>
    <x v="39"/>
    <x v="1"/>
    <x v="1"/>
    <x v="4"/>
    <x v="0"/>
    <x v="0"/>
  </r>
  <r>
    <x v="111"/>
    <x v="1"/>
    <x v="1"/>
    <x v="9"/>
    <x v="0"/>
    <x v="0"/>
    <x v="0"/>
    <x v="0"/>
    <x v="0"/>
  </r>
  <r>
    <x v="112"/>
    <x v="2"/>
    <x v="3"/>
    <x v="57"/>
    <x v="0"/>
    <x v="0"/>
    <x v="0"/>
    <x v="0"/>
    <x v="0"/>
  </r>
  <r>
    <x v="113"/>
    <x v="1"/>
    <x v="1"/>
    <x v="33"/>
    <x v="2"/>
    <x v="2"/>
    <x v="2"/>
    <x v="0"/>
    <x v="0"/>
  </r>
  <r>
    <x v="114"/>
    <x v="2"/>
    <x v="8"/>
    <x v="15"/>
    <x v="0"/>
    <x v="0"/>
    <x v="0"/>
    <x v="0"/>
    <x v="0"/>
  </r>
  <r>
    <x v="115"/>
    <x v="1"/>
    <x v="1"/>
    <x v="7"/>
    <x v="0"/>
    <x v="0"/>
    <x v="0"/>
    <x v="0"/>
    <x v="0"/>
  </r>
  <r>
    <x v="116"/>
    <x v="2"/>
    <x v="3"/>
    <x v="3"/>
    <x v="0"/>
    <x v="0"/>
    <x v="0"/>
    <x v="0"/>
    <x v="0"/>
  </r>
  <r>
    <x v="117"/>
    <x v="2"/>
    <x v="4"/>
    <x v="31"/>
    <x v="0"/>
    <x v="0"/>
    <x v="0"/>
    <x v="0"/>
    <x v="0"/>
  </r>
  <r>
    <x v="118"/>
    <x v="1"/>
    <x v="9"/>
    <x v="29"/>
    <x v="0"/>
    <x v="0"/>
    <x v="0"/>
    <x v="0"/>
    <x v="0"/>
  </r>
  <r>
    <x v="119"/>
    <x v="1"/>
    <x v="9"/>
    <x v="14"/>
    <x v="0"/>
    <x v="0"/>
    <x v="0"/>
    <x v="0"/>
    <x v="0"/>
  </r>
  <r>
    <x v="120"/>
    <x v="1"/>
    <x v="1"/>
    <x v="1"/>
    <x v="0"/>
    <x v="0"/>
    <x v="0"/>
    <x v="0"/>
    <x v="0"/>
  </r>
  <r>
    <x v="121"/>
    <x v="2"/>
    <x v="4"/>
    <x v="31"/>
    <x v="2"/>
    <x v="2"/>
    <x v="2"/>
    <x v="0"/>
    <x v="0"/>
  </r>
  <r>
    <x v="122"/>
    <x v="2"/>
    <x v="8"/>
    <x v="17"/>
    <x v="0"/>
    <x v="0"/>
    <x v="0"/>
    <x v="0"/>
    <x v="0"/>
  </r>
  <r>
    <x v="123"/>
    <x v="2"/>
    <x v="3"/>
    <x v="13"/>
    <x v="0"/>
    <x v="0"/>
    <x v="0"/>
    <x v="0"/>
    <x v="0"/>
  </r>
  <r>
    <x v="124"/>
    <x v="2"/>
    <x v="3"/>
    <x v="36"/>
    <x v="3"/>
    <x v="3"/>
    <x v="0"/>
    <x v="1"/>
    <x v="0"/>
  </r>
  <r>
    <x v="125"/>
    <x v="1"/>
    <x v="1"/>
    <x v="19"/>
    <x v="0"/>
    <x v="0"/>
    <x v="0"/>
    <x v="0"/>
    <x v="0"/>
  </r>
  <r>
    <x v="126"/>
    <x v="2"/>
    <x v="8"/>
    <x v="20"/>
    <x v="0"/>
    <x v="0"/>
    <x v="0"/>
    <x v="0"/>
    <x v="0"/>
  </r>
  <r>
    <x v="127"/>
    <x v="1"/>
    <x v="1"/>
    <x v="34"/>
    <x v="0"/>
    <x v="0"/>
    <x v="0"/>
    <x v="0"/>
    <x v="0"/>
  </r>
  <r>
    <x v="128"/>
    <x v="2"/>
    <x v="4"/>
    <x v="31"/>
    <x v="0"/>
    <x v="0"/>
    <x v="0"/>
    <x v="0"/>
    <x v="0"/>
  </r>
  <r>
    <x v="129"/>
    <x v="2"/>
    <x v="4"/>
    <x v="40"/>
    <x v="0"/>
    <x v="0"/>
    <x v="0"/>
    <x v="0"/>
    <x v="0"/>
  </r>
  <r>
    <x v="130"/>
    <x v="2"/>
    <x v="2"/>
    <x v="58"/>
    <x v="0"/>
    <x v="0"/>
    <x v="0"/>
    <x v="0"/>
    <x v="0"/>
  </r>
  <r>
    <x v="131"/>
    <x v="1"/>
    <x v="6"/>
    <x v="59"/>
    <x v="4"/>
    <x v="6"/>
    <x v="0"/>
    <x v="1"/>
    <x v="0"/>
  </r>
  <r>
    <x v="132"/>
    <x v="2"/>
    <x v="3"/>
    <x v="35"/>
    <x v="0"/>
    <x v="0"/>
    <x v="0"/>
    <x v="0"/>
    <x v="0"/>
  </r>
  <r>
    <x v="133"/>
    <x v="1"/>
    <x v="1"/>
    <x v="53"/>
    <x v="0"/>
    <x v="0"/>
    <x v="0"/>
    <x v="0"/>
    <x v="0"/>
  </r>
  <r>
    <x v="134"/>
    <x v="2"/>
    <x v="8"/>
    <x v="17"/>
    <x v="0"/>
    <x v="0"/>
    <x v="0"/>
    <x v="0"/>
    <x v="0"/>
  </r>
  <r>
    <x v="135"/>
    <x v="0"/>
    <x v="0"/>
    <x v="60"/>
    <x v="3"/>
    <x v="3"/>
    <x v="0"/>
    <x v="1"/>
    <x v="0"/>
  </r>
  <r>
    <x v="136"/>
    <x v="3"/>
    <x v="11"/>
    <x v="22"/>
    <x v="0"/>
    <x v="0"/>
    <x v="0"/>
    <x v="0"/>
    <x v="0"/>
  </r>
  <r>
    <x v="137"/>
    <x v="2"/>
    <x v="2"/>
    <x v="2"/>
    <x v="0"/>
    <x v="0"/>
    <x v="0"/>
    <x v="0"/>
    <x v="0"/>
  </r>
  <r>
    <x v="138"/>
    <x v="2"/>
    <x v="4"/>
    <x v="61"/>
    <x v="0"/>
    <x v="0"/>
    <x v="0"/>
    <x v="0"/>
    <x v="0"/>
  </r>
  <r>
    <x v="139"/>
    <x v="2"/>
    <x v="8"/>
    <x v="15"/>
    <x v="0"/>
    <x v="0"/>
    <x v="0"/>
    <x v="0"/>
    <x v="0"/>
  </r>
  <r>
    <x v="140"/>
    <x v="2"/>
    <x v="8"/>
    <x v="30"/>
    <x v="1"/>
    <x v="1"/>
    <x v="1"/>
    <x v="0"/>
    <x v="0"/>
  </r>
  <r>
    <x v="141"/>
    <x v="2"/>
    <x v="8"/>
    <x v="15"/>
    <x v="4"/>
    <x v="5"/>
    <x v="0"/>
    <x v="1"/>
    <x v="0"/>
  </r>
  <r>
    <x v="142"/>
    <x v="2"/>
    <x v="8"/>
    <x v="12"/>
    <x v="4"/>
    <x v="7"/>
    <x v="0"/>
    <x v="1"/>
    <x v="0"/>
  </r>
  <r>
    <x v="143"/>
    <x v="1"/>
    <x v="1"/>
    <x v="33"/>
    <x v="0"/>
    <x v="0"/>
    <x v="0"/>
    <x v="0"/>
    <x v="0"/>
  </r>
  <r>
    <x v="144"/>
    <x v="1"/>
    <x v="1"/>
    <x v="8"/>
    <x v="0"/>
    <x v="0"/>
    <x v="0"/>
    <x v="0"/>
    <x v="0"/>
  </r>
  <r>
    <x v="145"/>
    <x v="2"/>
    <x v="4"/>
    <x v="55"/>
    <x v="0"/>
    <x v="0"/>
    <x v="0"/>
    <x v="0"/>
    <x v="0"/>
  </r>
  <r>
    <x v="146"/>
    <x v="1"/>
    <x v="1"/>
    <x v="27"/>
    <x v="0"/>
    <x v="0"/>
    <x v="0"/>
    <x v="0"/>
    <x v="0"/>
  </r>
  <r>
    <x v="147"/>
    <x v="1"/>
    <x v="1"/>
    <x v="19"/>
    <x v="3"/>
    <x v="3"/>
    <x v="0"/>
    <x v="1"/>
    <x v="1"/>
  </r>
  <r>
    <x v="148"/>
    <x v="1"/>
    <x v="1"/>
    <x v="1"/>
    <x v="0"/>
    <x v="0"/>
    <x v="0"/>
    <x v="0"/>
    <x v="0"/>
  </r>
  <r>
    <x v="149"/>
    <x v="1"/>
    <x v="1"/>
    <x v="8"/>
    <x v="2"/>
    <x v="2"/>
    <x v="2"/>
    <x v="0"/>
    <x v="0"/>
  </r>
  <r>
    <x v="150"/>
    <x v="2"/>
    <x v="3"/>
    <x v="13"/>
    <x v="0"/>
    <x v="0"/>
    <x v="0"/>
    <x v="0"/>
    <x v="0"/>
  </r>
  <r>
    <x v="151"/>
    <x v="1"/>
    <x v="9"/>
    <x v="37"/>
    <x v="0"/>
    <x v="0"/>
    <x v="0"/>
    <x v="0"/>
    <x v="0"/>
  </r>
  <r>
    <x v="152"/>
    <x v="2"/>
    <x v="4"/>
    <x v="31"/>
    <x v="0"/>
    <x v="0"/>
    <x v="0"/>
    <x v="0"/>
    <x v="0"/>
  </r>
  <r>
    <x v="153"/>
    <x v="1"/>
    <x v="1"/>
    <x v="9"/>
    <x v="0"/>
    <x v="0"/>
    <x v="0"/>
    <x v="0"/>
    <x v="0"/>
  </r>
  <r>
    <x v="154"/>
    <x v="1"/>
    <x v="1"/>
    <x v="27"/>
    <x v="0"/>
    <x v="0"/>
    <x v="0"/>
    <x v="0"/>
    <x v="0"/>
  </r>
  <r>
    <x v="155"/>
    <x v="1"/>
    <x v="6"/>
    <x v="62"/>
    <x v="4"/>
    <x v="6"/>
    <x v="0"/>
    <x v="1"/>
    <x v="0"/>
  </r>
  <r>
    <x v="156"/>
    <x v="3"/>
    <x v="7"/>
    <x v="63"/>
    <x v="3"/>
    <x v="3"/>
    <x v="0"/>
    <x v="1"/>
    <x v="0"/>
  </r>
  <r>
    <x v="157"/>
    <x v="2"/>
    <x v="8"/>
    <x v="39"/>
    <x v="3"/>
    <x v="3"/>
    <x v="0"/>
    <x v="1"/>
    <x v="0"/>
  </r>
  <r>
    <x v="158"/>
    <x v="2"/>
    <x v="8"/>
    <x v="36"/>
    <x v="0"/>
    <x v="0"/>
    <x v="0"/>
    <x v="0"/>
    <x v="0"/>
  </r>
  <r>
    <x v="159"/>
    <x v="2"/>
    <x v="4"/>
    <x v="55"/>
    <x v="0"/>
    <x v="0"/>
    <x v="0"/>
    <x v="0"/>
    <x v="0"/>
  </r>
  <r>
    <x v="160"/>
    <x v="1"/>
    <x v="9"/>
    <x v="14"/>
    <x v="0"/>
    <x v="0"/>
    <x v="0"/>
    <x v="0"/>
    <x v="0"/>
  </r>
  <r>
    <x v="161"/>
    <x v="1"/>
    <x v="9"/>
    <x v="10"/>
    <x v="3"/>
    <x v="8"/>
    <x v="0"/>
    <x v="1"/>
    <x v="0"/>
  </r>
  <r>
    <x v="162"/>
    <x v="2"/>
    <x v="2"/>
    <x v="2"/>
    <x v="1"/>
    <x v="1"/>
    <x v="1"/>
    <x v="0"/>
    <x v="0"/>
  </r>
  <r>
    <x v="163"/>
    <x v="1"/>
    <x v="1"/>
    <x v="8"/>
    <x v="2"/>
    <x v="2"/>
    <x v="2"/>
    <x v="0"/>
    <x v="0"/>
  </r>
  <r>
    <x v="164"/>
    <x v="2"/>
    <x v="8"/>
    <x v="39"/>
    <x v="0"/>
    <x v="0"/>
    <x v="0"/>
    <x v="0"/>
    <x v="0"/>
  </r>
  <r>
    <x v="165"/>
    <x v="1"/>
    <x v="6"/>
    <x v="10"/>
    <x v="2"/>
    <x v="2"/>
    <x v="2"/>
    <x v="0"/>
    <x v="0"/>
  </r>
  <r>
    <x v="166"/>
    <x v="1"/>
    <x v="9"/>
    <x v="16"/>
    <x v="3"/>
    <x v="3"/>
    <x v="0"/>
    <x v="1"/>
    <x v="0"/>
  </r>
  <r>
    <x v="167"/>
    <x v="1"/>
    <x v="1"/>
    <x v="27"/>
    <x v="0"/>
    <x v="0"/>
    <x v="0"/>
    <x v="0"/>
    <x v="0"/>
  </r>
  <r>
    <x v="168"/>
    <x v="1"/>
    <x v="1"/>
    <x v="26"/>
    <x v="0"/>
    <x v="0"/>
    <x v="0"/>
    <x v="0"/>
    <x v="0"/>
  </r>
  <r>
    <x v="169"/>
    <x v="2"/>
    <x v="2"/>
    <x v="2"/>
    <x v="0"/>
    <x v="0"/>
    <x v="0"/>
    <x v="0"/>
    <x v="0"/>
  </r>
  <r>
    <x v="170"/>
    <x v="2"/>
    <x v="8"/>
    <x v="20"/>
    <x v="0"/>
    <x v="0"/>
    <x v="0"/>
    <x v="0"/>
    <x v="0"/>
  </r>
  <r>
    <x v="171"/>
    <x v="2"/>
    <x v="3"/>
    <x v="64"/>
    <x v="0"/>
    <x v="0"/>
    <x v="0"/>
    <x v="0"/>
    <x v="0"/>
  </r>
  <r>
    <x v="172"/>
    <x v="2"/>
    <x v="3"/>
    <x v="13"/>
    <x v="3"/>
    <x v="3"/>
    <x v="0"/>
    <x v="0"/>
    <x v="0"/>
  </r>
  <r>
    <x v="173"/>
    <x v="1"/>
    <x v="9"/>
    <x v="29"/>
    <x v="1"/>
    <x v="1"/>
    <x v="1"/>
    <x v="0"/>
    <x v="0"/>
  </r>
  <r>
    <x v="174"/>
    <x v="2"/>
    <x v="4"/>
    <x v="65"/>
    <x v="0"/>
    <x v="0"/>
    <x v="0"/>
    <x v="0"/>
    <x v="0"/>
  </r>
  <r>
    <x v="175"/>
    <x v="1"/>
    <x v="1"/>
    <x v="19"/>
    <x v="2"/>
    <x v="2"/>
    <x v="2"/>
    <x v="0"/>
    <x v="0"/>
  </r>
  <r>
    <x v="176"/>
    <x v="2"/>
    <x v="8"/>
    <x v="24"/>
    <x v="1"/>
    <x v="1"/>
    <x v="1"/>
    <x v="0"/>
    <x v="0"/>
  </r>
  <r>
    <x v="177"/>
    <x v="1"/>
    <x v="1"/>
    <x v="1"/>
    <x v="0"/>
    <x v="0"/>
    <x v="0"/>
    <x v="0"/>
    <x v="0"/>
  </r>
  <r>
    <x v="178"/>
    <x v="1"/>
    <x v="1"/>
    <x v="27"/>
    <x v="4"/>
    <x v="5"/>
    <x v="0"/>
    <x v="1"/>
    <x v="0"/>
  </r>
  <r>
    <x v="179"/>
    <x v="2"/>
    <x v="4"/>
    <x v="66"/>
    <x v="3"/>
    <x v="3"/>
    <x v="0"/>
    <x v="1"/>
    <x v="0"/>
  </r>
  <r>
    <x v="180"/>
    <x v="3"/>
    <x v="7"/>
    <x v="67"/>
    <x v="1"/>
    <x v="1"/>
    <x v="3"/>
    <x v="0"/>
    <x v="0"/>
  </r>
  <r>
    <x v="181"/>
    <x v="1"/>
    <x v="9"/>
    <x v="68"/>
    <x v="3"/>
    <x v="3"/>
    <x v="0"/>
    <x v="1"/>
    <x v="0"/>
  </r>
  <r>
    <x v="182"/>
    <x v="1"/>
    <x v="1"/>
    <x v="8"/>
    <x v="0"/>
    <x v="0"/>
    <x v="0"/>
    <x v="0"/>
    <x v="0"/>
  </r>
  <r>
    <x v="183"/>
    <x v="2"/>
    <x v="8"/>
    <x v="26"/>
    <x v="0"/>
    <x v="0"/>
    <x v="0"/>
    <x v="0"/>
    <x v="0"/>
  </r>
  <r>
    <x v="184"/>
    <x v="3"/>
    <x v="7"/>
    <x v="67"/>
    <x v="3"/>
    <x v="3"/>
    <x v="0"/>
    <x v="1"/>
    <x v="0"/>
  </r>
  <r>
    <x v="185"/>
    <x v="1"/>
    <x v="9"/>
    <x v="14"/>
    <x v="0"/>
    <x v="0"/>
    <x v="0"/>
    <x v="0"/>
    <x v="0"/>
  </r>
  <r>
    <x v="186"/>
    <x v="2"/>
    <x v="8"/>
    <x v="30"/>
    <x v="3"/>
    <x v="3"/>
    <x v="0"/>
    <x v="1"/>
    <x v="0"/>
  </r>
  <r>
    <x v="187"/>
    <x v="1"/>
    <x v="1"/>
    <x v="53"/>
    <x v="3"/>
    <x v="3"/>
    <x v="0"/>
    <x v="1"/>
    <x v="0"/>
  </r>
  <r>
    <x v="188"/>
    <x v="2"/>
    <x v="4"/>
    <x v="55"/>
    <x v="0"/>
    <x v="0"/>
    <x v="0"/>
    <x v="0"/>
    <x v="0"/>
  </r>
  <r>
    <x v="189"/>
    <x v="1"/>
    <x v="6"/>
    <x v="41"/>
    <x v="1"/>
    <x v="1"/>
    <x v="1"/>
    <x v="0"/>
    <x v="0"/>
  </r>
  <r>
    <x v="190"/>
    <x v="0"/>
    <x v="10"/>
    <x v="25"/>
    <x v="0"/>
    <x v="0"/>
    <x v="0"/>
    <x v="0"/>
    <x v="0"/>
  </r>
  <r>
    <x v="191"/>
    <x v="2"/>
    <x v="8"/>
    <x v="23"/>
    <x v="0"/>
    <x v="0"/>
    <x v="0"/>
    <x v="0"/>
    <x v="0"/>
  </r>
  <r>
    <x v="192"/>
    <x v="2"/>
    <x v="4"/>
    <x v="61"/>
    <x v="3"/>
    <x v="3"/>
    <x v="0"/>
    <x v="1"/>
    <x v="0"/>
  </r>
  <r>
    <x v="193"/>
    <x v="0"/>
    <x v="0"/>
    <x v="0"/>
    <x v="0"/>
    <x v="0"/>
    <x v="0"/>
    <x v="0"/>
    <x v="0"/>
  </r>
  <r>
    <x v="194"/>
    <x v="2"/>
    <x v="4"/>
    <x v="31"/>
    <x v="0"/>
    <x v="0"/>
    <x v="0"/>
    <x v="0"/>
    <x v="0"/>
  </r>
  <r>
    <x v="195"/>
    <x v="2"/>
    <x v="8"/>
    <x v="23"/>
    <x v="0"/>
    <x v="0"/>
    <x v="0"/>
    <x v="0"/>
    <x v="0"/>
  </r>
  <r>
    <x v="196"/>
    <x v="1"/>
    <x v="9"/>
    <x v="34"/>
    <x v="0"/>
    <x v="0"/>
    <x v="0"/>
    <x v="0"/>
    <x v="0"/>
  </r>
  <r>
    <x v="197"/>
    <x v="1"/>
    <x v="9"/>
    <x v="34"/>
    <x v="0"/>
    <x v="0"/>
    <x v="0"/>
    <x v="0"/>
    <x v="0"/>
  </r>
  <r>
    <x v="198"/>
    <x v="1"/>
    <x v="1"/>
    <x v="26"/>
    <x v="0"/>
    <x v="0"/>
    <x v="0"/>
    <x v="0"/>
    <x v="0"/>
  </r>
  <r>
    <x v="199"/>
    <x v="2"/>
    <x v="3"/>
    <x v="64"/>
    <x v="4"/>
    <x v="5"/>
    <x v="0"/>
    <x v="1"/>
    <x v="0"/>
  </r>
  <r>
    <x v="200"/>
    <x v="1"/>
    <x v="9"/>
    <x v="69"/>
    <x v="1"/>
    <x v="1"/>
    <x v="1"/>
    <x v="0"/>
    <x v="0"/>
  </r>
  <r>
    <x v="201"/>
    <x v="2"/>
    <x v="3"/>
    <x v="3"/>
    <x v="3"/>
    <x v="3"/>
    <x v="0"/>
    <x v="1"/>
    <x v="0"/>
  </r>
  <r>
    <x v="202"/>
    <x v="1"/>
    <x v="1"/>
    <x v="15"/>
    <x v="0"/>
    <x v="0"/>
    <x v="0"/>
    <x v="0"/>
    <x v="0"/>
  </r>
  <r>
    <x v="203"/>
    <x v="3"/>
    <x v="11"/>
    <x v="70"/>
    <x v="0"/>
    <x v="0"/>
    <x v="0"/>
    <x v="0"/>
    <x v="0"/>
  </r>
  <r>
    <x v="204"/>
    <x v="2"/>
    <x v="8"/>
    <x v="39"/>
    <x v="1"/>
    <x v="1"/>
    <x v="4"/>
    <x v="0"/>
    <x v="0"/>
  </r>
  <r>
    <x v="205"/>
    <x v="2"/>
    <x v="4"/>
    <x v="6"/>
    <x v="0"/>
    <x v="0"/>
    <x v="0"/>
    <x v="0"/>
    <x v="0"/>
  </r>
  <r>
    <x v="206"/>
    <x v="2"/>
    <x v="3"/>
    <x v="3"/>
    <x v="0"/>
    <x v="0"/>
    <x v="0"/>
    <x v="0"/>
    <x v="0"/>
  </r>
  <r>
    <x v="207"/>
    <x v="1"/>
    <x v="9"/>
    <x v="16"/>
    <x v="0"/>
    <x v="0"/>
    <x v="0"/>
    <x v="0"/>
    <x v="0"/>
  </r>
  <r>
    <x v="208"/>
    <x v="1"/>
    <x v="1"/>
    <x v="27"/>
    <x v="0"/>
    <x v="0"/>
    <x v="0"/>
    <x v="0"/>
    <x v="0"/>
  </r>
  <r>
    <x v="209"/>
    <x v="2"/>
    <x v="3"/>
    <x v="13"/>
    <x v="0"/>
    <x v="0"/>
    <x v="0"/>
    <x v="0"/>
    <x v="0"/>
  </r>
  <r>
    <x v="210"/>
    <x v="2"/>
    <x v="2"/>
    <x v="71"/>
    <x v="0"/>
    <x v="0"/>
    <x v="0"/>
    <x v="0"/>
    <x v="0"/>
  </r>
  <r>
    <x v="211"/>
    <x v="0"/>
    <x v="5"/>
    <x v="51"/>
    <x v="0"/>
    <x v="0"/>
    <x v="0"/>
    <x v="0"/>
    <x v="0"/>
  </r>
  <r>
    <x v="212"/>
    <x v="1"/>
    <x v="1"/>
    <x v="26"/>
    <x v="0"/>
    <x v="0"/>
    <x v="0"/>
    <x v="0"/>
    <x v="0"/>
  </r>
  <r>
    <x v="213"/>
    <x v="0"/>
    <x v="5"/>
    <x v="72"/>
    <x v="4"/>
    <x v="5"/>
    <x v="1"/>
    <x v="1"/>
    <x v="0"/>
  </r>
  <r>
    <x v="214"/>
    <x v="3"/>
    <x v="11"/>
    <x v="73"/>
    <x v="0"/>
    <x v="0"/>
    <x v="0"/>
    <x v="0"/>
    <x v="0"/>
  </r>
  <r>
    <x v="215"/>
    <x v="1"/>
    <x v="1"/>
    <x v="19"/>
    <x v="0"/>
    <x v="0"/>
    <x v="0"/>
    <x v="0"/>
    <x v="0"/>
  </r>
  <r>
    <x v="216"/>
    <x v="2"/>
    <x v="2"/>
    <x v="74"/>
    <x v="0"/>
    <x v="0"/>
    <x v="0"/>
    <x v="0"/>
    <x v="0"/>
  </r>
  <r>
    <x v="217"/>
    <x v="1"/>
    <x v="6"/>
    <x v="75"/>
    <x v="4"/>
    <x v="7"/>
    <x v="0"/>
    <x v="1"/>
    <x v="0"/>
  </r>
  <r>
    <x v="218"/>
    <x v="2"/>
    <x v="3"/>
    <x v="35"/>
    <x v="0"/>
    <x v="0"/>
    <x v="0"/>
    <x v="0"/>
    <x v="0"/>
  </r>
  <r>
    <x v="219"/>
    <x v="2"/>
    <x v="3"/>
    <x v="36"/>
    <x v="0"/>
    <x v="0"/>
    <x v="0"/>
    <x v="0"/>
    <x v="0"/>
  </r>
  <r>
    <x v="220"/>
    <x v="1"/>
    <x v="1"/>
    <x v="19"/>
    <x v="2"/>
    <x v="2"/>
    <x v="2"/>
    <x v="0"/>
    <x v="0"/>
  </r>
  <r>
    <x v="221"/>
    <x v="0"/>
    <x v="10"/>
    <x v="25"/>
    <x v="3"/>
    <x v="3"/>
    <x v="0"/>
    <x v="1"/>
    <x v="0"/>
  </r>
  <r>
    <x v="222"/>
    <x v="0"/>
    <x v="5"/>
    <x v="51"/>
    <x v="0"/>
    <x v="0"/>
    <x v="0"/>
    <x v="0"/>
    <x v="0"/>
  </r>
  <r>
    <x v="223"/>
    <x v="1"/>
    <x v="9"/>
    <x v="37"/>
    <x v="1"/>
    <x v="1"/>
    <x v="1"/>
    <x v="0"/>
    <x v="0"/>
  </r>
  <r>
    <x v="224"/>
    <x v="2"/>
    <x v="2"/>
    <x v="58"/>
    <x v="0"/>
    <x v="0"/>
    <x v="0"/>
    <x v="0"/>
    <x v="0"/>
  </r>
  <r>
    <x v="225"/>
    <x v="2"/>
    <x v="3"/>
    <x v="3"/>
    <x v="0"/>
    <x v="0"/>
    <x v="0"/>
    <x v="0"/>
    <x v="0"/>
  </r>
  <r>
    <x v="226"/>
    <x v="2"/>
    <x v="2"/>
    <x v="74"/>
    <x v="4"/>
    <x v="5"/>
    <x v="0"/>
    <x v="0"/>
    <x v="0"/>
  </r>
  <r>
    <x v="227"/>
    <x v="2"/>
    <x v="8"/>
    <x v="23"/>
    <x v="0"/>
    <x v="0"/>
    <x v="0"/>
    <x v="0"/>
    <x v="0"/>
  </r>
  <r>
    <x v="228"/>
    <x v="1"/>
    <x v="1"/>
    <x v="9"/>
    <x v="0"/>
    <x v="0"/>
    <x v="0"/>
    <x v="0"/>
    <x v="0"/>
  </r>
  <r>
    <x v="229"/>
    <x v="1"/>
    <x v="9"/>
    <x v="34"/>
    <x v="3"/>
    <x v="3"/>
    <x v="0"/>
    <x v="1"/>
    <x v="0"/>
  </r>
  <r>
    <x v="230"/>
    <x v="2"/>
    <x v="8"/>
    <x v="26"/>
    <x v="0"/>
    <x v="0"/>
    <x v="3"/>
    <x v="0"/>
    <x v="0"/>
  </r>
  <r>
    <x v="231"/>
    <x v="2"/>
    <x v="8"/>
    <x v="20"/>
    <x v="3"/>
    <x v="3"/>
    <x v="0"/>
    <x v="1"/>
    <x v="0"/>
  </r>
  <r>
    <x v="232"/>
    <x v="2"/>
    <x v="3"/>
    <x v="35"/>
    <x v="0"/>
    <x v="0"/>
    <x v="0"/>
    <x v="0"/>
    <x v="0"/>
  </r>
  <r>
    <x v="233"/>
    <x v="0"/>
    <x v="0"/>
    <x v="42"/>
    <x v="0"/>
    <x v="0"/>
    <x v="3"/>
    <x v="0"/>
    <x v="0"/>
  </r>
  <r>
    <x v="234"/>
    <x v="1"/>
    <x v="1"/>
    <x v="8"/>
    <x v="0"/>
    <x v="0"/>
    <x v="0"/>
    <x v="0"/>
    <x v="0"/>
  </r>
  <r>
    <x v="235"/>
    <x v="1"/>
    <x v="6"/>
    <x v="75"/>
    <x v="0"/>
    <x v="0"/>
    <x v="0"/>
    <x v="0"/>
    <x v="0"/>
  </r>
  <r>
    <x v="236"/>
    <x v="1"/>
    <x v="6"/>
    <x v="75"/>
    <x v="0"/>
    <x v="0"/>
    <x v="0"/>
    <x v="0"/>
    <x v="0"/>
  </r>
  <r>
    <x v="237"/>
    <x v="0"/>
    <x v="5"/>
    <x v="72"/>
    <x v="2"/>
    <x v="2"/>
    <x v="3"/>
    <x v="0"/>
    <x v="0"/>
  </r>
  <r>
    <x v="238"/>
    <x v="1"/>
    <x v="1"/>
    <x v="34"/>
    <x v="1"/>
    <x v="1"/>
    <x v="4"/>
    <x v="0"/>
    <x v="0"/>
  </r>
  <r>
    <x v="239"/>
    <x v="3"/>
    <x v="11"/>
    <x v="22"/>
    <x v="0"/>
    <x v="0"/>
    <x v="0"/>
    <x v="0"/>
    <x v="0"/>
  </r>
  <r>
    <x v="240"/>
    <x v="0"/>
    <x v="5"/>
    <x v="5"/>
    <x v="0"/>
    <x v="0"/>
    <x v="0"/>
    <x v="0"/>
    <x v="0"/>
  </r>
  <r>
    <x v="241"/>
    <x v="3"/>
    <x v="11"/>
    <x v="73"/>
    <x v="0"/>
    <x v="0"/>
    <x v="0"/>
    <x v="0"/>
    <x v="0"/>
  </r>
  <r>
    <x v="242"/>
    <x v="1"/>
    <x v="6"/>
    <x v="41"/>
    <x v="2"/>
    <x v="2"/>
    <x v="2"/>
    <x v="0"/>
    <x v="0"/>
  </r>
  <r>
    <x v="243"/>
    <x v="1"/>
    <x v="1"/>
    <x v="1"/>
    <x v="1"/>
    <x v="1"/>
    <x v="1"/>
    <x v="0"/>
    <x v="0"/>
  </r>
  <r>
    <x v="244"/>
    <x v="1"/>
    <x v="1"/>
    <x v="19"/>
    <x v="1"/>
    <x v="1"/>
    <x v="1"/>
    <x v="0"/>
    <x v="0"/>
  </r>
  <r>
    <x v="245"/>
    <x v="2"/>
    <x v="8"/>
    <x v="30"/>
    <x v="1"/>
    <x v="1"/>
    <x v="1"/>
    <x v="0"/>
    <x v="0"/>
  </r>
  <r>
    <x v="246"/>
    <x v="1"/>
    <x v="1"/>
    <x v="19"/>
    <x v="0"/>
    <x v="0"/>
    <x v="0"/>
    <x v="0"/>
    <x v="0"/>
  </r>
  <r>
    <x v="247"/>
    <x v="2"/>
    <x v="8"/>
    <x v="20"/>
    <x v="0"/>
    <x v="0"/>
    <x v="0"/>
    <x v="0"/>
    <x v="0"/>
  </r>
  <r>
    <x v="248"/>
    <x v="0"/>
    <x v="5"/>
    <x v="58"/>
    <x v="0"/>
    <x v="0"/>
    <x v="3"/>
    <x v="0"/>
    <x v="0"/>
  </r>
  <r>
    <x v="249"/>
    <x v="1"/>
    <x v="1"/>
    <x v="1"/>
    <x v="0"/>
    <x v="0"/>
    <x v="0"/>
    <x v="0"/>
    <x v="0"/>
  </r>
  <r>
    <x v="250"/>
    <x v="2"/>
    <x v="8"/>
    <x v="76"/>
    <x v="0"/>
    <x v="0"/>
    <x v="0"/>
    <x v="0"/>
    <x v="0"/>
  </r>
  <r>
    <x v="251"/>
    <x v="2"/>
    <x v="4"/>
    <x v="40"/>
    <x v="0"/>
    <x v="0"/>
    <x v="0"/>
    <x v="0"/>
    <x v="0"/>
  </r>
  <r>
    <x v="252"/>
    <x v="1"/>
    <x v="1"/>
    <x v="34"/>
    <x v="0"/>
    <x v="0"/>
    <x v="0"/>
    <x v="0"/>
    <x v="0"/>
  </r>
  <r>
    <x v="253"/>
    <x v="2"/>
    <x v="8"/>
    <x v="24"/>
    <x v="0"/>
    <x v="0"/>
    <x v="0"/>
    <x v="0"/>
    <x v="0"/>
  </r>
  <r>
    <x v="254"/>
    <x v="2"/>
    <x v="4"/>
    <x v="31"/>
    <x v="0"/>
    <x v="0"/>
    <x v="0"/>
    <x v="0"/>
    <x v="0"/>
  </r>
  <r>
    <x v="255"/>
    <x v="1"/>
    <x v="1"/>
    <x v="53"/>
    <x v="2"/>
    <x v="2"/>
    <x v="2"/>
    <x v="0"/>
    <x v="0"/>
  </r>
  <r>
    <x v="256"/>
    <x v="1"/>
    <x v="9"/>
    <x v="37"/>
    <x v="0"/>
    <x v="0"/>
    <x v="0"/>
    <x v="0"/>
    <x v="0"/>
  </r>
  <r>
    <x v="257"/>
    <x v="1"/>
    <x v="9"/>
    <x v="29"/>
    <x v="0"/>
    <x v="0"/>
    <x v="0"/>
    <x v="0"/>
    <x v="0"/>
  </r>
  <r>
    <x v="258"/>
    <x v="1"/>
    <x v="6"/>
    <x v="41"/>
    <x v="4"/>
    <x v="6"/>
    <x v="0"/>
    <x v="1"/>
    <x v="0"/>
  </r>
  <r>
    <x v="259"/>
    <x v="1"/>
    <x v="1"/>
    <x v="26"/>
    <x v="2"/>
    <x v="2"/>
    <x v="2"/>
    <x v="0"/>
    <x v="0"/>
  </r>
  <r>
    <x v="260"/>
    <x v="3"/>
    <x v="11"/>
    <x v="22"/>
    <x v="0"/>
    <x v="0"/>
    <x v="0"/>
    <x v="0"/>
    <x v="0"/>
  </r>
  <r>
    <x v="261"/>
    <x v="0"/>
    <x v="10"/>
    <x v="48"/>
    <x v="0"/>
    <x v="0"/>
    <x v="0"/>
    <x v="0"/>
    <x v="0"/>
  </r>
  <r>
    <x v="262"/>
    <x v="1"/>
    <x v="6"/>
    <x v="59"/>
    <x v="0"/>
    <x v="0"/>
    <x v="0"/>
    <x v="0"/>
    <x v="0"/>
  </r>
  <r>
    <x v="263"/>
    <x v="3"/>
    <x v="11"/>
    <x v="28"/>
    <x v="0"/>
    <x v="0"/>
    <x v="3"/>
    <x v="0"/>
    <x v="0"/>
  </r>
  <r>
    <x v="264"/>
    <x v="2"/>
    <x v="8"/>
    <x v="15"/>
    <x v="0"/>
    <x v="0"/>
    <x v="0"/>
    <x v="0"/>
    <x v="0"/>
  </r>
  <r>
    <x v="265"/>
    <x v="1"/>
    <x v="9"/>
    <x v="37"/>
    <x v="2"/>
    <x v="2"/>
    <x v="2"/>
    <x v="0"/>
    <x v="0"/>
  </r>
  <r>
    <x v="266"/>
    <x v="1"/>
    <x v="1"/>
    <x v="34"/>
    <x v="0"/>
    <x v="0"/>
    <x v="0"/>
    <x v="0"/>
    <x v="0"/>
  </r>
  <r>
    <x v="267"/>
    <x v="1"/>
    <x v="1"/>
    <x v="7"/>
    <x v="2"/>
    <x v="2"/>
    <x v="2"/>
    <x v="0"/>
    <x v="0"/>
  </r>
  <r>
    <x v="268"/>
    <x v="1"/>
    <x v="1"/>
    <x v="1"/>
    <x v="0"/>
    <x v="0"/>
    <x v="0"/>
    <x v="0"/>
    <x v="0"/>
  </r>
  <r>
    <x v="269"/>
    <x v="1"/>
    <x v="1"/>
    <x v="8"/>
    <x v="4"/>
    <x v="5"/>
    <x v="0"/>
    <x v="1"/>
    <x v="0"/>
  </r>
  <r>
    <x v="270"/>
    <x v="1"/>
    <x v="1"/>
    <x v="1"/>
    <x v="0"/>
    <x v="0"/>
    <x v="0"/>
    <x v="0"/>
    <x v="0"/>
  </r>
  <r>
    <x v="271"/>
    <x v="1"/>
    <x v="9"/>
    <x v="14"/>
    <x v="0"/>
    <x v="0"/>
    <x v="0"/>
    <x v="0"/>
    <x v="0"/>
  </r>
  <r>
    <x v="272"/>
    <x v="1"/>
    <x v="9"/>
    <x v="14"/>
    <x v="0"/>
    <x v="0"/>
    <x v="0"/>
    <x v="0"/>
    <x v="0"/>
  </r>
  <r>
    <x v="273"/>
    <x v="1"/>
    <x v="1"/>
    <x v="33"/>
    <x v="0"/>
    <x v="0"/>
    <x v="0"/>
    <x v="0"/>
    <x v="0"/>
  </r>
  <r>
    <x v="274"/>
    <x v="2"/>
    <x v="8"/>
    <x v="15"/>
    <x v="0"/>
    <x v="0"/>
    <x v="0"/>
    <x v="0"/>
    <x v="0"/>
  </r>
  <r>
    <x v="275"/>
    <x v="2"/>
    <x v="4"/>
    <x v="6"/>
    <x v="0"/>
    <x v="0"/>
    <x v="0"/>
    <x v="0"/>
    <x v="0"/>
  </r>
  <r>
    <x v="276"/>
    <x v="0"/>
    <x v="5"/>
    <x v="51"/>
    <x v="0"/>
    <x v="0"/>
    <x v="0"/>
    <x v="0"/>
    <x v="0"/>
  </r>
  <r>
    <x v="277"/>
    <x v="1"/>
    <x v="6"/>
    <x v="18"/>
    <x v="1"/>
    <x v="1"/>
    <x v="1"/>
    <x v="0"/>
    <x v="0"/>
  </r>
  <r>
    <x v="278"/>
    <x v="1"/>
    <x v="9"/>
    <x v="16"/>
    <x v="0"/>
    <x v="0"/>
    <x v="0"/>
    <x v="0"/>
    <x v="0"/>
  </r>
  <r>
    <x v="279"/>
    <x v="2"/>
    <x v="2"/>
    <x v="2"/>
    <x v="0"/>
    <x v="0"/>
    <x v="0"/>
    <x v="0"/>
    <x v="0"/>
  </r>
  <r>
    <x v="280"/>
    <x v="1"/>
    <x v="9"/>
    <x v="68"/>
    <x v="1"/>
    <x v="1"/>
    <x v="1"/>
    <x v="0"/>
    <x v="0"/>
  </r>
  <r>
    <x v="281"/>
    <x v="1"/>
    <x v="9"/>
    <x v="14"/>
    <x v="1"/>
    <x v="1"/>
    <x v="4"/>
    <x v="0"/>
    <x v="0"/>
  </r>
  <r>
    <x v="282"/>
    <x v="2"/>
    <x v="3"/>
    <x v="3"/>
    <x v="0"/>
    <x v="0"/>
    <x v="0"/>
    <x v="0"/>
    <x v="0"/>
  </r>
  <r>
    <x v="283"/>
    <x v="1"/>
    <x v="9"/>
    <x v="10"/>
    <x v="0"/>
    <x v="0"/>
    <x v="3"/>
    <x v="0"/>
    <x v="0"/>
  </r>
  <r>
    <x v="284"/>
    <x v="3"/>
    <x v="7"/>
    <x v="77"/>
    <x v="3"/>
    <x v="3"/>
    <x v="0"/>
    <x v="0"/>
    <x v="0"/>
  </r>
  <r>
    <x v="285"/>
    <x v="2"/>
    <x v="3"/>
    <x v="35"/>
    <x v="0"/>
    <x v="0"/>
    <x v="0"/>
    <x v="0"/>
    <x v="0"/>
  </r>
  <r>
    <x v="286"/>
    <x v="2"/>
    <x v="2"/>
    <x v="44"/>
    <x v="1"/>
    <x v="1"/>
    <x v="1"/>
    <x v="0"/>
    <x v="0"/>
  </r>
  <r>
    <x v="287"/>
    <x v="1"/>
    <x v="6"/>
    <x v="78"/>
    <x v="3"/>
    <x v="3"/>
    <x v="0"/>
    <x v="1"/>
    <x v="0"/>
  </r>
  <r>
    <x v="288"/>
    <x v="2"/>
    <x v="4"/>
    <x v="61"/>
    <x v="0"/>
    <x v="0"/>
    <x v="0"/>
    <x v="0"/>
    <x v="0"/>
  </r>
  <r>
    <x v="289"/>
    <x v="2"/>
    <x v="3"/>
    <x v="35"/>
    <x v="0"/>
    <x v="0"/>
    <x v="0"/>
    <x v="0"/>
    <x v="0"/>
  </r>
  <r>
    <x v="290"/>
    <x v="1"/>
    <x v="1"/>
    <x v="33"/>
    <x v="0"/>
    <x v="0"/>
    <x v="0"/>
    <x v="0"/>
    <x v="0"/>
  </r>
  <r>
    <x v="291"/>
    <x v="3"/>
    <x v="11"/>
    <x v="79"/>
    <x v="3"/>
    <x v="3"/>
    <x v="0"/>
    <x v="1"/>
    <x v="0"/>
  </r>
  <r>
    <x v="292"/>
    <x v="1"/>
    <x v="1"/>
    <x v="34"/>
    <x v="0"/>
    <x v="0"/>
    <x v="0"/>
    <x v="0"/>
    <x v="0"/>
  </r>
  <r>
    <x v="293"/>
    <x v="3"/>
    <x v="11"/>
    <x v="28"/>
    <x v="0"/>
    <x v="0"/>
    <x v="0"/>
    <x v="0"/>
    <x v="0"/>
  </r>
  <r>
    <x v="294"/>
    <x v="2"/>
    <x v="3"/>
    <x v="35"/>
    <x v="3"/>
    <x v="3"/>
    <x v="0"/>
    <x v="1"/>
    <x v="0"/>
  </r>
  <r>
    <x v="295"/>
    <x v="2"/>
    <x v="3"/>
    <x v="13"/>
    <x v="0"/>
    <x v="4"/>
    <x v="0"/>
    <x v="0"/>
    <x v="0"/>
  </r>
  <r>
    <x v="296"/>
    <x v="2"/>
    <x v="3"/>
    <x v="57"/>
    <x v="3"/>
    <x v="3"/>
    <x v="0"/>
    <x v="1"/>
    <x v="0"/>
  </r>
  <r>
    <x v="297"/>
    <x v="2"/>
    <x v="8"/>
    <x v="80"/>
    <x v="0"/>
    <x v="0"/>
    <x v="0"/>
    <x v="0"/>
    <x v="0"/>
  </r>
  <r>
    <x v="298"/>
    <x v="1"/>
    <x v="9"/>
    <x v="14"/>
    <x v="0"/>
    <x v="0"/>
    <x v="3"/>
    <x v="0"/>
    <x v="0"/>
  </r>
  <r>
    <x v="299"/>
    <x v="2"/>
    <x v="2"/>
    <x v="2"/>
    <x v="1"/>
    <x v="1"/>
    <x v="1"/>
    <x v="0"/>
    <x v="0"/>
  </r>
  <r>
    <x v="300"/>
    <x v="1"/>
    <x v="6"/>
    <x v="41"/>
    <x v="0"/>
    <x v="0"/>
    <x v="0"/>
    <x v="0"/>
    <x v="0"/>
  </r>
  <r>
    <x v="301"/>
    <x v="1"/>
    <x v="6"/>
    <x v="81"/>
    <x v="4"/>
    <x v="7"/>
    <x v="0"/>
    <x v="1"/>
    <x v="0"/>
  </r>
  <r>
    <x v="302"/>
    <x v="2"/>
    <x v="8"/>
    <x v="23"/>
    <x v="0"/>
    <x v="0"/>
    <x v="0"/>
    <x v="0"/>
    <x v="0"/>
  </r>
  <r>
    <x v="303"/>
    <x v="2"/>
    <x v="8"/>
    <x v="23"/>
    <x v="1"/>
    <x v="1"/>
    <x v="4"/>
    <x v="0"/>
    <x v="0"/>
  </r>
  <r>
    <x v="304"/>
    <x v="1"/>
    <x v="1"/>
    <x v="1"/>
    <x v="3"/>
    <x v="3"/>
    <x v="0"/>
    <x v="5"/>
    <x v="0"/>
  </r>
  <r>
    <x v="305"/>
    <x v="1"/>
    <x v="1"/>
    <x v="19"/>
    <x v="0"/>
    <x v="0"/>
    <x v="0"/>
    <x v="0"/>
    <x v="0"/>
  </r>
  <r>
    <x v="306"/>
    <x v="2"/>
    <x v="8"/>
    <x v="39"/>
    <x v="0"/>
    <x v="0"/>
    <x v="0"/>
    <x v="0"/>
    <x v="0"/>
  </r>
  <r>
    <x v="307"/>
    <x v="0"/>
    <x v="0"/>
    <x v="0"/>
    <x v="0"/>
    <x v="0"/>
    <x v="0"/>
    <x v="0"/>
    <x v="0"/>
  </r>
  <r>
    <x v="308"/>
    <x v="0"/>
    <x v="10"/>
    <x v="21"/>
    <x v="0"/>
    <x v="0"/>
    <x v="0"/>
    <x v="0"/>
    <x v="0"/>
  </r>
  <r>
    <x v="309"/>
    <x v="2"/>
    <x v="3"/>
    <x v="57"/>
    <x v="0"/>
    <x v="0"/>
    <x v="0"/>
    <x v="0"/>
    <x v="0"/>
  </r>
  <r>
    <x v="310"/>
    <x v="0"/>
    <x v="10"/>
    <x v="21"/>
    <x v="3"/>
    <x v="3"/>
    <x v="0"/>
    <x v="5"/>
    <x v="0"/>
  </r>
  <r>
    <x v="311"/>
    <x v="1"/>
    <x v="9"/>
    <x v="59"/>
    <x v="1"/>
    <x v="1"/>
    <x v="4"/>
    <x v="0"/>
    <x v="0"/>
  </r>
  <r>
    <x v="312"/>
    <x v="2"/>
    <x v="3"/>
    <x v="13"/>
    <x v="0"/>
    <x v="0"/>
    <x v="0"/>
    <x v="0"/>
    <x v="0"/>
  </r>
  <r>
    <x v="313"/>
    <x v="1"/>
    <x v="9"/>
    <x v="37"/>
    <x v="0"/>
    <x v="0"/>
    <x v="0"/>
    <x v="0"/>
    <x v="0"/>
  </r>
  <r>
    <x v="314"/>
    <x v="2"/>
    <x v="2"/>
    <x v="74"/>
    <x v="0"/>
    <x v="0"/>
    <x v="0"/>
    <x v="0"/>
    <x v="0"/>
  </r>
  <r>
    <x v="315"/>
    <x v="2"/>
    <x v="3"/>
    <x v="13"/>
    <x v="0"/>
    <x v="0"/>
    <x v="0"/>
    <x v="0"/>
    <x v="0"/>
  </r>
  <r>
    <x v="316"/>
    <x v="0"/>
    <x v="0"/>
    <x v="0"/>
    <x v="0"/>
    <x v="0"/>
    <x v="0"/>
    <x v="0"/>
    <x v="0"/>
  </r>
  <r>
    <x v="317"/>
    <x v="1"/>
    <x v="9"/>
    <x v="29"/>
    <x v="0"/>
    <x v="0"/>
    <x v="0"/>
    <x v="0"/>
    <x v="0"/>
  </r>
  <r>
    <x v="318"/>
    <x v="2"/>
    <x v="4"/>
    <x v="40"/>
    <x v="0"/>
    <x v="0"/>
    <x v="0"/>
    <x v="0"/>
    <x v="0"/>
  </r>
  <r>
    <x v="319"/>
    <x v="0"/>
    <x v="10"/>
    <x v="48"/>
    <x v="0"/>
    <x v="0"/>
    <x v="0"/>
    <x v="0"/>
    <x v="0"/>
  </r>
  <r>
    <x v="320"/>
    <x v="2"/>
    <x v="3"/>
    <x v="8"/>
    <x v="1"/>
    <x v="1"/>
    <x v="0"/>
    <x v="0"/>
    <x v="0"/>
  </r>
  <r>
    <x v="321"/>
    <x v="2"/>
    <x v="8"/>
    <x v="39"/>
    <x v="0"/>
    <x v="0"/>
    <x v="0"/>
    <x v="0"/>
    <x v="0"/>
  </r>
  <r>
    <x v="322"/>
    <x v="1"/>
    <x v="1"/>
    <x v="1"/>
    <x v="0"/>
    <x v="0"/>
    <x v="0"/>
    <x v="0"/>
    <x v="0"/>
  </r>
  <r>
    <x v="323"/>
    <x v="1"/>
    <x v="1"/>
    <x v="19"/>
    <x v="0"/>
    <x v="0"/>
    <x v="0"/>
    <x v="0"/>
    <x v="0"/>
  </r>
  <r>
    <x v="324"/>
    <x v="1"/>
    <x v="6"/>
    <x v="38"/>
    <x v="4"/>
    <x v="6"/>
    <x v="0"/>
    <x v="1"/>
    <x v="0"/>
  </r>
  <r>
    <x v="325"/>
    <x v="3"/>
    <x v="12"/>
    <x v="82"/>
    <x v="3"/>
    <x v="3"/>
    <x v="0"/>
    <x v="6"/>
    <x v="0"/>
  </r>
  <r>
    <x v="326"/>
    <x v="2"/>
    <x v="4"/>
    <x v="4"/>
    <x v="0"/>
    <x v="0"/>
    <x v="0"/>
    <x v="0"/>
    <x v="0"/>
  </r>
  <r>
    <x v="327"/>
    <x v="2"/>
    <x v="4"/>
    <x v="4"/>
    <x v="0"/>
    <x v="0"/>
    <x v="0"/>
    <x v="0"/>
    <x v="0"/>
  </r>
  <r>
    <x v="328"/>
    <x v="2"/>
    <x v="4"/>
    <x v="4"/>
    <x v="0"/>
    <x v="0"/>
    <x v="0"/>
    <x v="0"/>
    <x v="0"/>
  </r>
  <r>
    <x v="329"/>
    <x v="2"/>
    <x v="4"/>
    <x v="40"/>
    <x v="1"/>
    <x v="1"/>
    <x v="4"/>
    <x v="0"/>
    <x v="0"/>
  </r>
  <r>
    <x v="330"/>
    <x v="2"/>
    <x v="8"/>
    <x v="20"/>
    <x v="0"/>
    <x v="0"/>
    <x v="0"/>
    <x v="0"/>
    <x v="0"/>
  </r>
  <r>
    <x v="331"/>
    <x v="1"/>
    <x v="6"/>
    <x v="75"/>
    <x v="0"/>
    <x v="0"/>
    <x v="0"/>
    <x v="0"/>
    <x v="0"/>
  </r>
  <r>
    <x v="332"/>
    <x v="2"/>
    <x v="8"/>
    <x v="20"/>
    <x v="0"/>
    <x v="0"/>
    <x v="0"/>
    <x v="0"/>
    <x v="0"/>
  </r>
  <r>
    <x v="333"/>
    <x v="1"/>
    <x v="9"/>
    <x v="14"/>
    <x v="0"/>
    <x v="0"/>
    <x v="0"/>
    <x v="0"/>
    <x v="0"/>
  </r>
  <r>
    <x v="334"/>
    <x v="1"/>
    <x v="1"/>
    <x v="15"/>
    <x v="0"/>
    <x v="0"/>
    <x v="0"/>
    <x v="0"/>
    <x v="0"/>
  </r>
  <r>
    <x v="335"/>
    <x v="0"/>
    <x v="0"/>
    <x v="83"/>
    <x v="3"/>
    <x v="3"/>
    <x v="0"/>
    <x v="1"/>
    <x v="0"/>
  </r>
  <r>
    <x v="336"/>
    <x v="1"/>
    <x v="1"/>
    <x v="19"/>
    <x v="0"/>
    <x v="0"/>
    <x v="0"/>
    <x v="0"/>
    <x v="0"/>
  </r>
  <r>
    <x v="337"/>
    <x v="2"/>
    <x v="2"/>
    <x v="58"/>
    <x v="0"/>
    <x v="0"/>
    <x v="0"/>
    <x v="0"/>
    <x v="0"/>
  </r>
  <r>
    <x v="338"/>
    <x v="2"/>
    <x v="3"/>
    <x v="64"/>
    <x v="2"/>
    <x v="2"/>
    <x v="2"/>
    <x v="0"/>
    <x v="0"/>
  </r>
  <r>
    <x v="339"/>
    <x v="2"/>
    <x v="4"/>
    <x v="31"/>
    <x v="0"/>
    <x v="0"/>
    <x v="0"/>
    <x v="0"/>
    <x v="0"/>
  </r>
  <r>
    <x v="340"/>
    <x v="2"/>
    <x v="8"/>
    <x v="15"/>
    <x v="0"/>
    <x v="0"/>
    <x v="0"/>
    <x v="0"/>
    <x v="0"/>
  </r>
  <r>
    <x v="341"/>
    <x v="2"/>
    <x v="2"/>
    <x v="2"/>
    <x v="4"/>
    <x v="5"/>
    <x v="0"/>
    <x v="1"/>
    <x v="0"/>
  </r>
  <r>
    <x v="342"/>
    <x v="1"/>
    <x v="1"/>
    <x v="8"/>
    <x v="0"/>
    <x v="0"/>
    <x v="0"/>
    <x v="0"/>
    <x v="0"/>
  </r>
  <r>
    <x v="343"/>
    <x v="0"/>
    <x v="10"/>
    <x v="84"/>
    <x v="3"/>
    <x v="3"/>
    <x v="0"/>
    <x v="3"/>
    <x v="1"/>
  </r>
  <r>
    <x v="344"/>
    <x v="2"/>
    <x v="8"/>
    <x v="80"/>
    <x v="3"/>
    <x v="3"/>
    <x v="0"/>
    <x v="1"/>
    <x v="0"/>
  </r>
  <r>
    <x v="345"/>
    <x v="1"/>
    <x v="9"/>
    <x v="69"/>
    <x v="0"/>
    <x v="0"/>
    <x v="0"/>
    <x v="0"/>
    <x v="0"/>
  </r>
  <r>
    <x v="346"/>
    <x v="2"/>
    <x v="8"/>
    <x v="15"/>
    <x v="0"/>
    <x v="0"/>
    <x v="0"/>
    <x v="0"/>
    <x v="0"/>
  </r>
  <r>
    <x v="347"/>
    <x v="2"/>
    <x v="3"/>
    <x v="13"/>
    <x v="0"/>
    <x v="0"/>
    <x v="0"/>
    <x v="0"/>
    <x v="0"/>
  </r>
  <r>
    <x v="348"/>
    <x v="2"/>
    <x v="4"/>
    <x v="40"/>
    <x v="0"/>
    <x v="0"/>
    <x v="0"/>
    <x v="0"/>
    <x v="0"/>
  </r>
  <r>
    <x v="349"/>
    <x v="1"/>
    <x v="9"/>
    <x v="69"/>
    <x v="1"/>
    <x v="1"/>
    <x v="1"/>
    <x v="0"/>
    <x v="0"/>
  </r>
  <r>
    <x v="350"/>
    <x v="1"/>
    <x v="1"/>
    <x v="33"/>
    <x v="0"/>
    <x v="0"/>
    <x v="0"/>
    <x v="0"/>
    <x v="0"/>
  </r>
  <r>
    <x v="351"/>
    <x v="1"/>
    <x v="1"/>
    <x v="33"/>
    <x v="0"/>
    <x v="0"/>
    <x v="0"/>
    <x v="0"/>
    <x v="0"/>
  </r>
  <r>
    <x v="352"/>
    <x v="2"/>
    <x v="4"/>
    <x v="40"/>
    <x v="0"/>
    <x v="0"/>
    <x v="0"/>
    <x v="0"/>
    <x v="0"/>
  </r>
  <r>
    <x v="353"/>
    <x v="0"/>
    <x v="0"/>
    <x v="43"/>
    <x v="3"/>
    <x v="3"/>
    <x v="0"/>
    <x v="1"/>
    <x v="0"/>
  </r>
  <r>
    <x v="354"/>
    <x v="2"/>
    <x v="3"/>
    <x v="33"/>
    <x v="0"/>
    <x v="0"/>
    <x v="0"/>
    <x v="0"/>
    <x v="0"/>
  </r>
  <r>
    <x v="355"/>
    <x v="2"/>
    <x v="3"/>
    <x v="7"/>
    <x v="0"/>
    <x v="0"/>
    <x v="0"/>
    <x v="0"/>
    <x v="0"/>
  </r>
  <r>
    <x v="356"/>
    <x v="2"/>
    <x v="3"/>
    <x v="36"/>
    <x v="2"/>
    <x v="2"/>
    <x v="2"/>
    <x v="0"/>
    <x v="0"/>
  </r>
  <r>
    <x v="357"/>
    <x v="2"/>
    <x v="4"/>
    <x v="40"/>
    <x v="0"/>
    <x v="0"/>
    <x v="0"/>
    <x v="0"/>
    <x v="0"/>
  </r>
  <r>
    <x v="358"/>
    <x v="1"/>
    <x v="6"/>
    <x v="41"/>
    <x v="1"/>
    <x v="1"/>
    <x v="1"/>
    <x v="0"/>
    <x v="0"/>
  </r>
  <r>
    <x v="359"/>
    <x v="1"/>
    <x v="9"/>
    <x v="34"/>
    <x v="2"/>
    <x v="2"/>
    <x v="2"/>
    <x v="0"/>
    <x v="0"/>
  </r>
  <r>
    <x v="360"/>
    <x v="2"/>
    <x v="3"/>
    <x v="57"/>
    <x v="2"/>
    <x v="2"/>
    <x v="2"/>
    <x v="0"/>
    <x v="0"/>
  </r>
  <r>
    <x v="361"/>
    <x v="1"/>
    <x v="1"/>
    <x v="27"/>
    <x v="0"/>
    <x v="0"/>
    <x v="0"/>
    <x v="0"/>
    <x v="0"/>
  </r>
  <r>
    <x v="362"/>
    <x v="2"/>
    <x v="8"/>
    <x v="20"/>
    <x v="0"/>
    <x v="0"/>
    <x v="0"/>
    <x v="0"/>
    <x v="0"/>
  </r>
  <r>
    <x v="363"/>
    <x v="2"/>
    <x v="8"/>
    <x v="23"/>
    <x v="3"/>
    <x v="3"/>
    <x v="0"/>
    <x v="3"/>
    <x v="0"/>
  </r>
  <r>
    <x v="364"/>
    <x v="0"/>
    <x v="0"/>
    <x v="85"/>
    <x v="0"/>
    <x v="0"/>
    <x v="0"/>
    <x v="0"/>
    <x v="0"/>
  </r>
  <r>
    <x v="365"/>
    <x v="2"/>
    <x v="2"/>
    <x v="71"/>
    <x v="3"/>
    <x v="3"/>
    <x v="0"/>
    <x v="5"/>
    <x v="0"/>
  </r>
  <r>
    <x v="366"/>
    <x v="1"/>
    <x v="6"/>
    <x v="59"/>
    <x v="0"/>
    <x v="0"/>
    <x v="0"/>
    <x v="0"/>
    <x v="0"/>
  </r>
  <r>
    <x v="367"/>
    <x v="2"/>
    <x v="4"/>
    <x v="4"/>
    <x v="3"/>
    <x v="3"/>
    <x v="0"/>
    <x v="1"/>
    <x v="0"/>
  </r>
  <r>
    <x v="368"/>
    <x v="1"/>
    <x v="9"/>
    <x v="29"/>
    <x v="0"/>
    <x v="0"/>
    <x v="0"/>
    <x v="0"/>
    <x v="0"/>
  </r>
  <r>
    <x v="369"/>
    <x v="0"/>
    <x v="10"/>
    <x v="56"/>
    <x v="3"/>
    <x v="3"/>
    <x v="0"/>
    <x v="0"/>
    <x v="0"/>
  </r>
  <r>
    <x v="370"/>
    <x v="2"/>
    <x v="2"/>
    <x v="42"/>
    <x v="0"/>
    <x v="0"/>
    <x v="0"/>
    <x v="0"/>
    <x v="0"/>
  </r>
  <r>
    <x v="371"/>
    <x v="0"/>
    <x v="0"/>
    <x v="86"/>
    <x v="3"/>
    <x v="3"/>
    <x v="0"/>
    <x v="3"/>
    <x v="0"/>
  </r>
  <r>
    <x v="372"/>
    <x v="0"/>
    <x v="5"/>
    <x v="51"/>
    <x v="3"/>
    <x v="3"/>
    <x v="0"/>
    <x v="1"/>
    <x v="0"/>
  </r>
  <r>
    <x v="373"/>
    <x v="2"/>
    <x v="4"/>
    <x v="55"/>
    <x v="3"/>
    <x v="3"/>
    <x v="0"/>
    <x v="1"/>
    <x v="1"/>
  </r>
  <r>
    <x v="374"/>
    <x v="3"/>
    <x v="11"/>
    <x v="52"/>
    <x v="3"/>
    <x v="3"/>
    <x v="0"/>
    <x v="0"/>
    <x v="0"/>
  </r>
  <r>
    <x v="375"/>
    <x v="2"/>
    <x v="4"/>
    <x v="40"/>
    <x v="0"/>
    <x v="0"/>
    <x v="0"/>
    <x v="0"/>
    <x v="0"/>
  </r>
  <r>
    <x v="376"/>
    <x v="1"/>
    <x v="1"/>
    <x v="53"/>
    <x v="0"/>
    <x v="0"/>
    <x v="0"/>
    <x v="0"/>
    <x v="0"/>
  </r>
  <r>
    <x v="377"/>
    <x v="1"/>
    <x v="1"/>
    <x v="7"/>
    <x v="0"/>
    <x v="0"/>
    <x v="0"/>
    <x v="0"/>
    <x v="0"/>
  </r>
  <r>
    <x v="378"/>
    <x v="2"/>
    <x v="3"/>
    <x v="3"/>
    <x v="2"/>
    <x v="2"/>
    <x v="2"/>
    <x v="0"/>
    <x v="0"/>
  </r>
  <r>
    <x v="379"/>
    <x v="2"/>
    <x v="4"/>
    <x v="4"/>
    <x v="2"/>
    <x v="2"/>
    <x v="2"/>
    <x v="0"/>
    <x v="0"/>
  </r>
  <r>
    <x v="380"/>
    <x v="1"/>
    <x v="9"/>
    <x v="34"/>
    <x v="2"/>
    <x v="2"/>
    <x v="2"/>
    <x v="0"/>
    <x v="0"/>
  </r>
  <r>
    <x v="381"/>
    <x v="0"/>
    <x v="5"/>
    <x v="65"/>
    <x v="3"/>
    <x v="3"/>
    <x v="0"/>
    <x v="1"/>
    <x v="0"/>
  </r>
  <r>
    <x v="382"/>
    <x v="1"/>
    <x v="1"/>
    <x v="53"/>
    <x v="0"/>
    <x v="0"/>
    <x v="0"/>
    <x v="0"/>
    <x v="0"/>
  </r>
  <r>
    <x v="383"/>
    <x v="0"/>
    <x v="5"/>
    <x v="51"/>
    <x v="0"/>
    <x v="4"/>
    <x v="0"/>
    <x v="0"/>
    <x v="0"/>
  </r>
  <r>
    <x v="384"/>
    <x v="1"/>
    <x v="9"/>
    <x v="46"/>
    <x v="1"/>
    <x v="1"/>
    <x v="3"/>
    <x v="0"/>
    <x v="0"/>
  </r>
  <r>
    <x v="385"/>
    <x v="0"/>
    <x v="0"/>
    <x v="85"/>
    <x v="3"/>
    <x v="3"/>
    <x v="0"/>
    <x v="1"/>
    <x v="0"/>
  </r>
  <r>
    <x v="386"/>
    <x v="2"/>
    <x v="8"/>
    <x v="24"/>
    <x v="3"/>
    <x v="3"/>
    <x v="0"/>
    <x v="1"/>
    <x v="0"/>
  </r>
  <r>
    <x v="387"/>
    <x v="1"/>
    <x v="9"/>
    <x v="34"/>
    <x v="2"/>
    <x v="2"/>
    <x v="2"/>
    <x v="0"/>
    <x v="0"/>
  </r>
  <r>
    <x v="388"/>
    <x v="2"/>
    <x v="2"/>
    <x v="2"/>
    <x v="0"/>
    <x v="0"/>
    <x v="0"/>
    <x v="0"/>
    <x v="0"/>
  </r>
  <r>
    <x v="389"/>
    <x v="1"/>
    <x v="9"/>
    <x v="14"/>
    <x v="0"/>
    <x v="0"/>
    <x v="0"/>
    <x v="0"/>
    <x v="0"/>
  </r>
  <r>
    <x v="390"/>
    <x v="2"/>
    <x v="3"/>
    <x v="33"/>
    <x v="0"/>
    <x v="0"/>
    <x v="0"/>
    <x v="0"/>
    <x v="0"/>
  </r>
  <r>
    <x v="391"/>
    <x v="1"/>
    <x v="1"/>
    <x v="26"/>
    <x v="0"/>
    <x v="0"/>
    <x v="0"/>
    <x v="0"/>
    <x v="0"/>
  </r>
  <r>
    <x v="392"/>
    <x v="1"/>
    <x v="6"/>
    <x v="75"/>
    <x v="1"/>
    <x v="1"/>
    <x v="1"/>
    <x v="0"/>
    <x v="0"/>
  </r>
  <r>
    <x v="393"/>
    <x v="2"/>
    <x v="4"/>
    <x v="6"/>
    <x v="0"/>
    <x v="0"/>
    <x v="0"/>
    <x v="0"/>
    <x v="0"/>
  </r>
  <r>
    <x v="394"/>
    <x v="0"/>
    <x v="10"/>
    <x v="87"/>
    <x v="3"/>
    <x v="3"/>
    <x v="0"/>
    <x v="1"/>
    <x v="0"/>
  </r>
  <r>
    <x v="395"/>
    <x v="1"/>
    <x v="9"/>
    <x v="34"/>
    <x v="1"/>
    <x v="1"/>
    <x v="1"/>
    <x v="0"/>
    <x v="0"/>
  </r>
  <r>
    <x v="396"/>
    <x v="1"/>
    <x v="6"/>
    <x v="41"/>
    <x v="0"/>
    <x v="0"/>
    <x v="0"/>
    <x v="0"/>
    <x v="0"/>
  </r>
  <r>
    <x v="397"/>
    <x v="1"/>
    <x v="9"/>
    <x v="37"/>
    <x v="1"/>
    <x v="1"/>
    <x v="1"/>
    <x v="0"/>
    <x v="0"/>
  </r>
  <r>
    <x v="398"/>
    <x v="1"/>
    <x v="6"/>
    <x v="88"/>
    <x v="3"/>
    <x v="3"/>
    <x v="0"/>
    <x v="1"/>
    <x v="0"/>
  </r>
  <r>
    <x v="399"/>
    <x v="2"/>
    <x v="8"/>
    <x v="89"/>
    <x v="3"/>
    <x v="3"/>
    <x v="0"/>
    <x v="1"/>
    <x v="0"/>
  </r>
  <r>
    <x v="400"/>
    <x v="2"/>
    <x v="4"/>
    <x v="40"/>
    <x v="3"/>
    <x v="3"/>
    <x v="0"/>
    <x v="1"/>
    <x v="0"/>
  </r>
  <r>
    <x v="401"/>
    <x v="1"/>
    <x v="9"/>
    <x v="90"/>
    <x v="4"/>
    <x v="5"/>
    <x v="0"/>
    <x v="1"/>
    <x v="0"/>
  </r>
  <r>
    <x v="402"/>
    <x v="2"/>
    <x v="4"/>
    <x v="6"/>
    <x v="0"/>
    <x v="0"/>
    <x v="0"/>
    <x v="0"/>
    <x v="0"/>
  </r>
  <r>
    <x v="403"/>
    <x v="2"/>
    <x v="2"/>
    <x v="71"/>
    <x v="2"/>
    <x v="2"/>
    <x v="2"/>
    <x v="0"/>
    <x v="0"/>
  </r>
  <r>
    <x v="404"/>
    <x v="2"/>
    <x v="4"/>
    <x v="55"/>
    <x v="0"/>
    <x v="0"/>
    <x v="3"/>
    <x v="0"/>
    <x v="0"/>
  </r>
  <r>
    <x v="405"/>
    <x v="2"/>
    <x v="4"/>
    <x v="40"/>
    <x v="0"/>
    <x v="0"/>
    <x v="0"/>
    <x v="0"/>
    <x v="0"/>
  </r>
  <r>
    <x v="406"/>
    <x v="2"/>
    <x v="4"/>
    <x v="4"/>
    <x v="0"/>
    <x v="0"/>
    <x v="0"/>
    <x v="0"/>
    <x v="0"/>
  </r>
  <r>
    <x v="407"/>
    <x v="1"/>
    <x v="6"/>
    <x v="41"/>
    <x v="0"/>
    <x v="0"/>
    <x v="0"/>
    <x v="0"/>
    <x v="0"/>
  </r>
  <r>
    <x v="408"/>
    <x v="2"/>
    <x v="3"/>
    <x v="35"/>
    <x v="0"/>
    <x v="0"/>
    <x v="0"/>
    <x v="0"/>
    <x v="0"/>
  </r>
  <r>
    <x v="409"/>
    <x v="2"/>
    <x v="4"/>
    <x v="40"/>
    <x v="0"/>
    <x v="0"/>
    <x v="0"/>
    <x v="0"/>
    <x v="0"/>
  </r>
  <r>
    <x v="410"/>
    <x v="2"/>
    <x v="2"/>
    <x v="58"/>
    <x v="3"/>
    <x v="3"/>
    <x v="0"/>
    <x v="1"/>
    <x v="0"/>
  </r>
  <r>
    <x v="411"/>
    <x v="1"/>
    <x v="6"/>
    <x v="38"/>
    <x v="1"/>
    <x v="1"/>
    <x v="1"/>
    <x v="0"/>
    <x v="0"/>
  </r>
  <r>
    <x v="412"/>
    <x v="2"/>
    <x v="2"/>
    <x v="91"/>
    <x v="4"/>
    <x v="5"/>
    <x v="0"/>
    <x v="1"/>
    <x v="0"/>
  </r>
  <r>
    <x v="413"/>
    <x v="1"/>
    <x v="1"/>
    <x v="19"/>
    <x v="1"/>
    <x v="1"/>
    <x v="3"/>
    <x v="0"/>
    <x v="0"/>
  </r>
  <r>
    <x v="414"/>
    <x v="1"/>
    <x v="1"/>
    <x v="53"/>
    <x v="0"/>
    <x v="0"/>
    <x v="0"/>
    <x v="0"/>
    <x v="0"/>
  </r>
  <r>
    <x v="415"/>
    <x v="2"/>
    <x v="3"/>
    <x v="3"/>
    <x v="0"/>
    <x v="0"/>
    <x v="0"/>
    <x v="0"/>
    <x v="0"/>
  </r>
  <r>
    <x v="416"/>
    <x v="1"/>
    <x v="6"/>
    <x v="10"/>
    <x v="1"/>
    <x v="1"/>
    <x v="1"/>
    <x v="0"/>
    <x v="0"/>
  </r>
  <r>
    <x v="417"/>
    <x v="0"/>
    <x v="5"/>
    <x v="58"/>
    <x v="0"/>
    <x v="0"/>
    <x v="0"/>
    <x v="0"/>
    <x v="0"/>
  </r>
  <r>
    <x v="418"/>
    <x v="1"/>
    <x v="6"/>
    <x v="18"/>
    <x v="3"/>
    <x v="3"/>
    <x v="0"/>
    <x v="1"/>
    <x v="0"/>
  </r>
  <r>
    <x v="419"/>
    <x v="3"/>
    <x v="7"/>
    <x v="92"/>
    <x v="3"/>
    <x v="3"/>
    <x v="0"/>
    <x v="1"/>
    <x v="0"/>
  </r>
  <r>
    <x v="420"/>
    <x v="1"/>
    <x v="1"/>
    <x v="33"/>
    <x v="4"/>
    <x v="5"/>
    <x v="0"/>
    <x v="1"/>
    <x v="0"/>
  </r>
  <r>
    <x v="421"/>
    <x v="2"/>
    <x v="3"/>
    <x v="13"/>
    <x v="0"/>
    <x v="0"/>
    <x v="0"/>
    <x v="0"/>
    <x v="0"/>
  </r>
  <r>
    <x v="422"/>
    <x v="2"/>
    <x v="4"/>
    <x v="31"/>
    <x v="0"/>
    <x v="0"/>
    <x v="0"/>
    <x v="0"/>
    <x v="0"/>
  </r>
  <r>
    <x v="423"/>
    <x v="2"/>
    <x v="8"/>
    <x v="23"/>
    <x v="0"/>
    <x v="0"/>
    <x v="0"/>
    <x v="0"/>
    <x v="0"/>
  </r>
  <r>
    <x v="424"/>
    <x v="2"/>
    <x v="3"/>
    <x v="9"/>
    <x v="0"/>
    <x v="0"/>
    <x v="0"/>
    <x v="0"/>
    <x v="0"/>
  </r>
  <r>
    <x v="425"/>
    <x v="2"/>
    <x v="4"/>
    <x v="66"/>
    <x v="0"/>
    <x v="0"/>
    <x v="0"/>
    <x v="0"/>
    <x v="0"/>
  </r>
  <r>
    <x v="426"/>
    <x v="2"/>
    <x v="8"/>
    <x v="17"/>
    <x v="0"/>
    <x v="0"/>
    <x v="0"/>
    <x v="0"/>
    <x v="0"/>
  </r>
  <r>
    <x v="427"/>
    <x v="1"/>
    <x v="1"/>
    <x v="53"/>
    <x v="2"/>
    <x v="2"/>
    <x v="2"/>
    <x v="0"/>
    <x v="0"/>
  </r>
  <r>
    <x v="428"/>
    <x v="2"/>
    <x v="8"/>
    <x v="20"/>
    <x v="0"/>
    <x v="0"/>
    <x v="0"/>
    <x v="0"/>
    <x v="0"/>
  </r>
  <r>
    <x v="429"/>
    <x v="1"/>
    <x v="1"/>
    <x v="27"/>
    <x v="0"/>
    <x v="0"/>
    <x v="0"/>
    <x v="0"/>
    <x v="0"/>
  </r>
  <r>
    <x v="430"/>
    <x v="2"/>
    <x v="8"/>
    <x v="30"/>
    <x v="0"/>
    <x v="0"/>
    <x v="0"/>
    <x v="0"/>
    <x v="0"/>
  </r>
  <r>
    <x v="431"/>
    <x v="2"/>
    <x v="4"/>
    <x v="55"/>
    <x v="0"/>
    <x v="0"/>
    <x v="0"/>
    <x v="0"/>
    <x v="0"/>
  </r>
  <r>
    <x v="432"/>
    <x v="1"/>
    <x v="1"/>
    <x v="19"/>
    <x v="0"/>
    <x v="0"/>
    <x v="0"/>
    <x v="0"/>
    <x v="0"/>
  </r>
  <r>
    <x v="433"/>
    <x v="2"/>
    <x v="2"/>
    <x v="71"/>
    <x v="0"/>
    <x v="0"/>
    <x v="0"/>
    <x v="0"/>
    <x v="0"/>
  </r>
  <r>
    <x v="434"/>
    <x v="2"/>
    <x v="8"/>
    <x v="23"/>
    <x v="0"/>
    <x v="0"/>
    <x v="0"/>
    <x v="0"/>
    <x v="0"/>
  </r>
  <r>
    <x v="435"/>
    <x v="2"/>
    <x v="8"/>
    <x v="23"/>
    <x v="1"/>
    <x v="1"/>
    <x v="4"/>
    <x v="0"/>
    <x v="0"/>
  </r>
  <r>
    <x v="436"/>
    <x v="1"/>
    <x v="1"/>
    <x v="26"/>
    <x v="4"/>
    <x v="5"/>
    <x v="0"/>
    <x v="1"/>
    <x v="0"/>
  </r>
  <r>
    <x v="437"/>
    <x v="2"/>
    <x v="8"/>
    <x v="93"/>
    <x v="0"/>
    <x v="0"/>
    <x v="0"/>
    <x v="0"/>
    <x v="0"/>
  </r>
  <r>
    <x v="438"/>
    <x v="1"/>
    <x v="1"/>
    <x v="27"/>
    <x v="1"/>
    <x v="1"/>
    <x v="1"/>
    <x v="0"/>
    <x v="0"/>
  </r>
  <r>
    <x v="439"/>
    <x v="1"/>
    <x v="1"/>
    <x v="9"/>
    <x v="4"/>
    <x v="5"/>
    <x v="0"/>
    <x v="1"/>
    <x v="0"/>
  </r>
  <r>
    <x v="440"/>
    <x v="2"/>
    <x v="8"/>
    <x v="17"/>
    <x v="1"/>
    <x v="1"/>
    <x v="1"/>
    <x v="0"/>
    <x v="0"/>
  </r>
  <r>
    <x v="441"/>
    <x v="1"/>
    <x v="9"/>
    <x v="69"/>
    <x v="3"/>
    <x v="3"/>
    <x v="0"/>
    <x v="1"/>
    <x v="0"/>
  </r>
  <r>
    <x v="442"/>
    <x v="2"/>
    <x v="8"/>
    <x v="93"/>
    <x v="3"/>
    <x v="3"/>
    <x v="0"/>
    <x v="1"/>
    <x v="0"/>
  </r>
  <r>
    <x v="443"/>
    <x v="2"/>
    <x v="3"/>
    <x v="13"/>
    <x v="0"/>
    <x v="0"/>
    <x v="0"/>
    <x v="0"/>
    <x v="0"/>
  </r>
  <r>
    <x v="444"/>
    <x v="3"/>
    <x v="11"/>
    <x v="87"/>
    <x v="0"/>
    <x v="0"/>
    <x v="0"/>
    <x v="0"/>
    <x v="0"/>
  </r>
  <r>
    <x v="445"/>
    <x v="2"/>
    <x v="4"/>
    <x v="31"/>
    <x v="1"/>
    <x v="1"/>
    <x v="1"/>
    <x v="0"/>
    <x v="0"/>
  </r>
  <r>
    <x v="446"/>
    <x v="3"/>
    <x v="11"/>
    <x v="73"/>
    <x v="3"/>
    <x v="3"/>
    <x v="0"/>
    <x v="1"/>
    <x v="0"/>
  </r>
  <r>
    <x v="447"/>
    <x v="2"/>
    <x v="8"/>
    <x v="39"/>
    <x v="1"/>
    <x v="1"/>
    <x v="1"/>
    <x v="0"/>
    <x v="0"/>
  </r>
  <r>
    <x v="448"/>
    <x v="1"/>
    <x v="1"/>
    <x v="9"/>
    <x v="0"/>
    <x v="0"/>
    <x v="0"/>
    <x v="0"/>
    <x v="0"/>
  </r>
  <r>
    <x v="449"/>
    <x v="2"/>
    <x v="4"/>
    <x v="31"/>
    <x v="0"/>
    <x v="0"/>
    <x v="0"/>
    <x v="0"/>
    <x v="0"/>
  </r>
  <r>
    <x v="450"/>
    <x v="2"/>
    <x v="2"/>
    <x v="58"/>
    <x v="0"/>
    <x v="0"/>
    <x v="0"/>
    <x v="0"/>
    <x v="0"/>
  </r>
  <r>
    <x v="451"/>
    <x v="3"/>
    <x v="11"/>
    <x v="22"/>
    <x v="3"/>
    <x v="3"/>
    <x v="0"/>
    <x v="1"/>
    <x v="0"/>
  </r>
  <r>
    <x v="452"/>
    <x v="3"/>
    <x v="11"/>
    <x v="70"/>
    <x v="3"/>
    <x v="3"/>
    <x v="0"/>
    <x v="1"/>
    <x v="0"/>
  </r>
  <r>
    <x v="453"/>
    <x v="2"/>
    <x v="8"/>
    <x v="20"/>
    <x v="0"/>
    <x v="0"/>
    <x v="0"/>
    <x v="0"/>
    <x v="0"/>
  </r>
  <r>
    <x v="454"/>
    <x v="1"/>
    <x v="1"/>
    <x v="19"/>
    <x v="0"/>
    <x v="0"/>
    <x v="0"/>
    <x v="0"/>
    <x v="0"/>
  </r>
  <r>
    <x v="455"/>
    <x v="3"/>
    <x v="11"/>
    <x v="73"/>
    <x v="0"/>
    <x v="0"/>
    <x v="0"/>
    <x v="0"/>
    <x v="0"/>
  </r>
  <r>
    <x v="456"/>
    <x v="1"/>
    <x v="9"/>
    <x v="69"/>
    <x v="1"/>
    <x v="1"/>
    <x v="1"/>
    <x v="0"/>
    <x v="0"/>
  </r>
  <r>
    <x v="457"/>
    <x v="2"/>
    <x v="4"/>
    <x v="6"/>
    <x v="4"/>
    <x v="7"/>
    <x v="0"/>
    <x v="1"/>
    <x v="0"/>
  </r>
  <r>
    <x v="458"/>
    <x v="3"/>
    <x v="11"/>
    <x v="73"/>
    <x v="0"/>
    <x v="0"/>
    <x v="0"/>
    <x v="0"/>
    <x v="0"/>
  </r>
  <r>
    <x v="459"/>
    <x v="1"/>
    <x v="1"/>
    <x v="8"/>
    <x v="0"/>
    <x v="0"/>
    <x v="0"/>
    <x v="0"/>
    <x v="0"/>
  </r>
  <r>
    <x v="460"/>
    <x v="2"/>
    <x v="4"/>
    <x v="31"/>
    <x v="3"/>
    <x v="3"/>
    <x v="0"/>
    <x v="1"/>
    <x v="0"/>
  </r>
  <r>
    <x v="461"/>
    <x v="1"/>
    <x v="1"/>
    <x v="8"/>
    <x v="0"/>
    <x v="0"/>
    <x v="0"/>
    <x v="0"/>
    <x v="0"/>
  </r>
  <r>
    <x v="462"/>
    <x v="1"/>
    <x v="6"/>
    <x v="94"/>
    <x v="3"/>
    <x v="3"/>
    <x v="0"/>
    <x v="1"/>
    <x v="0"/>
  </r>
  <r>
    <x v="463"/>
    <x v="2"/>
    <x v="4"/>
    <x v="61"/>
    <x v="0"/>
    <x v="0"/>
    <x v="0"/>
    <x v="0"/>
    <x v="0"/>
  </r>
  <r>
    <x v="464"/>
    <x v="2"/>
    <x v="8"/>
    <x v="9"/>
    <x v="0"/>
    <x v="0"/>
    <x v="0"/>
    <x v="0"/>
    <x v="0"/>
  </r>
  <r>
    <x v="465"/>
    <x v="1"/>
    <x v="9"/>
    <x v="34"/>
    <x v="0"/>
    <x v="0"/>
    <x v="0"/>
    <x v="0"/>
    <x v="0"/>
  </r>
  <r>
    <x v="466"/>
    <x v="2"/>
    <x v="2"/>
    <x v="74"/>
    <x v="1"/>
    <x v="1"/>
    <x v="4"/>
    <x v="0"/>
    <x v="0"/>
  </r>
  <r>
    <x v="467"/>
    <x v="1"/>
    <x v="6"/>
    <x v="41"/>
    <x v="0"/>
    <x v="0"/>
    <x v="3"/>
    <x v="0"/>
    <x v="0"/>
  </r>
  <r>
    <x v="468"/>
    <x v="2"/>
    <x v="4"/>
    <x v="4"/>
    <x v="0"/>
    <x v="0"/>
    <x v="0"/>
    <x v="0"/>
    <x v="0"/>
  </r>
  <r>
    <x v="469"/>
    <x v="0"/>
    <x v="10"/>
    <x v="89"/>
    <x v="0"/>
    <x v="0"/>
    <x v="0"/>
    <x v="0"/>
    <x v="0"/>
  </r>
  <r>
    <x v="470"/>
    <x v="2"/>
    <x v="4"/>
    <x v="66"/>
    <x v="0"/>
    <x v="0"/>
    <x v="0"/>
    <x v="0"/>
    <x v="0"/>
  </r>
  <r>
    <x v="471"/>
    <x v="1"/>
    <x v="1"/>
    <x v="53"/>
    <x v="0"/>
    <x v="0"/>
    <x v="0"/>
    <x v="0"/>
    <x v="0"/>
  </r>
  <r>
    <x v="472"/>
    <x v="0"/>
    <x v="5"/>
    <x v="51"/>
    <x v="0"/>
    <x v="0"/>
    <x v="0"/>
    <x v="0"/>
    <x v="0"/>
  </r>
  <r>
    <x v="473"/>
    <x v="0"/>
    <x v="5"/>
    <x v="95"/>
    <x v="3"/>
    <x v="3"/>
    <x v="0"/>
    <x v="1"/>
    <x v="0"/>
  </r>
  <r>
    <x v="474"/>
    <x v="1"/>
    <x v="9"/>
    <x v="37"/>
    <x v="3"/>
    <x v="3"/>
    <x v="0"/>
    <x v="1"/>
    <x v="0"/>
  </r>
  <r>
    <x v="475"/>
    <x v="2"/>
    <x v="8"/>
    <x v="96"/>
    <x v="0"/>
    <x v="0"/>
    <x v="0"/>
    <x v="0"/>
    <x v="0"/>
  </r>
  <r>
    <x v="476"/>
    <x v="1"/>
    <x v="6"/>
    <x v="54"/>
    <x v="0"/>
    <x v="0"/>
    <x v="0"/>
    <x v="0"/>
    <x v="0"/>
  </r>
  <r>
    <x v="477"/>
    <x v="2"/>
    <x v="8"/>
    <x v="23"/>
    <x v="0"/>
    <x v="0"/>
    <x v="0"/>
    <x v="0"/>
    <x v="0"/>
  </r>
  <r>
    <x v="478"/>
    <x v="1"/>
    <x v="1"/>
    <x v="53"/>
    <x v="0"/>
    <x v="0"/>
    <x v="0"/>
    <x v="0"/>
    <x v="0"/>
  </r>
  <r>
    <x v="479"/>
    <x v="2"/>
    <x v="8"/>
    <x v="76"/>
    <x v="3"/>
    <x v="3"/>
    <x v="0"/>
    <x v="1"/>
    <x v="0"/>
  </r>
  <r>
    <x v="480"/>
    <x v="2"/>
    <x v="8"/>
    <x v="96"/>
    <x v="4"/>
    <x v="5"/>
    <x v="0"/>
    <x v="1"/>
    <x v="0"/>
  </r>
  <r>
    <x v="481"/>
    <x v="1"/>
    <x v="9"/>
    <x v="14"/>
    <x v="3"/>
    <x v="3"/>
    <x v="0"/>
    <x v="1"/>
    <x v="0"/>
  </r>
  <r>
    <x v="482"/>
    <x v="2"/>
    <x v="8"/>
    <x v="15"/>
    <x v="0"/>
    <x v="0"/>
    <x v="0"/>
    <x v="0"/>
    <x v="0"/>
  </r>
  <r>
    <x v="483"/>
    <x v="1"/>
    <x v="1"/>
    <x v="19"/>
    <x v="2"/>
    <x v="2"/>
    <x v="2"/>
    <x v="0"/>
    <x v="0"/>
  </r>
  <r>
    <x v="484"/>
    <x v="3"/>
    <x v="7"/>
    <x v="97"/>
    <x v="3"/>
    <x v="3"/>
    <x v="0"/>
    <x v="1"/>
    <x v="0"/>
  </r>
  <r>
    <x v="485"/>
    <x v="2"/>
    <x v="3"/>
    <x v="13"/>
    <x v="0"/>
    <x v="0"/>
    <x v="0"/>
    <x v="0"/>
    <x v="0"/>
  </r>
  <r>
    <x v="486"/>
    <x v="1"/>
    <x v="1"/>
    <x v="9"/>
    <x v="0"/>
    <x v="0"/>
    <x v="0"/>
    <x v="0"/>
    <x v="0"/>
  </r>
  <r>
    <x v="487"/>
    <x v="1"/>
    <x v="9"/>
    <x v="14"/>
    <x v="0"/>
    <x v="0"/>
    <x v="0"/>
    <x v="0"/>
    <x v="0"/>
  </r>
  <r>
    <x v="488"/>
    <x v="1"/>
    <x v="1"/>
    <x v="1"/>
    <x v="0"/>
    <x v="0"/>
    <x v="0"/>
    <x v="0"/>
    <x v="0"/>
  </r>
  <r>
    <x v="489"/>
    <x v="1"/>
    <x v="1"/>
    <x v="1"/>
    <x v="0"/>
    <x v="0"/>
    <x v="0"/>
    <x v="0"/>
    <x v="0"/>
  </r>
  <r>
    <x v="490"/>
    <x v="0"/>
    <x v="0"/>
    <x v="85"/>
    <x v="0"/>
    <x v="0"/>
    <x v="0"/>
    <x v="0"/>
    <x v="0"/>
  </r>
  <r>
    <x v="491"/>
    <x v="2"/>
    <x v="3"/>
    <x v="13"/>
    <x v="0"/>
    <x v="0"/>
    <x v="0"/>
    <x v="0"/>
    <x v="0"/>
  </r>
  <r>
    <x v="492"/>
    <x v="1"/>
    <x v="9"/>
    <x v="53"/>
    <x v="0"/>
    <x v="0"/>
    <x v="0"/>
    <x v="0"/>
    <x v="0"/>
  </r>
  <r>
    <x v="493"/>
    <x v="2"/>
    <x v="4"/>
    <x v="31"/>
    <x v="0"/>
    <x v="0"/>
    <x v="0"/>
    <x v="0"/>
    <x v="0"/>
  </r>
  <r>
    <x v="494"/>
    <x v="2"/>
    <x v="4"/>
    <x v="55"/>
    <x v="0"/>
    <x v="0"/>
    <x v="0"/>
    <x v="0"/>
    <x v="0"/>
  </r>
  <r>
    <x v="495"/>
    <x v="2"/>
    <x v="8"/>
    <x v="39"/>
    <x v="0"/>
    <x v="0"/>
    <x v="0"/>
    <x v="0"/>
    <x v="0"/>
  </r>
  <r>
    <x v="496"/>
    <x v="3"/>
    <x v="11"/>
    <x v="50"/>
    <x v="0"/>
    <x v="0"/>
    <x v="0"/>
    <x v="0"/>
    <x v="0"/>
  </r>
  <r>
    <x v="497"/>
    <x v="4"/>
    <x v="13"/>
    <x v="98"/>
    <x v="5"/>
    <x v="9"/>
    <x v="0"/>
    <x v="7"/>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Mapeamento" cacheId="1" autoFormatId="1" applyNumberFormats="0" applyBorderFormats="0" applyFontFormats="0" applyPatternFormats="0" applyAlignmentFormats="0" applyWidthHeightFormats="1" dataCaption="" updatedVersion="5" rowGrandTotals="0" compact="0" compactData="0" showDrill="1">
  <location ref="A1:E107" firstHeaderRow="1" firstDataRow="1" firstDataCol="5"/>
  <pivotFields count="9">
    <pivotField axis="axisRow" compact="0" sortType="ascending" defaultSubtotal="0" outline="0" multipleItemSelectionAllowed="1" showAll="0">
      <items count="49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s>
    </pivotField>
    <pivotField axis="axisRow" compact="0" sortType="ascending" defaultSubtotal="0" outline="0" multipleItemSelectionAllowed="1" numFmtId="188" showAll="0">
      <items count="5">
        <item x="3"/>
        <item x="1"/>
        <item x="0"/>
        <item x="2"/>
        <item x="4"/>
      </items>
    </pivotField>
    <pivotField axis="axisRow" compact="0" sortType="ascending" defaultSubtotal="0" outline="0" multipleItemSelectionAllowed="1" showAll="0">
      <items count="14">
        <item x="0"/>
        <item x="4"/>
        <item x="3"/>
        <item x="5"/>
        <item x="12"/>
        <item x="6"/>
        <item x="10"/>
        <item x="2"/>
        <item x="9"/>
        <item x="8"/>
        <item x="1"/>
        <item x="7"/>
        <item x="11"/>
        <item x="13"/>
      </items>
    </pivotField>
    <pivotField axis="axisRow" compact="0" sortType="ascending" outline="0" multipleItemSelectionAllowed="1" showAll="0">
      <items count="100">
        <item x="5"/>
        <item x="11"/>
        <item x="0"/>
        <item x="32"/>
        <item x="29"/>
        <item x="42"/>
        <item x="44"/>
        <item x="45"/>
        <item x="17"/>
        <item x="47"/>
        <item x="46"/>
        <item x="48"/>
        <item x="49"/>
        <item x="50"/>
        <item x="7"/>
        <item x="54"/>
        <item x="28"/>
        <item x="36"/>
        <item x="59"/>
        <item x="60"/>
        <item x="15"/>
        <item x="12"/>
        <item x="19"/>
        <item x="62"/>
        <item x="63"/>
        <item x="39"/>
        <item x="10"/>
        <item x="16"/>
        <item x="13"/>
        <item x="27"/>
        <item x="66"/>
        <item x="68"/>
        <item x="67"/>
        <item x="30"/>
        <item x="53"/>
        <item x="61"/>
        <item x="64"/>
        <item x="3"/>
        <item x="72"/>
        <item x="75"/>
        <item x="25"/>
        <item x="74"/>
        <item x="34"/>
        <item x="20"/>
        <item x="41"/>
        <item x="8"/>
        <item x="77"/>
        <item x="78"/>
        <item x="79"/>
        <item x="35"/>
        <item x="57"/>
        <item x="81"/>
        <item x="1"/>
        <item x="21"/>
        <item x="38"/>
        <item x="82"/>
        <item x="83"/>
        <item x="2"/>
        <item x="84"/>
        <item x="80"/>
        <item x="43"/>
        <item x="23"/>
        <item x="71"/>
        <item x="4"/>
        <item x="56"/>
        <item x="86"/>
        <item x="51"/>
        <item x="55"/>
        <item x="52"/>
        <item x="65"/>
        <item x="85"/>
        <item x="24"/>
        <item x="87"/>
        <item x="88"/>
        <item x="89"/>
        <item x="40"/>
        <item x="90"/>
        <item x="58"/>
        <item x="91"/>
        <item x="18"/>
        <item x="92"/>
        <item x="33"/>
        <item x="26"/>
        <item x="9"/>
        <item x="69"/>
        <item x="93"/>
        <item x="73"/>
        <item x="22"/>
        <item x="70"/>
        <item x="6"/>
        <item x="31"/>
        <item x="94"/>
        <item x="95"/>
        <item x="37"/>
        <item x="76"/>
        <item x="96"/>
        <item x="14"/>
        <item x="97"/>
        <item x="98"/>
        <item t="default"/>
      </items>
    </pivotField>
    <pivotField compact="0" outline="0" multipleItemSelectionAllowed="1" showAll="0"/>
    <pivotField compact="0" outline="0" multipleItemSelectionAllowed="1" showAll="0"/>
    <pivotField axis="axisRow" compact="0" sortType="ascending" defaultSubtotal="0" outline="0" multipleItemSelectionAllowed="1" showAll="0">
      <items count="5">
        <item x="2"/>
        <item x="3"/>
        <item x="1"/>
        <item x="4"/>
        <item h="1" x="0"/>
      </items>
    </pivotField>
    <pivotField compact="0" outline="0" multipleItemSelectionAllowed="1" showAll="0"/>
    <pivotField compact="0" outline="0" multipleItemSelectionAllowed="1" showAll="0"/>
  </pivotFields>
  <rowFields count="5">
    <field x="6"/>
    <field x="0"/>
    <field x="2"/>
    <field x="1"/>
    <field x="3"/>
  </rowFields>
  <rowItems count="106">
    <i>
      <x/>
      <x v="3"/>
      <x v="2"/>
      <x v="3"/>
      <x v="37"/>
    </i>
    <i r="1">
      <x v="17"/>
      <x v="9"/>
      <x v="3"/>
      <x v="8"/>
    </i>
    <i r="1">
      <x v="18"/>
      <x v="5"/>
      <x v="1"/>
      <x v="79"/>
    </i>
    <i r="1">
      <x v="19"/>
      <x v="10"/>
      <x v="1"/>
      <x v="22"/>
    </i>
    <i r="1">
      <x v="20"/>
      <x v="9"/>
      <x v="3"/>
      <x v="43"/>
    </i>
    <i r="1">
      <x v="22"/>
      <x v="12"/>
      <x/>
      <x v="87"/>
    </i>
    <i r="1">
      <x v="25"/>
      <x v="6"/>
      <x v="2"/>
      <x v="40"/>
    </i>
    <i r="1">
      <x v="28"/>
      <x v="10"/>
      <x v="1"/>
      <x v="29"/>
    </i>
    <i r="1">
      <x v="30"/>
      <x v="12"/>
      <x/>
      <x v="16"/>
    </i>
    <i r="1">
      <x v="32"/>
      <x v="10"/>
      <x v="1"/>
      <x v="22"/>
    </i>
    <i r="1">
      <x v="40"/>
      <x v="10"/>
      <x v="1"/>
      <x v="82"/>
    </i>
    <i r="1">
      <x v="48"/>
      <x v="8"/>
      <x v="1"/>
      <x v="93"/>
    </i>
    <i r="1">
      <x v="59"/>
      <x/>
      <x v="2"/>
      <x v="60"/>
    </i>
    <i r="1">
      <x v="67"/>
      <x v="8"/>
      <x v="1"/>
      <x v="10"/>
    </i>
    <i r="1">
      <x v="73"/>
      <x v="10"/>
      <x v="1"/>
      <x v="83"/>
    </i>
    <i r="1">
      <x v="92"/>
      <x v="10"/>
      <x v="1"/>
      <x v="34"/>
    </i>
    <i r="1">
      <x v="101"/>
      <x v="1"/>
      <x v="3"/>
      <x v="67"/>
    </i>
    <i r="1">
      <x v="105"/>
      <x v="2"/>
      <x v="3"/>
      <x v="37"/>
    </i>
    <i r="1">
      <x v="113"/>
      <x v="10"/>
      <x v="1"/>
      <x v="81"/>
    </i>
    <i r="1">
      <x v="121"/>
      <x v="1"/>
      <x v="3"/>
      <x v="90"/>
    </i>
    <i r="1">
      <x v="149"/>
      <x v="10"/>
      <x v="1"/>
      <x v="45"/>
    </i>
    <i r="1">
      <x v="163"/>
      <x v="10"/>
      <x v="1"/>
      <x v="45"/>
    </i>
    <i r="1">
      <x v="165"/>
      <x v="5"/>
      <x v="1"/>
      <x v="26"/>
    </i>
    <i r="1">
      <x v="175"/>
      <x v="10"/>
      <x v="1"/>
      <x v="22"/>
    </i>
    <i r="1">
      <x v="220"/>
      <x v="10"/>
      <x v="1"/>
      <x v="22"/>
    </i>
    <i r="1">
      <x v="242"/>
      <x v="5"/>
      <x v="1"/>
      <x v="44"/>
    </i>
    <i r="1">
      <x v="255"/>
      <x v="10"/>
      <x v="1"/>
      <x v="34"/>
    </i>
    <i r="1">
      <x v="259"/>
      <x v="10"/>
      <x v="1"/>
      <x v="82"/>
    </i>
    <i r="1">
      <x v="265"/>
      <x v="8"/>
      <x v="1"/>
      <x v="93"/>
    </i>
    <i r="1">
      <x v="267"/>
      <x v="10"/>
      <x v="1"/>
      <x v="14"/>
    </i>
    <i r="1">
      <x v="338"/>
      <x v="2"/>
      <x v="3"/>
      <x v="36"/>
    </i>
    <i r="1">
      <x v="356"/>
      <x v="2"/>
      <x v="3"/>
      <x v="17"/>
    </i>
    <i r="1">
      <x v="359"/>
      <x v="8"/>
      <x v="1"/>
      <x v="42"/>
    </i>
    <i r="1">
      <x v="360"/>
      <x v="2"/>
      <x v="3"/>
      <x v="50"/>
    </i>
    <i r="1">
      <x v="378"/>
      <x v="2"/>
      <x v="3"/>
      <x v="37"/>
    </i>
    <i r="1">
      <x v="379"/>
      <x v="1"/>
      <x v="3"/>
      <x v="63"/>
    </i>
    <i r="1">
      <x v="380"/>
      <x v="8"/>
      <x v="1"/>
      <x v="42"/>
    </i>
    <i r="1">
      <x v="387"/>
      <x v="8"/>
      <x v="1"/>
      <x v="42"/>
    </i>
    <i r="1">
      <x v="403"/>
      <x v="7"/>
      <x v="3"/>
      <x v="62"/>
    </i>
    <i r="1">
      <x v="427"/>
      <x v="10"/>
      <x v="1"/>
      <x v="34"/>
    </i>
    <i r="1">
      <x v="483"/>
      <x v="10"/>
      <x v="1"/>
      <x v="22"/>
    </i>
    <i>
      <x v="1"/>
      <x v="16"/>
      <x v="8"/>
      <x v="1"/>
      <x v="27"/>
    </i>
    <i r="1">
      <x v="84"/>
      <x v="6"/>
      <x v="2"/>
      <x v="53"/>
    </i>
    <i r="1">
      <x v="102"/>
      <x v="10"/>
      <x v="1"/>
      <x v="14"/>
    </i>
    <i r="1">
      <x v="180"/>
      <x v="11"/>
      <x/>
      <x v="32"/>
    </i>
    <i r="1">
      <x v="230"/>
      <x v="9"/>
      <x v="3"/>
      <x v="82"/>
    </i>
    <i r="1">
      <x v="233"/>
      <x/>
      <x v="2"/>
      <x v="5"/>
    </i>
    <i r="1">
      <x v="237"/>
      <x v="3"/>
      <x v="2"/>
      <x v="38"/>
    </i>
    <i r="1">
      <x v="248"/>
      <x v="3"/>
      <x v="2"/>
      <x v="77"/>
    </i>
    <i r="1">
      <x v="263"/>
      <x v="12"/>
      <x/>
      <x v="16"/>
    </i>
    <i r="1">
      <x v="283"/>
      <x v="8"/>
      <x v="1"/>
      <x v="26"/>
    </i>
    <i r="1">
      <x v="298"/>
      <x v="8"/>
      <x v="1"/>
      <x v="96"/>
    </i>
    <i r="1">
      <x v="384"/>
      <x v="8"/>
      <x v="1"/>
      <x v="10"/>
    </i>
    <i r="1">
      <x v="404"/>
      <x v="1"/>
      <x v="3"/>
      <x v="67"/>
    </i>
    <i r="1">
      <x v="413"/>
      <x v="10"/>
      <x v="1"/>
      <x v="22"/>
    </i>
    <i r="1">
      <x v="467"/>
      <x v="5"/>
      <x v="1"/>
      <x v="44"/>
    </i>
    <i>
      <x v="2"/>
      <x v="2"/>
      <x v="7"/>
      <x v="3"/>
      <x v="57"/>
    </i>
    <i r="1">
      <x v="10"/>
      <x v="5"/>
      <x v="1"/>
      <x v="26"/>
    </i>
    <i r="1">
      <x v="24"/>
      <x v="9"/>
      <x v="3"/>
      <x v="71"/>
    </i>
    <i r="1">
      <x v="39"/>
      <x v="8"/>
      <x v="1"/>
      <x v="42"/>
    </i>
    <i r="1">
      <x v="49"/>
      <x v="5"/>
      <x v="1"/>
      <x v="54"/>
    </i>
    <i r="1">
      <x v="57"/>
      <x v="9"/>
      <x v="3"/>
      <x v="71"/>
    </i>
    <i r="1">
      <x v="62"/>
      <x v="8"/>
      <x v="1"/>
      <x v="42"/>
    </i>
    <i r="1">
      <x v="76"/>
      <x/>
      <x v="2"/>
      <x v="2"/>
    </i>
    <i r="1">
      <x v="90"/>
      <x v="8"/>
      <x v="1"/>
      <x v="4"/>
    </i>
    <i r="1">
      <x v="103"/>
      <x v="9"/>
      <x v="3"/>
      <x v="71"/>
    </i>
    <i r="1">
      <x v="140"/>
      <x v="9"/>
      <x v="3"/>
      <x v="33"/>
    </i>
    <i r="1">
      <x v="162"/>
      <x v="7"/>
      <x v="3"/>
      <x v="57"/>
    </i>
    <i r="1">
      <x v="173"/>
      <x v="8"/>
      <x v="1"/>
      <x v="4"/>
    </i>
    <i r="1">
      <x v="176"/>
      <x v="9"/>
      <x v="3"/>
      <x v="71"/>
    </i>
    <i r="1">
      <x v="189"/>
      <x v="5"/>
      <x v="1"/>
      <x v="44"/>
    </i>
    <i r="1">
      <x v="200"/>
      <x v="8"/>
      <x v="1"/>
      <x v="84"/>
    </i>
    <i r="1">
      <x v="213"/>
      <x v="3"/>
      <x v="2"/>
      <x v="38"/>
    </i>
    <i r="1">
      <x v="223"/>
      <x v="8"/>
      <x v="1"/>
      <x v="93"/>
    </i>
    <i r="1">
      <x v="243"/>
      <x v="10"/>
      <x v="1"/>
      <x v="52"/>
    </i>
    <i r="1">
      <x v="244"/>
      <x v="10"/>
      <x v="1"/>
      <x v="22"/>
    </i>
    <i r="1">
      <x v="245"/>
      <x v="9"/>
      <x v="3"/>
      <x v="33"/>
    </i>
    <i r="1">
      <x v="277"/>
      <x v="5"/>
      <x v="1"/>
      <x v="79"/>
    </i>
    <i r="1">
      <x v="280"/>
      <x v="8"/>
      <x v="1"/>
      <x v="31"/>
    </i>
    <i r="1">
      <x v="286"/>
      <x v="7"/>
      <x v="3"/>
      <x v="6"/>
    </i>
    <i r="1">
      <x v="299"/>
      <x v="7"/>
      <x v="3"/>
      <x v="57"/>
    </i>
    <i r="1">
      <x v="349"/>
      <x v="8"/>
      <x v="1"/>
      <x v="84"/>
    </i>
    <i r="1">
      <x v="358"/>
      <x v="5"/>
      <x v="1"/>
      <x v="44"/>
    </i>
    <i r="1">
      <x v="392"/>
      <x v="5"/>
      <x v="1"/>
      <x v="39"/>
    </i>
    <i r="1">
      <x v="395"/>
      <x v="8"/>
      <x v="1"/>
      <x v="42"/>
    </i>
    <i r="1">
      <x v="397"/>
      <x v="8"/>
      <x v="1"/>
      <x v="93"/>
    </i>
    <i r="1">
      <x v="411"/>
      <x v="5"/>
      <x v="1"/>
      <x v="54"/>
    </i>
    <i r="1">
      <x v="416"/>
      <x v="5"/>
      <x v="1"/>
      <x v="26"/>
    </i>
    <i r="1">
      <x v="438"/>
      <x v="10"/>
      <x v="1"/>
      <x v="29"/>
    </i>
    <i r="1">
      <x v="440"/>
      <x v="9"/>
      <x v="3"/>
      <x v="8"/>
    </i>
    <i r="1">
      <x v="445"/>
      <x v="1"/>
      <x v="3"/>
      <x v="90"/>
    </i>
    <i r="1">
      <x v="447"/>
      <x v="9"/>
      <x v="3"/>
      <x v="25"/>
    </i>
    <i r="1">
      <x v="456"/>
      <x v="8"/>
      <x v="1"/>
      <x v="84"/>
    </i>
    <i>
      <x v="3"/>
      <x v="23"/>
      <x v="9"/>
      <x v="3"/>
      <x v="61"/>
    </i>
    <i r="1">
      <x v="26"/>
      <x v="10"/>
      <x v="1"/>
      <x v="82"/>
    </i>
    <i r="1">
      <x v="70"/>
      <x v="10"/>
      <x v="1"/>
      <x v="22"/>
    </i>
    <i r="1">
      <x v="74"/>
      <x v="9"/>
      <x v="3"/>
      <x v="61"/>
    </i>
    <i r="1">
      <x v="110"/>
      <x v="9"/>
      <x v="3"/>
      <x v="25"/>
    </i>
    <i r="1">
      <x v="204"/>
      <x v="9"/>
      <x v="3"/>
      <x v="25"/>
    </i>
    <i r="1">
      <x v="238"/>
      <x v="10"/>
      <x v="1"/>
      <x v="42"/>
    </i>
    <i r="1">
      <x v="281"/>
      <x v="8"/>
      <x v="1"/>
      <x v="96"/>
    </i>
    <i r="1">
      <x v="303"/>
      <x v="9"/>
      <x v="3"/>
      <x v="61"/>
    </i>
    <i r="1">
      <x v="311"/>
      <x v="8"/>
      <x v="1"/>
      <x v="18"/>
    </i>
    <i r="1">
      <x v="329"/>
      <x v="1"/>
      <x v="3"/>
      <x v="75"/>
    </i>
    <i r="1">
      <x v="435"/>
      <x v="9"/>
      <x v="3"/>
      <x v="61"/>
    </i>
    <i r="1">
      <x v="466"/>
      <x v="7"/>
      <x v="3"/>
      <x v="41"/>
    </i>
  </rowItems>
  <colItems count="1">
    <i/>
  </colItems>
  <pivotTableStyleInfo showRowHeaders="1" showColHeaders="1" showLastColumn="1"/>
</pivotTableDefinition>
</file>

<file path=xl/pivotTables/pivotTable2.xml><?xml version="1.0" encoding="utf-8"?>
<pivotTableDefinition xmlns="http://schemas.openxmlformats.org/spreadsheetml/2006/main" name="Comunitário Existentes" cacheId="0" autoFormatId="1" applyNumberFormats="0" applyBorderFormats="0" applyFontFormats="0" applyPatternFormats="0" applyAlignmentFormats="0" applyWidthHeightFormats="1" dataCaption="" updatedVersion="5" colGrandTotals="0" compact="0" compactData="0" showDrill="1">
  <location ref="G1:H28" firstHeaderRow="1" firstDataRow="2" firstDataCol="1"/>
  <pivotFields count="5">
    <pivotField axis="axisRow" dataField="1" compact="0" sortType="ascending" outline="0" multipleItemSelectionAllowed="1" showAll="0">
      <items count="49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t="default"/>
      </items>
    </pivotField>
    <pivotField compact="0" outline="0" multipleItemSelectionAllowed="1" numFmtId="188" showAll="0"/>
    <pivotField compact="0" outline="0" multipleItemSelectionAllowed="1" showAll="0"/>
    <pivotField compact="0" outline="0" multipleItemSelectionAllowed="1" showAll="0"/>
    <pivotField axis="axisCol" compact="0" sortType="ascending" outline="0" multipleItemSelectionAllowed="1" showAll="0">
      <items count="7">
        <item x="4"/>
        <item h="1" x="3"/>
        <item h="1" x="0"/>
        <item h="1" x="2"/>
        <item h="1" x="1"/>
        <item h="1" x="5"/>
        <item t="default"/>
      </items>
    </pivotField>
  </pivotFields>
  <rowFields count="1">
    <field x="0"/>
  </rowFields>
  <rowItems count="26">
    <i>
      <x v="35"/>
    </i>
    <i>
      <x v="65"/>
    </i>
    <i>
      <x v="71"/>
    </i>
    <i>
      <x v="77"/>
    </i>
    <i>
      <x v="131"/>
    </i>
    <i>
      <x v="141"/>
    </i>
    <i>
      <x v="142"/>
    </i>
    <i>
      <x v="155"/>
    </i>
    <i>
      <x v="178"/>
    </i>
    <i>
      <x v="199"/>
    </i>
    <i>
      <x v="213"/>
    </i>
    <i>
      <x v="217"/>
    </i>
    <i>
      <x v="226"/>
    </i>
    <i>
      <x v="258"/>
    </i>
    <i>
      <x v="269"/>
    </i>
    <i>
      <x v="301"/>
    </i>
    <i>
      <x v="324"/>
    </i>
    <i>
      <x v="341"/>
    </i>
    <i>
      <x v="401"/>
    </i>
    <i>
      <x v="412"/>
    </i>
    <i>
      <x v="420"/>
    </i>
    <i>
      <x v="436"/>
    </i>
    <i>
      <x v="439"/>
    </i>
    <i>
      <x v="457"/>
    </i>
    <i>
      <x v="480"/>
    </i>
    <i t="grand">
      <x/>
    </i>
  </rowItems>
  <colFields count="1">
    <field x="4"/>
  </colFields>
  <colItems count="1">
    <i>
      <x/>
    </i>
  </colItems>
  <dataFields count="1">
    <dataField name="COUNTA of Município" fld="0" subtotal="count" baseField="0" baseItem="0"/>
  </dataFields>
  <pivotTableStyleInfo showRowHeaders="1" showColHeaders="1" showLastColumn="1"/>
</pivotTableDefinition>
</file>

<file path=xl/tables/table1.xml><?xml version="1.0" encoding="utf-8"?>
<table xmlns="http://schemas.openxmlformats.org/spreadsheetml/2006/main" id="1" name="Table_1" displayName="Table_1" ref="C39:F50" headerRowCount="0">
  <tableColumns count="4">
    <tableColumn id="1" name="Column1"/>
    <tableColumn id="2" name="Column2"/>
    <tableColumn id="3" name="Column3"/>
    <tableColumn id="4" name="Column4"/>
  </tableColumns>
  <tableStyleInfo name="Dashboard Ensin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0.xml.rels><?xml version="1.0" encoding="UTF-8" standalone="yes"?>
<Relationships xmlns="http://schemas.openxmlformats.org/package/2006/relationships"><Relationship Id="rId9" Type="http://schemas.openxmlformats.org/officeDocument/2006/relationships/hyperlink" Target="mailto:uilrobson193@gmail.com" TargetMode="External"/><Relationship Id="rId8" Type="http://schemas.openxmlformats.org/officeDocument/2006/relationships/hyperlink" Target="mailto:sergiosclh@gmail.com" TargetMode="External"/><Relationship Id="rId7" Type="http://schemas.openxmlformats.org/officeDocument/2006/relationships/hyperlink" Target="mailto:felipe.azevedo.tk@gmail.com" TargetMode="External"/><Relationship Id="rId6" Type="http://schemas.openxmlformats.org/officeDocument/2006/relationships/hyperlink" Target="mailto:leonardoreusd@gmail.com" TargetMode="External"/><Relationship Id="rId5" Type="http://schemas.openxmlformats.org/officeDocument/2006/relationships/hyperlink" Target="mailto:gr057083@gmail.com" TargetMode="External"/><Relationship Id="rId4" Type="http://schemas.openxmlformats.org/officeDocument/2006/relationships/hyperlink" Target="mailto:emerson.schutt@gmail.com" TargetMode="External"/><Relationship Id="rId34" Type="http://schemas.openxmlformats.org/officeDocument/2006/relationships/hyperlink" Target="mailto:leandrosilva2695@gmail.com" TargetMode="External"/><Relationship Id="rId33" Type="http://schemas.openxmlformats.org/officeDocument/2006/relationships/hyperlink" Target="mailto:jucimarabarretopedroso819@gmail.com" TargetMode="External"/><Relationship Id="rId32" Type="http://schemas.openxmlformats.org/officeDocument/2006/relationships/hyperlink" Target="mailto:silva.giovane@hotmail.com" TargetMode="External"/><Relationship Id="rId31" Type="http://schemas.openxmlformats.org/officeDocument/2006/relationships/hyperlink" Target="mailto:evellyn-ndsmorais@educar.rs.gov.br" TargetMode="External"/><Relationship Id="rId30" Type="http://schemas.openxmlformats.org/officeDocument/2006/relationships/hyperlink" Target="mailto:nogueraian@gmail.com" TargetMode="External"/><Relationship Id="rId3" Type="http://schemas.openxmlformats.org/officeDocument/2006/relationships/hyperlink" Target="mailto:dgoncalvesbc61@gmail.com" TargetMode="External"/><Relationship Id="rId29" Type="http://schemas.openxmlformats.org/officeDocument/2006/relationships/hyperlink" Target="mailto:roger_malta@hotmail.com" TargetMode="External"/><Relationship Id="rId28" Type="http://schemas.openxmlformats.org/officeDocument/2006/relationships/hyperlink" Target="mailto:robsonordoqui@gmail.com" TargetMode="External"/><Relationship Id="rId27" Type="http://schemas.openxmlformats.org/officeDocument/2006/relationships/hyperlink" Target="mailto:gabriel.escouto59@gmail.com" TargetMode="External"/><Relationship Id="rId26" Type="http://schemas.openxmlformats.org/officeDocument/2006/relationships/hyperlink" Target="mailto:giancarlogreiner388@gmail.com" TargetMode="External"/><Relationship Id="rId25" Type="http://schemas.openxmlformats.org/officeDocument/2006/relationships/hyperlink" Target="mailto:felipecarneiro193@gmail.com" TargetMode="External"/><Relationship Id="rId24" Type="http://schemas.openxmlformats.org/officeDocument/2006/relationships/hyperlink" Target="mailto:brunnobrasil6@gmail.com" TargetMode="External"/><Relationship Id="rId23" Type="http://schemas.openxmlformats.org/officeDocument/2006/relationships/hyperlink" Target="mailto:aguinaldothomas762@gmail.com" TargetMode="External"/><Relationship Id="rId22" Type="http://schemas.openxmlformats.org/officeDocument/2006/relationships/hyperlink" Target="mailto:sirlanegodinho29@hotmail.com" TargetMode="External"/><Relationship Id="rId21" Type="http://schemas.openxmlformats.org/officeDocument/2006/relationships/hyperlink" Target="mailto:sindovalpereira1976@gmail.com" TargetMode="External"/><Relationship Id="rId20" Type="http://schemas.openxmlformats.org/officeDocument/2006/relationships/hyperlink" Target="mailto:rdn.cst@gmail.com" TargetMode="External"/><Relationship Id="rId2" Type="http://schemas.openxmlformats.org/officeDocument/2006/relationships/hyperlink" Target="mailto:diegobombeiro@gmail.com" TargetMode="External"/><Relationship Id="rId19" Type="http://schemas.openxmlformats.org/officeDocument/2006/relationships/hyperlink" Target="mailto:marielimelo2019@gmail.com" TargetMode="External"/><Relationship Id="rId18" Type="http://schemas.openxmlformats.org/officeDocument/2006/relationships/hyperlink" Target="mailto:cristianoflores88@gmail.com" TargetMode="External"/><Relationship Id="rId17" Type="http://schemas.openxmlformats.org/officeDocument/2006/relationships/hyperlink" Target="mailto:jefersoncosta802@gmail.com" TargetMode="External"/><Relationship Id="rId16" Type="http://schemas.openxmlformats.org/officeDocument/2006/relationships/hyperlink" Target="mailto:fernandorubeiro1987@gmail.com" TargetMode="External"/><Relationship Id="rId15" Type="http://schemas.openxmlformats.org/officeDocument/2006/relationships/hyperlink" Target="http://williane.tst.rs/" TargetMode="External"/><Relationship Id="rId14" Type="http://schemas.openxmlformats.org/officeDocument/2006/relationships/hyperlink" Target="mailto:elenisecabral@hotmail.com" TargetMode="External"/><Relationship Id="rId13" Type="http://schemas.openxmlformats.org/officeDocument/2006/relationships/hyperlink" Target="mailto:douglas.pinter@hotmail.com" TargetMode="External"/><Relationship Id="rId12" Type="http://schemas.openxmlformats.org/officeDocument/2006/relationships/hyperlink" Target="mailto:dieniferoliveira194@gmail.com" TargetMode="External"/><Relationship Id="rId11" Type="http://schemas.openxmlformats.org/officeDocument/2006/relationships/hyperlink" Target="mailto:william_natanael23@yahoo.com.br" TargetMode="External"/><Relationship Id="rId10" Type="http://schemas.openxmlformats.org/officeDocument/2006/relationships/hyperlink" Target="mailto:valmirbombeiro46@gmail.com" TargetMode="External"/><Relationship Id="rId1" Type="http://schemas.openxmlformats.org/officeDocument/2006/relationships/hyperlink" Target="mailto:totynho78@hotmail.com" TargetMode="External"/></Relationships>
</file>

<file path=xl/worksheets/_rels/sheet11.xml.rels><?xml version="1.0" encoding="UTF-8" standalone="yes"?>
<Relationships xmlns="http://schemas.openxmlformats.org/package/2006/relationships"><Relationship Id="rId9" Type="http://schemas.openxmlformats.org/officeDocument/2006/relationships/hyperlink" Target="mailto:sergiosclh@gmail.com" TargetMode="External"/><Relationship Id="rId8" Type="http://schemas.openxmlformats.org/officeDocument/2006/relationships/hyperlink" Target="mailto:felipe.azevedo.tk@gmail.com" TargetMode="External"/><Relationship Id="rId7" Type="http://schemas.openxmlformats.org/officeDocument/2006/relationships/hyperlink" Target="mailto:leonardoreusd@gmail.com" TargetMode="External"/><Relationship Id="rId6" Type="http://schemas.openxmlformats.org/officeDocument/2006/relationships/hyperlink" Target="mailto:gr057083@gmail.com" TargetMode="External"/><Relationship Id="rId5" Type="http://schemas.openxmlformats.org/officeDocument/2006/relationships/hyperlink" Target="mailto:emerson.schutt@gmail.com" TargetMode="External"/><Relationship Id="rId4" Type="http://schemas.openxmlformats.org/officeDocument/2006/relationships/hyperlink" Target="mailto:dgoncalvesbc61@gmail.com" TargetMode="External"/><Relationship Id="rId3" Type="http://schemas.openxmlformats.org/officeDocument/2006/relationships/hyperlink" Target="mailto:diegobombeiro@gmail.com" TargetMode="External"/><Relationship Id="rId2" Type="http://schemas.openxmlformats.org/officeDocument/2006/relationships/hyperlink" Target="mailto:totynho78@hotmail.com" TargetMode="External"/><Relationship Id="rId12" Type="http://schemas.openxmlformats.org/officeDocument/2006/relationships/hyperlink" Target="mailto:william_natanael23@yahoo.com.br" TargetMode="External"/><Relationship Id="rId11" Type="http://schemas.openxmlformats.org/officeDocument/2006/relationships/hyperlink" Target="mailto:valmirbombeiro46@gmail.com" TargetMode="External"/><Relationship Id="rId10" Type="http://schemas.openxmlformats.org/officeDocument/2006/relationships/hyperlink" Target="mailto:uilrobson193@gmail.com" TargetMode="External"/><Relationship Id="rId1" Type="http://schemas.openxmlformats.org/officeDocument/2006/relationships/hyperlink" Target="http://patyy.ly/" TargetMode="External"/></Relationships>
</file>

<file path=xl/worksheets/_rels/sheet13.xml.rels><?xml version="1.0" encoding="UTF-8" standalone="yes"?>
<Relationships xmlns="http://schemas.openxmlformats.org/package/2006/relationships"><Relationship Id="rId9" Type="http://schemas.openxmlformats.org/officeDocument/2006/relationships/hyperlink" Target="mailto:rdn.cst@gmail.com" TargetMode="External"/><Relationship Id="rId8" Type="http://schemas.openxmlformats.org/officeDocument/2006/relationships/hyperlink" Target="mailto:marielimelo2019@gmail.com" TargetMode="External"/><Relationship Id="rId7" Type="http://schemas.openxmlformats.org/officeDocument/2006/relationships/hyperlink" Target="mailto:cristianoflores88@gmail.com" TargetMode="External"/><Relationship Id="rId6" Type="http://schemas.openxmlformats.org/officeDocument/2006/relationships/hyperlink" Target="mailto:jefersoncosta802@gmail.com" TargetMode="External"/><Relationship Id="rId5" Type="http://schemas.openxmlformats.org/officeDocument/2006/relationships/hyperlink" Target="mailto:fernandorubeiro1987@gmail.com" TargetMode="External"/><Relationship Id="rId4" Type="http://schemas.openxmlformats.org/officeDocument/2006/relationships/hyperlink" Target="http://williane.tst.rs/" TargetMode="External"/><Relationship Id="rId3" Type="http://schemas.openxmlformats.org/officeDocument/2006/relationships/hyperlink" Target="mailto:elenisecabral@hotmail.com" TargetMode="External"/><Relationship Id="rId2" Type="http://schemas.openxmlformats.org/officeDocument/2006/relationships/hyperlink" Target="mailto:douglas.pinter@hotmail.com" TargetMode="External"/><Relationship Id="rId12" Type="http://schemas.openxmlformats.org/officeDocument/2006/relationships/hyperlink" Target="mailto:aguinaldothomas762@gmail.com" TargetMode="External"/><Relationship Id="rId11" Type="http://schemas.openxmlformats.org/officeDocument/2006/relationships/hyperlink" Target="mailto:sirlanegodinho29@hotmail.com" TargetMode="External"/><Relationship Id="rId10" Type="http://schemas.openxmlformats.org/officeDocument/2006/relationships/hyperlink" Target="mailto:sindovalpereira1976@gmail.com" TargetMode="External"/><Relationship Id="rId1" Type="http://schemas.openxmlformats.org/officeDocument/2006/relationships/hyperlink" Target="mailto:dieniferoliveira194@gmail.com"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mailto:uilrobson193@gmail.com" TargetMode="External"/><Relationship Id="rId7" Type="http://schemas.openxmlformats.org/officeDocument/2006/relationships/hyperlink" Target="mailto:nogueraian@gmail.com" TargetMode="External"/><Relationship Id="rId6" Type="http://schemas.openxmlformats.org/officeDocument/2006/relationships/hyperlink" Target="mailto:roger_malta@hotmail.com" TargetMode="External"/><Relationship Id="rId5" Type="http://schemas.openxmlformats.org/officeDocument/2006/relationships/hyperlink" Target="mailto:robsonordoqui@gmail.com" TargetMode="External"/><Relationship Id="rId4" Type="http://schemas.openxmlformats.org/officeDocument/2006/relationships/hyperlink" Target="mailto:gabriel.escouto59@gmail.com" TargetMode="External"/><Relationship Id="rId3" Type="http://schemas.openxmlformats.org/officeDocument/2006/relationships/hyperlink" Target="mailto:giancarlogreiner388@gmail.com" TargetMode="External"/><Relationship Id="rId2" Type="http://schemas.openxmlformats.org/officeDocument/2006/relationships/hyperlink" Target="mailto:felipecarneiro193@gmail.com" TargetMode="External"/><Relationship Id="rId1" Type="http://schemas.openxmlformats.org/officeDocument/2006/relationships/hyperlink" Target="mailto:brunnobrasil6@gmail.com" TargetMode="External"/></Relationships>
</file>

<file path=xl/worksheets/_rels/sheet16.xml.rels><?xml version="1.0" encoding="UTF-8" standalone="yes"?>
<Relationships xmlns="http://schemas.openxmlformats.org/package/2006/relationships"><Relationship Id="rId4" Type="http://schemas.openxmlformats.org/officeDocument/2006/relationships/hyperlink" Target="mailto:leandrosilva2695@gmail.com" TargetMode="External"/><Relationship Id="rId3" Type="http://schemas.openxmlformats.org/officeDocument/2006/relationships/hyperlink" Target="mailto:jucimarabarretopedroso819@gmail.com" TargetMode="External"/><Relationship Id="rId2" Type="http://schemas.openxmlformats.org/officeDocument/2006/relationships/hyperlink" Target="mailto:silva.giovane@hotmail.com" TargetMode="External"/><Relationship Id="rId1" Type="http://schemas.openxmlformats.org/officeDocument/2006/relationships/hyperlink" Target="mailto:evellyn-ndsmorais@educar.rs.gov.br" TargetMode="External"/></Relationships>
</file>

<file path=xl/worksheets/_rels/sheet18.xml.rels><?xml version="1.0" encoding="UTF-8" standalone="yes"?>
<Relationships xmlns="http://schemas.openxmlformats.org/package/2006/relationships"><Relationship Id="rId2" Type="http://schemas.openxmlformats.org/officeDocument/2006/relationships/hyperlink" Target="mailto:ricardokrindegs592@gmail.com" TargetMode="External"/><Relationship Id="rId1" Type="http://schemas.openxmlformats.org/officeDocument/2006/relationships/hyperlink" Target="mailto:marcio.toillier@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I1000"/>
  <sheetViews>
    <sheetView showGridLines="0" workbookViewId="0">
      <selection activeCell="A1" sqref="A1"/>
    </sheetView>
  </sheetViews>
  <sheetFormatPr defaultColWidth="14.4380952380952" defaultRowHeight="15" customHeight="1"/>
  <cols>
    <col min="1" max="1" width="53.1047619047619" customWidth="1"/>
    <col min="2" max="2" width="15.552380952381" customWidth="1"/>
    <col min="3" max="3" width="14.8857142857143" customWidth="1"/>
    <col min="4" max="4" width="7.33333333333333" customWidth="1"/>
    <col min="5" max="5" width="5" customWidth="1"/>
    <col min="6" max="6" width="47.3333333333333" customWidth="1"/>
    <col min="8" max="8" width="15.6666666666667" customWidth="1"/>
  </cols>
  <sheetData>
    <row r="1" customHeight="1" spans="1:9">
      <c r="A1" s="235" t="s">
        <v>0</v>
      </c>
      <c r="B1" s="235" t="s">
        <v>1</v>
      </c>
      <c r="C1" s="236" t="s">
        <v>2</v>
      </c>
      <c r="D1" s="237"/>
      <c r="E1" s="155"/>
      <c r="F1" s="235" t="s">
        <v>0</v>
      </c>
      <c r="G1" s="235" t="s">
        <v>1</v>
      </c>
      <c r="H1" s="238" t="s">
        <v>2</v>
      </c>
      <c r="I1" s="237"/>
    </row>
    <row r="2" customHeight="1" spans="1:9">
      <c r="A2" s="239" t="s">
        <v>3</v>
      </c>
      <c r="B2" s="240">
        <v>1107948067</v>
      </c>
      <c r="C2" s="241" t="s">
        <v>4</v>
      </c>
      <c r="D2" s="145" t="s">
        <v>5</v>
      </c>
      <c r="E2" s="155"/>
      <c r="F2" s="242" t="s">
        <v>6</v>
      </c>
      <c r="G2" s="240">
        <v>2117394144</v>
      </c>
      <c r="H2" s="243" t="s">
        <v>7</v>
      </c>
      <c r="I2" s="145" t="s">
        <v>5</v>
      </c>
    </row>
    <row r="3" customHeight="1" spans="1:9">
      <c r="A3" s="239" t="s">
        <v>8</v>
      </c>
      <c r="B3" s="240">
        <v>96589884072</v>
      </c>
      <c r="C3" s="241" t="s">
        <v>4</v>
      </c>
      <c r="D3" s="145" t="s">
        <v>5</v>
      </c>
      <c r="E3" s="155"/>
      <c r="F3" s="242" t="s">
        <v>9</v>
      </c>
      <c r="G3" s="240">
        <v>5057826058</v>
      </c>
      <c r="H3" s="243" t="s">
        <v>7</v>
      </c>
      <c r="I3" s="145" t="s">
        <v>5</v>
      </c>
    </row>
    <row r="4" customHeight="1" spans="1:9">
      <c r="A4" s="239" t="s">
        <v>10</v>
      </c>
      <c r="B4" s="240">
        <v>8081470984</v>
      </c>
      <c r="C4" s="241" t="s">
        <v>4</v>
      </c>
      <c r="D4" s="145" t="s">
        <v>5</v>
      </c>
      <c r="E4" s="155"/>
      <c r="F4" s="242" t="s">
        <v>11</v>
      </c>
      <c r="G4" s="240">
        <v>9133018797</v>
      </c>
      <c r="H4" s="243" t="s">
        <v>7</v>
      </c>
      <c r="I4" s="145" t="s">
        <v>5</v>
      </c>
    </row>
    <row r="5" customHeight="1" spans="1:9">
      <c r="A5" s="242" t="s">
        <v>12</v>
      </c>
      <c r="B5" s="240">
        <v>2103506206</v>
      </c>
      <c r="C5" s="241" t="s">
        <v>4</v>
      </c>
      <c r="D5" s="145" t="s">
        <v>5</v>
      </c>
      <c r="E5" s="155"/>
      <c r="F5" s="242" t="s">
        <v>13</v>
      </c>
      <c r="G5" s="240">
        <v>7056988351</v>
      </c>
      <c r="H5" s="243" t="s">
        <v>7</v>
      </c>
      <c r="I5" s="145" t="s">
        <v>5</v>
      </c>
    </row>
    <row r="6" customHeight="1" spans="1:9">
      <c r="A6" s="242" t="s">
        <v>14</v>
      </c>
      <c r="B6" s="240">
        <v>1966682</v>
      </c>
      <c r="C6" s="241" t="s">
        <v>4</v>
      </c>
      <c r="D6" s="145" t="s">
        <v>5</v>
      </c>
      <c r="E6" s="155"/>
      <c r="F6" s="242" t="s">
        <v>15</v>
      </c>
      <c r="G6" s="240">
        <v>1082591098</v>
      </c>
      <c r="H6" s="243" t="s">
        <v>7</v>
      </c>
      <c r="I6" s="145" t="s">
        <v>16</v>
      </c>
    </row>
    <row r="7" customHeight="1" spans="1:9">
      <c r="A7" s="242" t="s">
        <v>17</v>
      </c>
      <c r="B7" s="240">
        <v>4108587967</v>
      </c>
      <c r="C7" s="241" t="s">
        <v>4</v>
      </c>
      <c r="D7" s="145" t="s">
        <v>5</v>
      </c>
      <c r="E7" s="155"/>
      <c r="F7" s="242" t="s">
        <v>18</v>
      </c>
      <c r="G7" s="240">
        <v>2082299914</v>
      </c>
      <c r="H7" s="243" t="s">
        <v>7</v>
      </c>
      <c r="I7" s="145" t="s">
        <v>16</v>
      </c>
    </row>
    <row r="8" customHeight="1" spans="1:9">
      <c r="A8" s="242" t="s">
        <v>19</v>
      </c>
      <c r="B8" s="240">
        <v>9084455014</v>
      </c>
      <c r="C8" s="241" t="s">
        <v>4</v>
      </c>
      <c r="D8" s="145" t="s">
        <v>5</v>
      </c>
      <c r="E8" s="155"/>
      <c r="F8" s="239" t="s">
        <v>20</v>
      </c>
      <c r="G8" s="240">
        <v>5063617194</v>
      </c>
      <c r="H8" s="243" t="s">
        <v>7</v>
      </c>
      <c r="I8" s="145" t="s">
        <v>21</v>
      </c>
    </row>
    <row r="9" customHeight="1" spans="1:9">
      <c r="A9" s="242" t="s">
        <v>22</v>
      </c>
      <c r="B9" s="240">
        <v>9057825268</v>
      </c>
      <c r="C9" s="241" t="s">
        <v>4</v>
      </c>
      <c r="D9" s="145" t="s">
        <v>5</v>
      </c>
      <c r="E9" s="155"/>
      <c r="F9" s="239" t="s">
        <v>23</v>
      </c>
      <c r="G9" s="240">
        <v>9103214715</v>
      </c>
      <c r="H9" s="243" t="s">
        <v>7</v>
      </c>
      <c r="I9" s="145" t="s">
        <v>21</v>
      </c>
    </row>
    <row r="10" customHeight="1" spans="1:9">
      <c r="A10" s="242" t="s">
        <v>24</v>
      </c>
      <c r="B10" s="240">
        <v>6091600401</v>
      </c>
      <c r="C10" s="241" t="s">
        <v>4</v>
      </c>
      <c r="D10" s="145" t="s">
        <v>5</v>
      </c>
      <c r="E10" s="155"/>
      <c r="F10" s="239" t="s">
        <v>25</v>
      </c>
      <c r="G10" s="240">
        <v>8064790846</v>
      </c>
      <c r="H10" s="243" t="s">
        <v>7</v>
      </c>
      <c r="I10" s="145" t="s">
        <v>21</v>
      </c>
    </row>
    <row r="11" customHeight="1" spans="1:9">
      <c r="A11" s="242" t="s">
        <v>26</v>
      </c>
      <c r="B11" s="240">
        <v>1065294892</v>
      </c>
      <c r="C11" s="241" t="s">
        <v>4</v>
      </c>
      <c r="D11" s="145" t="s">
        <v>5</v>
      </c>
      <c r="E11" s="155"/>
      <c r="F11" s="242" t="s">
        <v>27</v>
      </c>
      <c r="G11" s="240">
        <v>6052276299</v>
      </c>
      <c r="H11" s="243" t="s">
        <v>7</v>
      </c>
      <c r="I11" s="145" t="s">
        <v>21</v>
      </c>
    </row>
    <row r="12" customHeight="1" spans="1:9">
      <c r="A12" s="242" t="s">
        <v>28</v>
      </c>
      <c r="B12" s="240">
        <v>3056292364</v>
      </c>
      <c r="C12" s="241" t="s">
        <v>4</v>
      </c>
      <c r="D12" s="145" t="s">
        <v>5</v>
      </c>
      <c r="E12" s="155"/>
      <c r="F12" s="242" t="s">
        <v>29</v>
      </c>
      <c r="G12" s="240">
        <v>3075520027</v>
      </c>
      <c r="H12" s="243" t="s">
        <v>7</v>
      </c>
      <c r="I12" s="145" t="s">
        <v>21</v>
      </c>
    </row>
    <row r="13" customHeight="1" spans="1:9">
      <c r="A13" s="242" t="s">
        <v>30</v>
      </c>
      <c r="B13" s="240">
        <v>1127922266</v>
      </c>
      <c r="C13" s="241" t="s">
        <v>4</v>
      </c>
      <c r="D13" s="145" t="s">
        <v>5</v>
      </c>
      <c r="E13" s="155"/>
      <c r="F13" s="242" t="s">
        <v>31</v>
      </c>
      <c r="G13" s="240">
        <v>1052749941</v>
      </c>
      <c r="H13" s="243" t="s">
        <v>7</v>
      </c>
      <c r="I13" s="145" t="s">
        <v>21</v>
      </c>
    </row>
    <row r="14" customHeight="1" spans="1:9">
      <c r="A14" s="242" t="s">
        <v>32</v>
      </c>
      <c r="B14" s="240">
        <v>1102909660</v>
      </c>
      <c r="C14" s="241" t="s">
        <v>4</v>
      </c>
      <c r="D14" s="145" t="s">
        <v>5</v>
      </c>
      <c r="E14" s="155"/>
      <c r="F14" s="242" t="s">
        <v>33</v>
      </c>
      <c r="G14" s="240">
        <v>7036780299</v>
      </c>
      <c r="H14" s="243" t="s">
        <v>7</v>
      </c>
      <c r="I14" s="145" t="s">
        <v>21</v>
      </c>
    </row>
    <row r="15" customHeight="1" spans="1:9">
      <c r="A15" s="242" t="s">
        <v>34</v>
      </c>
      <c r="B15" s="240">
        <v>1068577408</v>
      </c>
      <c r="C15" s="241" t="s">
        <v>4</v>
      </c>
      <c r="D15" s="145" t="s">
        <v>5</v>
      </c>
      <c r="E15" s="155"/>
      <c r="F15" s="242" t="s">
        <v>35</v>
      </c>
      <c r="G15" s="240">
        <v>8041445787</v>
      </c>
      <c r="H15" s="243" t="s">
        <v>7</v>
      </c>
      <c r="I15" s="145" t="s">
        <v>21</v>
      </c>
    </row>
    <row r="16" customHeight="1" spans="1:9">
      <c r="A16" s="242" t="s">
        <v>36</v>
      </c>
      <c r="B16" s="240">
        <v>6108986677</v>
      </c>
      <c r="C16" s="241" t="s">
        <v>4</v>
      </c>
      <c r="D16" s="145" t="s">
        <v>5</v>
      </c>
      <c r="E16" s="155"/>
      <c r="F16" s="242" t="s">
        <v>37</v>
      </c>
      <c r="G16" s="240">
        <v>6110024574</v>
      </c>
      <c r="H16" s="243" t="s">
        <v>7</v>
      </c>
      <c r="I16" s="145" t="s">
        <v>21</v>
      </c>
    </row>
    <row r="17" customHeight="1" spans="1:9">
      <c r="A17" s="242" t="s">
        <v>38</v>
      </c>
      <c r="B17" s="240">
        <v>7128244841</v>
      </c>
      <c r="C17" s="241" t="s">
        <v>4</v>
      </c>
      <c r="D17" s="145" t="s">
        <v>5</v>
      </c>
      <c r="E17" s="155"/>
      <c r="F17" s="242" t="s">
        <v>39</v>
      </c>
      <c r="G17" s="240">
        <v>1073682088</v>
      </c>
      <c r="H17" s="243" t="s">
        <v>7</v>
      </c>
      <c r="I17" s="145" t="s">
        <v>21</v>
      </c>
    </row>
    <row r="18" customHeight="1" spans="1:9">
      <c r="A18" s="242" t="s">
        <v>40</v>
      </c>
      <c r="B18" s="240">
        <v>1101129276</v>
      </c>
      <c r="C18" s="241" t="s">
        <v>4</v>
      </c>
      <c r="D18" s="145" t="s">
        <v>5</v>
      </c>
      <c r="E18" s="155"/>
      <c r="F18" s="242" t="s">
        <v>41</v>
      </c>
      <c r="G18" s="240">
        <v>2066543337</v>
      </c>
      <c r="H18" s="243" t="s">
        <v>7</v>
      </c>
      <c r="I18" s="145" t="s">
        <v>21</v>
      </c>
    </row>
    <row r="19" customHeight="1" spans="1:9">
      <c r="A19" s="242" t="s">
        <v>42</v>
      </c>
      <c r="B19" s="240">
        <v>7082934618</v>
      </c>
      <c r="C19" s="241" t="s">
        <v>4</v>
      </c>
      <c r="D19" s="145" t="s">
        <v>5</v>
      </c>
      <c r="E19" s="155"/>
      <c r="F19" s="242" t="s">
        <v>43</v>
      </c>
      <c r="G19" s="240">
        <v>5034876598</v>
      </c>
      <c r="H19" s="243" t="s">
        <v>7</v>
      </c>
      <c r="I19" s="145" t="s">
        <v>44</v>
      </c>
    </row>
    <row r="20" customHeight="1" spans="1:9">
      <c r="A20" s="242" t="s">
        <v>45</v>
      </c>
      <c r="B20" s="240">
        <v>3110929431</v>
      </c>
      <c r="C20" s="241" t="s">
        <v>4</v>
      </c>
      <c r="D20" s="145" t="s">
        <v>5</v>
      </c>
      <c r="E20" s="155"/>
      <c r="F20" s="242" t="s">
        <v>46</v>
      </c>
      <c r="G20" s="240">
        <v>1061797427</v>
      </c>
      <c r="H20" s="243" t="s">
        <v>7</v>
      </c>
      <c r="I20" s="145" t="s">
        <v>44</v>
      </c>
    </row>
    <row r="21" customHeight="1" spans="1:9">
      <c r="A21" s="242" t="s">
        <v>47</v>
      </c>
      <c r="B21" s="240">
        <v>2056293117</v>
      </c>
      <c r="C21" s="241" t="s">
        <v>4</v>
      </c>
      <c r="D21" s="145" t="s">
        <v>5</v>
      </c>
      <c r="E21" s="155"/>
      <c r="F21" s="242" t="s">
        <v>48</v>
      </c>
      <c r="G21" s="240">
        <v>91443962015</v>
      </c>
      <c r="H21" s="243" t="s">
        <v>7</v>
      </c>
      <c r="I21" s="145" t="s">
        <v>44</v>
      </c>
    </row>
    <row r="22" customHeight="1" spans="1:9">
      <c r="A22" s="242" t="s">
        <v>49</v>
      </c>
      <c r="B22" s="240">
        <v>9124345043</v>
      </c>
      <c r="C22" s="241" t="s">
        <v>4</v>
      </c>
      <c r="D22" s="145" t="s">
        <v>5</v>
      </c>
      <c r="E22" s="155"/>
      <c r="F22" s="242" t="s">
        <v>50</v>
      </c>
      <c r="G22" s="240">
        <v>7069071591</v>
      </c>
      <c r="H22" s="243" t="s">
        <v>7</v>
      </c>
      <c r="I22" s="145" t="s">
        <v>51</v>
      </c>
    </row>
    <row r="23" customHeight="1" spans="1:9">
      <c r="A23" s="242" t="s">
        <v>52</v>
      </c>
      <c r="B23" s="240">
        <v>2065316164</v>
      </c>
      <c r="C23" s="241" t="s">
        <v>4</v>
      </c>
      <c r="D23" s="145" t="s">
        <v>5</v>
      </c>
      <c r="E23" s="155"/>
      <c r="F23" s="242" t="s">
        <v>53</v>
      </c>
      <c r="G23" s="240">
        <v>2109577011</v>
      </c>
      <c r="H23" s="243" t="s">
        <v>7</v>
      </c>
      <c r="I23" s="145" t="s">
        <v>51</v>
      </c>
    </row>
    <row r="24" customHeight="1" spans="1:9">
      <c r="A24" s="242" t="s">
        <v>54</v>
      </c>
      <c r="B24" s="240">
        <v>6112641698</v>
      </c>
      <c r="C24" s="241" t="s">
        <v>4</v>
      </c>
      <c r="D24" s="145" t="s">
        <v>5</v>
      </c>
      <c r="E24" s="155"/>
      <c r="F24" s="242" t="s">
        <v>55</v>
      </c>
      <c r="G24" s="240">
        <v>1123535005</v>
      </c>
      <c r="H24" s="243" t="s">
        <v>7</v>
      </c>
      <c r="I24" s="145" t="s">
        <v>51</v>
      </c>
    </row>
    <row r="25" customHeight="1" spans="1:9">
      <c r="A25" s="242" t="s">
        <v>56</v>
      </c>
      <c r="B25" s="240">
        <v>1084826864</v>
      </c>
      <c r="C25" s="241" t="s">
        <v>4</v>
      </c>
      <c r="D25" s="145" t="s">
        <v>5</v>
      </c>
      <c r="E25" s="155"/>
      <c r="F25" s="242" t="s">
        <v>57</v>
      </c>
      <c r="G25" s="240">
        <v>8075556103</v>
      </c>
      <c r="H25" s="243" t="s">
        <v>7</v>
      </c>
      <c r="I25" s="145" t="s">
        <v>51</v>
      </c>
    </row>
    <row r="26" customHeight="1" spans="1:9">
      <c r="A26" s="242" t="s">
        <v>58</v>
      </c>
      <c r="B26" s="240">
        <v>1103940902</v>
      </c>
      <c r="C26" s="241" t="s">
        <v>4</v>
      </c>
      <c r="D26" s="145" t="s">
        <v>5</v>
      </c>
      <c r="E26" s="155"/>
      <c r="F26" s="242" t="s">
        <v>59</v>
      </c>
      <c r="G26" s="240">
        <v>1067025815</v>
      </c>
      <c r="H26" s="243" t="s">
        <v>7</v>
      </c>
      <c r="I26" s="145" t="s">
        <v>51</v>
      </c>
    </row>
    <row r="27" customHeight="1" spans="1:9">
      <c r="A27" s="242" t="s">
        <v>60</v>
      </c>
      <c r="B27" s="240">
        <v>4075173866</v>
      </c>
      <c r="C27" s="241" t="s">
        <v>4</v>
      </c>
      <c r="D27" s="145" t="s">
        <v>5</v>
      </c>
      <c r="E27" s="155"/>
      <c r="F27" s="242" t="s">
        <v>61</v>
      </c>
      <c r="G27" s="240">
        <v>5066998955</v>
      </c>
      <c r="H27" s="243" t="s">
        <v>7</v>
      </c>
      <c r="I27" s="145" t="s">
        <v>51</v>
      </c>
    </row>
    <row r="28" customHeight="1" spans="1:9">
      <c r="A28" s="242" t="s">
        <v>62</v>
      </c>
      <c r="B28" s="240">
        <v>2111469447</v>
      </c>
      <c r="C28" s="241" t="s">
        <v>4</v>
      </c>
      <c r="D28" s="145" t="s">
        <v>5</v>
      </c>
      <c r="E28" s="155"/>
      <c r="F28" s="242" t="s">
        <v>63</v>
      </c>
      <c r="G28" s="240">
        <v>2109021507</v>
      </c>
      <c r="H28" s="243" t="s">
        <v>7</v>
      </c>
      <c r="I28" s="145" t="s">
        <v>51</v>
      </c>
    </row>
    <row r="29" customHeight="1" spans="1:9">
      <c r="A29" s="239" t="s">
        <v>64</v>
      </c>
      <c r="B29" s="240">
        <v>1097771917</v>
      </c>
      <c r="C29" s="241" t="s">
        <v>4</v>
      </c>
      <c r="D29" s="145" t="s">
        <v>16</v>
      </c>
      <c r="E29" s="155"/>
      <c r="F29" s="242" t="s">
        <v>65</v>
      </c>
      <c r="G29" s="240">
        <v>4112077302</v>
      </c>
      <c r="H29" s="243" t="s">
        <v>7</v>
      </c>
      <c r="I29" s="145" t="s">
        <v>51</v>
      </c>
    </row>
    <row r="30" customHeight="1" spans="1:9">
      <c r="A30" s="242" t="s">
        <v>66</v>
      </c>
      <c r="B30" s="240">
        <v>2101485403</v>
      </c>
      <c r="C30" s="241" t="s">
        <v>4</v>
      </c>
      <c r="D30" s="145" t="s">
        <v>16</v>
      </c>
      <c r="E30" s="155"/>
      <c r="F30" s="242" t="s">
        <v>67</v>
      </c>
      <c r="G30" s="240">
        <v>5123893975</v>
      </c>
      <c r="H30" s="243" t="s">
        <v>7</v>
      </c>
      <c r="I30" s="145" t="s">
        <v>51</v>
      </c>
    </row>
    <row r="31" customHeight="1" spans="1:9">
      <c r="A31" s="242" t="s">
        <v>68</v>
      </c>
      <c r="B31" s="240">
        <v>4094154764</v>
      </c>
      <c r="C31" s="241" t="s">
        <v>4</v>
      </c>
      <c r="D31" s="145" t="s">
        <v>16</v>
      </c>
      <c r="E31" s="155"/>
      <c r="F31" s="242" t="s">
        <v>69</v>
      </c>
      <c r="G31" s="240">
        <v>4089450953</v>
      </c>
      <c r="H31" s="243" t="s">
        <v>7</v>
      </c>
      <c r="I31" s="145" t="s">
        <v>51</v>
      </c>
    </row>
    <row r="32" customHeight="1" spans="1:9">
      <c r="A32" s="242" t="s">
        <v>70</v>
      </c>
      <c r="B32" s="240">
        <v>1062314214</v>
      </c>
      <c r="C32" s="241" t="s">
        <v>4</v>
      </c>
      <c r="D32" s="145" t="s">
        <v>16</v>
      </c>
      <c r="E32" s="155"/>
      <c r="F32" s="242" t="s">
        <v>71</v>
      </c>
      <c r="G32" s="240">
        <v>8026586704</v>
      </c>
      <c r="H32" s="243" t="s">
        <v>7</v>
      </c>
      <c r="I32" s="145" t="s">
        <v>51</v>
      </c>
    </row>
    <row r="33" customHeight="1" spans="1:9">
      <c r="A33" s="242" t="s">
        <v>72</v>
      </c>
      <c r="B33" s="240">
        <v>9138735494</v>
      </c>
      <c r="C33" s="241" t="s">
        <v>4</v>
      </c>
      <c r="D33" s="145" t="s">
        <v>16</v>
      </c>
      <c r="E33" s="155"/>
      <c r="F33" s="242" t="s">
        <v>73</v>
      </c>
      <c r="G33" s="240">
        <v>3119971517</v>
      </c>
      <c r="H33" s="243" t="s">
        <v>7</v>
      </c>
      <c r="I33" s="145" t="s">
        <v>51</v>
      </c>
    </row>
    <row r="34" customHeight="1" spans="1:9">
      <c r="A34" s="242" t="s">
        <v>74</v>
      </c>
      <c r="B34" s="240">
        <v>9078429868</v>
      </c>
      <c r="C34" s="241" t="s">
        <v>4</v>
      </c>
      <c r="D34" s="145" t="s">
        <v>16</v>
      </c>
      <c r="E34" s="155"/>
      <c r="F34" s="242" t="s">
        <v>75</v>
      </c>
      <c r="G34" s="240">
        <v>1089982993</v>
      </c>
      <c r="H34" s="243" t="s">
        <v>7</v>
      </c>
      <c r="I34" s="145" t="s">
        <v>51</v>
      </c>
    </row>
    <row r="35" customHeight="1" spans="1:9">
      <c r="A35" s="242" t="s">
        <v>76</v>
      </c>
      <c r="B35" s="240">
        <v>9100298703</v>
      </c>
      <c r="C35" s="241" t="s">
        <v>4</v>
      </c>
      <c r="D35" s="145" t="s">
        <v>21</v>
      </c>
      <c r="E35" s="155"/>
      <c r="F35" s="242" t="s">
        <v>77</v>
      </c>
      <c r="G35" s="240">
        <v>1092780616</v>
      </c>
      <c r="H35" s="243" t="s">
        <v>7</v>
      </c>
      <c r="I35" s="145" t="s">
        <v>51</v>
      </c>
    </row>
    <row r="36" customHeight="1" spans="1:9">
      <c r="A36" s="242" t="s">
        <v>78</v>
      </c>
      <c r="B36" s="240">
        <v>1051634358</v>
      </c>
      <c r="C36" s="241" t="s">
        <v>4</v>
      </c>
      <c r="D36" s="145" t="s">
        <v>21</v>
      </c>
      <c r="E36" s="155"/>
      <c r="F36" s="242" t="s">
        <v>79</v>
      </c>
      <c r="G36" s="240">
        <v>1083963031</v>
      </c>
      <c r="H36" s="243" t="s">
        <v>7</v>
      </c>
      <c r="I36" s="145" t="s">
        <v>51</v>
      </c>
    </row>
    <row r="37" customHeight="1" spans="1:9">
      <c r="A37" s="242" t="s">
        <v>80</v>
      </c>
      <c r="B37" s="240">
        <v>1066101146</v>
      </c>
      <c r="C37" s="241" t="s">
        <v>4</v>
      </c>
      <c r="D37" s="145" t="s">
        <v>21</v>
      </c>
      <c r="E37" s="155"/>
      <c r="F37" s="242" t="s">
        <v>81</v>
      </c>
      <c r="G37" s="240">
        <v>9131434467</v>
      </c>
      <c r="H37" s="243" t="s">
        <v>7</v>
      </c>
      <c r="I37" s="145" t="s">
        <v>51</v>
      </c>
    </row>
    <row r="38" customHeight="1" spans="1:9">
      <c r="A38" s="242" t="s">
        <v>82</v>
      </c>
      <c r="B38" s="240">
        <v>2091405627</v>
      </c>
      <c r="C38" s="241" t="s">
        <v>4</v>
      </c>
      <c r="D38" s="145" t="s">
        <v>21</v>
      </c>
      <c r="E38" s="155"/>
      <c r="F38" s="242" t="s">
        <v>83</v>
      </c>
      <c r="G38" s="240">
        <v>7106027795</v>
      </c>
      <c r="H38" s="243" t="s">
        <v>7</v>
      </c>
      <c r="I38" s="145" t="s">
        <v>84</v>
      </c>
    </row>
    <row r="39" customHeight="1" spans="1:9">
      <c r="A39" s="242" t="s">
        <v>85</v>
      </c>
      <c r="B39" s="240">
        <v>1061095681</v>
      </c>
      <c r="C39" s="241" t="s">
        <v>4</v>
      </c>
      <c r="D39" s="145" t="s">
        <v>21</v>
      </c>
      <c r="E39" s="155"/>
      <c r="F39" s="242" t="s">
        <v>86</v>
      </c>
      <c r="G39" s="240">
        <v>1077988317</v>
      </c>
      <c r="H39" s="243" t="s">
        <v>7</v>
      </c>
      <c r="I39" s="145" t="s">
        <v>84</v>
      </c>
    </row>
    <row r="40" customHeight="1" spans="1:9">
      <c r="A40" s="242" t="s">
        <v>87</v>
      </c>
      <c r="B40" s="240">
        <v>7099368065</v>
      </c>
      <c r="C40" s="241" t="s">
        <v>4</v>
      </c>
      <c r="D40" s="145" t="s">
        <v>21</v>
      </c>
      <c r="E40" s="155"/>
      <c r="F40" s="242" t="s">
        <v>88</v>
      </c>
      <c r="G40" s="240">
        <v>5125794916</v>
      </c>
      <c r="H40" s="243" t="s">
        <v>7</v>
      </c>
      <c r="I40" s="145" t="s">
        <v>84</v>
      </c>
    </row>
    <row r="41" customHeight="1" spans="1:9">
      <c r="A41" s="242" t="s">
        <v>89</v>
      </c>
      <c r="B41" s="240">
        <v>5084747228</v>
      </c>
      <c r="C41" s="241" t="s">
        <v>4</v>
      </c>
      <c r="D41" s="145" t="s">
        <v>21</v>
      </c>
      <c r="E41" s="155"/>
      <c r="F41" s="242" t="s">
        <v>90</v>
      </c>
      <c r="G41" s="240">
        <v>3086439894</v>
      </c>
      <c r="H41" s="243" t="s">
        <v>7</v>
      </c>
      <c r="I41" s="145" t="s">
        <v>84</v>
      </c>
    </row>
    <row r="42" customHeight="1" spans="1:9">
      <c r="A42" s="242" t="s">
        <v>91</v>
      </c>
      <c r="B42" s="240">
        <v>6016271642</v>
      </c>
      <c r="C42" s="241" t="s">
        <v>4</v>
      </c>
      <c r="D42" s="145" t="s">
        <v>21</v>
      </c>
      <c r="E42" s="155"/>
      <c r="F42" s="239" t="s">
        <v>92</v>
      </c>
      <c r="G42" s="240">
        <v>2097318634</v>
      </c>
      <c r="H42" s="243" t="s">
        <v>7</v>
      </c>
      <c r="I42" s="145" t="s">
        <v>93</v>
      </c>
    </row>
    <row r="43" customHeight="1" spans="1:9">
      <c r="A43" s="242" t="s">
        <v>94</v>
      </c>
      <c r="B43" s="240">
        <v>9097314729</v>
      </c>
      <c r="C43" s="241" t="s">
        <v>4</v>
      </c>
      <c r="D43" s="145" t="s">
        <v>21</v>
      </c>
      <c r="E43" s="155"/>
      <c r="F43" s="239" t="s">
        <v>95</v>
      </c>
      <c r="G43" s="240">
        <v>1101204624</v>
      </c>
      <c r="H43" s="243" t="s">
        <v>7</v>
      </c>
      <c r="I43" s="145" t="s">
        <v>93</v>
      </c>
    </row>
    <row r="44" customHeight="1" spans="1:9">
      <c r="A44" s="242" t="s">
        <v>96</v>
      </c>
      <c r="B44" s="240">
        <v>7073681781</v>
      </c>
      <c r="C44" s="241" t="s">
        <v>4</v>
      </c>
      <c r="D44" s="145" t="s">
        <v>21</v>
      </c>
      <c r="E44" s="155"/>
      <c r="F44" s="242" t="s">
        <v>97</v>
      </c>
      <c r="G44" s="240">
        <v>1105440141</v>
      </c>
      <c r="H44" s="243" t="s">
        <v>7</v>
      </c>
      <c r="I44" s="145" t="s">
        <v>93</v>
      </c>
    </row>
    <row r="45" customHeight="1" spans="1:9">
      <c r="A45" s="242" t="s">
        <v>98</v>
      </c>
      <c r="B45" s="240">
        <v>6063589748</v>
      </c>
      <c r="C45" s="241" t="s">
        <v>4</v>
      </c>
      <c r="D45" s="145" t="s">
        <v>21</v>
      </c>
      <c r="E45" s="155"/>
      <c r="F45" s="242" t="s">
        <v>99</v>
      </c>
      <c r="G45" s="240">
        <v>4084302266</v>
      </c>
      <c r="H45" s="243" t="s">
        <v>7</v>
      </c>
      <c r="I45" s="145" t="s">
        <v>93</v>
      </c>
    </row>
    <row r="46" customHeight="1" spans="1:9">
      <c r="A46" s="242" t="s">
        <v>100</v>
      </c>
      <c r="B46" s="240">
        <v>7059001706</v>
      </c>
      <c r="C46" s="241" t="s">
        <v>4</v>
      </c>
      <c r="D46" s="145" t="s">
        <v>21</v>
      </c>
      <c r="E46" s="155"/>
      <c r="F46" s="242" t="s">
        <v>101</v>
      </c>
      <c r="G46" s="240">
        <v>3037690249</v>
      </c>
      <c r="H46" s="243" t="s">
        <v>7</v>
      </c>
      <c r="I46" s="145" t="s">
        <v>93</v>
      </c>
    </row>
    <row r="47" customHeight="1" spans="1:9">
      <c r="A47" s="242" t="s">
        <v>102</v>
      </c>
      <c r="B47" s="240">
        <v>2080800143</v>
      </c>
      <c r="C47" s="241" t="s">
        <v>4</v>
      </c>
      <c r="D47" s="145" t="s">
        <v>21</v>
      </c>
      <c r="E47" s="155"/>
      <c r="F47" s="242" t="s">
        <v>103</v>
      </c>
      <c r="G47" s="240">
        <v>1103474878</v>
      </c>
      <c r="H47" s="243" t="s">
        <v>7</v>
      </c>
      <c r="I47" s="145" t="s">
        <v>93</v>
      </c>
    </row>
    <row r="48" customHeight="1" spans="1:9">
      <c r="A48" s="242" t="s">
        <v>104</v>
      </c>
      <c r="B48" s="240">
        <v>7105167899</v>
      </c>
      <c r="C48" s="241" t="s">
        <v>4</v>
      </c>
      <c r="D48" s="145" t="s">
        <v>21</v>
      </c>
      <c r="E48" s="155"/>
      <c r="F48" s="242" t="s">
        <v>105</v>
      </c>
      <c r="G48" s="240">
        <v>6089026675</v>
      </c>
      <c r="H48" s="243" t="s">
        <v>7</v>
      </c>
      <c r="I48" s="145" t="s">
        <v>93</v>
      </c>
    </row>
    <row r="49" customHeight="1" spans="1:9">
      <c r="A49" s="242" t="s">
        <v>106</v>
      </c>
      <c r="B49" s="240">
        <v>1041545144</v>
      </c>
      <c r="C49" s="241" t="s">
        <v>4</v>
      </c>
      <c r="D49" s="145" t="s">
        <v>21</v>
      </c>
      <c r="E49" s="155"/>
      <c r="F49" s="242" t="s">
        <v>107</v>
      </c>
      <c r="G49" s="240">
        <v>7123454824</v>
      </c>
      <c r="H49" s="243" t="s">
        <v>7</v>
      </c>
      <c r="I49" s="145" t="s">
        <v>93</v>
      </c>
    </row>
    <row r="50" customHeight="1" spans="1:9">
      <c r="A50" s="242" t="s">
        <v>108</v>
      </c>
      <c r="B50" s="240">
        <v>50105175072</v>
      </c>
      <c r="C50" s="241" t="s">
        <v>4</v>
      </c>
      <c r="D50" s="145" t="s">
        <v>21</v>
      </c>
      <c r="E50" s="155"/>
      <c r="F50" s="242" t="s">
        <v>109</v>
      </c>
      <c r="G50" s="240">
        <v>2093561229</v>
      </c>
      <c r="H50" s="243" t="s">
        <v>7</v>
      </c>
      <c r="I50" s="145" t="s">
        <v>93</v>
      </c>
    </row>
    <row r="51" customHeight="1" spans="1:9">
      <c r="A51" s="242" t="s">
        <v>110</v>
      </c>
      <c r="B51" s="240">
        <v>9046954567</v>
      </c>
      <c r="C51" s="241" t="s">
        <v>4</v>
      </c>
      <c r="D51" s="145" t="s">
        <v>21</v>
      </c>
      <c r="E51" s="155"/>
      <c r="F51" s="242" t="s">
        <v>111</v>
      </c>
      <c r="G51" s="240">
        <v>7077701675</v>
      </c>
      <c r="H51" s="243" t="s">
        <v>7</v>
      </c>
      <c r="I51" s="145" t="s">
        <v>93</v>
      </c>
    </row>
    <row r="52" customHeight="1" spans="1:9">
      <c r="A52" s="242" t="s">
        <v>112</v>
      </c>
      <c r="B52" s="240">
        <v>94917485053</v>
      </c>
      <c r="C52" s="241" t="s">
        <v>4</v>
      </c>
      <c r="D52" s="145" t="s">
        <v>21</v>
      </c>
      <c r="E52" s="155"/>
      <c r="F52" s="242" t="s">
        <v>113</v>
      </c>
      <c r="G52" s="240">
        <v>1110701156</v>
      </c>
      <c r="H52" s="243" t="s">
        <v>7</v>
      </c>
      <c r="I52" s="145" t="s">
        <v>93</v>
      </c>
    </row>
    <row r="53" customHeight="1" spans="1:9">
      <c r="A53" s="242" t="s">
        <v>114</v>
      </c>
      <c r="B53" s="240">
        <v>9054906178</v>
      </c>
      <c r="C53" s="241" t="s">
        <v>4</v>
      </c>
      <c r="D53" s="145" t="s">
        <v>21</v>
      </c>
      <c r="E53" s="155"/>
      <c r="F53" s="242" t="s">
        <v>115</v>
      </c>
      <c r="G53" s="240">
        <v>3119619141</v>
      </c>
      <c r="H53" s="243" t="s">
        <v>7</v>
      </c>
      <c r="I53" s="145" t="s">
        <v>93</v>
      </c>
    </row>
    <row r="54" customHeight="1" spans="1:9">
      <c r="A54" s="242" t="s">
        <v>116</v>
      </c>
      <c r="B54" s="240">
        <v>4078913839</v>
      </c>
      <c r="C54" s="241" t="s">
        <v>4</v>
      </c>
      <c r="D54" s="145" t="s">
        <v>21</v>
      </c>
      <c r="E54" s="155"/>
      <c r="F54" s="242" t="s">
        <v>117</v>
      </c>
      <c r="G54" s="240">
        <v>48504785</v>
      </c>
      <c r="H54" s="243" t="s">
        <v>7</v>
      </c>
      <c r="I54" s="145" t="s">
        <v>93</v>
      </c>
    </row>
    <row r="55" customHeight="1" spans="1:9">
      <c r="A55" s="242" t="s">
        <v>118</v>
      </c>
      <c r="B55" s="240">
        <v>2985832080</v>
      </c>
      <c r="C55" s="241" t="s">
        <v>4</v>
      </c>
      <c r="D55" s="145" t="s">
        <v>21</v>
      </c>
      <c r="E55" s="155"/>
      <c r="F55" s="242" t="s">
        <v>119</v>
      </c>
      <c r="G55" s="240">
        <v>1090014208</v>
      </c>
      <c r="H55" s="243" t="s">
        <v>7</v>
      </c>
      <c r="I55" s="145" t="s">
        <v>93</v>
      </c>
    </row>
    <row r="56" customHeight="1" spans="1:9">
      <c r="A56" s="242" t="s">
        <v>120</v>
      </c>
      <c r="B56" s="240">
        <v>6063590423</v>
      </c>
      <c r="C56" s="241" t="s">
        <v>4</v>
      </c>
      <c r="D56" s="145" t="s">
        <v>21</v>
      </c>
      <c r="E56" s="155"/>
      <c r="F56" s="242" t="s">
        <v>121</v>
      </c>
      <c r="G56" s="240">
        <v>2124513851</v>
      </c>
      <c r="H56" s="243" t="s">
        <v>7</v>
      </c>
      <c r="I56" s="145" t="s">
        <v>93</v>
      </c>
    </row>
    <row r="57" customHeight="1" spans="1:9">
      <c r="A57" s="242" t="s">
        <v>122</v>
      </c>
      <c r="B57" s="240">
        <v>1063599219</v>
      </c>
      <c r="C57" s="241" t="s">
        <v>4</v>
      </c>
      <c r="D57" s="145" t="s">
        <v>21</v>
      </c>
      <c r="E57" s="155"/>
      <c r="F57" s="242" t="s">
        <v>123</v>
      </c>
      <c r="G57" s="240">
        <v>1111542658</v>
      </c>
      <c r="H57" s="243" t="s">
        <v>7</v>
      </c>
      <c r="I57" s="145" t="s">
        <v>93</v>
      </c>
    </row>
    <row r="58" customHeight="1" spans="1:9">
      <c r="A58" s="242" t="s">
        <v>124</v>
      </c>
      <c r="B58" s="240">
        <v>82644489091</v>
      </c>
      <c r="C58" s="241" t="s">
        <v>4</v>
      </c>
      <c r="D58" s="145" t="s">
        <v>21</v>
      </c>
      <c r="E58" s="155"/>
      <c r="F58" s="242" t="s">
        <v>125</v>
      </c>
      <c r="G58" s="240">
        <v>8108616676</v>
      </c>
      <c r="H58" s="243" t="s">
        <v>7</v>
      </c>
      <c r="I58" s="145" t="s">
        <v>93</v>
      </c>
    </row>
    <row r="59" customHeight="1" spans="1:9">
      <c r="A59" s="242" t="s">
        <v>126</v>
      </c>
      <c r="B59" s="240">
        <v>1064772501</v>
      </c>
      <c r="C59" s="241" t="s">
        <v>4</v>
      </c>
      <c r="D59" s="145" t="s">
        <v>21</v>
      </c>
      <c r="E59" s="155"/>
      <c r="F59" s="242" t="s">
        <v>127</v>
      </c>
      <c r="G59" s="240">
        <v>1729416012</v>
      </c>
      <c r="H59" s="243" t="s">
        <v>7</v>
      </c>
      <c r="I59" s="145" t="s">
        <v>93</v>
      </c>
    </row>
    <row r="60" customHeight="1" spans="1:9">
      <c r="A60" s="242" t="s">
        <v>128</v>
      </c>
      <c r="B60" s="240">
        <v>1061126411</v>
      </c>
      <c r="C60" s="241" t="s">
        <v>4</v>
      </c>
      <c r="D60" s="145" t="s">
        <v>44</v>
      </c>
      <c r="E60" s="155"/>
      <c r="F60" s="242" t="s">
        <v>129</v>
      </c>
      <c r="G60" s="240">
        <v>7083258603</v>
      </c>
      <c r="H60" s="243" t="s">
        <v>7</v>
      </c>
      <c r="I60" s="145" t="s">
        <v>93</v>
      </c>
    </row>
    <row r="61" customHeight="1" spans="1:9">
      <c r="A61" s="242" t="s">
        <v>130</v>
      </c>
      <c r="B61" s="240">
        <v>4054179298</v>
      </c>
      <c r="C61" s="241" t="s">
        <v>4</v>
      </c>
      <c r="D61" s="145" t="s">
        <v>44</v>
      </c>
      <c r="E61" s="155"/>
      <c r="F61" s="242" t="s">
        <v>131</v>
      </c>
      <c r="G61" s="240">
        <v>1109744423</v>
      </c>
      <c r="H61" s="243" t="s">
        <v>7</v>
      </c>
      <c r="I61" s="145" t="s">
        <v>93</v>
      </c>
    </row>
    <row r="62" customHeight="1" spans="1:9">
      <c r="A62" s="242" t="s">
        <v>132</v>
      </c>
      <c r="B62" s="240">
        <v>2085625801</v>
      </c>
      <c r="C62" s="241" t="s">
        <v>4</v>
      </c>
      <c r="D62" s="145" t="s">
        <v>44</v>
      </c>
      <c r="E62" s="155"/>
      <c r="F62" s="242" t="s">
        <v>133</v>
      </c>
      <c r="G62" s="240">
        <v>2077110266</v>
      </c>
      <c r="H62" s="243" t="s">
        <v>7</v>
      </c>
      <c r="I62" s="145" t="s">
        <v>93</v>
      </c>
    </row>
    <row r="63" customHeight="1" spans="1:9">
      <c r="A63" s="242" t="s">
        <v>134</v>
      </c>
      <c r="B63" s="240">
        <v>1076938362</v>
      </c>
      <c r="C63" s="241" t="s">
        <v>4</v>
      </c>
      <c r="D63" s="145" t="s">
        <v>44</v>
      </c>
      <c r="E63" s="155"/>
      <c r="F63" s="242" t="s">
        <v>135</v>
      </c>
      <c r="G63" s="240">
        <v>4068392424</v>
      </c>
      <c r="H63" s="243" t="s">
        <v>7</v>
      </c>
      <c r="I63" s="145" t="s">
        <v>93</v>
      </c>
    </row>
    <row r="64" customHeight="1" spans="1:9">
      <c r="A64" s="242" t="s">
        <v>136</v>
      </c>
      <c r="B64" s="240">
        <v>7025545431</v>
      </c>
      <c r="C64" s="241" t="s">
        <v>4</v>
      </c>
      <c r="D64" s="145" t="s">
        <v>44</v>
      </c>
      <c r="E64" s="155"/>
      <c r="F64" s="242" t="s">
        <v>137</v>
      </c>
      <c r="G64" s="240">
        <v>5084165314</v>
      </c>
      <c r="H64" s="243" t="s">
        <v>7</v>
      </c>
      <c r="I64" s="145" t="s">
        <v>93</v>
      </c>
    </row>
    <row r="65" customHeight="1" spans="1:9">
      <c r="A65" s="242" t="s">
        <v>138</v>
      </c>
      <c r="B65" s="240">
        <v>3107591616</v>
      </c>
      <c r="C65" s="241" t="s">
        <v>4</v>
      </c>
      <c r="D65" s="145" t="s">
        <v>44</v>
      </c>
      <c r="E65" s="155"/>
      <c r="F65" s="242" t="s">
        <v>139</v>
      </c>
      <c r="G65" s="240">
        <v>410492954</v>
      </c>
      <c r="H65" s="243" t="s">
        <v>7</v>
      </c>
      <c r="I65" s="145" t="s">
        <v>93</v>
      </c>
    </row>
    <row r="66" customHeight="1" spans="1:9">
      <c r="A66" s="242" t="s">
        <v>140</v>
      </c>
      <c r="B66" s="240">
        <v>64584151091</v>
      </c>
      <c r="C66" s="241" t="s">
        <v>4</v>
      </c>
      <c r="D66" s="145" t="s">
        <v>44</v>
      </c>
      <c r="E66" s="155"/>
      <c r="F66" s="242" t="s">
        <v>141</v>
      </c>
      <c r="G66" s="240">
        <v>1062869712</v>
      </c>
      <c r="H66" s="243" t="s">
        <v>7</v>
      </c>
      <c r="I66" s="145" t="s">
        <v>93</v>
      </c>
    </row>
    <row r="67" customHeight="1" spans="1:9">
      <c r="A67" s="242" t="s">
        <v>142</v>
      </c>
      <c r="B67" s="240">
        <v>1084124443</v>
      </c>
      <c r="C67" s="241" t="s">
        <v>4</v>
      </c>
      <c r="D67" s="145" t="s">
        <v>44</v>
      </c>
      <c r="E67" s="155"/>
      <c r="F67" s="242" t="s">
        <v>143</v>
      </c>
      <c r="G67" s="240">
        <v>6075288743</v>
      </c>
      <c r="H67" s="243" t="s">
        <v>7</v>
      </c>
      <c r="I67" s="145" t="s">
        <v>93</v>
      </c>
    </row>
    <row r="68" customHeight="1" spans="1:9">
      <c r="A68" s="239" t="s">
        <v>144</v>
      </c>
      <c r="B68" s="240" t="s">
        <v>145</v>
      </c>
      <c r="C68" s="241" t="s">
        <v>4</v>
      </c>
      <c r="D68" s="145" t="s">
        <v>51</v>
      </c>
      <c r="E68" s="155"/>
      <c r="F68" s="242" t="s">
        <v>146</v>
      </c>
      <c r="G68" s="240">
        <v>8070924471</v>
      </c>
      <c r="H68" s="243" t="s">
        <v>7</v>
      </c>
      <c r="I68" s="145" t="s">
        <v>93</v>
      </c>
    </row>
    <row r="69" customHeight="1" spans="1:9">
      <c r="A69" s="239" t="s">
        <v>147</v>
      </c>
      <c r="B69" s="240">
        <v>1052324066</v>
      </c>
      <c r="C69" s="241" t="s">
        <v>4</v>
      </c>
      <c r="D69" s="145" t="s">
        <v>51</v>
      </c>
      <c r="E69" s="155"/>
      <c r="F69" s="242" t="s">
        <v>148</v>
      </c>
      <c r="G69" s="240">
        <v>5087559679</v>
      </c>
      <c r="H69" s="243" t="s">
        <v>7</v>
      </c>
      <c r="I69" s="145" t="s">
        <v>149</v>
      </c>
    </row>
    <row r="70" customHeight="1" spans="1:9">
      <c r="A70" s="242" t="s">
        <v>150</v>
      </c>
      <c r="B70" s="240">
        <v>1133465417</v>
      </c>
      <c r="C70" s="241" t="s">
        <v>4</v>
      </c>
      <c r="D70" s="145" t="s">
        <v>51</v>
      </c>
      <c r="E70" s="155"/>
      <c r="F70" s="242" t="s">
        <v>151</v>
      </c>
      <c r="G70" s="240">
        <v>3086593047</v>
      </c>
      <c r="H70" s="243" t="s">
        <v>7</v>
      </c>
      <c r="I70" s="145" t="s">
        <v>152</v>
      </c>
    </row>
    <row r="71" customHeight="1" spans="1:9">
      <c r="A71" s="242" t="s">
        <v>153</v>
      </c>
      <c r="B71" s="240">
        <v>1100397271</v>
      </c>
      <c r="C71" s="241" t="s">
        <v>4</v>
      </c>
      <c r="D71" s="145" t="s">
        <v>51</v>
      </c>
      <c r="E71" s="155"/>
      <c r="F71" s="242" t="s">
        <v>154</v>
      </c>
      <c r="G71" s="240">
        <v>1132229152</v>
      </c>
      <c r="H71" s="243" t="s">
        <v>7</v>
      </c>
      <c r="I71" s="145" t="s">
        <v>152</v>
      </c>
    </row>
    <row r="72" customHeight="1" spans="1:9">
      <c r="A72" s="242" t="s">
        <v>155</v>
      </c>
      <c r="B72" s="240">
        <v>1104136963</v>
      </c>
      <c r="C72" s="241" t="s">
        <v>4</v>
      </c>
      <c r="D72" s="145" t="s">
        <v>51</v>
      </c>
      <c r="E72" s="155"/>
      <c r="F72" s="242" t="s">
        <v>156</v>
      </c>
      <c r="G72" s="240">
        <v>8122538294</v>
      </c>
      <c r="H72" s="243" t="s">
        <v>7</v>
      </c>
      <c r="I72" s="145" t="s">
        <v>152</v>
      </c>
    </row>
    <row r="73" customHeight="1" spans="1:9">
      <c r="A73" s="242" t="s">
        <v>157</v>
      </c>
      <c r="B73" s="240">
        <v>1133162592</v>
      </c>
      <c r="C73" s="241" t="s">
        <v>4</v>
      </c>
      <c r="D73" s="145" t="s">
        <v>51</v>
      </c>
      <c r="E73" s="155"/>
      <c r="F73" s="242" t="s">
        <v>158</v>
      </c>
      <c r="G73" s="240">
        <v>7107423779</v>
      </c>
      <c r="H73" s="243" t="s">
        <v>7</v>
      </c>
      <c r="I73" s="145" t="s">
        <v>152</v>
      </c>
    </row>
    <row r="74" customHeight="1" spans="1:9">
      <c r="A74" s="242" t="s">
        <v>159</v>
      </c>
      <c r="B74" s="240">
        <v>3110664863</v>
      </c>
      <c r="C74" s="241" t="s">
        <v>4</v>
      </c>
      <c r="D74" s="145" t="s">
        <v>51</v>
      </c>
      <c r="E74" s="155"/>
      <c r="F74" s="242" t="s">
        <v>160</v>
      </c>
      <c r="G74" s="240">
        <v>1012015218</v>
      </c>
      <c r="H74" s="243" t="s">
        <v>7</v>
      </c>
      <c r="I74" s="145" t="s">
        <v>152</v>
      </c>
    </row>
    <row r="75" customHeight="1" spans="1:9">
      <c r="A75" s="242" t="s">
        <v>161</v>
      </c>
      <c r="B75" s="240">
        <v>7092719389</v>
      </c>
      <c r="C75" s="241" t="s">
        <v>4</v>
      </c>
      <c r="D75" s="145" t="s">
        <v>51</v>
      </c>
      <c r="E75" s="155"/>
      <c r="F75" s="242" t="s">
        <v>162</v>
      </c>
      <c r="G75" s="240">
        <v>1086202486</v>
      </c>
      <c r="H75" s="243" t="s">
        <v>7</v>
      </c>
      <c r="I75" s="145" t="s">
        <v>152</v>
      </c>
    </row>
    <row r="76" customHeight="1" spans="1:9">
      <c r="A76" s="242" t="s">
        <v>163</v>
      </c>
      <c r="B76" s="240">
        <v>3051177041</v>
      </c>
      <c r="C76" s="241" t="s">
        <v>4</v>
      </c>
      <c r="D76" s="145" t="s">
        <v>51</v>
      </c>
      <c r="E76" s="155"/>
      <c r="F76" s="242" t="s">
        <v>164</v>
      </c>
      <c r="G76" s="240">
        <v>1071131451</v>
      </c>
      <c r="H76" s="243" t="s">
        <v>7</v>
      </c>
      <c r="I76" s="145" t="s">
        <v>152</v>
      </c>
    </row>
    <row r="77" customHeight="1" spans="1:9">
      <c r="A77" s="242" t="s">
        <v>165</v>
      </c>
      <c r="B77" s="240">
        <v>9072597405</v>
      </c>
      <c r="C77" s="241" t="s">
        <v>4</v>
      </c>
      <c r="D77" s="145" t="s">
        <v>51</v>
      </c>
      <c r="E77" s="155"/>
      <c r="F77" s="242" t="s">
        <v>166</v>
      </c>
      <c r="G77" s="240">
        <v>4133182966</v>
      </c>
      <c r="H77" s="243" t="s">
        <v>7</v>
      </c>
      <c r="I77" s="145" t="s">
        <v>152</v>
      </c>
    </row>
    <row r="78" customHeight="1" spans="1:9">
      <c r="A78" s="242" t="s">
        <v>167</v>
      </c>
      <c r="B78" s="240">
        <v>1100481066</v>
      </c>
      <c r="C78" s="241" t="s">
        <v>4</v>
      </c>
      <c r="D78" s="145" t="s">
        <v>51</v>
      </c>
      <c r="E78" s="155"/>
      <c r="F78" s="242" t="s">
        <v>168</v>
      </c>
      <c r="G78" s="240">
        <v>2395476</v>
      </c>
      <c r="H78" s="243" t="s">
        <v>7</v>
      </c>
      <c r="I78" s="145" t="s">
        <v>152</v>
      </c>
    </row>
    <row r="79" customHeight="1" spans="1:9">
      <c r="A79" s="242" t="s">
        <v>169</v>
      </c>
      <c r="B79" s="240">
        <v>6078444194</v>
      </c>
      <c r="C79" s="241" t="s">
        <v>4</v>
      </c>
      <c r="D79" s="145" t="s">
        <v>51</v>
      </c>
      <c r="E79" s="155"/>
      <c r="F79" s="242" t="s">
        <v>170</v>
      </c>
      <c r="G79" s="240">
        <v>6054603599</v>
      </c>
      <c r="H79" s="243" t="s">
        <v>7</v>
      </c>
      <c r="I79" s="145" t="s">
        <v>152</v>
      </c>
    </row>
    <row r="80" customHeight="1" spans="1:8">
      <c r="A80" s="242" t="s">
        <v>171</v>
      </c>
      <c r="B80" s="240">
        <v>1061944706</v>
      </c>
      <c r="C80" s="241" t="s">
        <v>4</v>
      </c>
      <c r="D80" s="145" t="s">
        <v>51</v>
      </c>
      <c r="E80" s="155"/>
      <c r="H80" s="244"/>
    </row>
    <row r="81" customHeight="1" spans="1:8">
      <c r="A81" s="242" t="s">
        <v>172</v>
      </c>
      <c r="B81" s="240">
        <v>9072971451</v>
      </c>
      <c r="C81" s="241" t="s">
        <v>4</v>
      </c>
      <c r="D81" s="145" t="s">
        <v>51</v>
      </c>
      <c r="E81" s="155"/>
      <c r="H81" s="244"/>
    </row>
    <row r="82" customHeight="1" spans="1:8">
      <c r="A82" s="242" t="s">
        <v>173</v>
      </c>
      <c r="B82" s="240">
        <v>1082542885</v>
      </c>
      <c r="C82" s="241" t="s">
        <v>4</v>
      </c>
      <c r="D82" s="145" t="s">
        <v>51</v>
      </c>
      <c r="E82" s="155"/>
      <c r="H82" s="244"/>
    </row>
    <row r="83" customHeight="1" spans="1:8">
      <c r="A83" s="242" t="s">
        <v>174</v>
      </c>
      <c r="B83" s="240">
        <v>1085336582</v>
      </c>
      <c r="C83" s="241" t="s">
        <v>4</v>
      </c>
      <c r="D83" s="145" t="s">
        <v>51</v>
      </c>
      <c r="E83" s="155"/>
      <c r="H83" s="244"/>
    </row>
    <row r="84" customHeight="1" spans="1:8">
      <c r="A84" s="242" t="s">
        <v>175</v>
      </c>
      <c r="B84" s="240">
        <v>6104073058</v>
      </c>
      <c r="C84" s="241" t="s">
        <v>4</v>
      </c>
      <c r="D84" s="145" t="s">
        <v>51</v>
      </c>
      <c r="E84" s="155"/>
      <c r="H84" s="244"/>
    </row>
    <row r="85" customHeight="1" spans="1:8">
      <c r="A85" s="242" t="s">
        <v>176</v>
      </c>
      <c r="B85" s="240">
        <v>1089446338</v>
      </c>
      <c r="C85" s="241" t="s">
        <v>4</v>
      </c>
      <c r="D85" s="145" t="s">
        <v>51</v>
      </c>
      <c r="E85" s="155"/>
      <c r="H85" s="244"/>
    </row>
    <row r="86" customHeight="1" spans="1:8">
      <c r="A86" s="242" t="s">
        <v>177</v>
      </c>
      <c r="B86" s="240">
        <v>7059449591</v>
      </c>
      <c r="C86" s="241" t="s">
        <v>4</v>
      </c>
      <c r="D86" s="145" t="s">
        <v>51</v>
      </c>
      <c r="E86" s="155"/>
      <c r="H86" s="244"/>
    </row>
    <row r="87" customHeight="1" spans="1:8">
      <c r="A87" s="242" t="s">
        <v>178</v>
      </c>
      <c r="B87" s="240">
        <v>1043086162</v>
      </c>
      <c r="C87" s="241" t="s">
        <v>4</v>
      </c>
      <c r="D87" s="145" t="s">
        <v>51</v>
      </c>
      <c r="E87" s="155"/>
      <c r="H87" s="244"/>
    </row>
    <row r="88" customHeight="1" spans="1:8">
      <c r="A88" s="242" t="s">
        <v>179</v>
      </c>
      <c r="B88" s="240">
        <v>2254368095</v>
      </c>
      <c r="C88" s="241" t="s">
        <v>4</v>
      </c>
      <c r="D88" s="145" t="s">
        <v>51</v>
      </c>
      <c r="E88" s="155"/>
      <c r="H88" s="244"/>
    </row>
    <row r="89" customHeight="1" spans="1:8">
      <c r="A89" s="242" t="s">
        <v>180</v>
      </c>
      <c r="B89" s="240">
        <v>3053896712</v>
      </c>
      <c r="C89" s="241" t="s">
        <v>4</v>
      </c>
      <c r="D89" s="145" t="s">
        <v>51</v>
      </c>
      <c r="E89" s="155"/>
      <c r="H89" s="244"/>
    </row>
    <row r="90" customHeight="1" spans="1:8">
      <c r="A90" s="242" t="s">
        <v>181</v>
      </c>
      <c r="B90" s="240">
        <v>1006192361</v>
      </c>
      <c r="C90" s="241" t="s">
        <v>4</v>
      </c>
      <c r="D90" s="145" t="s">
        <v>182</v>
      </c>
      <c r="E90" s="155"/>
      <c r="H90" s="244"/>
    </row>
    <row r="91" customHeight="1" spans="1:8">
      <c r="A91" s="242" t="s">
        <v>183</v>
      </c>
      <c r="B91" s="240">
        <v>9080791669</v>
      </c>
      <c r="C91" s="241" t="s">
        <v>4</v>
      </c>
      <c r="D91" s="145" t="s">
        <v>182</v>
      </c>
      <c r="E91" s="155"/>
      <c r="H91" s="244"/>
    </row>
    <row r="92" customHeight="1" spans="1:8">
      <c r="A92" s="242" t="s">
        <v>184</v>
      </c>
      <c r="B92" s="240">
        <v>2080261941</v>
      </c>
      <c r="C92" s="241" t="s">
        <v>4</v>
      </c>
      <c r="D92" s="145" t="s">
        <v>182</v>
      </c>
      <c r="E92" s="155"/>
      <c r="H92" s="244"/>
    </row>
    <row r="93" customHeight="1" spans="1:8">
      <c r="A93" s="242" t="s">
        <v>185</v>
      </c>
      <c r="B93" s="240">
        <v>8080791125</v>
      </c>
      <c r="C93" s="241" t="s">
        <v>4</v>
      </c>
      <c r="D93" s="145" t="s">
        <v>182</v>
      </c>
      <c r="E93" s="155"/>
      <c r="H93" s="244"/>
    </row>
    <row r="94" customHeight="1" spans="1:8">
      <c r="A94" s="242" t="s">
        <v>186</v>
      </c>
      <c r="B94" s="240">
        <v>3050716467</v>
      </c>
      <c r="C94" s="241" t="s">
        <v>4</v>
      </c>
      <c r="D94" s="145" t="s">
        <v>187</v>
      </c>
      <c r="E94" s="155"/>
      <c r="H94" s="244"/>
    </row>
    <row r="95" customHeight="1" spans="1:8">
      <c r="A95" s="242" t="s">
        <v>188</v>
      </c>
      <c r="B95" s="240">
        <v>1027167293</v>
      </c>
      <c r="C95" s="241" t="s">
        <v>4</v>
      </c>
      <c r="D95" s="145" t="s">
        <v>187</v>
      </c>
      <c r="E95" s="155"/>
      <c r="H95" s="244"/>
    </row>
    <row r="96" customHeight="1" spans="1:8">
      <c r="A96" s="242" t="s">
        <v>189</v>
      </c>
      <c r="B96" s="240">
        <v>10601400025</v>
      </c>
      <c r="C96" s="241" t="s">
        <v>4</v>
      </c>
      <c r="D96" s="145" t="s">
        <v>187</v>
      </c>
      <c r="E96" s="155"/>
      <c r="H96" s="244"/>
    </row>
    <row r="97" customHeight="1" spans="1:8">
      <c r="A97" s="242" t="s">
        <v>190</v>
      </c>
      <c r="B97" s="240">
        <v>3082226626</v>
      </c>
      <c r="C97" s="241" t="s">
        <v>4</v>
      </c>
      <c r="D97" s="145" t="s">
        <v>187</v>
      </c>
      <c r="E97" s="155"/>
      <c r="H97" s="244"/>
    </row>
    <row r="98" customHeight="1" spans="1:8">
      <c r="A98" s="242" t="s">
        <v>191</v>
      </c>
      <c r="B98" s="240">
        <v>2093468847</v>
      </c>
      <c r="C98" s="241" t="s">
        <v>4</v>
      </c>
      <c r="D98" s="145" t="s">
        <v>192</v>
      </c>
      <c r="E98" s="155"/>
      <c r="H98" s="244"/>
    </row>
    <row r="99" customHeight="1" spans="1:8">
      <c r="A99" s="242" t="s">
        <v>193</v>
      </c>
      <c r="B99" s="240">
        <v>2076830658</v>
      </c>
      <c r="C99" s="241" t="s">
        <v>4</v>
      </c>
      <c r="D99" s="145" t="s">
        <v>192</v>
      </c>
      <c r="E99" s="155"/>
      <c r="H99" s="244"/>
    </row>
    <row r="100" customHeight="1" spans="1:8">
      <c r="A100" s="242" t="s">
        <v>194</v>
      </c>
      <c r="B100" s="240">
        <v>1100334661</v>
      </c>
      <c r="C100" s="241" t="s">
        <v>4</v>
      </c>
      <c r="D100" s="145" t="s">
        <v>192</v>
      </c>
      <c r="E100" s="155"/>
      <c r="H100" s="244"/>
    </row>
    <row r="101" customHeight="1" spans="1:8">
      <c r="A101" s="242" t="s">
        <v>195</v>
      </c>
      <c r="B101" s="240">
        <v>1085492054</v>
      </c>
      <c r="C101" s="241" t="s">
        <v>4</v>
      </c>
      <c r="D101" s="145" t="s">
        <v>192</v>
      </c>
      <c r="E101" s="155"/>
      <c r="H101" s="244"/>
    </row>
    <row r="102" customHeight="1" spans="1:8">
      <c r="A102" s="242" t="s">
        <v>196</v>
      </c>
      <c r="B102" s="240">
        <v>1113097982</v>
      </c>
      <c r="C102" s="241" t="s">
        <v>4</v>
      </c>
      <c r="D102" s="145" t="s">
        <v>192</v>
      </c>
      <c r="E102" s="155"/>
      <c r="H102" s="244"/>
    </row>
    <row r="103" customHeight="1" spans="1:8">
      <c r="A103" s="242" t="s">
        <v>197</v>
      </c>
      <c r="B103" s="240">
        <v>5076532356</v>
      </c>
      <c r="C103" s="241" t="s">
        <v>4</v>
      </c>
      <c r="D103" s="145" t="s">
        <v>192</v>
      </c>
      <c r="E103" s="155"/>
      <c r="H103" s="244"/>
    </row>
    <row r="104" customHeight="1" spans="1:8">
      <c r="A104" s="242" t="s">
        <v>198</v>
      </c>
      <c r="B104" s="240">
        <v>1050584885</v>
      </c>
      <c r="C104" s="241" t="s">
        <v>4</v>
      </c>
      <c r="D104" s="145" t="s">
        <v>192</v>
      </c>
      <c r="E104" s="155"/>
      <c r="H104" s="244"/>
    </row>
    <row r="105" customHeight="1" spans="1:8">
      <c r="A105" s="242" t="s">
        <v>199</v>
      </c>
      <c r="B105" s="240">
        <v>1028797841</v>
      </c>
      <c r="C105" s="241" t="s">
        <v>4</v>
      </c>
      <c r="D105" s="145" t="s">
        <v>192</v>
      </c>
      <c r="E105" s="155"/>
      <c r="H105" s="244"/>
    </row>
    <row r="106" customHeight="1" spans="1:8">
      <c r="A106" s="242" t="s">
        <v>200</v>
      </c>
      <c r="B106" s="240">
        <v>8078341181</v>
      </c>
      <c r="C106" s="241" t="s">
        <v>4</v>
      </c>
      <c r="D106" s="145" t="s">
        <v>192</v>
      </c>
      <c r="E106" s="155"/>
      <c r="H106" s="244"/>
    </row>
    <row r="107" customHeight="1" spans="1:8">
      <c r="A107" s="242" t="s">
        <v>201</v>
      </c>
      <c r="B107" s="240">
        <v>1042107431</v>
      </c>
      <c r="C107" s="241" t="s">
        <v>4</v>
      </c>
      <c r="D107" s="145" t="s">
        <v>192</v>
      </c>
      <c r="E107" s="155"/>
      <c r="H107" s="244"/>
    </row>
    <row r="108" customHeight="1" spans="1:8">
      <c r="A108" s="242" t="s">
        <v>202</v>
      </c>
      <c r="B108" s="240">
        <v>1058669761</v>
      </c>
      <c r="C108" s="241" t="s">
        <v>4</v>
      </c>
      <c r="D108" s="145" t="s">
        <v>192</v>
      </c>
      <c r="E108" s="155"/>
      <c r="H108" s="244"/>
    </row>
    <row r="109" customHeight="1" spans="1:8">
      <c r="A109" s="242" t="s">
        <v>203</v>
      </c>
      <c r="B109" s="240">
        <v>41690010</v>
      </c>
      <c r="C109" s="241" t="s">
        <v>4</v>
      </c>
      <c r="D109" s="145" t="s">
        <v>192</v>
      </c>
      <c r="E109" s="155"/>
      <c r="H109" s="244"/>
    </row>
    <row r="110" customHeight="1" spans="1:8">
      <c r="A110" s="242" t="s">
        <v>204</v>
      </c>
      <c r="B110" s="240">
        <v>5124907634</v>
      </c>
      <c r="C110" s="241" t="s">
        <v>4</v>
      </c>
      <c r="D110" s="145" t="s">
        <v>192</v>
      </c>
      <c r="E110" s="155"/>
      <c r="H110" s="244"/>
    </row>
    <row r="111" customHeight="1" spans="1:8">
      <c r="A111" s="242" t="s">
        <v>205</v>
      </c>
      <c r="B111" s="240">
        <v>1010579546</v>
      </c>
      <c r="C111" s="241" t="s">
        <v>4</v>
      </c>
      <c r="D111" s="145" t="s">
        <v>192</v>
      </c>
      <c r="E111" s="155"/>
      <c r="H111" s="244"/>
    </row>
    <row r="112" customHeight="1" spans="1:8">
      <c r="A112" s="242" t="s">
        <v>206</v>
      </c>
      <c r="B112" s="240">
        <v>8097833845</v>
      </c>
      <c r="C112" s="241" t="s">
        <v>4</v>
      </c>
      <c r="D112" s="145" t="s">
        <v>192</v>
      </c>
      <c r="E112" s="155"/>
      <c r="H112" s="244"/>
    </row>
    <row r="113" customHeight="1" spans="1:8">
      <c r="A113" s="242" t="s">
        <v>207</v>
      </c>
      <c r="B113" s="240">
        <v>1084964483</v>
      </c>
      <c r="C113" s="241" t="s">
        <v>4</v>
      </c>
      <c r="D113" s="145" t="s">
        <v>192</v>
      </c>
      <c r="E113" s="155"/>
      <c r="H113" s="244"/>
    </row>
    <row r="114" customHeight="1" spans="1:8">
      <c r="A114" s="242" t="s">
        <v>208</v>
      </c>
      <c r="B114" s="240">
        <v>7104765362</v>
      </c>
      <c r="C114" s="241" t="s">
        <v>4</v>
      </c>
      <c r="D114" s="145" t="s">
        <v>192</v>
      </c>
      <c r="E114" s="155"/>
      <c r="H114" s="244"/>
    </row>
    <row r="115" customHeight="1" spans="1:8">
      <c r="A115" s="242" t="s">
        <v>209</v>
      </c>
      <c r="B115" s="240">
        <v>3078668948</v>
      </c>
      <c r="C115" s="241" t="s">
        <v>4</v>
      </c>
      <c r="D115" s="145" t="s">
        <v>192</v>
      </c>
      <c r="E115" s="155"/>
      <c r="H115" s="244"/>
    </row>
    <row r="116" customHeight="1" spans="1:8">
      <c r="A116" s="242" t="s">
        <v>210</v>
      </c>
      <c r="B116" s="240">
        <v>1090658939</v>
      </c>
      <c r="C116" s="241" t="s">
        <v>4</v>
      </c>
      <c r="D116" s="145" t="s">
        <v>192</v>
      </c>
      <c r="E116" s="155"/>
      <c r="H116" s="244"/>
    </row>
    <row r="117" customHeight="1" spans="1:8">
      <c r="A117" s="242" t="s">
        <v>211</v>
      </c>
      <c r="B117" s="240">
        <v>4113000055</v>
      </c>
      <c r="C117" s="241" t="s">
        <v>4</v>
      </c>
      <c r="D117" s="145" t="s">
        <v>192</v>
      </c>
      <c r="E117" s="155"/>
      <c r="H117" s="244"/>
    </row>
    <row r="118" customHeight="1" spans="1:8">
      <c r="A118" s="242" t="s">
        <v>212</v>
      </c>
      <c r="B118" s="240">
        <v>8112550366</v>
      </c>
      <c r="C118" s="241" t="s">
        <v>4</v>
      </c>
      <c r="D118" s="145" t="s">
        <v>192</v>
      </c>
      <c r="E118" s="155"/>
      <c r="H118" s="244"/>
    </row>
    <row r="119" customHeight="1" spans="1:8">
      <c r="A119" s="239" t="s">
        <v>213</v>
      </c>
      <c r="B119" s="240">
        <v>7073090032</v>
      </c>
      <c r="C119" s="241" t="s">
        <v>4</v>
      </c>
      <c r="D119" s="145" t="s">
        <v>84</v>
      </c>
      <c r="E119" s="155"/>
      <c r="H119" s="244"/>
    </row>
    <row r="120" customHeight="1" spans="1:8">
      <c r="A120" s="239" t="s">
        <v>214</v>
      </c>
      <c r="B120" s="240">
        <v>1049304775</v>
      </c>
      <c r="C120" s="241" t="s">
        <v>4</v>
      </c>
      <c r="D120" s="145" t="s">
        <v>84</v>
      </c>
      <c r="E120" s="155"/>
      <c r="H120" s="244"/>
    </row>
    <row r="121" customHeight="1" spans="1:8">
      <c r="A121" s="239" t="s">
        <v>215</v>
      </c>
      <c r="B121" s="240">
        <v>9079236338</v>
      </c>
      <c r="C121" s="241" t="s">
        <v>4</v>
      </c>
      <c r="D121" s="145" t="s">
        <v>84</v>
      </c>
      <c r="E121" s="155"/>
      <c r="H121" s="244"/>
    </row>
    <row r="122" customHeight="1" spans="1:8">
      <c r="A122" s="239" t="s">
        <v>216</v>
      </c>
      <c r="B122" s="240">
        <v>9096302717</v>
      </c>
      <c r="C122" s="241" t="s">
        <v>4</v>
      </c>
      <c r="D122" s="145" t="s">
        <v>84</v>
      </c>
      <c r="E122" s="155"/>
      <c r="H122" s="244"/>
    </row>
    <row r="123" customHeight="1" spans="1:8">
      <c r="A123" s="242" t="s">
        <v>217</v>
      </c>
      <c r="B123" s="240">
        <v>8073084603</v>
      </c>
      <c r="C123" s="241" t="s">
        <v>4</v>
      </c>
      <c r="D123" s="145" t="s">
        <v>84</v>
      </c>
      <c r="E123" s="155"/>
      <c r="H123" s="244"/>
    </row>
    <row r="124" customHeight="1" spans="1:8">
      <c r="A124" s="242" t="s">
        <v>218</v>
      </c>
      <c r="B124" s="240">
        <v>1057205674</v>
      </c>
      <c r="C124" s="241" t="s">
        <v>4</v>
      </c>
      <c r="D124" s="145" t="s">
        <v>84</v>
      </c>
      <c r="E124" s="155"/>
      <c r="H124" s="244"/>
    </row>
    <row r="125" customHeight="1" spans="1:8">
      <c r="A125" s="242" t="s">
        <v>219</v>
      </c>
      <c r="B125" s="240">
        <v>7064307346</v>
      </c>
      <c r="C125" s="241" t="s">
        <v>4</v>
      </c>
      <c r="D125" s="145" t="s">
        <v>84</v>
      </c>
      <c r="E125" s="155"/>
      <c r="H125" s="244"/>
    </row>
    <row r="126" customHeight="1" spans="1:8">
      <c r="A126" s="242" t="s">
        <v>220</v>
      </c>
      <c r="B126" s="240">
        <v>1127810421</v>
      </c>
      <c r="C126" s="241" t="s">
        <v>4</v>
      </c>
      <c r="D126" s="145" t="s">
        <v>84</v>
      </c>
      <c r="E126" s="155"/>
      <c r="H126" s="244"/>
    </row>
    <row r="127" customHeight="1" spans="1:8">
      <c r="A127" s="242" t="s">
        <v>221</v>
      </c>
      <c r="B127" s="240">
        <v>4092714304</v>
      </c>
      <c r="C127" s="241" t="s">
        <v>4</v>
      </c>
      <c r="D127" s="145" t="s">
        <v>84</v>
      </c>
      <c r="E127" s="155"/>
      <c r="H127" s="244"/>
    </row>
    <row r="128" customHeight="1" spans="1:8">
      <c r="A128" s="242" t="s">
        <v>222</v>
      </c>
      <c r="B128" s="240">
        <v>9061287034</v>
      </c>
      <c r="C128" s="241" t="s">
        <v>4</v>
      </c>
      <c r="D128" s="145" t="s">
        <v>84</v>
      </c>
      <c r="E128" s="155"/>
      <c r="H128" s="244"/>
    </row>
    <row r="129" customHeight="1" spans="1:8">
      <c r="A129" s="242" t="s">
        <v>223</v>
      </c>
      <c r="B129" s="240">
        <v>6091986742</v>
      </c>
      <c r="C129" s="241" t="s">
        <v>4</v>
      </c>
      <c r="D129" s="145" t="s">
        <v>84</v>
      </c>
      <c r="E129" s="155"/>
      <c r="H129" s="244"/>
    </row>
    <row r="130" customHeight="1" spans="1:8">
      <c r="A130" s="242" t="s">
        <v>224</v>
      </c>
      <c r="B130" s="240">
        <v>3083784912</v>
      </c>
      <c r="C130" s="241" t="s">
        <v>4</v>
      </c>
      <c r="D130" s="145" t="s">
        <v>84</v>
      </c>
      <c r="E130" s="155"/>
      <c r="H130" s="244"/>
    </row>
    <row r="131" customHeight="1" spans="1:8">
      <c r="A131" s="242" t="s">
        <v>225</v>
      </c>
      <c r="B131" s="240">
        <v>2064307859</v>
      </c>
      <c r="C131" s="241" t="s">
        <v>4</v>
      </c>
      <c r="D131" s="145" t="s">
        <v>84</v>
      </c>
      <c r="E131" s="155"/>
      <c r="H131" s="244"/>
    </row>
    <row r="132" customHeight="1" spans="1:8">
      <c r="A132" s="242" t="s">
        <v>226</v>
      </c>
      <c r="B132" s="240">
        <v>7106266146</v>
      </c>
      <c r="C132" s="241" t="s">
        <v>4</v>
      </c>
      <c r="D132" s="145" t="s">
        <v>84</v>
      </c>
      <c r="E132" s="155"/>
      <c r="H132" s="244"/>
    </row>
    <row r="133" customHeight="1" spans="1:8">
      <c r="A133" s="242" t="s">
        <v>227</v>
      </c>
      <c r="B133" s="240">
        <v>1093827044</v>
      </c>
      <c r="C133" s="241" t="s">
        <v>4</v>
      </c>
      <c r="D133" s="145" t="s">
        <v>84</v>
      </c>
      <c r="E133" s="155"/>
      <c r="H133" s="244"/>
    </row>
    <row r="134" customHeight="1" spans="1:8">
      <c r="A134" s="242" t="s">
        <v>228</v>
      </c>
      <c r="B134" s="240">
        <v>3070475284</v>
      </c>
      <c r="C134" s="241" t="s">
        <v>4</v>
      </c>
      <c r="D134" s="145" t="s">
        <v>84</v>
      </c>
      <c r="E134" s="155"/>
      <c r="H134" s="244"/>
    </row>
    <row r="135" customHeight="1" spans="1:8">
      <c r="A135" s="242" t="s">
        <v>229</v>
      </c>
      <c r="B135" s="240">
        <v>8064560504</v>
      </c>
      <c r="C135" s="241" t="s">
        <v>4</v>
      </c>
      <c r="D135" s="145" t="s">
        <v>84</v>
      </c>
      <c r="E135" s="155"/>
      <c r="H135" s="244"/>
    </row>
    <row r="136" customHeight="1" spans="1:8">
      <c r="A136" s="242" t="s">
        <v>230</v>
      </c>
      <c r="B136" s="240">
        <v>8057448048</v>
      </c>
      <c r="C136" s="241" t="s">
        <v>4</v>
      </c>
      <c r="D136" s="145" t="s">
        <v>84</v>
      </c>
      <c r="E136" s="155"/>
      <c r="H136" s="244"/>
    </row>
    <row r="137" customHeight="1" spans="1:8">
      <c r="A137" s="242" t="s">
        <v>231</v>
      </c>
      <c r="B137" s="240">
        <v>2076062138</v>
      </c>
      <c r="C137" s="241" t="s">
        <v>4</v>
      </c>
      <c r="D137" s="145" t="s">
        <v>84</v>
      </c>
      <c r="E137" s="155"/>
      <c r="H137" s="244"/>
    </row>
    <row r="138" customHeight="1" spans="1:8">
      <c r="A138" s="242" t="s">
        <v>232</v>
      </c>
      <c r="B138" s="240">
        <v>6074741841</v>
      </c>
      <c r="C138" s="241" t="s">
        <v>4</v>
      </c>
      <c r="D138" s="145" t="s">
        <v>84</v>
      </c>
      <c r="E138" s="155"/>
      <c r="H138" s="244"/>
    </row>
    <row r="139" customHeight="1" spans="1:8">
      <c r="A139" s="242" t="s">
        <v>233</v>
      </c>
      <c r="B139" s="240">
        <v>9062515326</v>
      </c>
      <c r="C139" s="241" t="s">
        <v>4</v>
      </c>
      <c r="D139" s="145" t="s">
        <v>84</v>
      </c>
      <c r="E139" s="155"/>
      <c r="H139" s="244"/>
    </row>
    <row r="140" customHeight="1" spans="1:8">
      <c r="A140" s="242" t="s">
        <v>234</v>
      </c>
      <c r="B140" s="240">
        <v>9101084722</v>
      </c>
      <c r="C140" s="241" t="s">
        <v>4</v>
      </c>
      <c r="D140" s="145" t="s">
        <v>84</v>
      </c>
      <c r="E140" s="155"/>
      <c r="H140" s="244"/>
    </row>
    <row r="141" customHeight="1" spans="1:8">
      <c r="A141" s="242" t="s">
        <v>235</v>
      </c>
      <c r="B141" s="240" t="s">
        <v>236</v>
      </c>
      <c r="C141" s="241" t="s">
        <v>4</v>
      </c>
      <c r="D141" s="145" t="s">
        <v>84</v>
      </c>
      <c r="E141" s="155"/>
      <c r="H141" s="244"/>
    </row>
    <row r="142" customHeight="1" spans="1:8">
      <c r="A142" s="242" t="s">
        <v>237</v>
      </c>
      <c r="B142" s="240">
        <v>4098837117</v>
      </c>
      <c r="C142" s="241" t="s">
        <v>4</v>
      </c>
      <c r="D142" s="145" t="s">
        <v>84</v>
      </c>
      <c r="E142" s="155"/>
      <c r="H142" s="244"/>
    </row>
    <row r="143" customHeight="1" spans="1:8">
      <c r="A143" s="242" t="s">
        <v>238</v>
      </c>
      <c r="B143" s="240">
        <v>6040465368</v>
      </c>
      <c r="C143" s="241" t="s">
        <v>4</v>
      </c>
      <c r="D143" s="145" t="s">
        <v>84</v>
      </c>
      <c r="E143" s="155"/>
      <c r="H143" s="244"/>
    </row>
    <row r="144" customHeight="1" spans="1:8">
      <c r="A144" s="242" t="s">
        <v>239</v>
      </c>
      <c r="B144" s="240">
        <v>7100427462</v>
      </c>
      <c r="C144" s="241" t="s">
        <v>4</v>
      </c>
      <c r="D144" s="145" t="s">
        <v>84</v>
      </c>
      <c r="E144" s="155"/>
      <c r="H144" s="244"/>
    </row>
    <row r="145" customHeight="1" spans="1:8">
      <c r="A145" s="242" t="s">
        <v>240</v>
      </c>
      <c r="B145" s="240">
        <v>1054973605</v>
      </c>
      <c r="C145" s="241" t="s">
        <v>4</v>
      </c>
      <c r="D145" s="145" t="s">
        <v>84</v>
      </c>
      <c r="E145" s="155"/>
      <c r="H145" s="244"/>
    </row>
    <row r="146" customHeight="1" spans="1:8">
      <c r="A146" s="242" t="s">
        <v>241</v>
      </c>
      <c r="B146" s="240">
        <v>2062614785</v>
      </c>
      <c r="C146" s="241" t="s">
        <v>4</v>
      </c>
      <c r="D146" s="145" t="s">
        <v>84</v>
      </c>
      <c r="E146" s="155"/>
      <c r="H146" s="244"/>
    </row>
    <row r="147" customHeight="1" spans="1:8">
      <c r="A147" s="242" t="s">
        <v>242</v>
      </c>
      <c r="B147" s="240">
        <v>6064195321</v>
      </c>
      <c r="C147" s="241" t="s">
        <v>4</v>
      </c>
      <c r="D147" s="145" t="s">
        <v>84</v>
      </c>
      <c r="E147" s="155"/>
      <c r="H147" s="244"/>
    </row>
    <row r="148" customHeight="1" spans="1:8">
      <c r="A148" s="242" t="s">
        <v>243</v>
      </c>
      <c r="B148" s="240">
        <v>3085146359</v>
      </c>
      <c r="C148" s="241" t="s">
        <v>4</v>
      </c>
      <c r="D148" s="145" t="s">
        <v>84</v>
      </c>
      <c r="E148" s="155"/>
      <c r="H148" s="244"/>
    </row>
    <row r="149" customHeight="1" spans="1:8">
      <c r="A149" s="242" t="s">
        <v>244</v>
      </c>
      <c r="B149" s="240">
        <v>1074838606</v>
      </c>
      <c r="C149" s="241" t="s">
        <v>4</v>
      </c>
      <c r="D149" s="145" t="s">
        <v>84</v>
      </c>
      <c r="E149" s="155"/>
      <c r="H149" s="244"/>
    </row>
    <row r="150" customHeight="1" spans="1:8">
      <c r="A150" s="242" t="s">
        <v>245</v>
      </c>
      <c r="B150" s="240">
        <v>9116289399</v>
      </c>
      <c r="C150" s="241" t="s">
        <v>4</v>
      </c>
      <c r="D150" s="145" t="s">
        <v>84</v>
      </c>
      <c r="E150" s="155"/>
      <c r="H150" s="244"/>
    </row>
    <row r="151" customHeight="1" spans="1:8">
      <c r="A151" s="242" t="s">
        <v>246</v>
      </c>
      <c r="B151" s="240">
        <v>7055471549</v>
      </c>
      <c r="C151" s="241" t="s">
        <v>4</v>
      </c>
      <c r="D151" s="145" t="s">
        <v>84</v>
      </c>
      <c r="E151" s="155"/>
      <c r="H151" s="244"/>
    </row>
    <row r="152" customHeight="1" spans="1:8">
      <c r="A152" s="242" t="s">
        <v>247</v>
      </c>
      <c r="B152" s="240">
        <v>6064311019</v>
      </c>
      <c r="C152" s="241" t="s">
        <v>4</v>
      </c>
      <c r="D152" s="145" t="s">
        <v>84</v>
      </c>
      <c r="E152" s="155"/>
      <c r="H152" s="244"/>
    </row>
    <row r="153" customHeight="1" spans="1:8">
      <c r="A153" s="242" t="s">
        <v>248</v>
      </c>
      <c r="B153" s="240">
        <v>62658166087</v>
      </c>
      <c r="C153" s="241" t="s">
        <v>4</v>
      </c>
      <c r="D153" s="145" t="s">
        <v>84</v>
      </c>
      <c r="E153" s="155"/>
      <c r="H153" s="244"/>
    </row>
    <row r="154" customHeight="1" spans="1:8">
      <c r="A154" s="242" t="s">
        <v>249</v>
      </c>
      <c r="B154" s="240">
        <v>7109921531</v>
      </c>
      <c r="C154" s="241" t="s">
        <v>4</v>
      </c>
      <c r="D154" s="145" t="s">
        <v>84</v>
      </c>
      <c r="E154" s="155"/>
      <c r="H154" s="244"/>
    </row>
    <row r="155" customHeight="1" spans="1:8">
      <c r="A155" s="242" t="s">
        <v>250</v>
      </c>
      <c r="B155" s="240">
        <v>6084727368</v>
      </c>
      <c r="C155" s="241" t="s">
        <v>4</v>
      </c>
      <c r="D155" s="145" t="s">
        <v>84</v>
      </c>
      <c r="E155" s="155"/>
      <c r="H155" s="244"/>
    </row>
    <row r="156" customHeight="1" spans="1:8">
      <c r="A156" s="242" t="s">
        <v>251</v>
      </c>
      <c r="B156" s="240">
        <v>9038281731</v>
      </c>
      <c r="C156" s="241" t="s">
        <v>4</v>
      </c>
      <c r="D156" s="145" t="s">
        <v>84</v>
      </c>
      <c r="E156" s="155"/>
      <c r="H156" s="244"/>
    </row>
    <row r="157" customHeight="1" spans="1:8">
      <c r="A157" s="242" t="s">
        <v>252</v>
      </c>
      <c r="B157" s="240">
        <v>6061806284</v>
      </c>
      <c r="C157" s="241" t="s">
        <v>4</v>
      </c>
      <c r="D157" s="145" t="s">
        <v>84</v>
      </c>
      <c r="E157" s="155"/>
      <c r="H157" s="244"/>
    </row>
    <row r="158" customHeight="1" spans="1:8">
      <c r="A158" s="242" t="s">
        <v>253</v>
      </c>
      <c r="B158" s="240">
        <v>6109661121</v>
      </c>
      <c r="C158" s="241" t="s">
        <v>4</v>
      </c>
      <c r="D158" s="145" t="s">
        <v>84</v>
      </c>
      <c r="E158" s="155"/>
      <c r="H158" s="244"/>
    </row>
    <row r="159" customHeight="1" spans="1:8">
      <c r="A159" s="242" t="s">
        <v>254</v>
      </c>
      <c r="B159" s="240">
        <v>7038388323</v>
      </c>
      <c r="C159" s="241" t="s">
        <v>4</v>
      </c>
      <c r="D159" s="145" t="s">
        <v>84</v>
      </c>
      <c r="E159" s="155"/>
      <c r="H159" s="244"/>
    </row>
    <row r="160" customHeight="1" spans="1:8">
      <c r="A160" s="242" t="s">
        <v>255</v>
      </c>
      <c r="B160" s="240">
        <v>81397062053</v>
      </c>
      <c r="C160" s="241" t="s">
        <v>4</v>
      </c>
      <c r="D160" s="145" t="s">
        <v>84</v>
      </c>
      <c r="E160" s="155"/>
      <c r="H160" s="244"/>
    </row>
    <row r="161" customHeight="1" spans="1:8">
      <c r="A161" s="239" t="s">
        <v>256</v>
      </c>
      <c r="B161" s="240">
        <v>5058376491</v>
      </c>
      <c r="C161" s="241" t="s">
        <v>4</v>
      </c>
      <c r="D161" s="145" t="s">
        <v>93</v>
      </c>
      <c r="E161" s="155"/>
      <c r="H161" s="244"/>
    </row>
    <row r="162" customHeight="1" spans="1:8">
      <c r="A162" s="239" t="s">
        <v>257</v>
      </c>
      <c r="B162" s="240">
        <v>1104159882</v>
      </c>
      <c r="C162" s="241" t="s">
        <v>4</v>
      </c>
      <c r="D162" s="145" t="s">
        <v>93</v>
      </c>
      <c r="E162" s="155"/>
      <c r="H162" s="244"/>
    </row>
    <row r="163" customHeight="1" spans="1:8">
      <c r="A163" s="239" t="s">
        <v>258</v>
      </c>
      <c r="B163" s="240">
        <v>1100069853</v>
      </c>
      <c r="C163" s="241" t="s">
        <v>4</v>
      </c>
      <c r="D163" s="145" t="s">
        <v>93</v>
      </c>
      <c r="E163" s="155"/>
      <c r="H163" s="244"/>
    </row>
    <row r="164" customHeight="1" spans="1:8">
      <c r="A164" s="242" t="s">
        <v>259</v>
      </c>
      <c r="B164" s="240">
        <v>7094877251</v>
      </c>
      <c r="C164" s="241" t="s">
        <v>4</v>
      </c>
      <c r="D164" s="145" t="s">
        <v>93</v>
      </c>
      <c r="E164" s="155"/>
      <c r="H164" s="244"/>
    </row>
    <row r="165" customHeight="1" spans="1:8">
      <c r="A165" s="242" t="s">
        <v>260</v>
      </c>
      <c r="B165" s="240">
        <v>3126135429</v>
      </c>
      <c r="C165" s="241" t="s">
        <v>4</v>
      </c>
      <c r="D165" s="145" t="s">
        <v>93</v>
      </c>
      <c r="E165" s="155"/>
      <c r="H165" s="244"/>
    </row>
    <row r="166" customHeight="1" spans="1:8">
      <c r="A166" s="242" t="s">
        <v>261</v>
      </c>
      <c r="B166" s="240">
        <v>8111530393</v>
      </c>
      <c r="C166" s="241" t="s">
        <v>4</v>
      </c>
      <c r="D166" s="145" t="s">
        <v>93</v>
      </c>
      <c r="E166" s="155"/>
      <c r="H166" s="244"/>
    </row>
    <row r="167" customHeight="1" spans="1:8">
      <c r="A167" s="242" t="s">
        <v>262</v>
      </c>
      <c r="B167" s="240">
        <v>7104167081</v>
      </c>
      <c r="C167" s="241" t="s">
        <v>4</v>
      </c>
      <c r="D167" s="145" t="s">
        <v>93</v>
      </c>
      <c r="E167" s="155"/>
      <c r="H167" s="244"/>
    </row>
    <row r="168" customHeight="1" spans="1:8">
      <c r="A168" s="242" t="s">
        <v>263</v>
      </c>
      <c r="B168" s="240">
        <v>5032263237</v>
      </c>
      <c r="C168" s="241" t="s">
        <v>4</v>
      </c>
      <c r="D168" s="145" t="s">
        <v>93</v>
      </c>
      <c r="E168" s="155"/>
      <c r="H168" s="244"/>
    </row>
    <row r="169" customHeight="1" spans="1:8">
      <c r="A169" s="242" t="s">
        <v>264</v>
      </c>
      <c r="B169" s="240">
        <v>1688498010</v>
      </c>
      <c r="C169" s="241" t="s">
        <v>4</v>
      </c>
      <c r="D169" s="145" t="s">
        <v>93</v>
      </c>
      <c r="E169" s="155"/>
      <c r="H169" s="244"/>
    </row>
    <row r="170" customHeight="1" spans="1:8">
      <c r="A170" s="242" t="s">
        <v>265</v>
      </c>
      <c r="B170" s="240">
        <v>4029604396</v>
      </c>
      <c r="C170" s="241" t="s">
        <v>4</v>
      </c>
      <c r="D170" s="145" t="s">
        <v>93</v>
      </c>
      <c r="E170" s="155"/>
      <c r="H170" s="244"/>
    </row>
    <row r="171" customHeight="1" spans="1:8">
      <c r="A171" s="242" t="s">
        <v>266</v>
      </c>
      <c r="B171" s="240">
        <v>6090497634</v>
      </c>
      <c r="C171" s="241" t="s">
        <v>4</v>
      </c>
      <c r="D171" s="145" t="s">
        <v>93</v>
      </c>
      <c r="E171" s="155"/>
      <c r="H171" s="244"/>
    </row>
    <row r="172" customHeight="1" spans="1:8">
      <c r="A172" s="242" t="s">
        <v>267</v>
      </c>
      <c r="B172" s="240">
        <v>1083813863</v>
      </c>
      <c r="C172" s="241" t="s">
        <v>4</v>
      </c>
      <c r="D172" s="145" t="s">
        <v>93</v>
      </c>
      <c r="E172" s="155"/>
      <c r="H172" s="244"/>
    </row>
    <row r="173" customHeight="1" spans="1:8">
      <c r="A173" s="242" t="s">
        <v>268</v>
      </c>
      <c r="B173" s="240">
        <v>2097504936</v>
      </c>
      <c r="C173" s="241" t="s">
        <v>4</v>
      </c>
      <c r="D173" s="145" t="s">
        <v>93</v>
      </c>
      <c r="E173" s="155"/>
      <c r="H173" s="244"/>
    </row>
    <row r="174" customHeight="1" spans="1:8">
      <c r="A174" s="242" t="s">
        <v>269</v>
      </c>
      <c r="B174" s="240">
        <v>6028161</v>
      </c>
      <c r="C174" s="241" t="s">
        <v>4</v>
      </c>
      <c r="D174" s="145" t="s">
        <v>93</v>
      </c>
      <c r="E174" s="155"/>
      <c r="H174" s="244"/>
    </row>
    <row r="175" customHeight="1" spans="1:8">
      <c r="A175" s="242" t="s">
        <v>270</v>
      </c>
      <c r="B175" s="240">
        <v>8081511522</v>
      </c>
      <c r="C175" s="241" t="s">
        <v>4</v>
      </c>
      <c r="D175" s="145" t="s">
        <v>93</v>
      </c>
      <c r="E175" s="155"/>
      <c r="H175" s="244"/>
    </row>
    <row r="176" customHeight="1" spans="1:8">
      <c r="A176" s="242" t="s">
        <v>271</v>
      </c>
      <c r="B176" s="240">
        <v>9112148664</v>
      </c>
      <c r="C176" s="241" t="s">
        <v>4</v>
      </c>
      <c r="D176" s="145" t="s">
        <v>93</v>
      </c>
      <c r="E176" s="155"/>
      <c r="H176" s="244"/>
    </row>
    <row r="177" customHeight="1" spans="1:8">
      <c r="A177" s="242" t="s">
        <v>272</v>
      </c>
      <c r="B177" s="240">
        <v>6130402099</v>
      </c>
      <c r="C177" s="241" t="s">
        <v>4</v>
      </c>
      <c r="D177" s="145" t="s">
        <v>93</v>
      </c>
      <c r="E177" s="155"/>
      <c r="H177" s="244"/>
    </row>
    <row r="178" customHeight="1" spans="1:8">
      <c r="A178" s="242" t="s">
        <v>273</v>
      </c>
      <c r="B178" s="240">
        <v>4099150106</v>
      </c>
      <c r="C178" s="241" t="s">
        <v>4</v>
      </c>
      <c r="D178" s="145" t="s">
        <v>93</v>
      </c>
      <c r="E178" s="155"/>
      <c r="H178" s="244"/>
    </row>
    <row r="179" customHeight="1" spans="1:8">
      <c r="A179" s="242" t="s">
        <v>274</v>
      </c>
      <c r="B179" s="240">
        <v>5103845839</v>
      </c>
      <c r="C179" s="241" t="s">
        <v>4</v>
      </c>
      <c r="D179" s="145" t="s">
        <v>93</v>
      </c>
      <c r="E179" s="155"/>
      <c r="H179" s="244"/>
    </row>
    <row r="180" customHeight="1" spans="1:8">
      <c r="A180" s="242" t="s">
        <v>275</v>
      </c>
      <c r="B180" s="240">
        <v>4057334131</v>
      </c>
      <c r="C180" s="241" t="s">
        <v>4</v>
      </c>
      <c r="D180" s="145" t="s">
        <v>93</v>
      </c>
      <c r="E180" s="155"/>
      <c r="H180" s="244"/>
    </row>
    <row r="181" customHeight="1" spans="1:8">
      <c r="A181" s="242" t="s">
        <v>276</v>
      </c>
      <c r="B181" s="240">
        <v>8045556878</v>
      </c>
      <c r="C181" s="241" t="s">
        <v>4</v>
      </c>
      <c r="D181" s="145" t="s">
        <v>93</v>
      </c>
      <c r="E181" s="155"/>
      <c r="H181" s="244"/>
    </row>
    <row r="182" customHeight="1" spans="1:8">
      <c r="A182" s="242" t="s">
        <v>277</v>
      </c>
      <c r="B182" s="240">
        <v>83611541087</v>
      </c>
      <c r="C182" s="241" t="s">
        <v>4</v>
      </c>
      <c r="D182" s="145" t="s">
        <v>93</v>
      </c>
      <c r="E182" s="155"/>
      <c r="H182" s="244"/>
    </row>
    <row r="183" customHeight="1" spans="1:8">
      <c r="A183" s="242" t="s">
        <v>278</v>
      </c>
      <c r="B183" s="240">
        <v>9049718142</v>
      </c>
      <c r="C183" s="241" t="s">
        <v>4</v>
      </c>
      <c r="D183" s="145" t="s">
        <v>93</v>
      </c>
      <c r="E183" s="155"/>
      <c r="H183" s="244"/>
    </row>
    <row r="184" customHeight="1" spans="1:8">
      <c r="A184" s="242" t="s">
        <v>279</v>
      </c>
      <c r="B184" s="240">
        <v>6111448566</v>
      </c>
      <c r="C184" s="241" t="s">
        <v>4</v>
      </c>
      <c r="D184" s="145" t="s">
        <v>93</v>
      </c>
      <c r="E184" s="155"/>
      <c r="H184" s="244"/>
    </row>
    <row r="185" customHeight="1" spans="1:8">
      <c r="A185" s="242" t="s">
        <v>280</v>
      </c>
      <c r="B185" s="240">
        <v>1124358951</v>
      </c>
      <c r="C185" s="241" t="s">
        <v>4</v>
      </c>
      <c r="D185" s="145" t="s">
        <v>93</v>
      </c>
      <c r="E185" s="155"/>
      <c r="H185" s="244"/>
    </row>
    <row r="186" customHeight="1" spans="1:8">
      <c r="A186" s="242" t="s">
        <v>281</v>
      </c>
      <c r="B186" s="240">
        <v>6090493609</v>
      </c>
      <c r="C186" s="241" t="s">
        <v>4</v>
      </c>
      <c r="D186" s="145" t="s">
        <v>93</v>
      </c>
      <c r="E186" s="155"/>
      <c r="H186" s="244"/>
    </row>
    <row r="187" customHeight="1" spans="1:8">
      <c r="A187" s="242" t="s">
        <v>282</v>
      </c>
      <c r="B187" s="240">
        <v>1086030705</v>
      </c>
      <c r="C187" s="241" t="s">
        <v>4</v>
      </c>
      <c r="D187" s="145" t="s">
        <v>93</v>
      </c>
      <c r="E187" s="155"/>
      <c r="H187" s="244"/>
    </row>
    <row r="188" customHeight="1" spans="1:8">
      <c r="A188" s="242" t="s">
        <v>283</v>
      </c>
      <c r="B188" s="240">
        <v>7101229057</v>
      </c>
      <c r="C188" s="241" t="s">
        <v>4</v>
      </c>
      <c r="D188" s="145" t="s">
        <v>93</v>
      </c>
      <c r="E188" s="155"/>
      <c r="H188" s="244"/>
    </row>
    <row r="189" customHeight="1" spans="1:8">
      <c r="A189" s="242" t="s">
        <v>284</v>
      </c>
      <c r="B189" s="240">
        <v>4001710906</v>
      </c>
      <c r="C189" s="241" t="s">
        <v>4</v>
      </c>
      <c r="D189" s="145" t="s">
        <v>93</v>
      </c>
      <c r="E189" s="155"/>
      <c r="H189" s="244"/>
    </row>
    <row r="190" customHeight="1" spans="1:8">
      <c r="A190" s="242" t="s">
        <v>285</v>
      </c>
      <c r="B190" s="240">
        <v>5059144559</v>
      </c>
      <c r="C190" s="241" t="s">
        <v>4</v>
      </c>
      <c r="D190" s="145" t="s">
        <v>93</v>
      </c>
      <c r="E190" s="155"/>
      <c r="H190" s="244"/>
    </row>
    <row r="191" customHeight="1" spans="1:8">
      <c r="A191" s="242" t="s">
        <v>286</v>
      </c>
      <c r="B191" s="240">
        <v>7103212093</v>
      </c>
      <c r="C191" s="241" t="s">
        <v>4</v>
      </c>
      <c r="D191" s="145" t="s">
        <v>93</v>
      </c>
      <c r="E191" s="155"/>
      <c r="H191" s="244"/>
    </row>
    <row r="192" customHeight="1" spans="1:8">
      <c r="A192" s="242" t="s">
        <v>287</v>
      </c>
      <c r="B192" s="240">
        <v>2097504316</v>
      </c>
      <c r="C192" s="241" t="s">
        <v>4</v>
      </c>
      <c r="D192" s="145" t="s">
        <v>93</v>
      </c>
      <c r="E192" s="155"/>
      <c r="H192" s="244"/>
    </row>
    <row r="193" customHeight="1" spans="1:8">
      <c r="A193" s="242" t="s">
        <v>288</v>
      </c>
      <c r="B193" s="240">
        <v>2125041513</v>
      </c>
      <c r="C193" s="241" t="s">
        <v>4</v>
      </c>
      <c r="D193" s="145" t="s">
        <v>93</v>
      </c>
      <c r="E193" s="155"/>
      <c r="H193" s="244"/>
    </row>
    <row r="194" customHeight="1" spans="1:8">
      <c r="A194" s="242" t="s">
        <v>289</v>
      </c>
      <c r="B194" s="240">
        <v>1080899873</v>
      </c>
      <c r="C194" s="241" t="s">
        <v>4</v>
      </c>
      <c r="D194" s="145" t="s">
        <v>93</v>
      </c>
      <c r="E194" s="155"/>
      <c r="H194" s="244"/>
    </row>
    <row r="195" customHeight="1" spans="1:8">
      <c r="A195" s="242" t="s">
        <v>290</v>
      </c>
      <c r="B195" s="240">
        <v>7133492186</v>
      </c>
      <c r="C195" s="241" t="s">
        <v>4</v>
      </c>
      <c r="D195" s="145" t="s">
        <v>93</v>
      </c>
      <c r="E195" s="155"/>
      <c r="H195" s="244"/>
    </row>
    <row r="196" customHeight="1" spans="1:8">
      <c r="A196" s="242" t="s">
        <v>291</v>
      </c>
      <c r="B196" s="240">
        <v>7043172472</v>
      </c>
      <c r="C196" s="241" t="s">
        <v>4</v>
      </c>
      <c r="D196" s="145" t="s">
        <v>93</v>
      </c>
      <c r="E196" s="155"/>
      <c r="H196" s="244"/>
    </row>
    <row r="197" customHeight="1" spans="1:8">
      <c r="A197" s="242" t="s">
        <v>292</v>
      </c>
      <c r="B197" s="240">
        <v>1081699454</v>
      </c>
      <c r="C197" s="241" t="s">
        <v>4</v>
      </c>
      <c r="D197" s="145" t="s">
        <v>93</v>
      </c>
      <c r="E197" s="155"/>
      <c r="H197" s="244"/>
    </row>
    <row r="198" customHeight="1" spans="1:8">
      <c r="A198" s="242" t="s">
        <v>293</v>
      </c>
      <c r="B198" s="240">
        <v>8302948608</v>
      </c>
      <c r="C198" s="241" t="s">
        <v>4</v>
      </c>
      <c r="D198" s="145" t="s">
        <v>93</v>
      </c>
      <c r="E198" s="155"/>
      <c r="H198" s="244"/>
    </row>
    <row r="199" customHeight="1" spans="1:8">
      <c r="A199" s="242" t="s">
        <v>294</v>
      </c>
      <c r="B199" s="240">
        <v>9093716703</v>
      </c>
      <c r="C199" s="241" t="s">
        <v>4</v>
      </c>
      <c r="D199" s="145" t="s">
        <v>93</v>
      </c>
      <c r="E199" s="155"/>
      <c r="H199" s="244"/>
    </row>
    <row r="200" customHeight="1" spans="1:8">
      <c r="A200" s="242" t="s">
        <v>295</v>
      </c>
      <c r="B200" s="240">
        <v>8060439034</v>
      </c>
      <c r="C200" s="241" t="s">
        <v>4</v>
      </c>
      <c r="D200" s="145" t="s">
        <v>93</v>
      </c>
      <c r="E200" s="155"/>
      <c r="H200" s="244"/>
    </row>
    <row r="201" customHeight="1" spans="1:8">
      <c r="A201" s="242" t="s">
        <v>296</v>
      </c>
      <c r="B201" s="240">
        <v>1132972755</v>
      </c>
      <c r="C201" s="241" t="s">
        <v>4</v>
      </c>
      <c r="D201" s="145" t="s">
        <v>93</v>
      </c>
      <c r="E201" s="155"/>
      <c r="H201" s="244"/>
    </row>
    <row r="202" customHeight="1" spans="1:8">
      <c r="A202" s="242" t="s">
        <v>297</v>
      </c>
      <c r="B202" s="240">
        <v>9017891921</v>
      </c>
      <c r="C202" s="241" t="s">
        <v>4</v>
      </c>
      <c r="D202" s="145" t="s">
        <v>93</v>
      </c>
      <c r="E202" s="155"/>
      <c r="H202" s="244"/>
    </row>
    <row r="203" customHeight="1" spans="1:8">
      <c r="A203" s="242" t="s">
        <v>298</v>
      </c>
      <c r="B203" s="240">
        <v>6078758023</v>
      </c>
      <c r="C203" s="241" t="s">
        <v>4</v>
      </c>
      <c r="D203" s="145" t="s">
        <v>93</v>
      </c>
      <c r="E203" s="155"/>
      <c r="H203" s="244"/>
    </row>
    <row r="204" customHeight="1" spans="1:8">
      <c r="A204" s="242" t="s">
        <v>299</v>
      </c>
      <c r="B204" s="240">
        <v>2358348155</v>
      </c>
      <c r="C204" s="241" t="s">
        <v>4</v>
      </c>
      <c r="D204" s="145" t="s">
        <v>93</v>
      </c>
      <c r="E204" s="155"/>
      <c r="H204" s="244"/>
    </row>
    <row r="205" customHeight="1" spans="1:8">
      <c r="A205" s="242" t="s">
        <v>300</v>
      </c>
      <c r="B205" s="240">
        <v>9039676862</v>
      </c>
      <c r="C205" s="241" t="s">
        <v>4</v>
      </c>
      <c r="D205" s="145" t="s">
        <v>93</v>
      </c>
      <c r="E205" s="155"/>
      <c r="H205" s="244"/>
    </row>
    <row r="206" customHeight="1" spans="1:8">
      <c r="A206" s="242" t="s">
        <v>301</v>
      </c>
      <c r="B206" s="240">
        <v>4072556923</v>
      </c>
      <c r="C206" s="241" t="s">
        <v>4</v>
      </c>
      <c r="D206" s="145" t="s">
        <v>93</v>
      </c>
      <c r="E206" s="155"/>
      <c r="H206" s="244"/>
    </row>
    <row r="207" customHeight="1" spans="1:8">
      <c r="A207" s="242" t="s">
        <v>302</v>
      </c>
      <c r="B207" s="240">
        <v>5054779144</v>
      </c>
      <c r="C207" s="241" t="s">
        <v>4</v>
      </c>
      <c r="D207" s="145" t="s">
        <v>93</v>
      </c>
      <c r="E207" s="155"/>
      <c r="H207" s="244"/>
    </row>
    <row r="208" customHeight="1" spans="1:8">
      <c r="A208" s="242" t="s">
        <v>303</v>
      </c>
      <c r="B208" s="240">
        <v>6108424992</v>
      </c>
      <c r="C208" s="241" t="s">
        <v>4</v>
      </c>
      <c r="D208" s="145" t="s">
        <v>93</v>
      </c>
      <c r="E208" s="155"/>
      <c r="H208" s="244"/>
    </row>
    <row r="209" customHeight="1" spans="1:8">
      <c r="A209" s="242" t="s">
        <v>304</v>
      </c>
      <c r="B209" s="240">
        <v>1093544251</v>
      </c>
      <c r="C209" s="241" t="s">
        <v>4</v>
      </c>
      <c r="D209" s="145" t="s">
        <v>93</v>
      </c>
      <c r="E209" s="155"/>
      <c r="H209" s="244"/>
    </row>
    <row r="210" customHeight="1" spans="1:8">
      <c r="A210" s="242" t="s">
        <v>305</v>
      </c>
      <c r="B210" s="240">
        <v>1087500623</v>
      </c>
      <c r="C210" s="241" t="s">
        <v>4</v>
      </c>
      <c r="D210" s="145" t="s">
        <v>93</v>
      </c>
      <c r="E210" s="155"/>
      <c r="H210" s="244"/>
    </row>
    <row r="211" customHeight="1" spans="1:8">
      <c r="A211" s="242" t="s">
        <v>306</v>
      </c>
      <c r="B211" s="240">
        <v>2079779688</v>
      </c>
      <c r="C211" s="241" t="s">
        <v>4</v>
      </c>
      <c r="D211" s="145" t="s">
        <v>93</v>
      </c>
      <c r="E211" s="155"/>
      <c r="H211" s="244"/>
    </row>
    <row r="212" customHeight="1" spans="1:8">
      <c r="A212" s="242" t="s">
        <v>307</v>
      </c>
      <c r="B212" s="240">
        <v>4102891399</v>
      </c>
      <c r="C212" s="241" t="s">
        <v>4</v>
      </c>
      <c r="D212" s="145" t="s">
        <v>93</v>
      </c>
      <c r="E212" s="155"/>
      <c r="H212" s="244"/>
    </row>
    <row r="213" customHeight="1" spans="1:8">
      <c r="A213" s="242" t="s">
        <v>308</v>
      </c>
      <c r="B213" s="240">
        <v>3104106947</v>
      </c>
      <c r="C213" s="241" t="s">
        <v>4</v>
      </c>
      <c r="D213" s="145" t="s">
        <v>93</v>
      </c>
      <c r="E213" s="155"/>
      <c r="H213" s="244"/>
    </row>
    <row r="214" customHeight="1" spans="1:8">
      <c r="A214" s="242" t="s">
        <v>309</v>
      </c>
      <c r="B214" s="240">
        <v>1038289573</v>
      </c>
      <c r="C214" s="241" t="s">
        <v>4</v>
      </c>
      <c r="D214" s="145" t="s">
        <v>93</v>
      </c>
      <c r="E214" s="155"/>
      <c r="H214" s="244"/>
    </row>
    <row r="215" customHeight="1" spans="1:8">
      <c r="A215" s="239" t="s">
        <v>310</v>
      </c>
      <c r="B215" s="240">
        <v>3076592926</v>
      </c>
      <c r="C215" s="241" t="s">
        <v>4</v>
      </c>
      <c r="D215" s="145" t="s">
        <v>149</v>
      </c>
      <c r="E215" s="155"/>
      <c r="H215" s="244"/>
    </row>
    <row r="216" customHeight="1" spans="1:8">
      <c r="A216" s="239" t="s">
        <v>311</v>
      </c>
      <c r="B216" s="240">
        <v>1050653045</v>
      </c>
      <c r="C216" s="241" t="s">
        <v>4</v>
      </c>
      <c r="D216" s="145" t="s">
        <v>149</v>
      </c>
      <c r="E216" s="155"/>
      <c r="H216" s="244"/>
    </row>
    <row r="217" customHeight="1" spans="1:8">
      <c r="A217" s="242" t="s">
        <v>312</v>
      </c>
      <c r="B217" s="240">
        <v>1063726614</v>
      </c>
      <c r="C217" s="241" t="s">
        <v>4</v>
      </c>
      <c r="D217" s="145" t="s">
        <v>149</v>
      </c>
      <c r="E217" s="155"/>
      <c r="H217" s="244"/>
    </row>
    <row r="218" customHeight="1" spans="1:8">
      <c r="A218" s="242" t="s">
        <v>313</v>
      </c>
      <c r="B218" s="240">
        <v>3100521421</v>
      </c>
      <c r="C218" s="241" t="s">
        <v>4</v>
      </c>
      <c r="D218" s="145" t="s">
        <v>149</v>
      </c>
      <c r="E218" s="155"/>
      <c r="H218" s="244"/>
    </row>
    <row r="219" customHeight="1" spans="1:8">
      <c r="A219" s="242" t="s">
        <v>314</v>
      </c>
      <c r="B219" s="240">
        <v>6100215786</v>
      </c>
      <c r="C219" s="241" t="s">
        <v>4</v>
      </c>
      <c r="D219" s="145" t="s">
        <v>149</v>
      </c>
      <c r="E219" s="155"/>
      <c r="H219" s="244"/>
    </row>
    <row r="220" customHeight="1" spans="1:8">
      <c r="A220" s="242" t="s">
        <v>315</v>
      </c>
      <c r="B220" s="240">
        <v>2102229271</v>
      </c>
      <c r="C220" s="241" t="s">
        <v>4</v>
      </c>
      <c r="D220" s="145" t="s">
        <v>149</v>
      </c>
      <c r="E220" s="155"/>
      <c r="H220" s="244"/>
    </row>
    <row r="221" customHeight="1" spans="1:8">
      <c r="A221" s="242" t="s">
        <v>316</v>
      </c>
      <c r="B221" s="240">
        <v>8116128458</v>
      </c>
      <c r="C221" s="241" t="s">
        <v>4</v>
      </c>
      <c r="D221" s="145" t="s">
        <v>149</v>
      </c>
      <c r="E221" s="155"/>
      <c r="H221" s="244"/>
    </row>
    <row r="222" customHeight="1" spans="1:8">
      <c r="A222" s="242" t="s">
        <v>317</v>
      </c>
      <c r="B222" s="240">
        <v>1095723118</v>
      </c>
      <c r="C222" s="241" t="s">
        <v>4</v>
      </c>
      <c r="D222" s="145" t="s">
        <v>149</v>
      </c>
      <c r="E222" s="155"/>
      <c r="H222" s="244"/>
    </row>
    <row r="223" customHeight="1" spans="1:8">
      <c r="A223" s="242" t="s">
        <v>318</v>
      </c>
      <c r="B223" s="240">
        <v>1064840448</v>
      </c>
      <c r="C223" s="241" t="s">
        <v>4</v>
      </c>
      <c r="D223" s="145" t="s">
        <v>149</v>
      </c>
      <c r="E223" s="155"/>
      <c r="H223" s="244"/>
    </row>
    <row r="224" customHeight="1" spans="1:8">
      <c r="A224" s="242" t="s">
        <v>319</v>
      </c>
      <c r="B224" s="240">
        <v>6036768064</v>
      </c>
      <c r="C224" s="241" t="s">
        <v>4</v>
      </c>
      <c r="D224" s="145" t="s">
        <v>149</v>
      </c>
      <c r="E224" s="155"/>
      <c r="H224" s="244"/>
    </row>
    <row r="225" customHeight="1" spans="1:8">
      <c r="A225" s="242" t="s">
        <v>320</v>
      </c>
      <c r="B225" s="240">
        <v>6113588443</v>
      </c>
      <c r="C225" s="241" t="s">
        <v>4</v>
      </c>
      <c r="D225" s="145" t="s">
        <v>149</v>
      </c>
      <c r="E225" s="155"/>
      <c r="H225" s="244"/>
    </row>
    <row r="226" customHeight="1" spans="1:8">
      <c r="A226" s="242" t="s">
        <v>321</v>
      </c>
      <c r="B226" s="240" t="s">
        <v>322</v>
      </c>
      <c r="C226" s="241" t="s">
        <v>4</v>
      </c>
      <c r="D226" s="145" t="s">
        <v>149</v>
      </c>
      <c r="E226" s="155"/>
      <c r="H226" s="244"/>
    </row>
    <row r="227" customHeight="1" spans="1:8">
      <c r="A227" s="242" t="s">
        <v>323</v>
      </c>
      <c r="B227" s="240">
        <v>3056506987</v>
      </c>
      <c r="C227" s="241" t="s">
        <v>4</v>
      </c>
      <c r="D227" s="145" t="s">
        <v>149</v>
      </c>
      <c r="E227" s="155"/>
      <c r="H227" s="244"/>
    </row>
    <row r="228" customHeight="1" spans="1:8">
      <c r="A228" s="242" t="s">
        <v>324</v>
      </c>
      <c r="B228" s="240">
        <v>8058745038</v>
      </c>
      <c r="C228" s="241" t="s">
        <v>4</v>
      </c>
      <c r="D228" s="145" t="s">
        <v>149</v>
      </c>
      <c r="E228" s="155"/>
      <c r="H228" s="244"/>
    </row>
    <row r="229" customHeight="1" spans="1:8">
      <c r="A229" s="242" t="s">
        <v>325</v>
      </c>
      <c r="B229" s="240">
        <v>81213727049</v>
      </c>
      <c r="C229" s="241" t="s">
        <v>4</v>
      </c>
      <c r="D229" s="145" t="s">
        <v>149</v>
      </c>
      <c r="E229" s="155"/>
      <c r="H229" s="244"/>
    </row>
    <row r="230" customHeight="1" spans="1:8">
      <c r="A230" s="242" t="s">
        <v>326</v>
      </c>
      <c r="B230" s="240">
        <v>8094374471</v>
      </c>
      <c r="C230" s="241" t="s">
        <v>4</v>
      </c>
      <c r="D230" s="145" t="s">
        <v>149</v>
      </c>
      <c r="E230" s="155"/>
      <c r="H230" s="244"/>
    </row>
    <row r="231" customHeight="1" spans="1:8">
      <c r="A231" s="239" t="s">
        <v>327</v>
      </c>
      <c r="B231" s="240">
        <v>4066831068</v>
      </c>
      <c r="C231" s="241" t="s">
        <v>4</v>
      </c>
      <c r="D231" s="145" t="s">
        <v>152</v>
      </c>
      <c r="E231" s="155"/>
      <c r="H231" s="244"/>
    </row>
    <row r="232" customHeight="1" spans="1:8">
      <c r="A232" s="242" t="s">
        <v>328</v>
      </c>
      <c r="B232" s="240">
        <v>4094557834</v>
      </c>
      <c r="C232" s="241" t="s">
        <v>4</v>
      </c>
      <c r="D232" s="145" t="s">
        <v>152</v>
      </c>
      <c r="E232" s="155"/>
      <c r="H232" s="244"/>
    </row>
    <row r="233" customHeight="1" spans="1:8">
      <c r="A233" s="242" t="s">
        <v>329</v>
      </c>
      <c r="B233" s="240">
        <v>4055905303</v>
      </c>
      <c r="C233" s="241" t="s">
        <v>4</v>
      </c>
      <c r="D233" s="145" t="s">
        <v>152</v>
      </c>
      <c r="E233" s="155"/>
      <c r="H233" s="244"/>
    </row>
    <row r="234" customHeight="1" spans="1:8">
      <c r="A234" s="242" t="s">
        <v>330</v>
      </c>
      <c r="B234" s="240">
        <v>7102309916</v>
      </c>
      <c r="C234" s="241" t="s">
        <v>4</v>
      </c>
      <c r="D234" s="145" t="s">
        <v>152</v>
      </c>
      <c r="E234" s="155"/>
      <c r="H234" s="244"/>
    </row>
    <row r="235" customHeight="1" spans="1:8">
      <c r="A235" s="242" t="s">
        <v>331</v>
      </c>
      <c r="B235" s="240">
        <v>7088854125</v>
      </c>
      <c r="C235" s="241" t="s">
        <v>4</v>
      </c>
      <c r="D235" s="145" t="s">
        <v>152</v>
      </c>
      <c r="E235" s="155"/>
      <c r="H235" s="244"/>
    </row>
    <row r="236" customHeight="1" spans="1:8">
      <c r="A236" s="242" t="s">
        <v>332</v>
      </c>
      <c r="B236" s="240">
        <v>8015043055</v>
      </c>
      <c r="C236" s="241" t="s">
        <v>4</v>
      </c>
      <c r="D236" s="145" t="s">
        <v>152</v>
      </c>
      <c r="E236" s="155"/>
      <c r="H236" s="244"/>
    </row>
    <row r="237" customHeight="1" spans="1:8">
      <c r="A237" s="242" t="s">
        <v>333</v>
      </c>
      <c r="B237" s="240">
        <v>7046315938</v>
      </c>
      <c r="C237" s="241" t="s">
        <v>4</v>
      </c>
      <c r="D237" s="145" t="s">
        <v>152</v>
      </c>
      <c r="E237" s="155"/>
      <c r="H237" s="244"/>
    </row>
    <row r="238" customHeight="1" spans="1:8">
      <c r="A238" s="242" t="s">
        <v>334</v>
      </c>
      <c r="B238" s="240">
        <v>2094508872</v>
      </c>
      <c r="C238" s="241" t="s">
        <v>4</v>
      </c>
      <c r="D238" s="145" t="s">
        <v>152</v>
      </c>
      <c r="E238" s="155"/>
      <c r="H238" s="244"/>
    </row>
    <row r="239" customHeight="1" spans="1:8">
      <c r="A239" s="242" t="s">
        <v>335</v>
      </c>
      <c r="B239" s="240">
        <v>2112219791</v>
      </c>
      <c r="C239" s="241" t="s">
        <v>4</v>
      </c>
      <c r="D239" s="145" t="s">
        <v>152</v>
      </c>
      <c r="E239" s="155"/>
      <c r="H239" s="244"/>
    </row>
    <row r="240" customHeight="1" spans="1:8">
      <c r="A240" s="242" t="s">
        <v>336</v>
      </c>
      <c r="B240" s="240">
        <v>8087795831</v>
      </c>
      <c r="C240" s="241" t="s">
        <v>4</v>
      </c>
      <c r="D240" s="145" t="s">
        <v>152</v>
      </c>
      <c r="E240" s="155"/>
      <c r="H240" s="244"/>
    </row>
    <row r="241" customHeight="1" spans="1:8">
      <c r="A241" s="242" t="s">
        <v>337</v>
      </c>
      <c r="B241" s="240">
        <v>2086328991</v>
      </c>
      <c r="C241" s="241" t="s">
        <v>4</v>
      </c>
      <c r="D241" s="145" t="s">
        <v>152</v>
      </c>
      <c r="E241" s="155"/>
      <c r="H241" s="244"/>
    </row>
    <row r="242" customHeight="1" spans="1:8">
      <c r="A242" s="242" t="s">
        <v>338</v>
      </c>
      <c r="B242" s="240">
        <v>1113090904</v>
      </c>
      <c r="C242" s="241" t="s">
        <v>4</v>
      </c>
      <c r="D242" s="145" t="s">
        <v>152</v>
      </c>
      <c r="E242" s="155"/>
      <c r="H242" s="244"/>
    </row>
    <row r="243" customHeight="1" spans="1:8">
      <c r="A243" s="242" t="s">
        <v>339</v>
      </c>
      <c r="B243" s="240">
        <v>1052146568</v>
      </c>
      <c r="C243" s="241" t="s">
        <v>4</v>
      </c>
      <c r="D243" s="145" t="s">
        <v>152</v>
      </c>
      <c r="E243" s="155"/>
      <c r="H243" s="244"/>
    </row>
    <row r="244" customHeight="1" spans="1:8">
      <c r="A244" s="242" t="s">
        <v>340</v>
      </c>
      <c r="B244" s="240">
        <v>2066264835</v>
      </c>
      <c r="C244" s="241" t="s">
        <v>4</v>
      </c>
      <c r="D244" s="145" t="s">
        <v>152</v>
      </c>
      <c r="E244" s="155"/>
      <c r="H244" s="244"/>
    </row>
    <row r="245" customHeight="1" spans="1:8">
      <c r="A245" s="242" t="s">
        <v>341</v>
      </c>
      <c r="B245" s="240">
        <v>28730658</v>
      </c>
      <c r="C245" s="241" t="s">
        <v>4</v>
      </c>
      <c r="D245" s="145" t="s">
        <v>152</v>
      </c>
      <c r="E245" s="155"/>
      <c r="H245" s="244"/>
    </row>
    <row r="246" customHeight="1" spans="1:8">
      <c r="A246" s="242" t="s">
        <v>342</v>
      </c>
      <c r="B246" s="240">
        <v>6091704236</v>
      </c>
      <c r="C246" s="241" t="s">
        <v>4</v>
      </c>
      <c r="D246" s="145" t="s">
        <v>152</v>
      </c>
      <c r="E246" s="155"/>
      <c r="H246" s="244"/>
    </row>
    <row r="247" customHeight="1" spans="1:8">
      <c r="A247" s="242" t="s">
        <v>343</v>
      </c>
      <c r="B247" s="240">
        <v>3083139026</v>
      </c>
      <c r="C247" s="241" t="s">
        <v>4</v>
      </c>
      <c r="D247" s="145" t="s">
        <v>152</v>
      </c>
      <c r="E247" s="155"/>
      <c r="H247" s="244"/>
    </row>
    <row r="248" customHeight="1" spans="1:8">
      <c r="A248" s="242" t="s">
        <v>344</v>
      </c>
      <c r="B248" s="240">
        <v>9122978861</v>
      </c>
      <c r="C248" s="241" t="s">
        <v>4</v>
      </c>
      <c r="D248" s="145" t="s">
        <v>152</v>
      </c>
      <c r="E248" s="155"/>
      <c r="H248" s="244"/>
    </row>
    <row r="249" customHeight="1" spans="1:8">
      <c r="A249" s="242" t="s">
        <v>345</v>
      </c>
      <c r="B249" s="240">
        <v>1117352417</v>
      </c>
      <c r="C249" s="241" t="s">
        <v>4</v>
      </c>
      <c r="D249" s="145" t="s">
        <v>152</v>
      </c>
      <c r="E249" s="155"/>
      <c r="H249" s="244"/>
    </row>
    <row r="250" customHeight="1" spans="1:8">
      <c r="A250" s="242" t="s">
        <v>346</v>
      </c>
      <c r="B250" s="240">
        <v>9075200395</v>
      </c>
      <c r="C250" s="241" t="s">
        <v>4</v>
      </c>
      <c r="D250" s="145" t="s">
        <v>152</v>
      </c>
      <c r="E250" s="155"/>
      <c r="H250" s="244"/>
    </row>
    <row r="251" customHeight="1" spans="1:8">
      <c r="A251" s="242" t="s">
        <v>347</v>
      </c>
      <c r="B251" s="240">
        <v>5047679021</v>
      </c>
      <c r="C251" s="241" t="s">
        <v>4</v>
      </c>
      <c r="D251" s="145" t="s">
        <v>152</v>
      </c>
      <c r="E251" s="155"/>
      <c r="H251" s="244"/>
    </row>
    <row r="252" customHeight="1" spans="1:8">
      <c r="A252" s="242" t="s">
        <v>348</v>
      </c>
      <c r="B252" s="240">
        <v>5061403779</v>
      </c>
      <c r="C252" s="241" t="s">
        <v>4</v>
      </c>
      <c r="D252" s="145" t="s">
        <v>152</v>
      </c>
      <c r="E252" s="155"/>
      <c r="H252" s="244"/>
    </row>
    <row r="253" customHeight="1" spans="1:8">
      <c r="A253" s="242" t="s">
        <v>349</v>
      </c>
      <c r="B253" s="240">
        <v>1123471011</v>
      </c>
      <c r="C253" s="241" t="s">
        <v>4</v>
      </c>
      <c r="D253" s="145" t="s">
        <v>152</v>
      </c>
      <c r="E253" s="155"/>
      <c r="H253" s="244"/>
    </row>
    <row r="254" customHeight="1" spans="1:8">
      <c r="A254" s="242" t="s">
        <v>350</v>
      </c>
      <c r="B254" s="240">
        <v>7095922816</v>
      </c>
      <c r="C254" s="241" t="s">
        <v>4</v>
      </c>
      <c r="D254" s="145" t="s">
        <v>152</v>
      </c>
      <c r="E254" s="155"/>
      <c r="H254" s="244"/>
    </row>
    <row r="255" customHeight="1" spans="1:8">
      <c r="A255" s="242" t="s">
        <v>351</v>
      </c>
      <c r="B255" s="240">
        <v>8124317101</v>
      </c>
      <c r="C255" s="241" t="s">
        <v>4</v>
      </c>
      <c r="D255" s="145" t="s">
        <v>152</v>
      </c>
      <c r="E255" s="155"/>
      <c r="H255" s="244"/>
    </row>
    <row r="256" customHeight="1" spans="1:8">
      <c r="A256" s="242" t="s">
        <v>352</v>
      </c>
      <c r="B256" s="240">
        <v>710323311</v>
      </c>
      <c r="C256" s="241" t="s">
        <v>4</v>
      </c>
      <c r="D256" s="145" t="s">
        <v>152</v>
      </c>
      <c r="E256" s="155"/>
      <c r="H256" s="244"/>
    </row>
    <row r="257" customHeight="1" spans="1:8">
      <c r="A257" s="242" t="s">
        <v>353</v>
      </c>
      <c r="B257" s="240">
        <v>2114896737</v>
      </c>
      <c r="C257" s="241" t="s">
        <v>4</v>
      </c>
      <c r="D257" s="145" t="s">
        <v>152</v>
      </c>
      <c r="E257" s="155"/>
      <c r="H257" s="244"/>
    </row>
    <row r="258" customHeight="1" spans="1:8">
      <c r="A258" s="242" t="s">
        <v>354</v>
      </c>
      <c r="B258" s="240">
        <v>1083740488</v>
      </c>
      <c r="C258" s="241" t="s">
        <v>4</v>
      </c>
      <c r="D258" s="145" t="s">
        <v>152</v>
      </c>
      <c r="E258" s="155"/>
      <c r="H258" s="244"/>
    </row>
    <row r="259" customHeight="1" spans="1:8">
      <c r="A259" s="242" t="s">
        <v>355</v>
      </c>
      <c r="B259" s="240">
        <v>7085362791</v>
      </c>
      <c r="C259" s="241" t="s">
        <v>4</v>
      </c>
      <c r="D259" s="145" t="s">
        <v>152</v>
      </c>
      <c r="E259" s="155"/>
      <c r="H259" s="244"/>
    </row>
    <row r="260" customHeight="1" spans="1:8">
      <c r="A260" s="242" t="s">
        <v>356</v>
      </c>
      <c r="B260" s="240">
        <v>4073278154</v>
      </c>
      <c r="C260" s="241" t="s">
        <v>4</v>
      </c>
      <c r="D260" s="145" t="s">
        <v>152</v>
      </c>
      <c r="E260" s="155"/>
      <c r="H260" s="244"/>
    </row>
    <row r="261" customHeight="1" spans="1:8">
      <c r="A261" s="242" t="s">
        <v>357</v>
      </c>
      <c r="B261" s="240">
        <v>1095728182</v>
      </c>
      <c r="C261" s="241" t="s">
        <v>4</v>
      </c>
      <c r="D261" s="145" t="s">
        <v>152</v>
      </c>
      <c r="E261" s="155"/>
      <c r="H261" s="244"/>
    </row>
    <row r="262" customHeight="1" spans="1:8">
      <c r="A262" s="242" t="s">
        <v>358</v>
      </c>
      <c r="B262" s="240">
        <v>9136046936</v>
      </c>
      <c r="C262" s="241" t="s">
        <v>4</v>
      </c>
      <c r="D262" s="145" t="s">
        <v>152</v>
      </c>
      <c r="E262" s="155"/>
      <c r="H262" s="244"/>
    </row>
    <row r="263" customHeight="1" spans="1:8">
      <c r="A263" s="242" t="s">
        <v>359</v>
      </c>
      <c r="B263" s="240">
        <v>1076636388</v>
      </c>
      <c r="C263" s="241" t="s">
        <v>4</v>
      </c>
      <c r="D263" s="145" t="s">
        <v>152</v>
      </c>
      <c r="E263" s="155"/>
      <c r="H263" s="244"/>
    </row>
    <row r="264" customHeight="1" spans="1:8">
      <c r="A264" s="242" t="s">
        <v>360</v>
      </c>
      <c r="B264" s="240">
        <v>5034434836</v>
      </c>
      <c r="C264" s="241" t="s">
        <v>4</v>
      </c>
      <c r="D264" s="145" t="s">
        <v>152</v>
      </c>
      <c r="E264" s="155"/>
      <c r="H264" s="244"/>
    </row>
    <row r="265" customHeight="1" spans="1:8">
      <c r="A265" s="242" t="s">
        <v>361</v>
      </c>
      <c r="B265" s="240">
        <v>8117996515</v>
      </c>
      <c r="C265" s="241" t="s">
        <v>4</v>
      </c>
      <c r="D265" s="145" t="s">
        <v>152</v>
      </c>
      <c r="E265" s="155"/>
      <c r="H265" s="244"/>
    </row>
    <row r="266" customHeight="1" spans="1:8">
      <c r="A266" s="242" t="s">
        <v>362</v>
      </c>
      <c r="B266" s="240">
        <v>1082683929</v>
      </c>
      <c r="C266" s="241" t="s">
        <v>4</v>
      </c>
      <c r="D266" s="145" t="s">
        <v>152</v>
      </c>
      <c r="E266" s="155"/>
      <c r="H266" s="244"/>
    </row>
    <row r="267" customHeight="1" spans="1:8">
      <c r="A267" s="242" t="s">
        <v>363</v>
      </c>
      <c r="B267" s="240">
        <v>1087307177</v>
      </c>
      <c r="C267" s="241" t="s">
        <v>4</v>
      </c>
      <c r="D267" s="145" t="s">
        <v>152</v>
      </c>
      <c r="E267" s="155"/>
      <c r="H267" s="244"/>
    </row>
    <row r="268" customHeight="1" spans="1:8">
      <c r="A268" s="242" t="s">
        <v>364</v>
      </c>
      <c r="B268" s="240">
        <v>3032247334</v>
      </c>
      <c r="C268" s="241" t="s">
        <v>4</v>
      </c>
      <c r="D268" s="145" t="s">
        <v>152</v>
      </c>
      <c r="E268" s="155"/>
      <c r="H268" s="244"/>
    </row>
    <row r="269" customHeight="1" spans="1:8">
      <c r="A269" s="242" t="s">
        <v>365</v>
      </c>
      <c r="B269" s="240">
        <v>6079255821</v>
      </c>
      <c r="C269" s="241" t="s">
        <v>4</v>
      </c>
      <c r="D269" s="145" t="s">
        <v>152</v>
      </c>
      <c r="E269" s="155"/>
      <c r="H269" s="244"/>
    </row>
    <row r="270" customHeight="1" spans="1:8">
      <c r="A270" s="242" t="s">
        <v>366</v>
      </c>
      <c r="B270" s="240">
        <v>9080230171</v>
      </c>
      <c r="C270" s="241" t="s">
        <v>4</v>
      </c>
      <c r="D270" s="145" t="s">
        <v>152</v>
      </c>
      <c r="E270" s="155"/>
      <c r="H270" s="244"/>
    </row>
    <row r="271" customHeight="1" spans="1:8">
      <c r="A271" s="242" t="s">
        <v>367</v>
      </c>
      <c r="B271" s="240">
        <v>3070760917</v>
      </c>
      <c r="C271" s="241" t="s">
        <v>4</v>
      </c>
      <c r="D271" s="145" t="s">
        <v>152</v>
      </c>
      <c r="E271" s="155"/>
      <c r="H271" s="244"/>
    </row>
    <row r="272" customHeight="1" spans="1:8">
      <c r="A272" s="242" t="s">
        <v>368</v>
      </c>
      <c r="B272" s="240">
        <v>2064288125</v>
      </c>
      <c r="C272" s="241" t="s">
        <v>4</v>
      </c>
      <c r="D272" s="145" t="s">
        <v>152</v>
      </c>
      <c r="E272" s="155"/>
      <c r="H272" s="244"/>
    </row>
    <row r="273" customHeight="1" spans="1:8">
      <c r="A273" s="242" t="s">
        <v>369</v>
      </c>
      <c r="B273" s="240">
        <v>8052029744</v>
      </c>
      <c r="C273" s="241" t="s">
        <v>4</v>
      </c>
      <c r="D273" s="145" t="s">
        <v>152</v>
      </c>
      <c r="E273" s="155"/>
      <c r="H273" s="244"/>
    </row>
    <row r="274" customHeight="1" spans="1:8">
      <c r="A274" s="242" t="s">
        <v>370</v>
      </c>
      <c r="B274" s="240">
        <v>4122024906</v>
      </c>
      <c r="C274" s="241" t="s">
        <v>4</v>
      </c>
      <c r="D274" s="145" t="s">
        <v>152</v>
      </c>
      <c r="E274" s="155"/>
      <c r="H274" s="244"/>
    </row>
    <row r="275" customHeight="1" spans="3:8">
      <c r="C275" s="245"/>
      <c r="E275" s="155"/>
      <c r="H275" s="244"/>
    </row>
    <row r="276" customHeight="1" spans="3:8">
      <c r="C276" s="245"/>
      <c r="E276" s="155"/>
      <c r="H276" s="244"/>
    </row>
    <row r="277" customHeight="1" spans="3:8">
      <c r="C277" s="245"/>
      <c r="E277" s="155"/>
      <c r="H277" s="244"/>
    </row>
    <row r="278" customHeight="1" spans="3:8">
      <c r="C278" s="245"/>
      <c r="E278" s="155"/>
      <c r="H278" s="244"/>
    </row>
    <row r="279" customHeight="1" spans="3:8">
      <c r="C279" s="245"/>
      <c r="E279" s="155"/>
      <c r="H279" s="244"/>
    </row>
    <row r="280" customHeight="1" spans="3:8">
      <c r="C280" s="245"/>
      <c r="E280" s="155"/>
      <c r="H280" s="244"/>
    </row>
    <row r="281" customHeight="1" spans="3:8">
      <c r="C281" s="245"/>
      <c r="E281" s="155"/>
      <c r="H281" s="244"/>
    </row>
    <row r="282" customHeight="1" spans="3:8">
      <c r="C282" s="245"/>
      <c r="E282" s="155"/>
      <c r="H282" s="244"/>
    </row>
    <row r="283" customHeight="1" spans="3:8">
      <c r="C283" s="245"/>
      <c r="E283" s="155"/>
      <c r="H283" s="244"/>
    </row>
    <row r="284" customHeight="1" spans="3:8">
      <c r="C284" s="245"/>
      <c r="E284" s="155"/>
      <c r="H284" s="244"/>
    </row>
    <row r="285" customHeight="1" spans="3:8">
      <c r="C285" s="245"/>
      <c r="E285" s="155"/>
      <c r="H285" s="244"/>
    </row>
    <row r="286" customHeight="1" spans="3:8">
      <c r="C286" s="245"/>
      <c r="E286" s="155"/>
      <c r="H286" s="244"/>
    </row>
    <row r="287" customHeight="1" spans="3:8">
      <c r="C287" s="245"/>
      <c r="E287" s="155"/>
      <c r="H287" s="244"/>
    </row>
    <row r="288" customHeight="1" spans="3:8">
      <c r="C288" s="245"/>
      <c r="E288" s="155"/>
      <c r="H288" s="244"/>
    </row>
    <row r="289" customHeight="1" spans="3:8">
      <c r="C289" s="245"/>
      <c r="E289" s="155"/>
      <c r="H289" s="244"/>
    </row>
    <row r="290" customHeight="1" spans="3:8">
      <c r="C290" s="245"/>
      <c r="E290" s="155"/>
      <c r="H290" s="244"/>
    </row>
    <row r="291" customHeight="1" spans="3:8">
      <c r="C291" s="245"/>
      <c r="E291" s="155"/>
      <c r="H291" s="244"/>
    </row>
    <row r="292" customHeight="1" spans="3:8">
      <c r="C292" s="245"/>
      <c r="E292" s="155"/>
      <c r="H292" s="244"/>
    </row>
    <row r="293" customHeight="1" spans="3:8">
      <c r="C293" s="245"/>
      <c r="E293" s="155"/>
      <c r="H293" s="244"/>
    </row>
    <row r="294" customHeight="1" spans="3:8">
      <c r="C294" s="245"/>
      <c r="E294" s="155"/>
      <c r="H294" s="244"/>
    </row>
    <row r="295" customHeight="1" spans="3:8">
      <c r="C295" s="245"/>
      <c r="E295" s="155"/>
      <c r="H295" s="244"/>
    </row>
    <row r="296" customHeight="1" spans="3:8">
      <c r="C296" s="245"/>
      <c r="E296" s="155"/>
      <c r="H296" s="244"/>
    </row>
    <row r="297" customHeight="1" spans="3:8">
      <c r="C297" s="245"/>
      <c r="E297" s="155"/>
      <c r="H297" s="244"/>
    </row>
    <row r="298" customHeight="1" spans="3:8">
      <c r="C298" s="245"/>
      <c r="E298" s="155"/>
      <c r="H298" s="244"/>
    </row>
    <row r="299" customHeight="1" spans="3:8">
      <c r="C299" s="245"/>
      <c r="E299" s="155"/>
      <c r="H299" s="244"/>
    </row>
    <row r="300" customHeight="1" spans="3:8">
      <c r="C300" s="245"/>
      <c r="E300" s="155"/>
      <c r="H300" s="244"/>
    </row>
    <row r="301" customHeight="1" spans="3:8">
      <c r="C301" s="245"/>
      <c r="E301" s="155"/>
      <c r="H301" s="244"/>
    </row>
    <row r="302" customHeight="1" spans="3:8">
      <c r="C302" s="245"/>
      <c r="E302" s="155"/>
      <c r="H302" s="244"/>
    </row>
    <row r="303" customHeight="1" spans="3:8">
      <c r="C303" s="245"/>
      <c r="E303" s="155"/>
      <c r="H303" s="244"/>
    </row>
    <row r="304" customHeight="1" spans="3:8">
      <c r="C304" s="245"/>
      <c r="E304" s="155"/>
      <c r="H304" s="244"/>
    </row>
    <row r="305" customHeight="1" spans="3:8">
      <c r="C305" s="245"/>
      <c r="E305" s="155"/>
      <c r="H305" s="244"/>
    </row>
    <row r="306" customHeight="1" spans="3:8">
      <c r="C306" s="245"/>
      <c r="E306" s="155"/>
      <c r="H306" s="244"/>
    </row>
    <row r="307" customHeight="1" spans="3:8">
      <c r="C307" s="245"/>
      <c r="E307" s="155"/>
      <c r="H307" s="244"/>
    </row>
    <row r="308" customHeight="1" spans="3:8">
      <c r="C308" s="245"/>
      <c r="E308" s="155"/>
      <c r="H308" s="244"/>
    </row>
    <row r="309" customHeight="1" spans="3:8">
      <c r="C309" s="245"/>
      <c r="E309" s="155"/>
      <c r="H309" s="244"/>
    </row>
    <row r="310" customHeight="1" spans="3:8">
      <c r="C310" s="245"/>
      <c r="E310" s="155"/>
      <c r="H310" s="244"/>
    </row>
    <row r="311" customHeight="1" spans="3:8">
      <c r="C311" s="245"/>
      <c r="E311" s="155"/>
      <c r="H311" s="244"/>
    </row>
    <row r="312" customHeight="1" spans="3:8">
      <c r="C312" s="245"/>
      <c r="E312" s="155"/>
      <c r="H312" s="244"/>
    </row>
    <row r="313" customHeight="1" spans="3:8">
      <c r="C313" s="245"/>
      <c r="E313" s="155"/>
      <c r="H313" s="244"/>
    </row>
    <row r="314" customHeight="1" spans="3:8">
      <c r="C314" s="245"/>
      <c r="E314" s="155"/>
      <c r="H314" s="244"/>
    </row>
    <row r="315" customHeight="1" spans="3:8">
      <c r="C315" s="245"/>
      <c r="E315" s="155"/>
      <c r="H315" s="244"/>
    </row>
    <row r="316" customHeight="1" spans="3:8">
      <c r="C316" s="245"/>
      <c r="E316" s="155"/>
      <c r="H316" s="244"/>
    </row>
    <row r="317" customHeight="1" spans="3:8">
      <c r="C317" s="245"/>
      <c r="E317" s="155"/>
      <c r="H317" s="244"/>
    </row>
    <row r="318" customHeight="1" spans="3:8">
      <c r="C318" s="245"/>
      <c r="E318" s="155"/>
      <c r="H318" s="244"/>
    </row>
    <row r="319" customHeight="1" spans="3:8">
      <c r="C319" s="245"/>
      <c r="E319" s="155"/>
      <c r="H319" s="244"/>
    </row>
    <row r="320" customHeight="1" spans="3:8">
      <c r="C320" s="245"/>
      <c r="E320" s="155"/>
      <c r="H320" s="244"/>
    </row>
    <row r="321" customHeight="1" spans="3:8">
      <c r="C321" s="245"/>
      <c r="E321" s="155"/>
      <c r="H321" s="244"/>
    </row>
    <row r="322" customHeight="1" spans="3:8">
      <c r="C322" s="245"/>
      <c r="E322" s="155"/>
      <c r="H322" s="244"/>
    </row>
    <row r="323" customHeight="1" spans="3:8">
      <c r="C323" s="245"/>
      <c r="E323" s="155"/>
      <c r="H323" s="244"/>
    </row>
    <row r="324" customHeight="1" spans="3:8">
      <c r="C324" s="245"/>
      <c r="E324" s="155"/>
      <c r="H324" s="244"/>
    </row>
    <row r="325" customHeight="1" spans="3:8">
      <c r="C325" s="245"/>
      <c r="E325" s="155"/>
      <c r="H325" s="244"/>
    </row>
    <row r="326" customHeight="1" spans="3:8">
      <c r="C326" s="245"/>
      <c r="E326" s="155"/>
      <c r="H326" s="244"/>
    </row>
    <row r="327" customHeight="1" spans="3:8">
      <c r="C327" s="245"/>
      <c r="E327" s="155"/>
      <c r="H327" s="244"/>
    </row>
    <row r="328" customHeight="1" spans="3:8">
      <c r="C328" s="245"/>
      <c r="E328" s="155"/>
      <c r="H328" s="244"/>
    </row>
    <row r="329" customHeight="1" spans="3:8">
      <c r="C329" s="245"/>
      <c r="E329" s="155"/>
      <c r="H329" s="244"/>
    </row>
    <row r="330" customHeight="1" spans="3:8">
      <c r="C330" s="245"/>
      <c r="E330" s="155"/>
      <c r="H330" s="244"/>
    </row>
    <row r="331" customHeight="1" spans="3:8">
      <c r="C331" s="245"/>
      <c r="E331" s="155"/>
      <c r="H331" s="244"/>
    </row>
    <row r="332" customHeight="1" spans="3:8">
      <c r="C332" s="245"/>
      <c r="E332" s="155"/>
      <c r="H332" s="244"/>
    </row>
    <row r="333" customHeight="1" spans="3:8">
      <c r="C333" s="245"/>
      <c r="E333" s="155"/>
      <c r="H333" s="244"/>
    </row>
    <row r="334" customHeight="1" spans="3:8">
      <c r="C334" s="245"/>
      <c r="E334" s="155"/>
      <c r="H334" s="244"/>
    </row>
    <row r="335" customHeight="1" spans="3:8">
      <c r="C335" s="245"/>
      <c r="E335" s="155"/>
      <c r="H335" s="244"/>
    </row>
    <row r="336" customHeight="1" spans="3:8">
      <c r="C336" s="245"/>
      <c r="E336" s="155"/>
      <c r="H336" s="244"/>
    </row>
    <row r="337" customHeight="1" spans="3:8">
      <c r="C337" s="245"/>
      <c r="E337" s="155"/>
      <c r="H337" s="244"/>
    </row>
    <row r="338" customHeight="1" spans="3:8">
      <c r="C338" s="245"/>
      <c r="E338" s="155"/>
      <c r="H338" s="244"/>
    </row>
    <row r="339" customHeight="1" spans="3:8">
      <c r="C339" s="245"/>
      <c r="E339" s="155"/>
      <c r="H339" s="244"/>
    </row>
    <row r="340" customHeight="1" spans="3:8">
      <c r="C340" s="245"/>
      <c r="E340" s="155"/>
      <c r="H340" s="244"/>
    </row>
    <row r="341" customHeight="1" spans="3:8">
      <c r="C341" s="245"/>
      <c r="E341" s="155"/>
      <c r="H341" s="244"/>
    </row>
    <row r="342" customHeight="1" spans="3:8">
      <c r="C342" s="245"/>
      <c r="E342" s="155"/>
      <c r="H342" s="244"/>
    </row>
    <row r="343" customHeight="1" spans="3:8">
      <c r="C343" s="245"/>
      <c r="E343" s="155"/>
      <c r="H343" s="244"/>
    </row>
    <row r="344" customHeight="1" spans="3:8">
      <c r="C344" s="245"/>
      <c r="E344" s="155"/>
      <c r="H344" s="244"/>
    </row>
    <row r="345" customHeight="1" spans="3:8">
      <c r="C345" s="245"/>
      <c r="E345" s="155"/>
      <c r="H345" s="244"/>
    </row>
    <row r="346" customHeight="1" spans="3:8">
      <c r="C346" s="245"/>
      <c r="E346" s="155"/>
      <c r="H346" s="244"/>
    </row>
    <row r="347" customHeight="1" spans="3:8">
      <c r="C347" s="245"/>
      <c r="E347" s="155"/>
      <c r="H347" s="244"/>
    </row>
    <row r="348" customHeight="1" spans="3:8">
      <c r="C348" s="245"/>
      <c r="E348" s="155"/>
      <c r="H348" s="244"/>
    </row>
    <row r="349" customHeight="1" spans="3:8">
      <c r="C349" s="245"/>
      <c r="E349" s="155"/>
      <c r="H349" s="244"/>
    </row>
    <row r="350" customHeight="1" spans="3:8">
      <c r="C350" s="245"/>
      <c r="E350" s="155"/>
      <c r="H350" s="244"/>
    </row>
    <row r="351" customHeight="1" spans="3:8">
      <c r="C351" s="245"/>
      <c r="E351" s="155"/>
      <c r="H351" s="244"/>
    </row>
    <row r="352" customHeight="1" spans="3:8">
      <c r="C352" s="245"/>
      <c r="E352" s="155"/>
      <c r="H352" s="244"/>
    </row>
    <row r="353" customHeight="1" spans="3:8">
      <c r="C353" s="245"/>
      <c r="E353" s="155"/>
      <c r="H353" s="244"/>
    </row>
    <row r="354" customHeight="1" spans="3:8">
      <c r="C354" s="245"/>
      <c r="E354" s="155"/>
      <c r="H354" s="244"/>
    </row>
    <row r="355" customHeight="1" spans="3:8">
      <c r="C355" s="245"/>
      <c r="E355" s="155"/>
      <c r="H355" s="244"/>
    </row>
    <row r="356" customHeight="1" spans="3:8">
      <c r="C356" s="245"/>
      <c r="E356" s="155"/>
      <c r="H356" s="244"/>
    </row>
    <row r="357" customHeight="1" spans="3:8">
      <c r="C357" s="245"/>
      <c r="E357" s="155"/>
      <c r="H357" s="244"/>
    </row>
    <row r="358" customHeight="1" spans="3:8">
      <c r="C358" s="245"/>
      <c r="E358" s="155"/>
      <c r="H358" s="244"/>
    </row>
    <row r="359" customHeight="1" spans="3:8">
      <c r="C359" s="245"/>
      <c r="E359" s="155"/>
      <c r="H359" s="244"/>
    </row>
    <row r="360" customHeight="1" spans="3:8">
      <c r="C360" s="245"/>
      <c r="E360" s="155"/>
      <c r="H360" s="244"/>
    </row>
    <row r="361" customHeight="1" spans="3:8">
      <c r="C361" s="245"/>
      <c r="E361" s="155"/>
      <c r="H361" s="244"/>
    </row>
    <row r="362" customHeight="1" spans="3:8">
      <c r="C362" s="245"/>
      <c r="E362" s="155"/>
      <c r="H362" s="244"/>
    </row>
    <row r="363" customHeight="1" spans="3:8">
      <c r="C363" s="245"/>
      <c r="E363" s="155"/>
      <c r="H363" s="244"/>
    </row>
    <row r="364" customHeight="1" spans="3:8">
      <c r="C364" s="245"/>
      <c r="E364" s="155"/>
      <c r="H364" s="244"/>
    </row>
    <row r="365" customHeight="1" spans="3:8">
      <c r="C365" s="245"/>
      <c r="E365" s="155"/>
      <c r="H365" s="244"/>
    </row>
    <row r="366" customHeight="1" spans="3:8">
      <c r="C366" s="245"/>
      <c r="E366" s="155"/>
      <c r="H366" s="244"/>
    </row>
    <row r="367" customHeight="1" spans="3:8">
      <c r="C367" s="245"/>
      <c r="E367" s="155"/>
      <c r="H367" s="244"/>
    </row>
    <row r="368" customHeight="1" spans="3:8">
      <c r="C368" s="245"/>
      <c r="E368" s="155"/>
      <c r="H368" s="244"/>
    </row>
    <row r="369" customHeight="1" spans="3:8">
      <c r="C369" s="245"/>
      <c r="E369" s="155"/>
      <c r="H369" s="244"/>
    </row>
    <row r="370" customHeight="1" spans="3:8">
      <c r="C370" s="245"/>
      <c r="E370" s="155"/>
      <c r="H370" s="244"/>
    </row>
    <row r="371" customHeight="1" spans="3:8">
      <c r="C371" s="245"/>
      <c r="E371" s="155"/>
      <c r="H371" s="244"/>
    </row>
    <row r="372" customHeight="1" spans="3:8">
      <c r="C372" s="245"/>
      <c r="E372" s="155"/>
      <c r="H372" s="244"/>
    </row>
    <row r="373" customHeight="1" spans="3:8">
      <c r="C373" s="245"/>
      <c r="E373" s="155"/>
      <c r="H373" s="244"/>
    </row>
    <row r="374" customHeight="1" spans="3:8">
      <c r="C374" s="245"/>
      <c r="E374" s="155"/>
      <c r="H374" s="244"/>
    </row>
    <row r="375" customHeight="1" spans="3:8">
      <c r="C375" s="245"/>
      <c r="E375" s="155"/>
      <c r="H375" s="244"/>
    </row>
    <row r="376" customHeight="1" spans="3:8">
      <c r="C376" s="245"/>
      <c r="E376" s="155"/>
      <c r="H376" s="244"/>
    </row>
    <row r="377" customHeight="1" spans="3:8">
      <c r="C377" s="245"/>
      <c r="E377" s="155"/>
      <c r="H377" s="244"/>
    </row>
    <row r="378" customHeight="1" spans="3:8">
      <c r="C378" s="245"/>
      <c r="E378" s="155"/>
      <c r="H378" s="244"/>
    </row>
    <row r="379" customHeight="1" spans="3:8">
      <c r="C379" s="245"/>
      <c r="E379" s="155"/>
      <c r="H379" s="244"/>
    </row>
    <row r="380" customHeight="1" spans="3:8">
      <c r="C380" s="245"/>
      <c r="E380" s="155"/>
      <c r="H380" s="244"/>
    </row>
    <row r="381" customHeight="1" spans="3:8">
      <c r="C381" s="245"/>
      <c r="E381" s="155"/>
      <c r="H381" s="244"/>
    </row>
    <row r="382" customHeight="1" spans="3:8">
      <c r="C382" s="245"/>
      <c r="E382" s="155"/>
      <c r="H382" s="244"/>
    </row>
    <row r="383" customHeight="1" spans="3:8">
      <c r="C383" s="245"/>
      <c r="E383" s="155"/>
      <c r="H383" s="244"/>
    </row>
    <row r="384" customHeight="1" spans="3:8">
      <c r="C384" s="245"/>
      <c r="E384" s="155"/>
      <c r="H384" s="244"/>
    </row>
    <row r="385" customHeight="1" spans="3:8">
      <c r="C385" s="245"/>
      <c r="E385" s="155"/>
      <c r="H385" s="244"/>
    </row>
    <row r="386" customHeight="1" spans="3:8">
      <c r="C386" s="245"/>
      <c r="E386" s="155"/>
      <c r="H386" s="244"/>
    </row>
    <row r="387" customHeight="1" spans="3:8">
      <c r="C387" s="245"/>
      <c r="E387" s="155"/>
      <c r="H387" s="244"/>
    </row>
    <row r="388" customHeight="1" spans="3:8">
      <c r="C388" s="245"/>
      <c r="E388" s="155"/>
      <c r="H388" s="244"/>
    </row>
    <row r="389" customHeight="1" spans="3:8">
      <c r="C389" s="245"/>
      <c r="E389" s="155"/>
      <c r="H389" s="244"/>
    </row>
    <row r="390" customHeight="1" spans="3:8">
      <c r="C390" s="245"/>
      <c r="E390" s="155"/>
      <c r="H390" s="244"/>
    </row>
    <row r="391" customHeight="1" spans="3:8">
      <c r="C391" s="245"/>
      <c r="E391" s="155"/>
      <c r="H391" s="244"/>
    </row>
    <row r="392" customHeight="1" spans="3:8">
      <c r="C392" s="245"/>
      <c r="E392" s="155"/>
      <c r="H392" s="244"/>
    </row>
    <row r="393" customHeight="1" spans="3:8">
      <c r="C393" s="245"/>
      <c r="E393" s="155"/>
      <c r="H393" s="244"/>
    </row>
    <row r="394" customHeight="1" spans="3:8">
      <c r="C394" s="245"/>
      <c r="E394" s="155"/>
      <c r="H394" s="244"/>
    </row>
    <row r="395" customHeight="1" spans="3:8">
      <c r="C395" s="245"/>
      <c r="E395" s="155"/>
      <c r="H395" s="244"/>
    </row>
    <row r="396" customHeight="1" spans="3:8">
      <c r="C396" s="245"/>
      <c r="E396" s="155"/>
      <c r="H396" s="244"/>
    </row>
    <row r="397" customHeight="1" spans="3:8">
      <c r="C397" s="245"/>
      <c r="E397" s="155"/>
      <c r="H397" s="244"/>
    </row>
    <row r="398" customHeight="1" spans="3:8">
      <c r="C398" s="245"/>
      <c r="E398" s="155"/>
      <c r="H398" s="244"/>
    </row>
    <row r="399" customHeight="1" spans="3:8">
      <c r="C399" s="245"/>
      <c r="E399" s="155"/>
      <c r="H399" s="244"/>
    </row>
    <row r="400" customHeight="1" spans="3:8">
      <c r="C400" s="245"/>
      <c r="E400" s="155"/>
      <c r="H400" s="244"/>
    </row>
    <row r="401" customHeight="1" spans="3:8">
      <c r="C401" s="245"/>
      <c r="E401" s="155"/>
      <c r="H401" s="244"/>
    </row>
    <row r="402" customHeight="1" spans="3:8">
      <c r="C402" s="245"/>
      <c r="E402" s="155"/>
      <c r="H402" s="244"/>
    </row>
    <row r="403" customHeight="1" spans="3:8">
      <c r="C403" s="245"/>
      <c r="E403" s="155"/>
      <c r="H403" s="244"/>
    </row>
    <row r="404" customHeight="1" spans="3:8">
      <c r="C404" s="245"/>
      <c r="E404" s="155"/>
      <c r="H404" s="244"/>
    </row>
    <row r="405" customHeight="1" spans="3:8">
      <c r="C405" s="245"/>
      <c r="E405" s="155"/>
      <c r="H405" s="244"/>
    </row>
    <row r="406" customHeight="1" spans="3:8">
      <c r="C406" s="245"/>
      <c r="E406" s="155"/>
      <c r="H406" s="244"/>
    </row>
    <row r="407" customHeight="1" spans="3:8">
      <c r="C407" s="245"/>
      <c r="E407" s="155"/>
      <c r="H407" s="244"/>
    </row>
    <row r="408" customHeight="1" spans="3:8">
      <c r="C408" s="245"/>
      <c r="E408" s="155"/>
      <c r="H408" s="244"/>
    </row>
    <row r="409" customHeight="1" spans="3:8">
      <c r="C409" s="245"/>
      <c r="E409" s="155"/>
      <c r="H409" s="244"/>
    </row>
    <row r="410" customHeight="1" spans="3:8">
      <c r="C410" s="245"/>
      <c r="E410" s="155"/>
      <c r="H410" s="244"/>
    </row>
    <row r="411" customHeight="1" spans="3:8">
      <c r="C411" s="245"/>
      <c r="E411" s="155"/>
      <c r="H411" s="244"/>
    </row>
    <row r="412" customHeight="1" spans="3:8">
      <c r="C412" s="245"/>
      <c r="E412" s="155"/>
      <c r="H412" s="244"/>
    </row>
    <row r="413" customHeight="1" spans="3:8">
      <c r="C413" s="245"/>
      <c r="E413" s="155"/>
      <c r="H413" s="244"/>
    </row>
    <row r="414" customHeight="1" spans="3:8">
      <c r="C414" s="245"/>
      <c r="E414" s="155"/>
      <c r="H414" s="244"/>
    </row>
    <row r="415" customHeight="1" spans="3:8">
      <c r="C415" s="245"/>
      <c r="E415" s="155"/>
      <c r="H415" s="244"/>
    </row>
    <row r="416" customHeight="1" spans="3:8">
      <c r="C416" s="245"/>
      <c r="E416" s="155"/>
      <c r="H416" s="244"/>
    </row>
    <row r="417" customHeight="1" spans="3:8">
      <c r="C417" s="245"/>
      <c r="E417" s="155"/>
      <c r="H417" s="244"/>
    </row>
    <row r="418" customHeight="1" spans="3:8">
      <c r="C418" s="245"/>
      <c r="E418" s="155"/>
      <c r="H418" s="244"/>
    </row>
    <row r="419" customHeight="1" spans="3:8">
      <c r="C419" s="245"/>
      <c r="E419" s="155"/>
      <c r="H419" s="244"/>
    </row>
    <row r="420" customHeight="1" spans="3:8">
      <c r="C420" s="245"/>
      <c r="E420" s="155"/>
      <c r="H420" s="244"/>
    </row>
    <row r="421" customHeight="1" spans="3:8">
      <c r="C421" s="245"/>
      <c r="E421" s="155"/>
      <c r="H421" s="244"/>
    </row>
    <row r="422" customHeight="1" spans="3:8">
      <c r="C422" s="245"/>
      <c r="E422" s="155"/>
      <c r="H422" s="244"/>
    </row>
    <row r="423" customHeight="1" spans="3:8">
      <c r="C423" s="245"/>
      <c r="E423" s="155"/>
      <c r="H423" s="244"/>
    </row>
    <row r="424" customHeight="1" spans="3:8">
      <c r="C424" s="245"/>
      <c r="E424" s="155"/>
      <c r="H424" s="244"/>
    </row>
    <row r="425" customHeight="1" spans="3:8">
      <c r="C425" s="245"/>
      <c r="E425" s="155"/>
      <c r="H425" s="244"/>
    </row>
    <row r="426" customHeight="1" spans="3:8">
      <c r="C426" s="245"/>
      <c r="E426" s="155"/>
      <c r="H426" s="244"/>
    </row>
    <row r="427" customHeight="1" spans="3:8">
      <c r="C427" s="245"/>
      <c r="E427" s="155"/>
      <c r="H427" s="244"/>
    </row>
    <row r="428" customHeight="1" spans="3:8">
      <c r="C428" s="245"/>
      <c r="E428" s="155"/>
      <c r="H428" s="244"/>
    </row>
    <row r="429" customHeight="1" spans="3:8">
      <c r="C429" s="245"/>
      <c r="E429" s="155"/>
      <c r="H429" s="244"/>
    </row>
    <row r="430" customHeight="1" spans="3:8">
      <c r="C430" s="245"/>
      <c r="E430" s="155"/>
      <c r="H430" s="244"/>
    </row>
    <row r="431" customHeight="1" spans="3:8">
      <c r="C431" s="245"/>
      <c r="E431" s="155"/>
      <c r="H431" s="244"/>
    </row>
    <row r="432" customHeight="1" spans="3:8">
      <c r="C432" s="245"/>
      <c r="E432" s="155"/>
      <c r="H432" s="244"/>
    </row>
    <row r="433" customHeight="1" spans="3:8">
      <c r="C433" s="245"/>
      <c r="E433" s="155"/>
      <c r="H433" s="244"/>
    </row>
    <row r="434" customHeight="1" spans="3:8">
      <c r="C434" s="245"/>
      <c r="E434" s="155"/>
      <c r="H434" s="244"/>
    </row>
    <row r="435" customHeight="1" spans="3:8">
      <c r="C435" s="245"/>
      <c r="E435" s="155"/>
      <c r="H435" s="244"/>
    </row>
    <row r="436" customHeight="1" spans="3:8">
      <c r="C436" s="245"/>
      <c r="E436" s="155"/>
      <c r="H436" s="244"/>
    </row>
    <row r="437" customHeight="1" spans="3:8">
      <c r="C437" s="245"/>
      <c r="E437" s="155"/>
      <c r="H437" s="244"/>
    </row>
    <row r="438" customHeight="1" spans="3:8">
      <c r="C438" s="245"/>
      <c r="E438" s="155"/>
      <c r="H438" s="244"/>
    </row>
    <row r="439" customHeight="1" spans="3:8">
      <c r="C439" s="245"/>
      <c r="E439" s="155"/>
      <c r="H439" s="244"/>
    </row>
    <row r="440" customHeight="1" spans="3:8">
      <c r="C440" s="245"/>
      <c r="E440" s="155"/>
      <c r="H440" s="244"/>
    </row>
    <row r="441" customHeight="1" spans="3:8">
      <c r="C441" s="245"/>
      <c r="E441" s="155"/>
      <c r="H441" s="244"/>
    </row>
    <row r="442" customHeight="1" spans="3:8">
      <c r="C442" s="245"/>
      <c r="E442" s="155"/>
      <c r="H442" s="244"/>
    </row>
    <row r="443" customHeight="1" spans="3:8">
      <c r="C443" s="245"/>
      <c r="E443" s="155"/>
      <c r="H443" s="244"/>
    </row>
    <row r="444" customHeight="1" spans="3:8">
      <c r="C444" s="245"/>
      <c r="E444" s="155"/>
      <c r="H444" s="244"/>
    </row>
    <row r="445" customHeight="1" spans="3:8">
      <c r="C445" s="245"/>
      <c r="E445" s="155"/>
      <c r="H445" s="244"/>
    </row>
    <row r="446" customHeight="1" spans="3:8">
      <c r="C446" s="245"/>
      <c r="E446" s="155"/>
      <c r="H446" s="244"/>
    </row>
    <row r="447" customHeight="1" spans="3:8">
      <c r="C447" s="245"/>
      <c r="E447" s="155"/>
      <c r="H447" s="244"/>
    </row>
    <row r="448" customHeight="1" spans="3:8">
      <c r="C448" s="245"/>
      <c r="E448" s="155"/>
      <c r="H448" s="244"/>
    </row>
    <row r="449" customHeight="1" spans="3:8">
      <c r="C449" s="245"/>
      <c r="E449" s="155"/>
      <c r="H449" s="244"/>
    </row>
    <row r="450" customHeight="1" spans="3:8">
      <c r="C450" s="245"/>
      <c r="E450" s="155"/>
      <c r="H450" s="244"/>
    </row>
    <row r="451" customHeight="1" spans="3:8">
      <c r="C451" s="245"/>
      <c r="E451" s="155"/>
      <c r="H451" s="244"/>
    </row>
    <row r="452" customHeight="1" spans="3:8">
      <c r="C452" s="245"/>
      <c r="E452" s="155"/>
      <c r="H452" s="244"/>
    </row>
    <row r="453" customHeight="1" spans="3:8">
      <c r="C453" s="245"/>
      <c r="E453" s="155"/>
      <c r="H453" s="244"/>
    </row>
    <row r="454" customHeight="1" spans="3:8">
      <c r="C454" s="245"/>
      <c r="E454" s="155"/>
      <c r="H454" s="244"/>
    </row>
    <row r="455" customHeight="1" spans="3:8">
      <c r="C455" s="245"/>
      <c r="E455" s="155"/>
      <c r="H455" s="244"/>
    </row>
    <row r="456" customHeight="1" spans="3:8">
      <c r="C456" s="245"/>
      <c r="E456" s="155"/>
      <c r="H456" s="244"/>
    </row>
    <row r="457" customHeight="1" spans="3:8">
      <c r="C457" s="245"/>
      <c r="E457" s="155"/>
      <c r="H457" s="244"/>
    </row>
    <row r="458" customHeight="1" spans="3:8">
      <c r="C458" s="245"/>
      <c r="E458" s="155"/>
      <c r="H458" s="244"/>
    </row>
    <row r="459" customHeight="1" spans="3:8">
      <c r="C459" s="245"/>
      <c r="E459" s="155"/>
      <c r="H459" s="244"/>
    </row>
    <row r="460" customHeight="1" spans="3:8">
      <c r="C460" s="245"/>
      <c r="E460" s="155"/>
      <c r="H460" s="244"/>
    </row>
    <row r="461" customHeight="1" spans="3:8">
      <c r="C461" s="245"/>
      <c r="E461" s="155"/>
      <c r="H461" s="244"/>
    </row>
    <row r="462" customHeight="1" spans="3:8">
      <c r="C462" s="245"/>
      <c r="E462" s="155"/>
      <c r="H462" s="244"/>
    </row>
    <row r="463" customHeight="1" spans="3:8">
      <c r="C463" s="245"/>
      <c r="E463" s="155"/>
      <c r="H463" s="244"/>
    </row>
    <row r="464" customHeight="1" spans="3:8">
      <c r="C464" s="245"/>
      <c r="E464" s="155"/>
      <c r="H464" s="244"/>
    </row>
    <row r="465" customHeight="1" spans="3:8">
      <c r="C465" s="245"/>
      <c r="E465" s="155"/>
      <c r="H465" s="244"/>
    </row>
    <row r="466" customHeight="1" spans="3:8">
      <c r="C466" s="245"/>
      <c r="E466" s="155"/>
      <c r="H466" s="244"/>
    </row>
    <row r="467" customHeight="1" spans="3:8">
      <c r="C467" s="245"/>
      <c r="E467" s="155"/>
      <c r="H467" s="244"/>
    </row>
    <row r="468" customHeight="1" spans="3:8">
      <c r="C468" s="245"/>
      <c r="E468" s="155"/>
      <c r="H468" s="244"/>
    </row>
    <row r="469" customHeight="1" spans="3:8">
      <c r="C469" s="245"/>
      <c r="E469" s="155"/>
      <c r="H469" s="244"/>
    </row>
    <row r="470" customHeight="1" spans="3:8">
      <c r="C470" s="245"/>
      <c r="E470" s="155"/>
      <c r="H470" s="244"/>
    </row>
    <row r="471" customHeight="1" spans="3:8">
      <c r="C471" s="245"/>
      <c r="E471" s="155"/>
      <c r="H471" s="244"/>
    </row>
    <row r="472" customHeight="1" spans="3:8">
      <c r="C472" s="245"/>
      <c r="E472" s="155"/>
      <c r="H472" s="244"/>
    </row>
    <row r="473" customHeight="1" spans="3:8">
      <c r="C473" s="245"/>
      <c r="E473" s="155"/>
      <c r="H473" s="244"/>
    </row>
    <row r="474" customHeight="1" spans="3:8">
      <c r="C474" s="245"/>
      <c r="E474" s="155"/>
      <c r="H474" s="244"/>
    </row>
    <row r="475" customHeight="1" spans="3:8">
      <c r="C475" s="245"/>
      <c r="E475" s="155"/>
      <c r="H475" s="244"/>
    </row>
    <row r="476" customHeight="1" spans="3:8">
      <c r="C476" s="245"/>
      <c r="E476" s="155"/>
      <c r="H476" s="244"/>
    </row>
    <row r="477" customHeight="1" spans="3:8">
      <c r="C477" s="245"/>
      <c r="E477" s="155"/>
      <c r="H477" s="244"/>
    </row>
    <row r="478" customHeight="1" spans="3:8">
      <c r="C478" s="245"/>
      <c r="E478" s="155"/>
      <c r="H478" s="244"/>
    </row>
    <row r="479" customHeight="1" spans="3:8">
      <c r="C479" s="245"/>
      <c r="E479" s="155"/>
      <c r="H479" s="244"/>
    </row>
    <row r="480" customHeight="1" spans="3:8">
      <c r="C480" s="245"/>
      <c r="E480" s="155"/>
      <c r="H480" s="244"/>
    </row>
    <row r="481" customHeight="1" spans="3:8">
      <c r="C481" s="245"/>
      <c r="E481" s="155"/>
      <c r="H481" s="244"/>
    </row>
    <row r="482" customHeight="1" spans="3:8">
      <c r="C482" s="245"/>
      <c r="E482" s="155"/>
      <c r="H482" s="244"/>
    </row>
    <row r="483" customHeight="1" spans="3:8">
      <c r="C483" s="245"/>
      <c r="E483" s="155"/>
      <c r="H483" s="244"/>
    </row>
    <row r="484" customHeight="1" spans="3:8">
      <c r="C484" s="245"/>
      <c r="E484" s="155"/>
      <c r="H484" s="244"/>
    </row>
    <row r="485" customHeight="1" spans="3:8">
      <c r="C485" s="245"/>
      <c r="E485" s="155"/>
      <c r="H485" s="244"/>
    </row>
    <row r="486" customHeight="1" spans="3:8">
      <c r="C486" s="245"/>
      <c r="E486" s="155"/>
      <c r="H486" s="244"/>
    </row>
    <row r="487" customHeight="1" spans="3:8">
      <c r="C487" s="245"/>
      <c r="E487" s="155"/>
      <c r="H487" s="244"/>
    </row>
    <row r="488" customHeight="1" spans="3:8">
      <c r="C488" s="245"/>
      <c r="E488" s="155"/>
      <c r="H488" s="244"/>
    </row>
    <row r="489" customHeight="1" spans="3:8">
      <c r="C489" s="245"/>
      <c r="E489" s="155"/>
      <c r="H489" s="244"/>
    </row>
    <row r="490" customHeight="1" spans="3:8">
      <c r="C490" s="245"/>
      <c r="E490" s="155"/>
      <c r="H490" s="244"/>
    </row>
    <row r="491" customHeight="1" spans="3:8">
      <c r="C491" s="245"/>
      <c r="E491" s="155"/>
      <c r="H491" s="244"/>
    </row>
    <row r="492" customHeight="1" spans="3:8">
      <c r="C492" s="245"/>
      <c r="E492" s="155"/>
      <c r="H492" s="244"/>
    </row>
    <row r="493" customHeight="1" spans="3:8">
      <c r="C493" s="245"/>
      <c r="E493" s="155"/>
      <c r="H493" s="244"/>
    </row>
    <row r="494" customHeight="1" spans="3:8">
      <c r="C494" s="245"/>
      <c r="E494" s="155"/>
      <c r="H494" s="244"/>
    </row>
    <row r="495" customHeight="1" spans="3:8">
      <c r="C495" s="245"/>
      <c r="E495" s="155"/>
      <c r="H495" s="244"/>
    </row>
    <row r="496" customHeight="1" spans="3:8">
      <c r="C496" s="245"/>
      <c r="E496" s="155"/>
      <c r="H496" s="244"/>
    </row>
    <row r="497" customHeight="1" spans="3:8">
      <c r="C497" s="245"/>
      <c r="E497" s="155"/>
      <c r="H497" s="244"/>
    </row>
    <row r="498" customHeight="1" spans="3:8">
      <c r="C498" s="245"/>
      <c r="E498" s="155"/>
      <c r="H498" s="244"/>
    </row>
    <row r="499" customHeight="1" spans="3:8">
      <c r="C499" s="245"/>
      <c r="E499" s="155"/>
      <c r="H499" s="244"/>
    </row>
    <row r="500" customHeight="1" spans="3:8">
      <c r="C500" s="245"/>
      <c r="E500" s="155"/>
      <c r="H500" s="244"/>
    </row>
    <row r="501" customHeight="1" spans="3:8">
      <c r="C501" s="245"/>
      <c r="E501" s="155"/>
      <c r="H501" s="244"/>
    </row>
    <row r="502" customHeight="1" spans="3:8">
      <c r="C502" s="245"/>
      <c r="E502" s="155"/>
      <c r="H502" s="244"/>
    </row>
    <row r="503" customHeight="1" spans="3:8">
      <c r="C503" s="245"/>
      <c r="E503" s="155"/>
      <c r="H503" s="244"/>
    </row>
    <row r="504" customHeight="1" spans="3:8">
      <c r="C504" s="245"/>
      <c r="E504" s="155"/>
      <c r="H504" s="244"/>
    </row>
    <row r="505" customHeight="1" spans="3:8">
      <c r="C505" s="245"/>
      <c r="E505" s="155"/>
      <c r="H505" s="244"/>
    </row>
    <row r="506" customHeight="1" spans="3:8">
      <c r="C506" s="245"/>
      <c r="E506" s="155"/>
      <c r="H506" s="244"/>
    </row>
    <row r="507" customHeight="1" spans="3:8">
      <c r="C507" s="245"/>
      <c r="E507" s="155"/>
      <c r="H507" s="244"/>
    </row>
    <row r="508" customHeight="1" spans="3:8">
      <c r="C508" s="245"/>
      <c r="E508" s="155"/>
      <c r="H508" s="244"/>
    </row>
    <row r="509" customHeight="1" spans="3:8">
      <c r="C509" s="245"/>
      <c r="E509" s="155"/>
      <c r="H509" s="244"/>
    </row>
    <row r="510" customHeight="1" spans="3:8">
      <c r="C510" s="245"/>
      <c r="E510" s="155"/>
      <c r="H510" s="244"/>
    </row>
    <row r="511" customHeight="1" spans="3:8">
      <c r="C511" s="245"/>
      <c r="E511" s="155"/>
      <c r="H511" s="244"/>
    </row>
    <row r="512" customHeight="1" spans="3:8">
      <c r="C512" s="245"/>
      <c r="E512" s="155"/>
      <c r="H512" s="244"/>
    </row>
    <row r="513" customHeight="1" spans="3:8">
      <c r="C513" s="245"/>
      <c r="E513" s="155"/>
      <c r="H513" s="244"/>
    </row>
    <row r="514" customHeight="1" spans="3:8">
      <c r="C514" s="245"/>
      <c r="E514" s="155"/>
      <c r="H514" s="244"/>
    </row>
    <row r="515" customHeight="1" spans="3:8">
      <c r="C515" s="245"/>
      <c r="E515" s="155"/>
      <c r="H515" s="244"/>
    </row>
    <row r="516" customHeight="1" spans="3:8">
      <c r="C516" s="245"/>
      <c r="E516" s="155"/>
      <c r="H516" s="244"/>
    </row>
    <row r="517" customHeight="1" spans="3:8">
      <c r="C517" s="245"/>
      <c r="E517" s="155"/>
      <c r="H517" s="244"/>
    </row>
    <row r="518" customHeight="1" spans="3:8">
      <c r="C518" s="245"/>
      <c r="E518" s="155"/>
      <c r="H518" s="244"/>
    </row>
    <row r="519" customHeight="1" spans="3:8">
      <c r="C519" s="245"/>
      <c r="E519" s="155"/>
      <c r="H519" s="244"/>
    </row>
    <row r="520" customHeight="1" spans="3:8">
      <c r="C520" s="245"/>
      <c r="E520" s="155"/>
      <c r="H520" s="244"/>
    </row>
    <row r="521" customHeight="1" spans="3:8">
      <c r="C521" s="245"/>
      <c r="E521" s="155"/>
      <c r="H521" s="244"/>
    </row>
    <row r="522" customHeight="1" spans="3:8">
      <c r="C522" s="245"/>
      <c r="E522" s="155"/>
      <c r="H522" s="244"/>
    </row>
    <row r="523" customHeight="1" spans="3:8">
      <c r="C523" s="245"/>
      <c r="E523" s="155"/>
      <c r="H523" s="244"/>
    </row>
    <row r="524" customHeight="1" spans="3:8">
      <c r="C524" s="245"/>
      <c r="E524" s="155"/>
      <c r="H524" s="244"/>
    </row>
    <row r="525" customHeight="1" spans="3:8">
      <c r="C525" s="245"/>
      <c r="E525" s="155"/>
      <c r="H525" s="244"/>
    </row>
    <row r="526" customHeight="1" spans="3:8">
      <c r="C526" s="245"/>
      <c r="E526" s="155"/>
      <c r="H526" s="244"/>
    </row>
    <row r="527" customHeight="1" spans="3:8">
      <c r="C527" s="245"/>
      <c r="E527" s="155"/>
      <c r="H527" s="244"/>
    </row>
    <row r="528" customHeight="1" spans="3:8">
      <c r="C528" s="245"/>
      <c r="E528" s="155"/>
      <c r="H528" s="244"/>
    </row>
    <row r="529" customHeight="1" spans="3:8">
      <c r="C529" s="245"/>
      <c r="E529" s="155"/>
      <c r="H529" s="244"/>
    </row>
    <row r="530" customHeight="1" spans="3:8">
      <c r="C530" s="245"/>
      <c r="E530" s="155"/>
      <c r="H530" s="244"/>
    </row>
    <row r="531" customHeight="1" spans="3:8">
      <c r="C531" s="245"/>
      <c r="E531" s="155"/>
      <c r="H531" s="244"/>
    </row>
    <row r="532" customHeight="1" spans="3:8">
      <c r="C532" s="245"/>
      <c r="E532" s="155"/>
      <c r="H532" s="244"/>
    </row>
    <row r="533" customHeight="1" spans="3:8">
      <c r="C533" s="245"/>
      <c r="E533" s="155"/>
      <c r="H533" s="244"/>
    </row>
    <row r="534" customHeight="1" spans="3:8">
      <c r="C534" s="245"/>
      <c r="E534" s="155"/>
      <c r="H534" s="244"/>
    </row>
    <row r="535" customHeight="1" spans="3:8">
      <c r="C535" s="245"/>
      <c r="E535" s="155"/>
      <c r="H535" s="244"/>
    </row>
    <row r="536" customHeight="1" spans="3:8">
      <c r="C536" s="245"/>
      <c r="E536" s="155"/>
      <c r="H536" s="244"/>
    </row>
    <row r="537" customHeight="1" spans="3:8">
      <c r="C537" s="245"/>
      <c r="E537" s="155"/>
      <c r="H537" s="244"/>
    </row>
    <row r="538" customHeight="1" spans="3:8">
      <c r="C538" s="245"/>
      <c r="E538" s="155"/>
      <c r="H538" s="244"/>
    </row>
    <row r="539" customHeight="1" spans="3:8">
      <c r="C539" s="245"/>
      <c r="E539" s="155"/>
      <c r="H539" s="244"/>
    </row>
    <row r="540" customHeight="1" spans="3:8">
      <c r="C540" s="245"/>
      <c r="E540" s="155"/>
      <c r="H540" s="244"/>
    </row>
    <row r="541" customHeight="1" spans="3:8">
      <c r="C541" s="245"/>
      <c r="E541" s="155"/>
      <c r="H541" s="244"/>
    </row>
    <row r="542" customHeight="1" spans="3:8">
      <c r="C542" s="245"/>
      <c r="E542" s="155"/>
      <c r="H542" s="244"/>
    </row>
    <row r="543" customHeight="1" spans="3:8">
      <c r="C543" s="245"/>
      <c r="E543" s="155"/>
      <c r="H543" s="244"/>
    </row>
    <row r="544" customHeight="1" spans="3:8">
      <c r="C544" s="245"/>
      <c r="E544" s="155"/>
      <c r="H544" s="244"/>
    </row>
    <row r="545" customHeight="1" spans="3:8">
      <c r="C545" s="245"/>
      <c r="E545" s="155"/>
      <c r="H545" s="244"/>
    </row>
    <row r="546" customHeight="1" spans="3:8">
      <c r="C546" s="245"/>
      <c r="E546" s="155"/>
      <c r="H546" s="244"/>
    </row>
    <row r="547" customHeight="1" spans="3:8">
      <c r="C547" s="245"/>
      <c r="E547" s="155"/>
      <c r="H547" s="244"/>
    </row>
    <row r="548" customHeight="1" spans="3:8">
      <c r="C548" s="245"/>
      <c r="E548" s="155"/>
      <c r="H548" s="244"/>
    </row>
    <row r="549" customHeight="1" spans="3:8">
      <c r="C549" s="245"/>
      <c r="E549" s="155"/>
      <c r="H549" s="244"/>
    </row>
    <row r="550" customHeight="1" spans="3:8">
      <c r="C550" s="245"/>
      <c r="E550" s="155"/>
      <c r="H550" s="244"/>
    </row>
    <row r="551" customHeight="1" spans="3:8">
      <c r="C551" s="245"/>
      <c r="E551" s="155"/>
      <c r="H551" s="244"/>
    </row>
    <row r="552" customHeight="1" spans="3:8">
      <c r="C552" s="245"/>
      <c r="E552" s="155"/>
      <c r="H552" s="244"/>
    </row>
    <row r="553" customHeight="1" spans="3:8">
      <c r="C553" s="245"/>
      <c r="E553" s="155"/>
      <c r="H553" s="244"/>
    </row>
    <row r="554" customHeight="1" spans="3:8">
      <c r="C554" s="245"/>
      <c r="E554" s="155"/>
      <c r="H554" s="244"/>
    </row>
    <row r="555" customHeight="1" spans="3:8">
      <c r="C555" s="245"/>
      <c r="E555" s="155"/>
      <c r="H555" s="244"/>
    </row>
    <row r="556" customHeight="1" spans="3:8">
      <c r="C556" s="245"/>
      <c r="E556" s="155"/>
      <c r="H556" s="244"/>
    </row>
    <row r="557" customHeight="1" spans="3:8">
      <c r="C557" s="245"/>
      <c r="E557" s="155"/>
      <c r="H557" s="244"/>
    </row>
    <row r="558" customHeight="1" spans="3:8">
      <c r="C558" s="245"/>
      <c r="E558" s="155"/>
      <c r="H558" s="244"/>
    </row>
    <row r="559" customHeight="1" spans="3:8">
      <c r="C559" s="245"/>
      <c r="E559" s="155"/>
      <c r="H559" s="244"/>
    </row>
    <row r="560" customHeight="1" spans="3:8">
      <c r="C560" s="245"/>
      <c r="E560" s="155"/>
      <c r="H560" s="244"/>
    </row>
    <row r="561" customHeight="1" spans="3:8">
      <c r="C561" s="245"/>
      <c r="E561" s="155"/>
      <c r="H561" s="244"/>
    </row>
    <row r="562" customHeight="1" spans="3:8">
      <c r="C562" s="245"/>
      <c r="E562" s="155"/>
      <c r="H562" s="244"/>
    </row>
    <row r="563" customHeight="1" spans="3:8">
      <c r="C563" s="245"/>
      <c r="E563" s="155"/>
      <c r="H563" s="244"/>
    </row>
    <row r="564" customHeight="1" spans="3:8">
      <c r="C564" s="245"/>
      <c r="E564" s="155"/>
      <c r="H564" s="244"/>
    </row>
    <row r="565" customHeight="1" spans="3:8">
      <c r="C565" s="245"/>
      <c r="E565" s="155"/>
      <c r="H565" s="244"/>
    </row>
    <row r="566" customHeight="1" spans="3:8">
      <c r="C566" s="245"/>
      <c r="E566" s="155"/>
      <c r="H566" s="244"/>
    </row>
    <row r="567" customHeight="1" spans="3:8">
      <c r="C567" s="245"/>
      <c r="E567" s="155"/>
      <c r="H567" s="244"/>
    </row>
    <row r="568" customHeight="1" spans="3:8">
      <c r="C568" s="245"/>
      <c r="E568" s="155"/>
      <c r="H568" s="244"/>
    </row>
    <row r="569" customHeight="1" spans="3:8">
      <c r="C569" s="245"/>
      <c r="E569" s="155"/>
      <c r="H569" s="244"/>
    </row>
    <row r="570" customHeight="1" spans="3:8">
      <c r="C570" s="245"/>
      <c r="E570" s="155"/>
      <c r="H570" s="244"/>
    </row>
    <row r="571" customHeight="1" spans="3:8">
      <c r="C571" s="245"/>
      <c r="E571" s="155"/>
      <c r="H571" s="244"/>
    </row>
    <row r="572" customHeight="1" spans="3:8">
      <c r="C572" s="245"/>
      <c r="E572" s="155"/>
      <c r="H572" s="244"/>
    </row>
    <row r="573" customHeight="1" spans="3:8">
      <c r="C573" s="245"/>
      <c r="E573" s="155"/>
      <c r="H573" s="244"/>
    </row>
    <row r="574" customHeight="1" spans="3:8">
      <c r="C574" s="245"/>
      <c r="E574" s="155"/>
      <c r="H574" s="244"/>
    </row>
    <row r="575" customHeight="1" spans="3:8">
      <c r="C575" s="245"/>
      <c r="E575" s="155"/>
      <c r="H575" s="244"/>
    </row>
    <row r="576" customHeight="1" spans="3:8">
      <c r="C576" s="245"/>
      <c r="E576" s="155"/>
      <c r="H576" s="244"/>
    </row>
    <row r="577" customHeight="1" spans="3:8">
      <c r="C577" s="245"/>
      <c r="E577" s="155"/>
      <c r="H577" s="244"/>
    </row>
    <row r="578" customHeight="1" spans="3:8">
      <c r="C578" s="245"/>
      <c r="E578" s="155"/>
      <c r="H578" s="244"/>
    </row>
    <row r="579" customHeight="1" spans="3:8">
      <c r="C579" s="245"/>
      <c r="E579" s="155"/>
      <c r="H579" s="244"/>
    </row>
    <row r="580" customHeight="1" spans="3:8">
      <c r="C580" s="245"/>
      <c r="E580" s="155"/>
      <c r="H580" s="244"/>
    </row>
    <row r="581" customHeight="1" spans="3:8">
      <c r="C581" s="245"/>
      <c r="E581" s="155"/>
      <c r="H581" s="244"/>
    </row>
    <row r="582" customHeight="1" spans="3:8">
      <c r="C582" s="245"/>
      <c r="E582" s="155"/>
      <c r="H582" s="244"/>
    </row>
    <row r="583" customHeight="1" spans="3:8">
      <c r="C583" s="245"/>
      <c r="E583" s="155"/>
      <c r="H583" s="244"/>
    </row>
    <row r="584" customHeight="1" spans="3:8">
      <c r="C584" s="245"/>
      <c r="E584" s="155"/>
      <c r="H584" s="244"/>
    </row>
    <row r="585" customHeight="1" spans="3:8">
      <c r="C585" s="245"/>
      <c r="E585" s="155"/>
      <c r="H585" s="244"/>
    </row>
    <row r="586" customHeight="1" spans="3:8">
      <c r="C586" s="245"/>
      <c r="E586" s="155"/>
      <c r="H586" s="244"/>
    </row>
    <row r="587" customHeight="1" spans="3:8">
      <c r="C587" s="245"/>
      <c r="E587" s="155"/>
      <c r="H587" s="244"/>
    </row>
    <row r="588" customHeight="1" spans="3:8">
      <c r="C588" s="245"/>
      <c r="E588" s="155"/>
      <c r="H588" s="244"/>
    </row>
    <row r="589" customHeight="1" spans="3:8">
      <c r="C589" s="245"/>
      <c r="E589" s="155"/>
      <c r="H589" s="244"/>
    </row>
    <row r="590" customHeight="1" spans="3:8">
      <c r="C590" s="245"/>
      <c r="E590" s="155"/>
      <c r="H590" s="244"/>
    </row>
    <row r="591" customHeight="1" spans="3:8">
      <c r="C591" s="245"/>
      <c r="E591" s="155"/>
      <c r="H591" s="244"/>
    </row>
    <row r="592" customHeight="1" spans="3:8">
      <c r="C592" s="245"/>
      <c r="E592" s="155"/>
      <c r="H592" s="244"/>
    </row>
    <row r="593" customHeight="1" spans="3:8">
      <c r="C593" s="245"/>
      <c r="E593" s="155"/>
      <c r="H593" s="244"/>
    </row>
    <row r="594" customHeight="1" spans="3:8">
      <c r="C594" s="245"/>
      <c r="E594" s="155"/>
      <c r="H594" s="244"/>
    </row>
    <row r="595" customHeight="1" spans="3:8">
      <c r="C595" s="245"/>
      <c r="E595" s="155"/>
      <c r="H595" s="244"/>
    </row>
    <row r="596" customHeight="1" spans="3:8">
      <c r="C596" s="245"/>
      <c r="E596" s="155"/>
      <c r="H596" s="244"/>
    </row>
    <row r="597" customHeight="1" spans="3:8">
      <c r="C597" s="245"/>
      <c r="E597" s="155"/>
      <c r="H597" s="244"/>
    </row>
    <row r="598" customHeight="1" spans="3:8">
      <c r="C598" s="245"/>
      <c r="E598" s="155"/>
      <c r="H598" s="244"/>
    </row>
    <row r="599" customHeight="1" spans="3:8">
      <c r="C599" s="245"/>
      <c r="E599" s="155"/>
      <c r="H599" s="244"/>
    </row>
    <row r="600" customHeight="1" spans="3:8">
      <c r="C600" s="245"/>
      <c r="E600" s="155"/>
      <c r="H600" s="244"/>
    </row>
    <row r="601" customHeight="1" spans="3:8">
      <c r="C601" s="245"/>
      <c r="E601" s="155"/>
      <c r="H601" s="244"/>
    </row>
    <row r="602" customHeight="1" spans="3:8">
      <c r="C602" s="245"/>
      <c r="E602" s="155"/>
      <c r="H602" s="244"/>
    </row>
    <row r="603" customHeight="1" spans="3:8">
      <c r="C603" s="245"/>
      <c r="E603" s="155"/>
      <c r="H603" s="244"/>
    </row>
    <row r="604" customHeight="1" spans="3:8">
      <c r="C604" s="245"/>
      <c r="E604" s="155"/>
      <c r="H604" s="244"/>
    </row>
    <row r="605" customHeight="1" spans="3:8">
      <c r="C605" s="245"/>
      <c r="E605" s="155"/>
      <c r="H605" s="244"/>
    </row>
    <row r="606" customHeight="1" spans="3:8">
      <c r="C606" s="245"/>
      <c r="E606" s="155"/>
      <c r="H606" s="244"/>
    </row>
    <row r="607" customHeight="1" spans="3:8">
      <c r="C607" s="245"/>
      <c r="E607" s="155"/>
      <c r="H607" s="244"/>
    </row>
    <row r="608" customHeight="1" spans="3:8">
      <c r="C608" s="245"/>
      <c r="E608" s="155"/>
      <c r="H608" s="244"/>
    </row>
    <row r="609" customHeight="1" spans="3:8">
      <c r="C609" s="245"/>
      <c r="E609" s="155"/>
      <c r="H609" s="244"/>
    </row>
    <row r="610" customHeight="1" spans="3:8">
      <c r="C610" s="245"/>
      <c r="E610" s="155"/>
      <c r="H610" s="244"/>
    </row>
    <row r="611" customHeight="1" spans="3:8">
      <c r="C611" s="245"/>
      <c r="E611" s="155"/>
      <c r="H611" s="244"/>
    </row>
    <row r="612" customHeight="1" spans="3:8">
      <c r="C612" s="245"/>
      <c r="E612" s="155"/>
      <c r="H612" s="244"/>
    </row>
    <row r="613" customHeight="1" spans="3:8">
      <c r="C613" s="245"/>
      <c r="E613" s="155"/>
      <c r="H613" s="244"/>
    </row>
    <row r="614" customHeight="1" spans="3:8">
      <c r="C614" s="245"/>
      <c r="E614" s="155"/>
      <c r="H614" s="244"/>
    </row>
    <row r="615" customHeight="1" spans="3:8">
      <c r="C615" s="245"/>
      <c r="E615" s="155"/>
      <c r="H615" s="244"/>
    </row>
    <row r="616" customHeight="1" spans="3:8">
      <c r="C616" s="245"/>
      <c r="E616" s="155"/>
      <c r="H616" s="244"/>
    </row>
    <row r="617" customHeight="1" spans="3:8">
      <c r="C617" s="245"/>
      <c r="E617" s="155"/>
      <c r="H617" s="244"/>
    </row>
    <row r="618" customHeight="1" spans="3:8">
      <c r="C618" s="245"/>
      <c r="E618" s="155"/>
      <c r="H618" s="244"/>
    </row>
    <row r="619" customHeight="1" spans="3:8">
      <c r="C619" s="245"/>
      <c r="E619" s="155"/>
      <c r="H619" s="244"/>
    </row>
    <row r="620" customHeight="1" spans="3:8">
      <c r="C620" s="245"/>
      <c r="E620" s="155"/>
      <c r="H620" s="244"/>
    </row>
    <row r="621" customHeight="1" spans="3:8">
      <c r="C621" s="245"/>
      <c r="E621" s="155"/>
      <c r="H621" s="244"/>
    </row>
    <row r="622" customHeight="1" spans="3:8">
      <c r="C622" s="245"/>
      <c r="E622" s="155"/>
      <c r="H622" s="244"/>
    </row>
    <row r="623" customHeight="1" spans="3:8">
      <c r="C623" s="245"/>
      <c r="E623" s="155"/>
      <c r="H623" s="244"/>
    </row>
    <row r="624" customHeight="1" spans="3:8">
      <c r="C624" s="245"/>
      <c r="E624" s="155"/>
      <c r="H624" s="244"/>
    </row>
    <row r="625" customHeight="1" spans="3:8">
      <c r="C625" s="245"/>
      <c r="E625" s="155"/>
      <c r="H625" s="244"/>
    </row>
    <row r="626" customHeight="1" spans="3:8">
      <c r="C626" s="245"/>
      <c r="E626" s="155"/>
      <c r="H626" s="244"/>
    </row>
    <row r="627" customHeight="1" spans="3:8">
      <c r="C627" s="245"/>
      <c r="E627" s="155"/>
      <c r="H627" s="244"/>
    </row>
    <row r="628" customHeight="1" spans="3:8">
      <c r="C628" s="245"/>
      <c r="E628" s="155"/>
      <c r="H628" s="244"/>
    </row>
    <row r="629" customHeight="1" spans="3:8">
      <c r="C629" s="245"/>
      <c r="E629" s="155"/>
      <c r="H629" s="244"/>
    </row>
    <row r="630" customHeight="1" spans="3:8">
      <c r="C630" s="245"/>
      <c r="E630" s="155"/>
      <c r="H630" s="244"/>
    </row>
    <row r="631" customHeight="1" spans="3:8">
      <c r="C631" s="245"/>
      <c r="E631" s="155"/>
      <c r="H631" s="244"/>
    </row>
    <row r="632" customHeight="1" spans="3:8">
      <c r="C632" s="245"/>
      <c r="E632" s="155"/>
      <c r="H632" s="244"/>
    </row>
    <row r="633" customHeight="1" spans="3:8">
      <c r="C633" s="245"/>
      <c r="E633" s="155"/>
      <c r="H633" s="244"/>
    </row>
    <row r="634" customHeight="1" spans="3:8">
      <c r="C634" s="245"/>
      <c r="E634" s="155"/>
      <c r="H634" s="244"/>
    </row>
    <row r="635" customHeight="1" spans="3:8">
      <c r="C635" s="245"/>
      <c r="E635" s="155"/>
      <c r="H635" s="244"/>
    </row>
    <row r="636" customHeight="1" spans="3:8">
      <c r="C636" s="245"/>
      <c r="E636" s="155"/>
      <c r="H636" s="244"/>
    </row>
    <row r="637" customHeight="1" spans="3:8">
      <c r="C637" s="245"/>
      <c r="E637" s="155"/>
      <c r="H637" s="244"/>
    </row>
    <row r="638" customHeight="1" spans="3:8">
      <c r="C638" s="245"/>
      <c r="E638" s="155"/>
      <c r="H638" s="244"/>
    </row>
    <row r="639" customHeight="1" spans="3:8">
      <c r="C639" s="245"/>
      <c r="E639" s="155"/>
      <c r="H639" s="244"/>
    </row>
    <row r="640" customHeight="1" spans="3:8">
      <c r="C640" s="245"/>
      <c r="E640" s="155"/>
      <c r="H640" s="244"/>
    </row>
    <row r="641" customHeight="1" spans="3:8">
      <c r="C641" s="245"/>
      <c r="E641" s="155"/>
      <c r="H641" s="244"/>
    </row>
    <row r="642" customHeight="1" spans="3:8">
      <c r="C642" s="245"/>
      <c r="E642" s="155"/>
      <c r="H642" s="244"/>
    </row>
    <row r="643" customHeight="1" spans="3:8">
      <c r="C643" s="245"/>
      <c r="E643" s="155"/>
      <c r="H643" s="244"/>
    </row>
    <row r="644" customHeight="1" spans="3:8">
      <c r="C644" s="245"/>
      <c r="E644" s="155"/>
      <c r="H644" s="244"/>
    </row>
    <row r="645" customHeight="1" spans="3:8">
      <c r="C645" s="245"/>
      <c r="E645" s="155"/>
      <c r="H645" s="244"/>
    </row>
    <row r="646" customHeight="1" spans="3:8">
      <c r="C646" s="245"/>
      <c r="E646" s="155"/>
      <c r="H646" s="244"/>
    </row>
    <row r="647" customHeight="1" spans="3:8">
      <c r="C647" s="245"/>
      <c r="E647" s="155"/>
      <c r="H647" s="244"/>
    </row>
    <row r="648" customHeight="1" spans="3:8">
      <c r="C648" s="245"/>
      <c r="E648" s="155"/>
      <c r="H648" s="244"/>
    </row>
    <row r="649" customHeight="1" spans="3:8">
      <c r="C649" s="245"/>
      <c r="E649" s="155"/>
      <c r="H649" s="244"/>
    </row>
    <row r="650" customHeight="1" spans="3:8">
      <c r="C650" s="245"/>
      <c r="E650" s="155"/>
      <c r="H650" s="244"/>
    </row>
    <row r="651" customHeight="1" spans="3:8">
      <c r="C651" s="245"/>
      <c r="E651" s="155"/>
      <c r="H651" s="244"/>
    </row>
    <row r="652" customHeight="1" spans="3:8">
      <c r="C652" s="245"/>
      <c r="E652" s="155"/>
      <c r="H652" s="244"/>
    </row>
    <row r="653" customHeight="1" spans="3:8">
      <c r="C653" s="245"/>
      <c r="E653" s="155"/>
      <c r="H653" s="244"/>
    </row>
    <row r="654" customHeight="1" spans="3:8">
      <c r="C654" s="245"/>
      <c r="E654" s="155"/>
      <c r="H654" s="244"/>
    </row>
    <row r="655" customHeight="1" spans="3:8">
      <c r="C655" s="245"/>
      <c r="E655" s="155"/>
      <c r="H655" s="244"/>
    </row>
    <row r="656" customHeight="1" spans="3:8">
      <c r="C656" s="245"/>
      <c r="E656" s="155"/>
      <c r="H656" s="244"/>
    </row>
    <row r="657" customHeight="1" spans="3:8">
      <c r="C657" s="245"/>
      <c r="E657" s="155"/>
      <c r="H657" s="244"/>
    </row>
    <row r="658" customHeight="1" spans="3:8">
      <c r="C658" s="245"/>
      <c r="E658" s="155"/>
      <c r="H658" s="244"/>
    </row>
    <row r="659" customHeight="1" spans="3:8">
      <c r="C659" s="245"/>
      <c r="E659" s="155"/>
      <c r="H659" s="244"/>
    </row>
    <row r="660" customHeight="1" spans="3:8">
      <c r="C660" s="245"/>
      <c r="E660" s="155"/>
      <c r="H660" s="244"/>
    </row>
    <row r="661" customHeight="1" spans="3:8">
      <c r="C661" s="245"/>
      <c r="E661" s="155"/>
      <c r="H661" s="244"/>
    </row>
    <row r="662" customHeight="1" spans="3:8">
      <c r="C662" s="245"/>
      <c r="E662" s="155"/>
      <c r="H662" s="244"/>
    </row>
    <row r="663" customHeight="1" spans="3:8">
      <c r="C663" s="245"/>
      <c r="E663" s="155"/>
      <c r="H663" s="244"/>
    </row>
    <row r="664" customHeight="1" spans="3:8">
      <c r="C664" s="245"/>
      <c r="E664" s="155"/>
      <c r="H664" s="244"/>
    </row>
    <row r="665" customHeight="1" spans="3:8">
      <c r="C665" s="245"/>
      <c r="E665" s="155"/>
      <c r="H665" s="244"/>
    </row>
    <row r="666" customHeight="1" spans="3:8">
      <c r="C666" s="245"/>
      <c r="E666" s="155"/>
      <c r="H666" s="244"/>
    </row>
    <row r="667" customHeight="1" spans="3:8">
      <c r="C667" s="245"/>
      <c r="E667" s="155"/>
      <c r="H667" s="244"/>
    </row>
    <row r="668" customHeight="1" spans="3:8">
      <c r="C668" s="245"/>
      <c r="E668" s="155"/>
      <c r="H668" s="244"/>
    </row>
    <row r="669" customHeight="1" spans="3:8">
      <c r="C669" s="245"/>
      <c r="E669" s="155"/>
      <c r="H669" s="244"/>
    </row>
    <row r="670" customHeight="1" spans="3:8">
      <c r="C670" s="245"/>
      <c r="E670" s="155"/>
      <c r="H670" s="244"/>
    </row>
    <row r="671" customHeight="1" spans="3:8">
      <c r="C671" s="245"/>
      <c r="E671" s="155"/>
      <c r="H671" s="244"/>
    </row>
    <row r="672" customHeight="1" spans="3:8">
      <c r="C672" s="245"/>
      <c r="E672" s="155"/>
      <c r="H672" s="244"/>
    </row>
    <row r="673" customHeight="1" spans="3:8">
      <c r="C673" s="245"/>
      <c r="E673" s="155"/>
      <c r="H673" s="244"/>
    </row>
    <row r="674" customHeight="1" spans="3:8">
      <c r="C674" s="245"/>
      <c r="E674" s="155"/>
      <c r="H674" s="244"/>
    </row>
    <row r="675" customHeight="1" spans="3:8">
      <c r="C675" s="245"/>
      <c r="E675" s="155"/>
      <c r="H675" s="244"/>
    </row>
    <row r="676" customHeight="1" spans="3:8">
      <c r="C676" s="245"/>
      <c r="E676" s="155"/>
      <c r="H676" s="244"/>
    </row>
    <row r="677" customHeight="1" spans="3:8">
      <c r="C677" s="245"/>
      <c r="E677" s="155"/>
      <c r="H677" s="244"/>
    </row>
    <row r="678" customHeight="1" spans="3:8">
      <c r="C678" s="245"/>
      <c r="E678" s="155"/>
      <c r="H678" s="244"/>
    </row>
    <row r="679" customHeight="1" spans="3:8">
      <c r="C679" s="245"/>
      <c r="E679" s="155"/>
      <c r="H679" s="244"/>
    </row>
    <row r="680" customHeight="1" spans="3:8">
      <c r="C680" s="245"/>
      <c r="E680" s="155"/>
      <c r="H680" s="244"/>
    </row>
    <row r="681" customHeight="1" spans="3:8">
      <c r="C681" s="245"/>
      <c r="E681" s="155"/>
      <c r="H681" s="244"/>
    </row>
    <row r="682" customHeight="1" spans="3:8">
      <c r="C682" s="245"/>
      <c r="E682" s="155"/>
      <c r="H682" s="244"/>
    </row>
    <row r="683" customHeight="1" spans="3:8">
      <c r="C683" s="245"/>
      <c r="E683" s="155"/>
      <c r="H683" s="244"/>
    </row>
    <row r="684" customHeight="1" spans="3:8">
      <c r="C684" s="245"/>
      <c r="E684" s="155"/>
      <c r="H684" s="244"/>
    </row>
    <row r="685" customHeight="1" spans="3:8">
      <c r="C685" s="245"/>
      <c r="E685" s="155"/>
      <c r="H685" s="244"/>
    </row>
    <row r="686" customHeight="1" spans="3:8">
      <c r="C686" s="245"/>
      <c r="E686" s="155"/>
      <c r="H686" s="244"/>
    </row>
    <row r="687" customHeight="1" spans="3:8">
      <c r="C687" s="245"/>
      <c r="E687" s="155"/>
      <c r="H687" s="244"/>
    </row>
    <row r="688" customHeight="1" spans="3:8">
      <c r="C688" s="245"/>
      <c r="E688" s="155"/>
      <c r="H688" s="244"/>
    </row>
    <row r="689" customHeight="1" spans="3:8">
      <c r="C689" s="245"/>
      <c r="E689" s="155"/>
      <c r="H689" s="244"/>
    </row>
    <row r="690" customHeight="1" spans="3:8">
      <c r="C690" s="245"/>
      <c r="E690" s="155"/>
      <c r="H690" s="244"/>
    </row>
    <row r="691" customHeight="1" spans="3:8">
      <c r="C691" s="245"/>
      <c r="E691" s="155"/>
      <c r="H691" s="244"/>
    </row>
    <row r="692" customHeight="1" spans="3:8">
      <c r="C692" s="245"/>
      <c r="E692" s="155"/>
      <c r="H692" s="244"/>
    </row>
    <row r="693" customHeight="1" spans="3:8">
      <c r="C693" s="245"/>
      <c r="E693" s="155"/>
      <c r="H693" s="244"/>
    </row>
    <row r="694" customHeight="1" spans="3:8">
      <c r="C694" s="245"/>
      <c r="E694" s="155"/>
      <c r="H694" s="244"/>
    </row>
    <row r="695" customHeight="1" spans="3:8">
      <c r="C695" s="245"/>
      <c r="E695" s="155"/>
      <c r="H695" s="244"/>
    </row>
    <row r="696" customHeight="1" spans="3:8">
      <c r="C696" s="245"/>
      <c r="E696" s="155"/>
      <c r="H696" s="244"/>
    </row>
    <row r="697" customHeight="1" spans="3:8">
      <c r="C697" s="245"/>
      <c r="E697" s="155"/>
      <c r="H697" s="244"/>
    </row>
    <row r="698" customHeight="1" spans="3:8">
      <c r="C698" s="245"/>
      <c r="E698" s="155"/>
      <c r="H698" s="244"/>
    </row>
    <row r="699" customHeight="1" spans="3:8">
      <c r="C699" s="245"/>
      <c r="E699" s="155"/>
      <c r="H699" s="244"/>
    </row>
    <row r="700" customHeight="1" spans="3:8">
      <c r="C700" s="245"/>
      <c r="E700" s="155"/>
      <c r="H700" s="244"/>
    </row>
    <row r="701" customHeight="1" spans="3:8">
      <c r="C701" s="245"/>
      <c r="E701" s="155"/>
      <c r="H701" s="244"/>
    </row>
    <row r="702" customHeight="1" spans="3:8">
      <c r="C702" s="245"/>
      <c r="E702" s="155"/>
      <c r="H702" s="244"/>
    </row>
    <row r="703" customHeight="1" spans="3:8">
      <c r="C703" s="245"/>
      <c r="E703" s="155"/>
      <c r="H703" s="244"/>
    </row>
    <row r="704" customHeight="1" spans="3:8">
      <c r="C704" s="245"/>
      <c r="E704" s="155"/>
      <c r="H704" s="244"/>
    </row>
    <row r="705" customHeight="1" spans="3:8">
      <c r="C705" s="245"/>
      <c r="E705" s="155"/>
      <c r="H705" s="244"/>
    </row>
    <row r="706" customHeight="1" spans="3:8">
      <c r="C706" s="245"/>
      <c r="E706" s="155"/>
      <c r="H706" s="244"/>
    </row>
    <row r="707" customHeight="1" spans="3:8">
      <c r="C707" s="245"/>
      <c r="E707" s="155"/>
      <c r="H707" s="244"/>
    </row>
    <row r="708" customHeight="1" spans="3:8">
      <c r="C708" s="245"/>
      <c r="E708" s="155"/>
      <c r="H708" s="244"/>
    </row>
    <row r="709" customHeight="1" spans="3:8">
      <c r="C709" s="245"/>
      <c r="E709" s="155"/>
      <c r="H709" s="244"/>
    </row>
    <row r="710" customHeight="1" spans="3:8">
      <c r="C710" s="245"/>
      <c r="E710" s="155"/>
      <c r="H710" s="244"/>
    </row>
    <row r="711" customHeight="1" spans="3:8">
      <c r="C711" s="245"/>
      <c r="E711" s="155"/>
      <c r="H711" s="244"/>
    </row>
    <row r="712" customHeight="1" spans="3:8">
      <c r="C712" s="245"/>
      <c r="E712" s="155"/>
      <c r="H712" s="244"/>
    </row>
    <row r="713" customHeight="1" spans="3:8">
      <c r="C713" s="245"/>
      <c r="E713" s="155"/>
      <c r="H713" s="244"/>
    </row>
    <row r="714" customHeight="1" spans="3:8">
      <c r="C714" s="245"/>
      <c r="E714" s="155"/>
      <c r="H714" s="244"/>
    </row>
    <row r="715" customHeight="1" spans="3:8">
      <c r="C715" s="245"/>
      <c r="E715" s="155"/>
      <c r="H715" s="244"/>
    </row>
    <row r="716" customHeight="1" spans="3:8">
      <c r="C716" s="245"/>
      <c r="E716" s="155"/>
      <c r="H716" s="244"/>
    </row>
    <row r="717" customHeight="1" spans="3:8">
      <c r="C717" s="245"/>
      <c r="E717" s="155"/>
      <c r="H717" s="244"/>
    </row>
    <row r="718" customHeight="1" spans="3:8">
      <c r="C718" s="245"/>
      <c r="E718" s="155"/>
      <c r="H718" s="244"/>
    </row>
    <row r="719" customHeight="1" spans="3:8">
      <c r="C719" s="245"/>
      <c r="E719" s="155"/>
      <c r="H719" s="244"/>
    </row>
    <row r="720" customHeight="1" spans="3:8">
      <c r="C720" s="245"/>
      <c r="E720" s="155"/>
      <c r="H720" s="244"/>
    </row>
    <row r="721" customHeight="1" spans="3:8">
      <c r="C721" s="245"/>
      <c r="E721" s="155"/>
      <c r="H721" s="244"/>
    </row>
    <row r="722" customHeight="1" spans="3:8">
      <c r="C722" s="245"/>
      <c r="E722" s="155"/>
      <c r="H722" s="244"/>
    </row>
    <row r="723" customHeight="1" spans="3:8">
      <c r="C723" s="245"/>
      <c r="E723" s="155"/>
      <c r="H723" s="244"/>
    </row>
    <row r="724" customHeight="1" spans="3:8">
      <c r="C724" s="245"/>
      <c r="E724" s="155"/>
      <c r="H724" s="244"/>
    </row>
    <row r="725" customHeight="1" spans="3:8">
      <c r="C725" s="245"/>
      <c r="E725" s="155"/>
      <c r="H725" s="244"/>
    </row>
    <row r="726" customHeight="1" spans="3:8">
      <c r="C726" s="245"/>
      <c r="E726" s="155"/>
      <c r="H726" s="244"/>
    </row>
    <row r="727" customHeight="1" spans="3:8">
      <c r="C727" s="245"/>
      <c r="E727" s="155"/>
      <c r="H727" s="244"/>
    </row>
    <row r="728" customHeight="1" spans="3:8">
      <c r="C728" s="245"/>
      <c r="E728" s="155"/>
      <c r="H728" s="244"/>
    </row>
    <row r="729" customHeight="1" spans="3:8">
      <c r="C729" s="245"/>
      <c r="E729" s="155"/>
      <c r="H729" s="244"/>
    </row>
    <row r="730" customHeight="1" spans="3:8">
      <c r="C730" s="245"/>
      <c r="E730" s="155"/>
      <c r="H730" s="244"/>
    </row>
    <row r="731" customHeight="1" spans="3:8">
      <c r="C731" s="245"/>
      <c r="E731" s="155"/>
      <c r="H731" s="244"/>
    </row>
    <row r="732" customHeight="1" spans="3:8">
      <c r="C732" s="245"/>
      <c r="E732" s="155"/>
      <c r="H732" s="244"/>
    </row>
    <row r="733" customHeight="1" spans="3:8">
      <c r="C733" s="245"/>
      <c r="E733" s="155"/>
      <c r="H733" s="244"/>
    </row>
    <row r="734" customHeight="1" spans="3:8">
      <c r="C734" s="245"/>
      <c r="E734" s="155"/>
      <c r="H734" s="244"/>
    </row>
    <row r="735" customHeight="1" spans="3:8">
      <c r="C735" s="245"/>
      <c r="E735" s="155"/>
      <c r="H735" s="244"/>
    </row>
    <row r="736" customHeight="1" spans="3:8">
      <c r="C736" s="245"/>
      <c r="E736" s="155"/>
      <c r="H736" s="244"/>
    </row>
    <row r="737" customHeight="1" spans="3:8">
      <c r="C737" s="245"/>
      <c r="E737" s="155"/>
      <c r="H737" s="244"/>
    </row>
    <row r="738" customHeight="1" spans="3:8">
      <c r="C738" s="245"/>
      <c r="E738" s="155"/>
      <c r="H738" s="244"/>
    </row>
    <row r="739" customHeight="1" spans="3:8">
      <c r="C739" s="245"/>
      <c r="E739" s="155"/>
      <c r="H739" s="244"/>
    </row>
    <row r="740" customHeight="1" spans="3:8">
      <c r="C740" s="245"/>
      <c r="E740" s="155"/>
      <c r="H740" s="244"/>
    </row>
    <row r="741" customHeight="1" spans="3:8">
      <c r="C741" s="245"/>
      <c r="E741" s="155"/>
      <c r="H741" s="244"/>
    </row>
    <row r="742" customHeight="1" spans="3:8">
      <c r="C742" s="245"/>
      <c r="E742" s="155"/>
      <c r="H742" s="244"/>
    </row>
    <row r="743" customHeight="1" spans="3:8">
      <c r="C743" s="245"/>
      <c r="E743" s="155"/>
      <c r="H743" s="244"/>
    </row>
    <row r="744" customHeight="1" spans="3:8">
      <c r="C744" s="245"/>
      <c r="E744" s="155"/>
      <c r="H744" s="244"/>
    </row>
    <row r="745" customHeight="1" spans="3:8">
      <c r="C745" s="245"/>
      <c r="E745" s="155"/>
      <c r="H745" s="244"/>
    </row>
    <row r="746" customHeight="1" spans="3:8">
      <c r="C746" s="245"/>
      <c r="E746" s="155"/>
      <c r="H746" s="244"/>
    </row>
    <row r="747" customHeight="1" spans="3:8">
      <c r="C747" s="245"/>
      <c r="E747" s="155"/>
      <c r="H747" s="244"/>
    </row>
    <row r="748" customHeight="1" spans="3:8">
      <c r="C748" s="245"/>
      <c r="E748" s="155"/>
      <c r="H748" s="244"/>
    </row>
    <row r="749" customHeight="1" spans="3:8">
      <c r="C749" s="245"/>
      <c r="E749" s="155"/>
      <c r="H749" s="244"/>
    </row>
    <row r="750" customHeight="1" spans="3:8">
      <c r="C750" s="245"/>
      <c r="E750" s="155"/>
      <c r="H750" s="244"/>
    </row>
    <row r="751" customHeight="1" spans="3:8">
      <c r="C751" s="245"/>
      <c r="E751" s="155"/>
      <c r="H751" s="244"/>
    </row>
    <row r="752" customHeight="1" spans="3:8">
      <c r="C752" s="245"/>
      <c r="E752" s="155"/>
      <c r="H752" s="244"/>
    </row>
    <row r="753" customHeight="1" spans="3:8">
      <c r="C753" s="245"/>
      <c r="E753" s="155"/>
      <c r="H753" s="244"/>
    </row>
    <row r="754" customHeight="1" spans="3:8">
      <c r="C754" s="245"/>
      <c r="E754" s="155"/>
      <c r="H754" s="244"/>
    </row>
    <row r="755" customHeight="1" spans="3:8">
      <c r="C755" s="245"/>
      <c r="E755" s="155"/>
      <c r="H755" s="244"/>
    </row>
    <row r="756" customHeight="1" spans="3:8">
      <c r="C756" s="245"/>
      <c r="E756" s="155"/>
      <c r="H756" s="244"/>
    </row>
    <row r="757" customHeight="1" spans="3:8">
      <c r="C757" s="245"/>
      <c r="E757" s="155"/>
      <c r="H757" s="244"/>
    </row>
    <row r="758" customHeight="1" spans="3:8">
      <c r="C758" s="245"/>
      <c r="E758" s="155"/>
      <c r="H758" s="244"/>
    </row>
    <row r="759" customHeight="1" spans="3:8">
      <c r="C759" s="245"/>
      <c r="E759" s="155"/>
      <c r="H759" s="244"/>
    </row>
    <row r="760" customHeight="1" spans="3:8">
      <c r="C760" s="245"/>
      <c r="E760" s="155"/>
      <c r="H760" s="244"/>
    </row>
    <row r="761" customHeight="1" spans="3:8">
      <c r="C761" s="245"/>
      <c r="E761" s="155"/>
      <c r="H761" s="244"/>
    </row>
    <row r="762" customHeight="1" spans="3:8">
      <c r="C762" s="245"/>
      <c r="E762" s="155"/>
      <c r="H762" s="244"/>
    </row>
    <row r="763" customHeight="1" spans="3:8">
      <c r="C763" s="245"/>
      <c r="E763" s="155"/>
      <c r="H763" s="244"/>
    </row>
    <row r="764" customHeight="1" spans="3:8">
      <c r="C764" s="245"/>
      <c r="E764" s="155"/>
      <c r="H764" s="244"/>
    </row>
    <row r="765" customHeight="1" spans="3:8">
      <c r="C765" s="245"/>
      <c r="E765" s="155"/>
      <c r="H765" s="244"/>
    </row>
    <row r="766" customHeight="1" spans="3:8">
      <c r="C766" s="245"/>
      <c r="E766" s="155"/>
      <c r="H766" s="244"/>
    </row>
    <row r="767" customHeight="1" spans="3:8">
      <c r="C767" s="245"/>
      <c r="E767" s="155"/>
      <c r="H767" s="244"/>
    </row>
    <row r="768" customHeight="1" spans="3:8">
      <c r="C768" s="245"/>
      <c r="E768" s="155"/>
      <c r="H768" s="244"/>
    </row>
    <row r="769" customHeight="1" spans="3:8">
      <c r="C769" s="245"/>
      <c r="E769" s="155"/>
      <c r="H769" s="244"/>
    </row>
    <row r="770" customHeight="1" spans="3:8">
      <c r="C770" s="245"/>
      <c r="E770" s="155"/>
      <c r="H770" s="244"/>
    </row>
    <row r="771" customHeight="1" spans="3:8">
      <c r="C771" s="245"/>
      <c r="E771" s="155"/>
      <c r="H771" s="244"/>
    </row>
    <row r="772" customHeight="1" spans="3:8">
      <c r="C772" s="245"/>
      <c r="E772" s="155"/>
      <c r="H772" s="244"/>
    </row>
    <row r="773" customHeight="1" spans="3:8">
      <c r="C773" s="245"/>
      <c r="E773" s="155"/>
      <c r="H773" s="244"/>
    </row>
    <row r="774" customHeight="1" spans="3:8">
      <c r="C774" s="245"/>
      <c r="E774" s="155"/>
      <c r="H774" s="244"/>
    </row>
    <row r="775" customHeight="1" spans="3:8">
      <c r="C775" s="245"/>
      <c r="E775" s="155"/>
      <c r="H775" s="244"/>
    </row>
    <row r="776" customHeight="1" spans="3:8">
      <c r="C776" s="245"/>
      <c r="E776" s="155"/>
      <c r="H776" s="244"/>
    </row>
    <row r="777" customHeight="1" spans="3:8">
      <c r="C777" s="245"/>
      <c r="E777" s="155"/>
      <c r="H777" s="244"/>
    </row>
    <row r="778" customHeight="1" spans="3:8">
      <c r="C778" s="245"/>
      <c r="E778" s="155"/>
      <c r="H778" s="244"/>
    </row>
    <row r="779" customHeight="1" spans="3:8">
      <c r="C779" s="245"/>
      <c r="E779" s="155"/>
      <c r="H779" s="244"/>
    </row>
    <row r="780" customHeight="1" spans="3:8">
      <c r="C780" s="245"/>
      <c r="E780" s="155"/>
      <c r="H780" s="244"/>
    </row>
    <row r="781" customHeight="1" spans="3:8">
      <c r="C781" s="245"/>
      <c r="E781" s="155"/>
      <c r="H781" s="244"/>
    </row>
    <row r="782" customHeight="1" spans="3:8">
      <c r="C782" s="245"/>
      <c r="E782" s="155"/>
      <c r="H782" s="244"/>
    </row>
    <row r="783" customHeight="1" spans="3:8">
      <c r="C783" s="245"/>
      <c r="E783" s="155"/>
      <c r="H783" s="244"/>
    </row>
    <row r="784" customHeight="1" spans="3:8">
      <c r="C784" s="245"/>
      <c r="E784" s="155"/>
      <c r="H784" s="244"/>
    </row>
    <row r="785" customHeight="1" spans="3:8">
      <c r="C785" s="245"/>
      <c r="E785" s="155"/>
      <c r="H785" s="244"/>
    </row>
    <row r="786" customHeight="1" spans="3:8">
      <c r="C786" s="245"/>
      <c r="E786" s="155"/>
      <c r="H786" s="244"/>
    </row>
    <row r="787" customHeight="1" spans="3:8">
      <c r="C787" s="245"/>
      <c r="E787" s="155"/>
      <c r="H787" s="244"/>
    </row>
    <row r="788" customHeight="1" spans="3:8">
      <c r="C788" s="245"/>
      <c r="E788" s="155"/>
      <c r="H788" s="244"/>
    </row>
    <row r="789" customHeight="1" spans="3:8">
      <c r="C789" s="245"/>
      <c r="E789" s="155"/>
      <c r="H789" s="244"/>
    </row>
    <row r="790" customHeight="1" spans="3:8">
      <c r="C790" s="245"/>
      <c r="E790" s="155"/>
      <c r="H790" s="244"/>
    </row>
    <row r="791" customHeight="1" spans="3:8">
      <c r="C791" s="245"/>
      <c r="E791" s="155"/>
      <c r="H791" s="244"/>
    </row>
    <row r="792" customHeight="1" spans="3:8">
      <c r="C792" s="245"/>
      <c r="E792" s="155"/>
      <c r="H792" s="244"/>
    </row>
    <row r="793" customHeight="1" spans="3:8">
      <c r="C793" s="245"/>
      <c r="E793" s="155"/>
      <c r="H793" s="244"/>
    </row>
    <row r="794" customHeight="1" spans="3:8">
      <c r="C794" s="245"/>
      <c r="E794" s="155"/>
      <c r="H794" s="244"/>
    </row>
    <row r="795" customHeight="1" spans="3:8">
      <c r="C795" s="245"/>
      <c r="E795" s="155"/>
      <c r="H795" s="244"/>
    </row>
    <row r="796" customHeight="1" spans="3:8">
      <c r="C796" s="245"/>
      <c r="E796" s="155"/>
      <c r="H796" s="244"/>
    </row>
    <row r="797" customHeight="1" spans="3:8">
      <c r="C797" s="245"/>
      <c r="E797" s="155"/>
      <c r="H797" s="244"/>
    </row>
    <row r="798" customHeight="1" spans="3:8">
      <c r="C798" s="245"/>
      <c r="E798" s="155"/>
      <c r="H798" s="244"/>
    </row>
    <row r="799" customHeight="1" spans="3:8">
      <c r="C799" s="245"/>
      <c r="E799" s="155"/>
      <c r="H799" s="244"/>
    </row>
    <row r="800" customHeight="1" spans="3:8">
      <c r="C800" s="245"/>
      <c r="E800" s="155"/>
      <c r="H800" s="244"/>
    </row>
    <row r="801" customHeight="1" spans="3:8">
      <c r="C801" s="245"/>
      <c r="E801" s="155"/>
      <c r="H801" s="244"/>
    </row>
    <row r="802" customHeight="1" spans="3:8">
      <c r="C802" s="245"/>
      <c r="E802" s="155"/>
      <c r="H802" s="244"/>
    </row>
    <row r="803" customHeight="1" spans="3:8">
      <c r="C803" s="245"/>
      <c r="E803" s="155"/>
      <c r="H803" s="244"/>
    </row>
    <row r="804" customHeight="1" spans="3:8">
      <c r="C804" s="245"/>
      <c r="E804" s="155"/>
      <c r="H804" s="244"/>
    </row>
    <row r="805" customHeight="1" spans="3:8">
      <c r="C805" s="245"/>
      <c r="E805" s="155"/>
      <c r="H805" s="244"/>
    </row>
    <row r="806" customHeight="1" spans="3:8">
      <c r="C806" s="245"/>
      <c r="E806" s="155"/>
      <c r="H806" s="244"/>
    </row>
    <row r="807" customHeight="1" spans="3:8">
      <c r="C807" s="245"/>
      <c r="E807" s="155"/>
      <c r="H807" s="244"/>
    </row>
    <row r="808" customHeight="1" spans="3:8">
      <c r="C808" s="245"/>
      <c r="E808" s="155"/>
      <c r="H808" s="244"/>
    </row>
    <row r="809" customHeight="1" spans="3:8">
      <c r="C809" s="245"/>
      <c r="E809" s="155"/>
      <c r="H809" s="244"/>
    </row>
    <row r="810" customHeight="1" spans="3:8">
      <c r="C810" s="245"/>
      <c r="E810" s="155"/>
      <c r="H810" s="244"/>
    </row>
    <row r="811" customHeight="1" spans="3:8">
      <c r="C811" s="245"/>
      <c r="E811" s="155"/>
      <c r="H811" s="244"/>
    </row>
    <row r="812" customHeight="1" spans="3:8">
      <c r="C812" s="245"/>
      <c r="E812" s="155"/>
      <c r="H812" s="244"/>
    </row>
    <row r="813" customHeight="1" spans="3:8">
      <c r="C813" s="245"/>
      <c r="E813" s="155"/>
      <c r="H813" s="244"/>
    </row>
    <row r="814" customHeight="1" spans="3:8">
      <c r="C814" s="245"/>
      <c r="E814" s="155"/>
      <c r="H814" s="244"/>
    </row>
    <row r="815" customHeight="1" spans="3:8">
      <c r="C815" s="245"/>
      <c r="E815" s="155"/>
      <c r="H815" s="244"/>
    </row>
    <row r="816" customHeight="1" spans="3:8">
      <c r="C816" s="245"/>
      <c r="E816" s="155"/>
      <c r="H816" s="244"/>
    </row>
    <row r="817" customHeight="1" spans="3:8">
      <c r="C817" s="245"/>
      <c r="E817" s="155"/>
      <c r="H817" s="244"/>
    </row>
    <row r="818" customHeight="1" spans="3:8">
      <c r="C818" s="245"/>
      <c r="E818" s="155"/>
      <c r="H818" s="244"/>
    </row>
    <row r="819" customHeight="1" spans="3:8">
      <c r="C819" s="245"/>
      <c r="E819" s="155"/>
      <c r="H819" s="244"/>
    </row>
    <row r="820" customHeight="1" spans="3:8">
      <c r="C820" s="245"/>
      <c r="E820" s="155"/>
      <c r="H820" s="244"/>
    </row>
    <row r="821" customHeight="1" spans="3:8">
      <c r="C821" s="245"/>
      <c r="E821" s="155"/>
      <c r="H821" s="244"/>
    </row>
    <row r="822" customHeight="1" spans="3:8">
      <c r="C822" s="245"/>
      <c r="E822" s="155"/>
      <c r="H822" s="244"/>
    </row>
    <row r="823" customHeight="1" spans="3:8">
      <c r="C823" s="245"/>
      <c r="E823" s="155"/>
      <c r="H823" s="244"/>
    </row>
    <row r="824" customHeight="1" spans="3:8">
      <c r="C824" s="245"/>
      <c r="E824" s="155"/>
      <c r="H824" s="244"/>
    </row>
    <row r="825" customHeight="1" spans="3:8">
      <c r="C825" s="245"/>
      <c r="E825" s="155"/>
      <c r="H825" s="244"/>
    </row>
    <row r="826" customHeight="1" spans="3:8">
      <c r="C826" s="245"/>
      <c r="E826" s="155"/>
      <c r="H826" s="244"/>
    </row>
    <row r="827" customHeight="1" spans="3:8">
      <c r="C827" s="245"/>
      <c r="E827" s="155"/>
      <c r="H827" s="244"/>
    </row>
    <row r="828" customHeight="1" spans="3:8">
      <c r="C828" s="245"/>
      <c r="E828" s="155"/>
      <c r="H828" s="244"/>
    </row>
    <row r="829" customHeight="1" spans="3:8">
      <c r="C829" s="245"/>
      <c r="E829" s="155"/>
      <c r="H829" s="244"/>
    </row>
    <row r="830" customHeight="1" spans="3:8">
      <c r="C830" s="245"/>
      <c r="E830" s="155"/>
      <c r="H830" s="244"/>
    </row>
    <row r="831" customHeight="1" spans="3:8">
      <c r="C831" s="245"/>
      <c r="E831" s="155"/>
      <c r="H831" s="244"/>
    </row>
    <row r="832" customHeight="1" spans="3:8">
      <c r="C832" s="245"/>
      <c r="E832" s="155"/>
      <c r="H832" s="244"/>
    </row>
    <row r="833" customHeight="1" spans="3:8">
      <c r="C833" s="245"/>
      <c r="E833" s="155"/>
      <c r="H833" s="244"/>
    </row>
    <row r="834" customHeight="1" spans="3:8">
      <c r="C834" s="245"/>
      <c r="E834" s="155"/>
      <c r="H834" s="244"/>
    </row>
    <row r="835" customHeight="1" spans="3:8">
      <c r="C835" s="245"/>
      <c r="E835" s="155"/>
      <c r="H835" s="244"/>
    </row>
    <row r="836" customHeight="1" spans="3:8">
      <c r="C836" s="245"/>
      <c r="E836" s="155"/>
      <c r="H836" s="244"/>
    </row>
    <row r="837" customHeight="1" spans="3:8">
      <c r="C837" s="245"/>
      <c r="E837" s="155"/>
      <c r="H837" s="244"/>
    </row>
    <row r="838" customHeight="1" spans="3:8">
      <c r="C838" s="245"/>
      <c r="E838" s="155"/>
      <c r="H838" s="244"/>
    </row>
    <row r="839" customHeight="1" spans="3:8">
      <c r="C839" s="245"/>
      <c r="E839" s="155"/>
      <c r="H839" s="244"/>
    </row>
    <row r="840" customHeight="1" spans="3:8">
      <c r="C840" s="245"/>
      <c r="E840" s="155"/>
      <c r="H840" s="244"/>
    </row>
    <row r="841" customHeight="1" spans="3:8">
      <c r="C841" s="245"/>
      <c r="E841" s="155"/>
      <c r="H841" s="244"/>
    </row>
    <row r="842" customHeight="1" spans="3:8">
      <c r="C842" s="245"/>
      <c r="E842" s="155"/>
      <c r="H842" s="244"/>
    </row>
    <row r="843" customHeight="1" spans="3:8">
      <c r="C843" s="245"/>
      <c r="E843" s="155"/>
      <c r="H843" s="244"/>
    </row>
    <row r="844" customHeight="1" spans="3:8">
      <c r="C844" s="245"/>
      <c r="E844" s="155"/>
      <c r="H844" s="244"/>
    </row>
    <row r="845" customHeight="1" spans="3:8">
      <c r="C845" s="245"/>
      <c r="E845" s="155"/>
      <c r="H845" s="244"/>
    </row>
    <row r="846" customHeight="1" spans="3:8">
      <c r="C846" s="245"/>
      <c r="E846" s="155"/>
      <c r="H846" s="244"/>
    </row>
    <row r="847" customHeight="1" spans="3:8">
      <c r="C847" s="245"/>
      <c r="E847" s="155"/>
      <c r="H847" s="244"/>
    </row>
    <row r="848" customHeight="1" spans="3:8">
      <c r="C848" s="245"/>
      <c r="E848" s="155"/>
      <c r="H848" s="244"/>
    </row>
    <row r="849" customHeight="1" spans="3:8">
      <c r="C849" s="245"/>
      <c r="E849" s="155"/>
      <c r="H849" s="244"/>
    </row>
    <row r="850" customHeight="1" spans="3:8">
      <c r="C850" s="245"/>
      <c r="E850" s="155"/>
      <c r="H850" s="244"/>
    </row>
    <row r="851" customHeight="1" spans="3:8">
      <c r="C851" s="245"/>
      <c r="E851" s="155"/>
      <c r="H851" s="244"/>
    </row>
    <row r="852" customHeight="1" spans="3:8">
      <c r="C852" s="245"/>
      <c r="E852" s="155"/>
      <c r="H852" s="244"/>
    </row>
    <row r="853" customHeight="1" spans="3:8">
      <c r="C853" s="245"/>
      <c r="E853" s="155"/>
      <c r="H853" s="244"/>
    </row>
    <row r="854" customHeight="1" spans="3:8">
      <c r="C854" s="245"/>
      <c r="E854" s="155"/>
      <c r="H854" s="244"/>
    </row>
    <row r="855" customHeight="1" spans="3:8">
      <c r="C855" s="245"/>
      <c r="E855" s="155"/>
      <c r="H855" s="244"/>
    </row>
    <row r="856" customHeight="1" spans="3:8">
      <c r="C856" s="245"/>
      <c r="E856" s="155"/>
      <c r="H856" s="244"/>
    </row>
    <row r="857" customHeight="1" spans="3:8">
      <c r="C857" s="245"/>
      <c r="E857" s="155"/>
      <c r="H857" s="244"/>
    </row>
    <row r="858" customHeight="1" spans="3:8">
      <c r="C858" s="245"/>
      <c r="E858" s="155"/>
      <c r="H858" s="244"/>
    </row>
    <row r="859" customHeight="1" spans="3:8">
      <c r="C859" s="245"/>
      <c r="E859" s="155"/>
      <c r="H859" s="244"/>
    </row>
    <row r="860" customHeight="1" spans="3:8">
      <c r="C860" s="245"/>
      <c r="E860" s="155"/>
      <c r="H860" s="244"/>
    </row>
    <row r="861" customHeight="1" spans="3:8">
      <c r="C861" s="245"/>
      <c r="E861" s="155"/>
      <c r="H861" s="244"/>
    </row>
    <row r="862" customHeight="1" spans="3:8">
      <c r="C862" s="245"/>
      <c r="E862" s="155"/>
      <c r="H862" s="244"/>
    </row>
    <row r="863" customHeight="1" spans="3:8">
      <c r="C863" s="245"/>
      <c r="E863" s="155"/>
      <c r="H863" s="244"/>
    </row>
    <row r="864" customHeight="1" spans="3:8">
      <c r="C864" s="245"/>
      <c r="E864" s="155"/>
      <c r="H864" s="244"/>
    </row>
    <row r="865" customHeight="1" spans="3:8">
      <c r="C865" s="245"/>
      <c r="E865" s="155"/>
      <c r="H865" s="244"/>
    </row>
    <row r="866" customHeight="1" spans="3:8">
      <c r="C866" s="245"/>
      <c r="E866" s="155"/>
      <c r="H866" s="244"/>
    </row>
    <row r="867" customHeight="1" spans="3:8">
      <c r="C867" s="245"/>
      <c r="E867" s="155"/>
      <c r="H867" s="244"/>
    </row>
    <row r="868" customHeight="1" spans="3:8">
      <c r="C868" s="245"/>
      <c r="E868" s="155"/>
      <c r="H868" s="244"/>
    </row>
    <row r="869" customHeight="1" spans="3:8">
      <c r="C869" s="245"/>
      <c r="E869" s="155"/>
      <c r="H869" s="244"/>
    </row>
    <row r="870" customHeight="1" spans="3:8">
      <c r="C870" s="245"/>
      <c r="E870" s="155"/>
      <c r="H870" s="244"/>
    </row>
    <row r="871" customHeight="1" spans="3:8">
      <c r="C871" s="245"/>
      <c r="E871" s="155"/>
      <c r="H871" s="244"/>
    </row>
    <row r="872" customHeight="1" spans="3:8">
      <c r="C872" s="245"/>
      <c r="E872" s="155"/>
      <c r="H872" s="244"/>
    </row>
    <row r="873" customHeight="1" spans="3:8">
      <c r="C873" s="245"/>
      <c r="E873" s="155"/>
      <c r="H873" s="244"/>
    </row>
    <row r="874" customHeight="1" spans="3:8">
      <c r="C874" s="245"/>
      <c r="E874" s="155"/>
      <c r="H874" s="244"/>
    </row>
    <row r="875" customHeight="1" spans="3:8">
      <c r="C875" s="245"/>
      <c r="E875" s="155"/>
      <c r="H875" s="244"/>
    </row>
    <row r="876" customHeight="1" spans="3:8">
      <c r="C876" s="245"/>
      <c r="E876" s="155"/>
      <c r="H876" s="244"/>
    </row>
    <row r="877" customHeight="1" spans="3:8">
      <c r="C877" s="245"/>
      <c r="E877" s="155"/>
      <c r="H877" s="244"/>
    </row>
    <row r="878" customHeight="1" spans="3:8">
      <c r="C878" s="245"/>
      <c r="E878" s="155"/>
      <c r="H878" s="244"/>
    </row>
    <row r="879" customHeight="1" spans="3:8">
      <c r="C879" s="245"/>
      <c r="E879" s="155"/>
      <c r="H879" s="244"/>
    </row>
    <row r="880" customHeight="1" spans="3:8">
      <c r="C880" s="245"/>
      <c r="E880" s="155"/>
      <c r="H880" s="244"/>
    </row>
    <row r="881" customHeight="1" spans="3:8">
      <c r="C881" s="245"/>
      <c r="E881" s="155"/>
      <c r="H881" s="244"/>
    </row>
    <row r="882" customHeight="1" spans="3:8">
      <c r="C882" s="245"/>
      <c r="E882" s="155"/>
      <c r="H882" s="244"/>
    </row>
    <row r="883" customHeight="1" spans="3:8">
      <c r="C883" s="245"/>
      <c r="E883" s="155"/>
      <c r="H883" s="244"/>
    </row>
    <row r="884" customHeight="1" spans="3:8">
      <c r="C884" s="245"/>
      <c r="E884" s="155"/>
      <c r="H884" s="244"/>
    </row>
    <row r="885" customHeight="1" spans="3:8">
      <c r="C885" s="245"/>
      <c r="E885" s="155"/>
      <c r="H885" s="244"/>
    </row>
    <row r="886" customHeight="1" spans="3:8">
      <c r="C886" s="245"/>
      <c r="E886" s="155"/>
      <c r="H886" s="244"/>
    </row>
    <row r="887" customHeight="1" spans="3:8">
      <c r="C887" s="245"/>
      <c r="E887" s="155"/>
      <c r="H887" s="244"/>
    </row>
    <row r="888" customHeight="1" spans="3:8">
      <c r="C888" s="245"/>
      <c r="E888" s="155"/>
      <c r="H888" s="244"/>
    </row>
    <row r="889" customHeight="1" spans="3:8">
      <c r="C889" s="245"/>
      <c r="E889" s="155"/>
      <c r="H889" s="244"/>
    </row>
    <row r="890" customHeight="1" spans="3:8">
      <c r="C890" s="245"/>
      <c r="E890" s="155"/>
      <c r="H890" s="244"/>
    </row>
    <row r="891" customHeight="1" spans="3:8">
      <c r="C891" s="245"/>
      <c r="E891" s="155"/>
      <c r="H891" s="244"/>
    </row>
    <row r="892" customHeight="1" spans="3:8">
      <c r="C892" s="245"/>
      <c r="E892" s="155"/>
      <c r="H892" s="244"/>
    </row>
    <row r="893" customHeight="1" spans="3:8">
      <c r="C893" s="245"/>
      <c r="E893" s="155"/>
      <c r="H893" s="244"/>
    </row>
    <row r="894" customHeight="1" spans="3:8">
      <c r="C894" s="245"/>
      <c r="E894" s="155"/>
      <c r="H894" s="244"/>
    </row>
    <row r="895" customHeight="1" spans="3:8">
      <c r="C895" s="245"/>
      <c r="E895" s="155"/>
      <c r="H895" s="244"/>
    </row>
    <row r="896" customHeight="1" spans="3:8">
      <c r="C896" s="245"/>
      <c r="E896" s="155"/>
      <c r="H896" s="244"/>
    </row>
    <row r="897" customHeight="1" spans="3:8">
      <c r="C897" s="245"/>
      <c r="E897" s="155"/>
      <c r="H897" s="244"/>
    </row>
    <row r="898" customHeight="1" spans="3:8">
      <c r="C898" s="245"/>
      <c r="E898" s="155"/>
      <c r="H898" s="244"/>
    </row>
    <row r="899" customHeight="1" spans="3:8">
      <c r="C899" s="245"/>
      <c r="E899" s="155"/>
      <c r="H899" s="244"/>
    </row>
    <row r="900" customHeight="1" spans="3:8">
      <c r="C900" s="245"/>
      <c r="E900" s="155"/>
      <c r="H900" s="244"/>
    </row>
    <row r="901" customHeight="1" spans="3:8">
      <c r="C901" s="245"/>
      <c r="E901" s="155"/>
      <c r="H901" s="244"/>
    </row>
    <row r="902" customHeight="1" spans="3:8">
      <c r="C902" s="245"/>
      <c r="E902" s="155"/>
      <c r="H902" s="244"/>
    </row>
    <row r="903" customHeight="1" spans="3:8">
      <c r="C903" s="245"/>
      <c r="E903" s="155"/>
      <c r="H903" s="244"/>
    </row>
    <row r="904" customHeight="1" spans="3:8">
      <c r="C904" s="245"/>
      <c r="E904" s="155"/>
      <c r="H904" s="244"/>
    </row>
    <row r="905" customHeight="1" spans="3:8">
      <c r="C905" s="245"/>
      <c r="E905" s="155"/>
      <c r="H905" s="244"/>
    </row>
    <row r="906" customHeight="1" spans="3:8">
      <c r="C906" s="245"/>
      <c r="E906" s="155"/>
      <c r="H906" s="244"/>
    </row>
    <row r="907" customHeight="1" spans="3:8">
      <c r="C907" s="245"/>
      <c r="E907" s="155"/>
      <c r="H907" s="244"/>
    </row>
    <row r="908" customHeight="1" spans="3:8">
      <c r="C908" s="245"/>
      <c r="E908" s="155"/>
      <c r="H908" s="244"/>
    </row>
    <row r="909" customHeight="1" spans="3:8">
      <c r="C909" s="245"/>
      <c r="E909" s="155"/>
      <c r="H909" s="244"/>
    </row>
    <row r="910" customHeight="1" spans="3:8">
      <c r="C910" s="245"/>
      <c r="E910" s="155"/>
      <c r="H910" s="244"/>
    </row>
    <row r="911" customHeight="1" spans="3:8">
      <c r="C911" s="245"/>
      <c r="E911" s="155"/>
      <c r="H911" s="244"/>
    </row>
    <row r="912" customHeight="1" spans="3:8">
      <c r="C912" s="245"/>
      <c r="E912" s="155"/>
      <c r="H912" s="244"/>
    </row>
    <row r="913" customHeight="1" spans="3:8">
      <c r="C913" s="245"/>
      <c r="E913" s="155"/>
      <c r="H913" s="244"/>
    </row>
    <row r="914" customHeight="1" spans="3:8">
      <c r="C914" s="245"/>
      <c r="E914" s="155"/>
      <c r="H914" s="244"/>
    </row>
    <row r="915" customHeight="1" spans="3:8">
      <c r="C915" s="245"/>
      <c r="E915" s="155"/>
      <c r="H915" s="244"/>
    </row>
    <row r="916" customHeight="1" spans="3:8">
      <c r="C916" s="245"/>
      <c r="E916" s="155"/>
      <c r="H916" s="244"/>
    </row>
    <row r="917" customHeight="1" spans="3:8">
      <c r="C917" s="245"/>
      <c r="E917" s="155"/>
      <c r="H917" s="244"/>
    </row>
    <row r="918" customHeight="1" spans="3:8">
      <c r="C918" s="245"/>
      <c r="E918" s="155"/>
      <c r="H918" s="244"/>
    </row>
    <row r="919" customHeight="1" spans="3:8">
      <c r="C919" s="245"/>
      <c r="E919" s="155"/>
      <c r="H919" s="244"/>
    </row>
    <row r="920" customHeight="1" spans="3:8">
      <c r="C920" s="245"/>
      <c r="E920" s="155"/>
      <c r="H920" s="244"/>
    </row>
    <row r="921" customHeight="1" spans="3:8">
      <c r="C921" s="245"/>
      <c r="E921" s="155"/>
      <c r="H921" s="244"/>
    </row>
    <row r="922" customHeight="1" spans="3:8">
      <c r="C922" s="245"/>
      <c r="E922" s="155"/>
      <c r="H922" s="244"/>
    </row>
    <row r="923" customHeight="1" spans="3:8">
      <c r="C923" s="245"/>
      <c r="E923" s="155"/>
      <c r="H923" s="244"/>
    </row>
    <row r="924" customHeight="1" spans="3:8">
      <c r="C924" s="245"/>
      <c r="E924" s="155"/>
      <c r="H924" s="244"/>
    </row>
    <row r="925" customHeight="1" spans="3:8">
      <c r="C925" s="245"/>
      <c r="E925" s="155"/>
      <c r="H925" s="244"/>
    </row>
    <row r="926" customHeight="1" spans="3:8">
      <c r="C926" s="245"/>
      <c r="E926" s="155"/>
      <c r="H926" s="244"/>
    </row>
    <row r="927" customHeight="1" spans="3:8">
      <c r="C927" s="245"/>
      <c r="E927" s="155"/>
      <c r="H927" s="244"/>
    </row>
    <row r="928" customHeight="1" spans="3:8">
      <c r="C928" s="245"/>
      <c r="E928" s="155"/>
      <c r="H928" s="244"/>
    </row>
    <row r="929" customHeight="1" spans="3:8">
      <c r="C929" s="245"/>
      <c r="E929" s="155"/>
      <c r="H929" s="244"/>
    </row>
    <row r="930" customHeight="1" spans="3:8">
      <c r="C930" s="245"/>
      <c r="E930" s="155"/>
      <c r="H930" s="244"/>
    </row>
    <row r="931" customHeight="1" spans="3:8">
      <c r="C931" s="245"/>
      <c r="E931" s="155"/>
      <c r="H931" s="244"/>
    </row>
    <row r="932" customHeight="1" spans="3:8">
      <c r="C932" s="245"/>
      <c r="E932" s="155"/>
      <c r="H932" s="244"/>
    </row>
    <row r="933" customHeight="1" spans="3:8">
      <c r="C933" s="245"/>
      <c r="E933" s="155"/>
      <c r="H933" s="244"/>
    </row>
    <row r="934" customHeight="1" spans="3:8">
      <c r="C934" s="245"/>
      <c r="E934" s="155"/>
      <c r="H934" s="244"/>
    </row>
    <row r="935" customHeight="1" spans="3:8">
      <c r="C935" s="245"/>
      <c r="E935" s="155"/>
      <c r="H935" s="244"/>
    </row>
    <row r="936" customHeight="1" spans="3:8">
      <c r="C936" s="245"/>
      <c r="E936" s="155"/>
      <c r="H936" s="244"/>
    </row>
    <row r="937" customHeight="1" spans="3:8">
      <c r="C937" s="245"/>
      <c r="E937" s="155"/>
      <c r="H937" s="244"/>
    </row>
    <row r="938" customHeight="1" spans="3:8">
      <c r="C938" s="245"/>
      <c r="E938" s="155"/>
      <c r="H938" s="244"/>
    </row>
    <row r="939" customHeight="1" spans="3:8">
      <c r="C939" s="245"/>
      <c r="E939" s="155"/>
      <c r="H939" s="244"/>
    </row>
    <row r="940" customHeight="1" spans="3:8">
      <c r="C940" s="245"/>
      <c r="E940" s="155"/>
      <c r="H940" s="244"/>
    </row>
    <row r="941" customHeight="1" spans="3:8">
      <c r="C941" s="245"/>
      <c r="E941" s="155"/>
      <c r="H941" s="244"/>
    </row>
    <row r="942" customHeight="1" spans="3:8">
      <c r="C942" s="245"/>
      <c r="E942" s="155"/>
      <c r="H942" s="244"/>
    </row>
    <row r="943" customHeight="1" spans="3:8">
      <c r="C943" s="245"/>
      <c r="E943" s="155"/>
      <c r="H943" s="244"/>
    </row>
    <row r="944" customHeight="1" spans="3:8">
      <c r="C944" s="245"/>
      <c r="E944" s="155"/>
      <c r="H944" s="244"/>
    </row>
    <row r="945" customHeight="1" spans="3:8">
      <c r="C945" s="245"/>
      <c r="E945" s="155"/>
      <c r="H945" s="244"/>
    </row>
    <row r="946" customHeight="1" spans="3:8">
      <c r="C946" s="245"/>
      <c r="E946" s="155"/>
      <c r="H946" s="244"/>
    </row>
    <row r="947" customHeight="1" spans="3:8">
      <c r="C947" s="245"/>
      <c r="E947" s="155"/>
      <c r="H947" s="244"/>
    </row>
    <row r="948" customHeight="1" spans="3:8">
      <c r="C948" s="245"/>
      <c r="E948" s="155"/>
      <c r="H948" s="244"/>
    </row>
    <row r="949" customHeight="1" spans="3:8">
      <c r="C949" s="245"/>
      <c r="E949" s="155"/>
      <c r="H949" s="244"/>
    </row>
    <row r="950" customHeight="1" spans="3:8">
      <c r="C950" s="245"/>
      <c r="E950" s="155"/>
      <c r="H950" s="244"/>
    </row>
    <row r="951" customHeight="1" spans="3:8">
      <c r="C951" s="245"/>
      <c r="E951" s="155"/>
      <c r="H951" s="244"/>
    </row>
    <row r="952" customHeight="1" spans="3:8">
      <c r="C952" s="245"/>
      <c r="E952" s="155"/>
      <c r="H952" s="244"/>
    </row>
    <row r="953" customHeight="1" spans="3:8">
      <c r="C953" s="245"/>
      <c r="E953" s="155"/>
      <c r="H953" s="244"/>
    </row>
    <row r="954" customHeight="1" spans="3:8">
      <c r="C954" s="245"/>
      <c r="E954" s="155"/>
      <c r="H954" s="244"/>
    </row>
    <row r="955" customHeight="1" spans="3:8">
      <c r="C955" s="245"/>
      <c r="E955" s="155"/>
      <c r="H955" s="244"/>
    </row>
    <row r="956" customHeight="1" spans="3:8">
      <c r="C956" s="245"/>
      <c r="E956" s="155"/>
      <c r="H956" s="244"/>
    </row>
    <row r="957" customHeight="1" spans="3:8">
      <c r="C957" s="245"/>
      <c r="E957" s="155"/>
      <c r="H957" s="244"/>
    </row>
    <row r="958" customHeight="1" spans="3:8">
      <c r="C958" s="245"/>
      <c r="E958" s="155"/>
      <c r="H958" s="244"/>
    </row>
    <row r="959" customHeight="1" spans="3:8">
      <c r="C959" s="245"/>
      <c r="E959" s="155"/>
      <c r="H959" s="244"/>
    </row>
    <row r="960" customHeight="1" spans="3:8">
      <c r="C960" s="245"/>
      <c r="E960" s="155"/>
      <c r="H960" s="244"/>
    </row>
    <row r="961" customHeight="1" spans="3:8">
      <c r="C961" s="245"/>
      <c r="E961" s="155"/>
      <c r="H961" s="244"/>
    </row>
    <row r="962" customHeight="1" spans="3:8">
      <c r="C962" s="245"/>
      <c r="E962" s="155"/>
      <c r="H962" s="244"/>
    </row>
    <row r="963" customHeight="1" spans="3:8">
      <c r="C963" s="245"/>
      <c r="E963" s="155"/>
      <c r="H963" s="244"/>
    </row>
    <row r="964" customHeight="1" spans="3:8">
      <c r="C964" s="245"/>
      <c r="E964" s="155"/>
      <c r="H964" s="244"/>
    </row>
    <row r="965" customHeight="1" spans="3:8">
      <c r="C965" s="245"/>
      <c r="E965" s="155"/>
      <c r="H965" s="244"/>
    </row>
    <row r="966" customHeight="1" spans="3:8">
      <c r="C966" s="245"/>
      <c r="E966" s="155"/>
      <c r="H966" s="244"/>
    </row>
    <row r="967" customHeight="1" spans="3:8">
      <c r="C967" s="245"/>
      <c r="E967" s="155"/>
      <c r="H967" s="244"/>
    </row>
    <row r="968" customHeight="1" spans="3:8">
      <c r="C968" s="245"/>
      <c r="E968" s="155"/>
      <c r="H968" s="244"/>
    </row>
    <row r="969" customHeight="1" spans="3:8">
      <c r="C969" s="245"/>
      <c r="E969" s="155"/>
      <c r="H969" s="244"/>
    </row>
    <row r="970" customHeight="1" spans="3:8">
      <c r="C970" s="245"/>
      <c r="E970" s="155"/>
      <c r="H970" s="244"/>
    </row>
    <row r="971" customHeight="1" spans="3:8">
      <c r="C971" s="245"/>
      <c r="E971" s="155"/>
      <c r="H971" s="244"/>
    </row>
    <row r="972" customHeight="1" spans="3:8">
      <c r="C972" s="245"/>
      <c r="E972" s="155"/>
      <c r="H972" s="244"/>
    </row>
    <row r="973" customHeight="1" spans="3:8">
      <c r="C973" s="245"/>
      <c r="E973" s="155"/>
      <c r="H973" s="244"/>
    </row>
    <row r="974" customHeight="1" spans="3:8">
      <c r="C974" s="245"/>
      <c r="E974" s="155"/>
      <c r="H974" s="244"/>
    </row>
    <row r="975" customHeight="1" spans="3:8">
      <c r="C975" s="245"/>
      <c r="E975" s="155"/>
      <c r="H975" s="244"/>
    </row>
    <row r="976" customHeight="1" spans="3:8">
      <c r="C976" s="245"/>
      <c r="E976" s="155"/>
      <c r="H976" s="244"/>
    </row>
    <row r="977" customHeight="1" spans="3:8">
      <c r="C977" s="245"/>
      <c r="E977" s="155"/>
      <c r="H977" s="244"/>
    </row>
    <row r="978" customHeight="1" spans="3:8">
      <c r="C978" s="245"/>
      <c r="E978" s="155"/>
      <c r="H978" s="244"/>
    </row>
    <row r="979" customHeight="1" spans="3:8">
      <c r="C979" s="245"/>
      <c r="E979" s="155"/>
      <c r="H979" s="244"/>
    </row>
    <row r="980" customHeight="1" spans="3:8">
      <c r="C980" s="245"/>
      <c r="E980" s="155"/>
      <c r="H980" s="244"/>
    </row>
    <row r="981" customHeight="1" spans="3:8">
      <c r="C981" s="245"/>
      <c r="E981" s="155"/>
      <c r="H981" s="244"/>
    </row>
    <row r="982" customHeight="1" spans="3:8">
      <c r="C982" s="245"/>
      <c r="E982" s="155"/>
      <c r="H982" s="244"/>
    </row>
    <row r="983" customHeight="1" spans="3:8">
      <c r="C983" s="245"/>
      <c r="E983" s="155"/>
      <c r="H983" s="244"/>
    </row>
    <row r="984" customHeight="1" spans="3:8">
      <c r="C984" s="245"/>
      <c r="E984" s="155"/>
      <c r="H984" s="244"/>
    </row>
    <row r="985" customHeight="1" spans="3:8">
      <c r="C985" s="245"/>
      <c r="E985" s="155"/>
      <c r="H985" s="244"/>
    </row>
    <row r="986" customHeight="1" spans="3:8">
      <c r="C986" s="245"/>
      <c r="E986" s="155"/>
      <c r="H986" s="244"/>
    </row>
    <row r="987" customHeight="1" spans="3:8">
      <c r="C987" s="245"/>
      <c r="E987" s="155"/>
      <c r="H987" s="244"/>
    </row>
    <row r="988" customHeight="1" spans="3:8">
      <c r="C988" s="245"/>
      <c r="E988" s="155"/>
      <c r="H988" s="244"/>
    </row>
    <row r="989" customHeight="1" spans="3:8">
      <c r="C989" s="245"/>
      <c r="E989" s="155"/>
      <c r="H989" s="244"/>
    </row>
    <row r="990" customHeight="1" spans="3:8">
      <c r="C990" s="245"/>
      <c r="E990" s="155"/>
      <c r="H990" s="244"/>
    </row>
    <row r="991" customHeight="1" spans="3:8">
      <c r="C991" s="245"/>
      <c r="E991" s="155"/>
      <c r="H991" s="244"/>
    </row>
    <row r="992" customHeight="1" spans="3:8">
      <c r="C992" s="245"/>
      <c r="E992" s="155"/>
      <c r="H992" s="244"/>
    </row>
    <row r="993" customHeight="1" spans="3:8">
      <c r="C993" s="245"/>
      <c r="E993" s="155"/>
      <c r="H993" s="244"/>
    </row>
    <row r="994" customHeight="1" spans="3:8">
      <c r="C994" s="245"/>
      <c r="E994" s="155"/>
      <c r="H994" s="244"/>
    </row>
    <row r="995" customHeight="1" spans="3:8">
      <c r="C995" s="245"/>
      <c r="E995" s="155"/>
      <c r="H995" s="244"/>
    </row>
    <row r="996" customHeight="1" spans="3:8">
      <c r="C996" s="245"/>
      <c r="E996" s="155"/>
      <c r="H996" s="244"/>
    </row>
    <row r="997" customHeight="1" spans="3:8">
      <c r="C997" s="245"/>
      <c r="E997" s="155"/>
      <c r="H997" s="244"/>
    </row>
    <row r="998" customHeight="1" spans="3:8">
      <c r="C998" s="245"/>
      <c r="E998" s="155"/>
      <c r="H998" s="244"/>
    </row>
    <row r="999" customHeight="1" spans="3:8">
      <c r="C999" s="245"/>
      <c r="E999" s="155"/>
      <c r="H999" s="244"/>
    </row>
    <row r="1000" customHeight="1" spans="3:8">
      <c r="C1000" s="245"/>
      <c r="E1000" s="155"/>
      <c r="H1000" s="244"/>
    </row>
  </sheetData>
  <autoFilter ref="A1:Z274">
    <extLst/>
  </autoFilter>
  <pageMargins left="0.511811024" right="0.511811024" top="0.787401575" bottom="0.787401575" header="0.31496062" footer="0.31496062"/>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AP1717"/>
  <sheetViews>
    <sheetView workbookViewId="0">
      <pane ySplit="1" topLeftCell="A2" activePane="bottomLeft" state="frozen"/>
      <selection/>
      <selection pane="bottomLeft" activeCell="B3" sqref="B3"/>
    </sheetView>
  </sheetViews>
  <sheetFormatPr defaultColWidth="14.4380952380952" defaultRowHeight="15" customHeight="1"/>
  <cols>
    <col min="3" max="3" width="21.3333333333333" customWidth="1"/>
    <col min="4" max="4" width="39.552380952381" customWidth="1"/>
    <col min="5" max="5" width="19.4380952380952" customWidth="1"/>
    <col min="6" max="6" width="18.1047619047619" customWidth="1"/>
    <col min="9" max="9" width="34.8857142857143" customWidth="1"/>
    <col min="20" max="20" width="32.552380952381" customWidth="1"/>
    <col min="21" max="21" width="28.8857142857143" customWidth="1"/>
    <col min="22" max="22" width="35.4380952380952" customWidth="1"/>
    <col min="23" max="23" width="17.3333333333333" customWidth="1"/>
    <col min="26" max="26" width="39.6666666666667" customWidth="1"/>
    <col min="27" max="27" width="20.6666666666667" customWidth="1"/>
    <col min="28" max="28" width="37.1047619047619" customWidth="1"/>
    <col min="29" max="29" width="37" customWidth="1"/>
    <col min="30" max="30" width="22" customWidth="1"/>
    <col min="31" max="31" width="23.552380952381" customWidth="1"/>
    <col min="32" max="32" width="20" customWidth="1"/>
    <col min="33" max="33" width="17" customWidth="1"/>
    <col min="34" max="34" width="23.4380952380952" customWidth="1"/>
    <col min="35" max="35" width="15.3333333333333" customWidth="1"/>
    <col min="36" max="36" width="17.8857142857143" customWidth="1"/>
    <col min="37" max="37" width="31.6666666666667" customWidth="1"/>
    <col min="38" max="38" width="24.6666666666667" customWidth="1"/>
    <col min="42" max="42" width="17.4380952380952" customWidth="1"/>
  </cols>
  <sheetData>
    <row r="1" customHeight="1" spans="1:42">
      <c r="A1" s="1" t="str">
        <f>IFERROR(__xludf.DUMMYFUNCTION("IMPORTRANGE(""1uCBYq_B1noXDnZ2hAWfjmyqidVGOrreR1eUpbj41kZg/edit?gid=516654854"",""2BBM!A:AN"")"),"BBM")</f>
        <v>BBM</v>
      </c>
      <c r="B1" s="1" t="str">
        <f>IFERROR(__xludf.DUMMYFUNCTION("""COMPUTED_VALUE"""),"SCAB")</f>
        <v>SCAB</v>
      </c>
      <c r="C1" s="1" t="str">
        <f>IFERROR(__xludf.DUMMYFUNCTION("""COMPUTED_VALUE"""),"Condição")</f>
        <v>Condição</v>
      </c>
      <c r="D1" s="1" t="str">
        <f>IFERROR(__xludf.DUMMYFUNCTION("""COMPUTED_VALUE"""),"Efetivo - Nome Completo (maiúsculo)")</f>
        <v>Efetivo - Nome Completo (maiúsculo)</v>
      </c>
      <c r="E1" s="1" t="str">
        <f>IFERROR(__xludf.DUMMYFUNCTION("""COMPUTED_VALUE"""),"Formação conforme ME nº 009/ABM-ESCAB/2025")</f>
        <v>Formação conforme ME nº 009/ABM-ESCAB/2025</v>
      </c>
      <c r="F1" s="1" t="str">
        <f>IFERROR(__xludf.DUMMYFUNCTION("""COMPUTED_VALUE"""),"CPF (000.000.000-00)")</f>
        <v>CPF (000.000.000-00)</v>
      </c>
      <c r="G1" s="1" t="str">
        <f>IFERROR(__xludf.DUMMYFUNCTION("""COMPUTED_VALUE"""),"RG")</f>
        <v>RG</v>
      </c>
      <c r="H1" s="1" t="str">
        <f>IFERROR(__xludf.DUMMYFUNCTION("""COMPUTED_VALUE"""),"Função")</f>
        <v>Função</v>
      </c>
      <c r="I1" s="1" t="str">
        <f>IFERROR(__xludf.DUMMYFUNCTION("""COMPUTED_VALUE"""),"Formação e/ou Cursos")</f>
        <v>Formação e/ou Cursos</v>
      </c>
      <c r="J1" s="1" t="str">
        <f>IFERROR(__xludf.DUMMYFUNCTION("""COMPUTED_VALUE"""),"Possui Curso do CBMRS")</f>
        <v>Possui Curso do CBMRS</v>
      </c>
      <c r="K1" s="1" t="str">
        <f>IFERROR(__xludf.DUMMYFUNCTION("""COMPUTED_VALUE"""),"Possui EPI completo (Sim ou Não)")</f>
        <v>Possui EPI completo (Sim ou Não)</v>
      </c>
      <c r="L1" s="1" t="str">
        <f>IFERROR(__xludf.DUMMYFUNCTION("""COMPUTED_VALUE"""),"Tipo Sanguíneo")</f>
        <v>Tipo Sanguíneo</v>
      </c>
      <c r="M1" s="1" t="str">
        <f>IFERROR(__xludf.DUMMYFUNCTION("""COMPUTED_VALUE"""),"Nome de Guerra (maiúsculo)")</f>
        <v>Nome de Guerra (maiúsculo)</v>
      </c>
      <c r="N1" s="1" t="str">
        <f>IFERROR(__xludf.DUMMYFUNCTION("""COMPUTED_VALUE"""),"Data de Nascimento (00/00/0000)")</f>
        <v>Data de Nascimento (00/00/0000)</v>
      </c>
      <c r="O1" s="1" t="str">
        <f>IFERROR(__xludf.DUMMYFUNCTION("""COMPUTED_VALUE"""),"Sexo")</f>
        <v>Sexo</v>
      </c>
      <c r="P1" s="1" t="str">
        <f>IFERROR(__xludf.DUMMYFUNCTION("""COMPUTED_VALUE"""),"Cútis")</f>
        <v>Cútis</v>
      </c>
      <c r="Q1" s="1" t="str">
        <f>IFERROR(__xludf.DUMMYFUNCTION("""COMPUTED_VALUE"""),"Escolaridade")</f>
        <v>Escolaridade</v>
      </c>
      <c r="R1" s="1" t="str">
        <f>IFERROR(__xludf.DUMMYFUNCTION("""COMPUTED_VALUE"""),"E-mail")</f>
        <v>E-mail</v>
      </c>
      <c r="S1" s="1" t="str">
        <f>IFERROR(__xludf.DUMMYFUNCTION("""COMPUTED_VALUE"""),"Peso (00 Kg)")</f>
        <v>Peso (00 Kg)</v>
      </c>
      <c r="T1" s="1" t="str">
        <f>IFERROR(__xludf.DUMMYFUNCTION("""COMPUTED_VALUE"""),"Altura")</f>
        <v>Altura</v>
      </c>
      <c r="U1" s="1" t="str">
        <f>IFERROR(__xludf.DUMMYFUNCTION("""COMPUTED_VALUE"""),"Telefone residencial (51) 00000-0000")</f>
        <v>Telefone residencial (51) 00000-0000</v>
      </c>
      <c r="V1" s="1" t="str">
        <f>IFERROR(__xludf.DUMMYFUNCTION("""COMPUTED_VALUE"""),"Telefone Celular (51)00000-0000")</f>
        <v>Telefone Celular (51)00000-0000</v>
      </c>
      <c r="W1" s="1" t="str">
        <f>IFERROR(__xludf.DUMMYFUNCTION("""COMPUTED_VALUE"""),"Telefone de Emergência (51)00000-0000")</f>
        <v>Telefone de Emergência (51)00000-0000</v>
      </c>
      <c r="X1" s="1" t="str">
        <f>IFERROR(__xludf.DUMMYFUNCTION("""COMPUTED_VALUE"""),"Estado (maiúsculo)")</f>
        <v>Estado (maiúsculo)</v>
      </c>
      <c r="Y1" s="1" t="str">
        <f>IFERROR(__xludf.DUMMYFUNCTION("""COMPUTED_VALUE"""),"Cidade")</f>
        <v>Cidade</v>
      </c>
      <c r="Z1" s="1" t="str">
        <f>IFERROR(__xludf.DUMMYFUNCTION("""COMPUTED_VALUE"""),"Cep 00000-000")</f>
        <v>Cep 00000-000</v>
      </c>
      <c r="AA1" s="1" t="str">
        <f>IFERROR(__xludf.DUMMYFUNCTION("""COMPUTED_VALUE"""),"Logradouro Rua Silva, 300")</f>
        <v>Logradouro Rua Silva, 300</v>
      </c>
      <c r="AB1" s="1" t="str">
        <f>IFERROR(__xludf.DUMMYFUNCTION("""COMPUTED_VALUE"""),"Bairro: Santa Cecília")</f>
        <v>Bairro: Santa Cecília</v>
      </c>
      <c r="AC1" s="1" t="str">
        <f>IFERROR(__xludf.DUMMYFUNCTION("""COMPUTED_VALUE"""),"Agasalho: CALÇÃO ED. FÍSICA SEM LISTRAS")</f>
        <v>Agasalho: CALÇÃO ED. FÍSICA SEM LISTRAS</v>
      </c>
      <c r="AD1" s="1" t="str">
        <f>IFERROR(__xludf.DUMMYFUNCTION("""COMPUTED_VALUE"""),"Agasalho: ABRIGO ED. FÍSICA SEM LISTRAS")</f>
        <v>Agasalho: ABRIGO ED. FÍSICA SEM LISTRAS</v>
      </c>
      <c r="AE1" s="1" t="str">
        <f>IFERROR(__xludf.DUMMYFUNCTION("""COMPUTED_VALUE"""),"Agasalho: BLUSÃO DE LÃ")</f>
        <v>Agasalho: BLUSÃO DE LÃ</v>
      </c>
      <c r="AF1" s="1" t="str">
        <f>IFERROR(__xludf.DUMMYFUNCTION("""COMPUTED_VALUE"""),"Agasalho: JAQUETA PARCA")</f>
        <v>Agasalho: JAQUETA PARCA</v>
      </c>
      <c r="AG1" s="1" t="str">
        <f>IFERROR(__xludf.DUMMYFUNCTION("""COMPUTED_VALUE"""),"CALÇA: OPERACIONAL")</f>
        <v>CALÇA: OPERACIONAL</v>
      </c>
      <c r="AH1" s="1" t="str">
        <f>IFERROR(__xludf.DUMMYFUNCTION("""COMPUTED_VALUE"""),"CALÇADO: BOTINA")</f>
        <v>CALÇADO: BOTINA</v>
      </c>
      <c r="AI1" s="1" t="str">
        <f>IFERROR(__xludf.DUMMYFUNCTION("""COMPUTED_VALUE"""),"CALÇADO: SAPATO SOCIAL")</f>
        <v>CALÇADO: SAPATO SOCIAL</v>
      </c>
      <c r="AJ1" s="1" t="str">
        <f>IFERROR(__xludf.DUMMYFUNCTION("""COMPUTED_VALUE"""),"CALÇADO: TÊNIS")</f>
        <v>CALÇADO: TÊNIS</v>
      </c>
      <c r="AK1" s="1" t="str">
        <f>IFERROR(__xludf.DUMMYFUNCTION("""COMPUTED_VALUE"""),"CALÇADO: CHINELO")</f>
        <v>CALÇADO: CHINELO</v>
      </c>
      <c r="AL1" s="1" t="str">
        <f>IFERROR(__xludf.DUMMYFUNCTION("""COMPUTED_VALUE"""),"CAMISA: OPERACIONAL (GANDOLA)")</f>
        <v>CAMISA: OPERACIONAL (GANDOLA)</v>
      </c>
      <c r="AM1" s="1" t="str">
        <f>IFERROR(__xludf.DUMMYFUNCTION("""COMPUTED_VALUE"""),"CAMISETA: GOLA OLÍMPICA")</f>
        <v>CAMISETA: GOLA OLÍMPICA</v>
      </c>
      <c r="AN1" s="1" t="str">
        <f>IFERROR(__xludf.DUMMYFUNCTION("""COMPUTED_VALUE"""),"GORRO: SEM RAMO")</f>
        <v>GORRO: SEM RAMO</v>
      </c>
      <c r="AO1" s="1" t="s">
        <v>896</v>
      </c>
      <c r="AP1" s="1" t="s">
        <v>897</v>
      </c>
    </row>
    <row r="2" customHeight="1" spans="1:40">
      <c r="A2" s="1" t="str">
        <f>IFERROR(__xludf.DUMMYFUNCTION("""COMPUTED_VALUE"""),"02° BBM")</f>
        <v>02° BBM</v>
      </c>
      <c r="B2" s="1" t="str">
        <f>IFERROR(__xludf.DUMMYFUNCTION("""COMPUTED_VALUE"""),"Ivoti")</f>
        <v>Ivoti</v>
      </c>
      <c r="C2" s="119" t="str">
        <f>IFERROR(__xludf.DUMMYFUNCTION("""COMPUTED_VALUE"""),"Comunitario")</f>
        <v>Comunitario</v>
      </c>
      <c r="D2" s="119" t="str">
        <f>IFERROR(__xludf.DUMMYFUNCTION("""COMPUTED_VALUE"""),"ADILSON LEMOS")</f>
        <v>ADILSON LEMOS</v>
      </c>
      <c r="E2" s="119" t="str">
        <f>IFERROR(__xludf.DUMMYFUNCTION("""COMPUTED_VALUE"""),"Módulo 1 concluído")</f>
        <v>Módulo 1 concluído</v>
      </c>
      <c r="F2" s="1" t="str">
        <f>IFERROR(__xludf.DUMMYFUNCTION("""COMPUTED_VALUE"""),"018.160.959-23")</f>
        <v>018.160.959-23</v>
      </c>
      <c r="G2" s="1" t="str">
        <f>IFERROR(__xludf.DUMMYFUNCTION("""COMPUTED_VALUE"""),"000 3667497")</f>
        <v>000 3667497</v>
      </c>
      <c r="H2" s="1" t="str">
        <f>IFERROR(__xludf.DUMMYFUNCTION("""COMPUTED_VALUE"""),"Combatente")</f>
        <v>Combatente</v>
      </c>
      <c r="I2" s="1" t="str">
        <f>IFERROR(__xludf.DUMMYFUNCTION("""COMPUTED_VALUE"""),"Bombeiro Voluntário")</f>
        <v>Bombeiro Voluntário</v>
      </c>
      <c r="J2" s="1" t="str">
        <f>IFERROR(__xludf.DUMMYFUNCTION("""COMPUTED_VALUE"""),"Sim")</f>
        <v>Sim</v>
      </c>
      <c r="K2" s="1" t="str">
        <f>IFERROR(__xludf.DUMMYFUNCTION("""COMPUTED_VALUE"""),"Não")</f>
        <v>Não</v>
      </c>
      <c r="L2" s="1" t="str">
        <f>IFERROR(__xludf.DUMMYFUNCTION("""COMPUTED_VALUE"""),"A+")</f>
        <v>A+</v>
      </c>
      <c r="M2" s="1" t="str">
        <f>IFERROR(__xludf.DUMMYFUNCTION("""COMPUTED_VALUE"""),"ADILSON")</f>
        <v>ADILSON</v>
      </c>
      <c r="N2" s="120">
        <f>IFERROR(__xludf.DUMMYFUNCTION("""COMPUTED_VALUE"""),28309)</f>
        <v>28309</v>
      </c>
      <c r="O2" s="1" t="str">
        <f>IFERROR(__xludf.DUMMYFUNCTION("""COMPUTED_VALUE"""),"Masculino")</f>
        <v>Masculino</v>
      </c>
      <c r="P2" s="1" t="str">
        <f>IFERROR(__xludf.DUMMYFUNCTION("""COMPUTED_VALUE"""),"Branca")</f>
        <v>Branca</v>
      </c>
      <c r="Q2" s="1" t="str">
        <f>IFERROR(__xludf.DUMMYFUNCTION("""COMPUTED_VALUE"""),"Ensino Superior Incompleto")</f>
        <v>Ensino Superior Incompleto</v>
      </c>
      <c r="R2" s="1" t="str">
        <f>IFERROR(__xludf.DUMMYFUNCTION("""COMPUTED_VALUE"""),"Adilson.lemos@gmail.com")</f>
        <v>Adilson.lemos@gmail.com</v>
      </c>
      <c r="S2" s="1" t="str">
        <f>IFERROR(__xludf.DUMMYFUNCTION("""COMPUTED_VALUE"""),"81kg")</f>
        <v>81kg</v>
      </c>
      <c r="T2" s="1" t="str">
        <f>IFERROR(__xludf.DUMMYFUNCTION("""COMPUTED_VALUE"""),"Entre 1,81m e 1,85m")</f>
        <v>Entre 1,81m e 1,85m</v>
      </c>
      <c r="U2" s="1"/>
      <c r="V2" s="1" t="str">
        <f>IFERROR(__xludf.DUMMYFUNCTION("""COMPUTED_VALUE"""),"(51)99662-3754")</f>
        <v>(51)99662-3754</v>
      </c>
      <c r="W2" s="1" t="str">
        <f>IFERROR(__xludf.DUMMYFUNCTION("""COMPUTED_VALUE"""),"(51)996525786")</f>
        <v>(51)996525786</v>
      </c>
      <c r="X2" s="1" t="str">
        <f>IFERROR(__xludf.DUMMYFUNCTION("""COMPUTED_VALUE"""),"RS")</f>
        <v>RS</v>
      </c>
      <c r="Y2" s="1" t="str">
        <f>IFERROR(__xludf.DUMMYFUNCTION("""COMPUTED_VALUE"""),"Ivoti")</f>
        <v>Ivoti</v>
      </c>
      <c r="Z2" s="1" t="str">
        <f>IFERROR(__xludf.DUMMYFUNCTION("""COMPUTED_VALUE"""),"93900-000 ")</f>
        <v>93900-000 </v>
      </c>
      <c r="AA2" s="1" t="str">
        <f>IFERROR(__xludf.DUMMYFUNCTION("""COMPUTED_VALUE"""),"Av Capivara 405")</f>
        <v>Av Capivara 405</v>
      </c>
      <c r="AB2" s="1" t="str">
        <f>IFERROR(__xludf.DUMMYFUNCTION("""COMPUTED_VALUE"""),"Bom Jardim")</f>
        <v>Bom Jardim</v>
      </c>
      <c r="AC2" s="1" t="str">
        <f>IFERROR(__xludf.DUMMYFUNCTION("""COMPUTED_VALUE"""),"G")</f>
        <v>G</v>
      </c>
      <c r="AD2" s="1" t="str">
        <f>IFERROR(__xludf.DUMMYFUNCTION("""COMPUTED_VALUE"""),"G")</f>
        <v>G</v>
      </c>
      <c r="AE2" s="1" t="str">
        <f>IFERROR(__xludf.DUMMYFUNCTION("""COMPUTED_VALUE"""),"G")</f>
        <v>G</v>
      </c>
      <c r="AF2" s="1" t="str">
        <f>IFERROR(__xludf.DUMMYFUNCTION("""COMPUTED_VALUE"""),"G")</f>
        <v>G</v>
      </c>
      <c r="AG2" s="1" t="str">
        <f>IFERROR(__xludf.DUMMYFUNCTION("""COMPUTED_VALUE"""),"G")</f>
        <v>G</v>
      </c>
      <c r="AH2" s="1">
        <f>IFERROR(__xludf.DUMMYFUNCTION("""COMPUTED_VALUE"""),41)</f>
        <v>41</v>
      </c>
      <c r="AI2" s="1">
        <f>IFERROR(__xludf.DUMMYFUNCTION("""COMPUTED_VALUE"""),41)</f>
        <v>41</v>
      </c>
      <c r="AJ2" s="1">
        <f>IFERROR(__xludf.DUMMYFUNCTION("""COMPUTED_VALUE"""),35)</f>
        <v>35</v>
      </c>
      <c r="AK2" s="1">
        <f>IFERROR(__xludf.DUMMYFUNCTION("""COMPUTED_VALUE"""),41)</f>
        <v>41</v>
      </c>
      <c r="AL2" s="1" t="str">
        <f>IFERROR(__xludf.DUMMYFUNCTION("""COMPUTED_VALUE"""),"G")</f>
        <v>G</v>
      </c>
      <c r="AM2" s="1" t="str">
        <f>IFERROR(__xludf.DUMMYFUNCTION("""COMPUTED_VALUE"""),"G")</f>
        <v>G</v>
      </c>
      <c r="AN2" s="1" t="str">
        <f>IFERROR(__xludf.DUMMYFUNCTION("""COMPUTED_VALUE"""),"G")</f>
        <v>G</v>
      </c>
    </row>
    <row r="3" customHeight="1" spans="1:40">
      <c r="A3" s="1" t="str">
        <f>IFERROR(__xludf.DUMMYFUNCTION("""COMPUTED_VALUE"""),"02° BBM")</f>
        <v>02° BBM</v>
      </c>
      <c r="B3" s="1" t="str">
        <f>IFERROR(__xludf.DUMMYFUNCTION("""COMPUTED_VALUE"""),"Araricá")</f>
        <v>Araricá</v>
      </c>
      <c r="C3" s="119" t="str">
        <f>IFERROR(__xludf.DUMMYFUNCTION("""COMPUTED_VALUE"""),"CAB")</f>
        <v>CAB</v>
      </c>
      <c r="D3" s="119" t="str">
        <f>IFERROR(__xludf.DUMMYFUNCTION("""COMPUTED_VALUE"""),"ADRIANO VICENTE RECH")</f>
        <v>ADRIANO VICENTE RECH</v>
      </c>
      <c r="E3" s="119" t="str">
        <f>IFERROR(__xludf.DUMMYFUNCTION("""COMPUTED_VALUE"""),"Curso CAB operador concluído")</f>
        <v>Curso CAB operador concluído</v>
      </c>
      <c r="F3" s="119" t="str">
        <f>IFERROR(__xludf.DUMMYFUNCTION("""COMPUTED_VALUE"""),"375.134.603-1")</f>
        <v>375.134.603-1</v>
      </c>
      <c r="G3" s="1">
        <f>IFERROR(__xludf.DUMMYFUNCTION("""COMPUTED_VALUE"""),5117135185)</f>
        <v>5117135185</v>
      </c>
      <c r="H3" s="1" t="str">
        <f>IFERROR(__xludf.DUMMYFUNCTION("""COMPUTED_VALUE"""),"Combatente/Socorrista/ Condutor")</f>
        <v>Combatente/Socorrista/ Condutor</v>
      </c>
      <c r="I3" s="1" t="str">
        <f>IFERROR(__xludf.DUMMYFUNCTION("""COMPUTED_VALUE"""),"Bombeiro Voluntário/Bombeiro Civil")</f>
        <v>Bombeiro Voluntário/Bombeiro Civil</v>
      </c>
      <c r="J3" s="1" t="str">
        <f>IFERROR(__xludf.DUMMYFUNCTION("""COMPUTED_VALUE"""),"Sim")</f>
        <v>Sim</v>
      </c>
      <c r="K3" s="1" t="str">
        <f>IFERROR(__xludf.DUMMYFUNCTION("""COMPUTED_VALUE"""),"Não")</f>
        <v>Não</v>
      </c>
      <c r="L3" s="1" t="str">
        <f>IFERROR(__xludf.DUMMYFUNCTION("""COMPUTED_VALUE"""),"A+")</f>
        <v>A+</v>
      </c>
      <c r="M3" s="1" t="str">
        <f>IFERROR(__xludf.DUMMYFUNCTION("""COMPUTED_VALUE"""),"RECH")</f>
        <v>RECH</v>
      </c>
      <c r="N3" s="121">
        <f>IFERROR(__xludf.DUMMYFUNCTION("""COMPUTED_VALUE"""),35777)</f>
        <v>35777</v>
      </c>
      <c r="O3" s="1" t="str">
        <f>IFERROR(__xludf.DUMMYFUNCTION("""COMPUTED_VALUE"""),"Masculino")</f>
        <v>Masculino</v>
      </c>
      <c r="P3" s="1" t="str">
        <f>IFERROR(__xludf.DUMMYFUNCTION("""COMPUTED_VALUE"""),"Branca")</f>
        <v>Branca</v>
      </c>
      <c r="Q3" s="1" t="str">
        <f>IFERROR(__xludf.DUMMYFUNCTION("""COMPUTED_VALUE"""),"Ensino Médio")</f>
        <v>Ensino Médio</v>
      </c>
      <c r="R3" s="1" t="str">
        <f>IFERROR(__xludf.DUMMYFUNCTION("""COMPUTED_VALUE"""),"adrianovicentewm@gmail.com")</f>
        <v>adrianovicentewm@gmail.com</v>
      </c>
      <c r="S3" s="1">
        <f>IFERROR(__xludf.DUMMYFUNCTION("""COMPUTED_VALUE"""),80)</f>
        <v>80</v>
      </c>
      <c r="T3" s="1" t="str">
        <f>IFERROR(__xludf.DUMMYFUNCTION("""COMPUTED_VALUE"""),"Entre 1,76m e 1,80m")</f>
        <v>Entre 1,76m e 1,80m</v>
      </c>
      <c r="U3" s="1"/>
      <c r="V3" s="1">
        <f>IFERROR(__xludf.DUMMYFUNCTION("""COMPUTED_VALUE"""),51995651175)</f>
        <v>51995651175</v>
      </c>
      <c r="W3" s="1">
        <f>IFERROR(__xludf.DUMMYFUNCTION("""COMPUTED_VALUE"""),51995651175)</f>
        <v>51995651175</v>
      </c>
      <c r="X3" s="1" t="str">
        <f>IFERROR(__xludf.DUMMYFUNCTION("""COMPUTED_VALUE"""),"RS")</f>
        <v>RS</v>
      </c>
      <c r="Y3" s="1" t="str">
        <f>IFERROR(__xludf.DUMMYFUNCTION("""COMPUTED_VALUE"""),"Novo Hamburgo")</f>
        <v>Novo Hamburgo</v>
      </c>
      <c r="Z3" s="1" t="str">
        <f>IFERROR(__xludf.DUMMYFUNCTION("""COMPUTED_VALUE"""),"935300-50")</f>
        <v>935300-50</v>
      </c>
      <c r="AA3" s="1" t="str">
        <f>IFERROR(__xludf.DUMMYFUNCTION("""COMPUTED_VALUE"""),"rua Francisco Emilio Gerardt, 46 ")</f>
        <v>rua Francisco Emilio Gerardt, 46 </v>
      </c>
      <c r="AB3" s="1" t="str">
        <f>IFERROR(__xludf.DUMMYFUNCTION("""COMPUTED_VALUE"""),"São Jorge")</f>
        <v>São Jorge</v>
      </c>
      <c r="AC3" s="1" t="str">
        <f>IFERROR(__xludf.DUMMYFUNCTION("""COMPUTED_VALUE"""),"G")</f>
        <v>G</v>
      </c>
      <c r="AD3" s="1" t="str">
        <f>IFERROR(__xludf.DUMMYFUNCTION("""COMPUTED_VALUE"""),"G")</f>
        <v>G</v>
      </c>
      <c r="AE3" s="1" t="str">
        <f>IFERROR(__xludf.DUMMYFUNCTION("""COMPUTED_VALUE"""),"G")</f>
        <v>G</v>
      </c>
      <c r="AF3" s="1" t="str">
        <f>IFERROR(__xludf.DUMMYFUNCTION("""COMPUTED_VALUE"""),"G")</f>
        <v>G</v>
      </c>
      <c r="AG3" s="1" t="str">
        <f>IFERROR(__xludf.DUMMYFUNCTION("""COMPUTED_VALUE"""),"M")</f>
        <v>M</v>
      </c>
      <c r="AH3" s="1">
        <f>IFERROR(__xludf.DUMMYFUNCTION("""COMPUTED_VALUE"""),42)</f>
        <v>42</v>
      </c>
      <c r="AI3" s="1">
        <f>IFERROR(__xludf.DUMMYFUNCTION("""COMPUTED_VALUE"""),42)</f>
        <v>42</v>
      </c>
      <c r="AJ3" s="1">
        <f>IFERROR(__xludf.DUMMYFUNCTION("""COMPUTED_VALUE"""),42)</f>
        <v>42</v>
      </c>
      <c r="AK3" s="1">
        <f>IFERROR(__xludf.DUMMYFUNCTION("""COMPUTED_VALUE"""),42)</f>
        <v>42</v>
      </c>
      <c r="AL3" s="1" t="str">
        <f>IFERROR(__xludf.DUMMYFUNCTION("""COMPUTED_VALUE"""),"M")</f>
        <v>M</v>
      </c>
      <c r="AM3" s="1" t="str">
        <f>IFERROR(__xludf.DUMMYFUNCTION("""COMPUTED_VALUE"""),"M")</f>
        <v>M</v>
      </c>
      <c r="AN3" s="1" t="str">
        <f>IFERROR(__xludf.DUMMYFUNCTION("""COMPUTED_VALUE"""),"G")</f>
        <v>G</v>
      </c>
    </row>
    <row r="4" customHeight="1" spans="1:40">
      <c r="A4" s="1" t="str">
        <f>IFERROR(__xludf.DUMMYFUNCTION("""COMPUTED_VALUE"""),"02° BBM")</f>
        <v>02° BBM</v>
      </c>
      <c r="B4" s="1" t="str">
        <f>IFERROR(__xludf.DUMMYFUNCTION("""COMPUTED_VALUE"""),"Dois Irmãos")</f>
        <v>Dois Irmãos</v>
      </c>
      <c r="C4" s="119" t="str">
        <f>IFERROR(__xludf.DUMMYFUNCTION("""COMPUTED_VALUE"""),"Comunitario")</f>
        <v>Comunitario</v>
      </c>
      <c r="D4" s="119" t="str">
        <f>IFERROR(__xludf.DUMMYFUNCTION("""COMPUTED_VALUE"""),"AIRTON SCHNECK")</f>
        <v>AIRTON SCHNECK</v>
      </c>
      <c r="E4" s="119" t="str">
        <f>IFERROR(__xludf.DUMMYFUNCTION("""COMPUTED_VALUE"""),"")</f>
        <v/>
      </c>
      <c r="F4" s="1" t="str">
        <f>IFERROR(__xludf.DUMMYFUNCTION("""COMPUTED_VALUE"""),"025.620.960-02")</f>
        <v>025.620.960-02</v>
      </c>
      <c r="G4" s="1">
        <f>IFERROR(__xludf.DUMMYFUNCTION("""COMPUTED_VALUE"""),1106707761)</f>
        <v>1106707761</v>
      </c>
      <c r="H4" s="1" t="str">
        <f>IFERROR(__xludf.DUMMYFUNCTION("""COMPUTED_VALUE"""),"Combatente e Socorrista, APH, Combate a incêndio, NR35, NR33, SBV Veicular, Suporte básico de vida e trauma, NR5.")</f>
        <v>Combatente e Socorrista, APH, Combate a incêndio, NR35, NR33, SBV Veicular, Suporte básico de vida e trauma, NR5.</v>
      </c>
      <c r="I4" s="1" t="str">
        <f>IFERROR(__xludf.DUMMYFUNCTION("""COMPUTED_VALUE"""),"Bombeiro Voluntário, bombeiro Civil")</f>
        <v>Bombeiro Voluntário, bombeiro Civil</v>
      </c>
      <c r="J4" s="1" t="str">
        <f>IFERROR(__xludf.DUMMYFUNCTION("""COMPUTED_VALUE"""),"Não")</f>
        <v>Não</v>
      </c>
      <c r="K4" s="1" t="str">
        <f>IFERROR(__xludf.DUMMYFUNCTION("""COMPUTED_VALUE"""),"Sim")</f>
        <v>Sim</v>
      </c>
      <c r="L4" s="1" t="str">
        <f>IFERROR(__xludf.DUMMYFUNCTION("""COMPUTED_VALUE"""),"O+")</f>
        <v>O+</v>
      </c>
      <c r="M4" s="1" t="str">
        <f>IFERROR(__xludf.DUMMYFUNCTION("""COMPUTED_VALUE"""),"SCHNECK ")</f>
        <v>SCHNECK </v>
      </c>
      <c r="N4" s="120">
        <f>IFERROR(__xludf.DUMMYFUNCTION("""COMPUTED_VALUE"""),33434)</f>
        <v>33434</v>
      </c>
      <c r="O4" s="1" t="str">
        <f>IFERROR(__xludf.DUMMYFUNCTION("""COMPUTED_VALUE"""),"Masculino")</f>
        <v>Masculino</v>
      </c>
      <c r="P4" s="1" t="str">
        <f>IFERROR(__xludf.DUMMYFUNCTION("""COMPUTED_VALUE"""),"Branca")</f>
        <v>Branca</v>
      </c>
      <c r="Q4" s="1" t="str">
        <f>IFERROR(__xludf.DUMMYFUNCTION("""COMPUTED_VALUE"""),"Ensino Médio")</f>
        <v>Ensino Médio</v>
      </c>
      <c r="R4" s="1" t="str">
        <f>IFERROR(__xludf.DUMMYFUNCTION("""COMPUTED_VALUE"""),"airtonschneck@gmail.com")</f>
        <v>airtonschneck@gmail.com</v>
      </c>
      <c r="S4" s="1">
        <f>IFERROR(__xludf.DUMMYFUNCTION("""COMPUTED_VALUE"""),96)</f>
        <v>96</v>
      </c>
      <c r="T4" s="1" t="str">
        <f>IFERROR(__xludf.DUMMYFUNCTION("""COMPUTED_VALUE"""),"Entre 1,76m e 1,80m")</f>
        <v>Entre 1,76m e 1,80m</v>
      </c>
      <c r="U4" s="1"/>
      <c r="V4" s="1" t="str">
        <f>IFERROR(__xludf.DUMMYFUNCTION("""COMPUTED_VALUE"""),"(51) 997779202")</f>
        <v>(51) 997779202</v>
      </c>
      <c r="W4" s="1"/>
      <c r="X4" s="1" t="str">
        <f>IFERROR(__xludf.DUMMYFUNCTION("""COMPUTED_VALUE"""),"RS")</f>
        <v>RS</v>
      </c>
      <c r="Y4" s="1" t="str">
        <f>IFERROR(__xludf.DUMMYFUNCTION("""COMPUTED_VALUE"""),"Dois Irmãos")</f>
        <v>Dois Irmãos</v>
      </c>
      <c r="Z4" s="1" t="str">
        <f>IFERROR(__xludf.DUMMYFUNCTION("""COMPUTED_VALUE"""),"93950-000")</f>
        <v>93950-000</v>
      </c>
      <c r="AA4" s="1" t="str">
        <f>IFERROR(__xludf.DUMMYFUNCTION("""COMPUTED_VALUE"""),"Av. João Klauck, 904")</f>
        <v>Av. João Klauck, 904</v>
      </c>
      <c r="AB4" s="1" t="str">
        <f>IFERROR(__xludf.DUMMYFUNCTION("""COMPUTED_VALUE"""),"Beira Rio")</f>
        <v>Beira Rio</v>
      </c>
      <c r="AC4" s="1" t="str">
        <f>IFERROR(__xludf.DUMMYFUNCTION("""COMPUTED_VALUE"""),"G")</f>
        <v>G</v>
      </c>
      <c r="AD4" s="1" t="str">
        <f>IFERROR(__xludf.DUMMYFUNCTION("""COMPUTED_VALUE"""),"GG")</f>
        <v>GG</v>
      </c>
      <c r="AE4" s="1" t="str">
        <f>IFERROR(__xludf.DUMMYFUNCTION("""COMPUTED_VALUE"""),"G")</f>
        <v>G</v>
      </c>
      <c r="AF4" s="1" t="str">
        <f>IFERROR(__xludf.DUMMYFUNCTION("""COMPUTED_VALUE"""),"GG")</f>
        <v>GG</v>
      </c>
      <c r="AG4" s="1" t="str">
        <f>IFERROR(__xludf.DUMMYFUNCTION("""COMPUTED_VALUE"""),"GG")</f>
        <v>GG</v>
      </c>
      <c r="AH4" s="1">
        <f>IFERROR(__xludf.DUMMYFUNCTION("""COMPUTED_VALUE"""),42)</f>
        <v>42</v>
      </c>
      <c r="AI4" s="1">
        <f>IFERROR(__xludf.DUMMYFUNCTION("""COMPUTED_VALUE"""),42)</f>
        <v>42</v>
      </c>
      <c r="AJ4" s="1">
        <f>IFERROR(__xludf.DUMMYFUNCTION("""COMPUTED_VALUE"""),42)</f>
        <v>42</v>
      </c>
      <c r="AK4" s="1">
        <f>IFERROR(__xludf.DUMMYFUNCTION("""COMPUTED_VALUE"""),43)</f>
        <v>43</v>
      </c>
      <c r="AL4" s="1" t="str">
        <f>IFERROR(__xludf.DUMMYFUNCTION("""COMPUTED_VALUE"""),"GG")</f>
        <v>GG</v>
      </c>
      <c r="AM4" s="1" t="str">
        <f>IFERROR(__xludf.DUMMYFUNCTION("""COMPUTED_VALUE"""),"GG")</f>
        <v>GG</v>
      </c>
      <c r="AN4" s="1" t="str">
        <f>IFERROR(__xludf.DUMMYFUNCTION("""COMPUTED_VALUE"""),"G")</f>
        <v>G</v>
      </c>
    </row>
    <row r="5" customHeight="1" spans="1:40">
      <c r="A5" s="1"/>
      <c r="B5" s="1"/>
      <c r="C5" s="119"/>
      <c r="D5" s="119" t="str">
        <f>IFERROR(__xludf.DUMMYFUNCTION("""COMPUTED_VALUE"""),"ALCENI DA SILVA")</f>
        <v>ALCENI DA SILVA</v>
      </c>
      <c r="E5" s="119" t="str">
        <f>IFERROR(__xludf.DUMMYFUNCTION("""COMPUTED_VALUE"""),"Módulo 1 concluído")</f>
        <v>Módulo 1 concluído</v>
      </c>
      <c r="F5" s="1" t="str">
        <f>IFERROR(__xludf.DUMMYFUNCTION("""COMPUTED_VALUE"""),"628.994.140-20")</f>
        <v>628.994.140-20</v>
      </c>
      <c r="G5" s="1"/>
      <c r="H5" s="1"/>
      <c r="I5" s="1"/>
      <c r="J5" s="1"/>
      <c r="K5" s="1"/>
      <c r="L5" s="1"/>
      <c r="M5" s="1"/>
      <c r="N5" s="120"/>
      <c r="O5" s="1"/>
      <c r="P5" s="1"/>
      <c r="Q5" s="1"/>
      <c r="R5" s="1"/>
      <c r="S5" s="1"/>
      <c r="T5" s="1"/>
      <c r="U5" s="1"/>
      <c r="V5" s="1"/>
      <c r="W5" s="1"/>
      <c r="X5" s="1"/>
      <c r="Y5" s="1"/>
      <c r="Z5" s="1"/>
      <c r="AA5" s="1"/>
      <c r="AB5" s="1"/>
      <c r="AC5" s="1"/>
      <c r="AD5" s="1"/>
      <c r="AE5" s="1"/>
      <c r="AF5" s="1"/>
      <c r="AG5" s="1"/>
      <c r="AH5" s="1"/>
      <c r="AI5" s="1"/>
      <c r="AJ5" s="1"/>
      <c r="AK5" s="1"/>
      <c r="AL5" s="1"/>
      <c r="AM5" s="1"/>
      <c r="AN5" s="1"/>
    </row>
    <row r="6" customHeight="1" spans="1:40">
      <c r="A6" s="1" t="str">
        <f>IFERROR(__xludf.DUMMYFUNCTION("""COMPUTED_VALUE"""),"02° BBM")</f>
        <v>02° BBM</v>
      </c>
      <c r="B6" s="1" t="str">
        <f>IFERROR(__xludf.DUMMYFUNCTION("""COMPUTED_VALUE"""),"Estância Velha")</f>
        <v>Estância Velha</v>
      </c>
      <c r="C6" s="119" t="str">
        <f>IFERROR(__xludf.DUMMYFUNCTION("""COMPUTED_VALUE"""),"Comunitario")</f>
        <v>Comunitario</v>
      </c>
      <c r="D6" s="119" t="str">
        <f>IFERROR(__xludf.DUMMYFUNCTION("""COMPUTED_VALUE"""),"ALCI ALEXANDRE JÚNIOR")</f>
        <v>ALCI ALEXANDRE JÚNIOR</v>
      </c>
      <c r="E6" s="119" t="str">
        <f>IFERROR(__xludf.DUMMYFUNCTION("""COMPUTED_VALUE"""),"")</f>
        <v/>
      </c>
      <c r="F6" s="1" t="str">
        <f>IFERROR(__xludf.DUMMYFUNCTION("""COMPUTED_VALUE"""),"006.800.930-52")</f>
        <v>006.800.930-52</v>
      </c>
      <c r="G6" s="1">
        <f>IFERROR(__xludf.DUMMYFUNCTION("""COMPUTED_VALUE"""),1085322525)</f>
        <v>1085322525</v>
      </c>
      <c r="H6" s="1" t="str">
        <f>IFERROR(__xludf.DUMMYFUNCTION("""COMPUTED_VALUE"""),"Combatente e Socorrista")</f>
        <v>Combatente e Socorrista</v>
      </c>
      <c r="I6" s="1" t="str">
        <f>IFERROR(__xludf.DUMMYFUNCTION("""COMPUTED_VALUE"""),"Bombeiro Voluntario")</f>
        <v>Bombeiro Voluntario</v>
      </c>
      <c r="J6" s="1" t="str">
        <f>IFERROR(__xludf.DUMMYFUNCTION("""COMPUTED_VALUE"""),"Sim")</f>
        <v>Sim</v>
      </c>
      <c r="K6" s="1" t="str">
        <f>IFERROR(__xludf.DUMMYFUNCTION("""COMPUTED_VALUE"""),"Sim")</f>
        <v>Sim</v>
      </c>
      <c r="L6" s="1" t="str">
        <f>IFERROR(__xludf.DUMMYFUNCTION("""COMPUTED_VALUE"""),"O+")</f>
        <v>O+</v>
      </c>
      <c r="M6" s="1" t="str">
        <f>IFERROR(__xludf.DUMMYFUNCTION("""COMPUTED_VALUE"""),"Alci")</f>
        <v>Alci</v>
      </c>
      <c r="N6" s="120">
        <f>IFERROR(__xludf.DUMMYFUNCTION("""COMPUTED_VALUE"""),33184)</f>
        <v>33184</v>
      </c>
      <c r="O6" s="1" t="str">
        <f>IFERROR(__xludf.DUMMYFUNCTION("""COMPUTED_VALUE"""),"Masculino")</f>
        <v>Masculino</v>
      </c>
      <c r="P6" s="1" t="str">
        <f>IFERROR(__xludf.DUMMYFUNCTION("""COMPUTED_VALUE"""),"Branca")</f>
        <v>Branca</v>
      </c>
      <c r="Q6" s="1" t="str">
        <f>IFERROR(__xludf.DUMMYFUNCTION("""COMPUTED_VALUE"""),"Ensino Médio")</f>
        <v>Ensino Médio</v>
      </c>
      <c r="R6" s="1"/>
      <c r="S6" s="1">
        <f>IFERROR(__xludf.DUMMYFUNCTION("""COMPUTED_VALUE"""),81)</f>
        <v>81</v>
      </c>
      <c r="T6" s="1" t="str">
        <f>IFERROR(__xludf.DUMMYFUNCTION("""COMPUTED_VALUE"""),"Entre 1,76m e 1,80m")</f>
        <v>Entre 1,76m e 1,80m</v>
      </c>
      <c r="U6" s="1"/>
      <c r="V6" s="1">
        <f>IFERROR(__xludf.DUMMYFUNCTION("""COMPUTED_VALUE"""),51995227886)</f>
        <v>51995227886</v>
      </c>
      <c r="W6" s="1">
        <f>IFERROR(__xludf.DUMMYFUNCTION("""COMPUTED_VALUE"""),51996149193)</f>
        <v>51996149193</v>
      </c>
      <c r="X6" s="1" t="str">
        <f>IFERROR(__xludf.DUMMYFUNCTION("""COMPUTED_VALUE"""),"RS")</f>
        <v>RS</v>
      </c>
      <c r="Y6" s="1" t="str">
        <f>IFERROR(__xludf.DUMMYFUNCTION("""COMPUTED_VALUE"""),"Ivoti")</f>
        <v>Ivoti</v>
      </c>
      <c r="Z6" s="1">
        <f>IFERROR(__xludf.DUMMYFUNCTION("""COMPUTED_VALUE"""),93900000)</f>
        <v>93900000</v>
      </c>
      <c r="AA6" s="1" t="str">
        <f>IFERROR(__xludf.DUMMYFUNCTION("""COMPUTED_VALUE"""),"Rua Dos Carteiros n 237")</f>
        <v>Rua Dos Carteiros n 237</v>
      </c>
      <c r="AB6" s="1" t="str">
        <f>IFERROR(__xludf.DUMMYFUNCTION("""COMPUTED_VALUE"""),"Jardim Buhler")</f>
        <v>Jardim Buhler</v>
      </c>
      <c r="AC6" s="1" t="str">
        <f>IFERROR(__xludf.DUMMYFUNCTION("""COMPUTED_VALUE"""),"G")</f>
        <v>G</v>
      </c>
      <c r="AD6" s="1" t="str">
        <f>IFERROR(__xludf.DUMMYFUNCTION("""COMPUTED_VALUE"""),"G")</f>
        <v>G</v>
      </c>
      <c r="AE6" s="1" t="str">
        <f>IFERROR(__xludf.DUMMYFUNCTION("""COMPUTED_VALUE"""),"GG")</f>
        <v>GG</v>
      </c>
      <c r="AF6" s="1" t="str">
        <f>IFERROR(__xludf.DUMMYFUNCTION("""COMPUTED_VALUE"""),"G")</f>
        <v>G</v>
      </c>
      <c r="AG6" s="1" t="str">
        <f>IFERROR(__xludf.DUMMYFUNCTION("""COMPUTED_VALUE"""),"G")</f>
        <v>G</v>
      </c>
      <c r="AH6" s="1">
        <f>IFERROR(__xludf.DUMMYFUNCTION("""COMPUTED_VALUE"""),41)</f>
        <v>41</v>
      </c>
      <c r="AI6" s="1">
        <f>IFERROR(__xludf.DUMMYFUNCTION("""COMPUTED_VALUE"""),41)</f>
        <v>41</v>
      </c>
      <c r="AJ6" s="1">
        <f>IFERROR(__xludf.DUMMYFUNCTION("""COMPUTED_VALUE"""),41)</f>
        <v>41</v>
      </c>
      <c r="AK6" s="1">
        <f>IFERROR(__xludf.DUMMYFUNCTION("""COMPUTED_VALUE"""),41)</f>
        <v>41</v>
      </c>
      <c r="AL6" s="1" t="str">
        <f>IFERROR(__xludf.DUMMYFUNCTION("""COMPUTED_VALUE"""),"G")</f>
        <v>G</v>
      </c>
      <c r="AM6" s="1" t="str">
        <f>IFERROR(__xludf.DUMMYFUNCTION("""COMPUTED_VALUE"""),"G")</f>
        <v>G</v>
      </c>
      <c r="AN6" s="1" t="str">
        <f>IFERROR(__xludf.DUMMYFUNCTION("""COMPUTED_VALUE"""),"G")</f>
        <v>G</v>
      </c>
    </row>
    <row r="7" customHeight="1" spans="1:40">
      <c r="A7" s="1" t="str">
        <f>IFERROR(__xludf.DUMMYFUNCTION("""COMPUTED_VALUE"""),"02° BBM")</f>
        <v>02° BBM</v>
      </c>
      <c r="B7" s="1" t="str">
        <f>IFERROR(__xludf.DUMMYFUNCTION("""COMPUTED_VALUE"""),"Araricá")</f>
        <v>Araricá</v>
      </c>
      <c r="C7" s="119" t="str">
        <f>IFERROR(__xludf.DUMMYFUNCTION("""COMPUTED_VALUE"""),"CAB")</f>
        <v>CAB</v>
      </c>
      <c r="D7" s="119" t="str">
        <f>IFERROR(__xludf.DUMMYFUNCTION("""COMPUTED_VALUE"""),"ALEXSANDRO FAGUNDES TAVARES")</f>
        <v>ALEXSANDRO FAGUNDES TAVARES</v>
      </c>
      <c r="E7" s="119" t="str">
        <f>IFERROR(__xludf.DUMMYFUNCTION("""COMPUTED_VALUE"""),"Curso CAB operador concluído")</f>
        <v>Curso CAB operador concluído</v>
      </c>
      <c r="F7" s="1" t="str">
        <f>IFERROR(__xludf.DUMMYFUNCTION("""COMPUTED_VALUE"""),"052.396.170-74")</f>
        <v>052.396.170-74</v>
      </c>
      <c r="G7" s="1">
        <f>IFERROR(__xludf.DUMMYFUNCTION("""COMPUTED_VALUE"""),1116126366)</f>
        <v>1116126366</v>
      </c>
      <c r="H7" s="1" t="str">
        <f>IFERROR(__xludf.DUMMYFUNCTION("""COMPUTED_VALUE"""),"Combatente e Socorrista")</f>
        <v>Combatente e Socorrista</v>
      </c>
      <c r="I7" s="1" t="str">
        <f>IFERROR(__xludf.DUMMYFUNCTION("""COMPUTED_VALUE"""),"Bombeiro voluntário/ aph/ bls/ combate incêndio")</f>
        <v>Bombeiro voluntário/ aph/ bls/ combate incêndio</v>
      </c>
      <c r="J7" s="1" t="str">
        <f>IFERROR(__xludf.DUMMYFUNCTION("""COMPUTED_VALUE"""),"Sim")</f>
        <v>Sim</v>
      </c>
      <c r="K7" s="1" t="str">
        <f>IFERROR(__xludf.DUMMYFUNCTION("""COMPUTED_VALUE"""),"Não")</f>
        <v>Não</v>
      </c>
      <c r="L7" s="1" t="str">
        <f>IFERROR(__xludf.DUMMYFUNCTION("""COMPUTED_VALUE"""),"A+")</f>
        <v>A+</v>
      </c>
      <c r="M7" s="1" t="str">
        <f>IFERROR(__xludf.DUMMYFUNCTION("""COMPUTED_VALUE"""),"TAVARES")</f>
        <v>TAVARES</v>
      </c>
      <c r="N7" s="120">
        <f>IFERROR(__xludf.DUMMYFUNCTION("""COMPUTED_VALUE"""),37279)</f>
        <v>37279</v>
      </c>
      <c r="O7" s="1" t="str">
        <f>IFERROR(__xludf.DUMMYFUNCTION("""COMPUTED_VALUE"""),"Masculino")</f>
        <v>Masculino</v>
      </c>
      <c r="P7" s="1" t="str">
        <f>IFERROR(__xludf.DUMMYFUNCTION("""COMPUTED_VALUE"""),"Branca")</f>
        <v>Branca</v>
      </c>
      <c r="Q7" s="1" t="str">
        <f>IFERROR(__xludf.DUMMYFUNCTION("""COMPUTED_VALUE"""),"Ensino Superior Incompleto")</f>
        <v>Ensino Superior Incompleto</v>
      </c>
      <c r="R7" s="1" t="str">
        <f>IFERROR(__xludf.DUMMYFUNCTION("""COMPUTED_VALUE"""),"alextavarespubli@gmail.com")</f>
        <v>alextavarespubli@gmail.com</v>
      </c>
      <c r="S7" s="1">
        <f>IFERROR(__xludf.DUMMYFUNCTION("""COMPUTED_VALUE"""),88)</f>
        <v>88</v>
      </c>
      <c r="T7" s="1" t="str">
        <f>IFERROR(__xludf.DUMMYFUNCTION("""COMPUTED_VALUE"""),"Entre 1,76m e 1,80m")</f>
        <v>Entre 1,76m e 1,80m</v>
      </c>
      <c r="U7" s="1"/>
      <c r="V7" s="1">
        <f>IFERROR(__xludf.DUMMYFUNCTION("""COMPUTED_VALUE"""),51996521054)</f>
        <v>51996521054</v>
      </c>
      <c r="W7" s="1">
        <f>IFERROR(__xludf.DUMMYFUNCTION("""COMPUTED_VALUE"""),51996521054)</f>
        <v>51996521054</v>
      </c>
      <c r="X7" s="1" t="str">
        <f>IFERROR(__xludf.DUMMYFUNCTION("""COMPUTED_VALUE"""),"RS")</f>
        <v>RS</v>
      </c>
      <c r="Y7" s="1" t="str">
        <f>IFERROR(__xludf.DUMMYFUNCTION("""COMPUTED_VALUE"""),"Sapiranga")</f>
        <v>Sapiranga</v>
      </c>
      <c r="Z7" s="1">
        <f>IFERROR(__xludf.DUMMYFUNCTION("""COMPUTED_VALUE"""),93822082)</f>
        <v>93822082</v>
      </c>
      <c r="AA7" s="1" t="str">
        <f>IFERROR(__xludf.DUMMYFUNCTION("""COMPUTED_VALUE"""),"rua dom pedro I, 55")</f>
        <v>rua dom pedro I, 55</v>
      </c>
      <c r="AB7" s="1" t="str">
        <f>IFERROR(__xludf.DUMMYFUNCTION("""COMPUTED_VALUE"""),"voo livre")</f>
        <v>voo livre</v>
      </c>
      <c r="AC7" s="1" t="str">
        <f>IFERROR(__xludf.DUMMYFUNCTION("""COMPUTED_VALUE"""),"GG")</f>
        <v>GG</v>
      </c>
      <c r="AD7" s="1" t="str">
        <f>IFERROR(__xludf.DUMMYFUNCTION("""COMPUTED_VALUE"""),"GG")</f>
        <v>GG</v>
      </c>
      <c r="AE7" s="1" t="str">
        <f>IFERROR(__xludf.DUMMYFUNCTION("""COMPUTED_VALUE"""),"GG")</f>
        <v>GG</v>
      </c>
      <c r="AF7" s="1" t="str">
        <f>IFERROR(__xludf.DUMMYFUNCTION("""COMPUTED_VALUE"""),"GG")</f>
        <v>GG</v>
      </c>
      <c r="AG7" s="1" t="str">
        <f>IFERROR(__xludf.DUMMYFUNCTION("""COMPUTED_VALUE"""),"GG")</f>
        <v>GG</v>
      </c>
      <c r="AH7" s="1">
        <f>IFERROR(__xludf.DUMMYFUNCTION("""COMPUTED_VALUE"""),42)</f>
        <v>42</v>
      </c>
      <c r="AI7" s="1">
        <f>IFERROR(__xludf.DUMMYFUNCTION("""COMPUTED_VALUE"""),42)</f>
        <v>42</v>
      </c>
      <c r="AJ7" s="1">
        <f>IFERROR(__xludf.DUMMYFUNCTION("""COMPUTED_VALUE"""),42)</f>
        <v>42</v>
      </c>
      <c r="AK7" s="1">
        <f>IFERROR(__xludf.DUMMYFUNCTION("""COMPUTED_VALUE"""),42)</f>
        <v>42</v>
      </c>
      <c r="AL7" s="1" t="str">
        <f>IFERROR(__xludf.DUMMYFUNCTION("""COMPUTED_VALUE"""),"GG")</f>
        <v>GG</v>
      </c>
      <c r="AM7" s="1" t="str">
        <f>IFERROR(__xludf.DUMMYFUNCTION("""COMPUTED_VALUE"""),"G")</f>
        <v>G</v>
      </c>
      <c r="AN7" s="1" t="str">
        <f>IFERROR(__xludf.DUMMYFUNCTION("""COMPUTED_VALUE"""),"G")</f>
        <v>G</v>
      </c>
    </row>
    <row r="8" customHeight="1" spans="1:40">
      <c r="A8" s="1" t="str">
        <f>IFERROR(__xludf.DUMMYFUNCTION("""COMPUTED_VALUE"""),"02° BBM")</f>
        <v>02° BBM</v>
      </c>
      <c r="B8" s="1" t="str">
        <f>IFERROR(__xludf.DUMMYFUNCTION("""COMPUTED_VALUE"""),"Araricá")</f>
        <v>Araricá</v>
      </c>
      <c r="C8" s="119" t="str">
        <f>IFERROR(__xludf.DUMMYFUNCTION("""COMPUTED_VALUE"""),"CAB")</f>
        <v>CAB</v>
      </c>
      <c r="D8" s="119" t="str">
        <f>IFERROR(__xludf.DUMMYFUNCTION("""COMPUTED_VALUE"""),"ANDERSON RAFAEL CLOSS")</f>
        <v>ANDERSON RAFAEL CLOSS</v>
      </c>
      <c r="E8" s="119" t="str">
        <f>IFERROR(__xludf.DUMMYFUNCTION("""COMPUTED_VALUE"""),"")</f>
        <v/>
      </c>
      <c r="F8" s="1" t="str">
        <f>IFERROR(__xludf.DUMMYFUNCTION("""COMPUTED_VALUE"""),"037.638.370-43")</f>
        <v>037.638.370-43</v>
      </c>
      <c r="G8" s="1">
        <f>IFERROR(__xludf.DUMMYFUNCTION("""COMPUTED_VALUE"""),4100796871)</f>
        <v>4100796871</v>
      </c>
      <c r="H8" s="1" t="str">
        <f>IFERROR(__xludf.DUMMYFUNCTION("""COMPUTED_VALUE"""),"Combatente/ socorrista ")</f>
        <v>Combatente/ socorrista </v>
      </c>
      <c r="I8" s="1" t="str">
        <f>IFERROR(__xludf.DUMMYFUNCTION("""COMPUTED_VALUE"""),"bombeiro voluntario/ aph/ bls/ combate incêndio")</f>
        <v>bombeiro voluntario/ aph/ bls/ combate incêndio</v>
      </c>
      <c r="J8" s="1" t="str">
        <f>IFERROR(__xludf.DUMMYFUNCTION("""COMPUTED_VALUE"""),"Não")</f>
        <v>Não</v>
      </c>
      <c r="K8" s="1" t="str">
        <f>IFERROR(__xludf.DUMMYFUNCTION("""COMPUTED_VALUE"""),"Não")</f>
        <v>Não</v>
      </c>
      <c r="L8" s="1" t="str">
        <f>IFERROR(__xludf.DUMMYFUNCTION("""COMPUTED_VALUE"""),"A+")</f>
        <v>A+</v>
      </c>
      <c r="M8" s="1" t="str">
        <f>IFERROR(__xludf.DUMMYFUNCTION("""COMPUTED_VALUE"""),"CLOSS")</f>
        <v>CLOSS</v>
      </c>
      <c r="N8" s="120">
        <f>IFERROR(__xludf.DUMMYFUNCTION("""COMPUTED_VALUE"""),35002)</f>
        <v>35002</v>
      </c>
      <c r="O8" s="1" t="str">
        <f>IFERROR(__xludf.DUMMYFUNCTION("""COMPUTED_VALUE"""),"Masculino")</f>
        <v>Masculino</v>
      </c>
      <c r="P8" s="1" t="str">
        <f>IFERROR(__xludf.DUMMYFUNCTION("""COMPUTED_VALUE"""),"Branca")</f>
        <v>Branca</v>
      </c>
      <c r="Q8" s="1" t="str">
        <f>IFERROR(__xludf.DUMMYFUNCTION("""COMPUTED_VALUE"""),"Ensino Médio")</f>
        <v>Ensino Médio</v>
      </c>
      <c r="R8" s="1" t="str">
        <f>IFERROR(__xludf.DUMMYFUNCTION("""COMPUTED_VALUE"""),"andersoncloss07@gmail.com")</f>
        <v>andersoncloss07@gmail.com</v>
      </c>
      <c r="S8" s="1">
        <f>IFERROR(__xludf.DUMMYFUNCTION("""COMPUTED_VALUE"""),78)</f>
        <v>78</v>
      </c>
      <c r="T8" s="1" t="str">
        <f>IFERROR(__xludf.DUMMYFUNCTION("""COMPUTED_VALUE"""),"Entre 1,76m e 1,80m")</f>
        <v>Entre 1,76m e 1,80m</v>
      </c>
      <c r="U8" s="1"/>
      <c r="V8" s="1">
        <f>IFERROR(__xludf.DUMMYFUNCTION("""COMPUTED_VALUE"""),51999290047)</f>
        <v>51999290047</v>
      </c>
      <c r="W8" s="1">
        <f>IFERROR(__xludf.DUMMYFUNCTION("""COMPUTED_VALUE"""),51999290047)</f>
        <v>51999290047</v>
      </c>
      <c r="X8" s="1" t="str">
        <f>IFERROR(__xludf.DUMMYFUNCTION("""COMPUTED_VALUE"""),"rs")</f>
        <v>rs</v>
      </c>
      <c r="Y8" s="1" t="str">
        <f>IFERROR(__xludf.DUMMYFUNCTION("""COMPUTED_VALUE"""),"Sapiranga")</f>
        <v>Sapiranga</v>
      </c>
      <c r="Z8" s="1">
        <f>IFERROR(__xludf.DUMMYFUNCTION("""COMPUTED_VALUE"""),93821062)</f>
        <v>93821062</v>
      </c>
      <c r="AA8" s="1" t="str">
        <f>IFERROR(__xludf.DUMMYFUNCTION("""COMPUTED_VALUE"""),"Rua Gago Coutinho, 137")</f>
        <v>Rua Gago Coutinho, 137</v>
      </c>
      <c r="AB8" s="1" t="str">
        <f>IFERROR(__xludf.DUMMYFUNCTION("""COMPUTED_VALUE"""),"Amaral Ribeiro")</f>
        <v>Amaral Ribeiro</v>
      </c>
      <c r="AC8" s="1" t="str">
        <f>IFERROR(__xludf.DUMMYFUNCTION("""COMPUTED_VALUE"""),"G")</f>
        <v>G</v>
      </c>
      <c r="AD8" s="1" t="str">
        <f>IFERROR(__xludf.DUMMYFUNCTION("""COMPUTED_VALUE"""),"G")</f>
        <v>G</v>
      </c>
      <c r="AE8" s="1" t="str">
        <f>IFERROR(__xludf.DUMMYFUNCTION("""COMPUTED_VALUE"""),"G")</f>
        <v>G</v>
      </c>
      <c r="AF8" s="1" t="str">
        <f>IFERROR(__xludf.DUMMYFUNCTION("""COMPUTED_VALUE"""),"G")</f>
        <v>G</v>
      </c>
      <c r="AG8" s="1" t="str">
        <f>IFERROR(__xludf.DUMMYFUNCTION("""COMPUTED_VALUE"""),"G")</f>
        <v>G</v>
      </c>
      <c r="AH8" s="1">
        <f>IFERROR(__xludf.DUMMYFUNCTION("""COMPUTED_VALUE"""),41)</f>
        <v>41</v>
      </c>
      <c r="AI8" s="1">
        <f>IFERROR(__xludf.DUMMYFUNCTION("""COMPUTED_VALUE"""),41)</f>
        <v>41</v>
      </c>
      <c r="AJ8" s="1">
        <f>IFERROR(__xludf.DUMMYFUNCTION("""COMPUTED_VALUE"""),41)</f>
        <v>41</v>
      </c>
      <c r="AK8" s="1">
        <f>IFERROR(__xludf.DUMMYFUNCTION("""COMPUTED_VALUE"""),41)</f>
        <v>41</v>
      </c>
      <c r="AL8" s="1" t="str">
        <f>IFERROR(__xludf.DUMMYFUNCTION("""COMPUTED_VALUE"""),"G")</f>
        <v>G</v>
      </c>
      <c r="AM8" s="1" t="str">
        <f>IFERROR(__xludf.DUMMYFUNCTION("""COMPUTED_VALUE"""),"G")</f>
        <v>G</v>
      </c>
      <c r="AN8" s="1" t="str">
        <f>IFERROR(__xludf.DUMMYFUNCTION("""COMPUTED_VALUE"""),"G")</f>
        <v>G</v>
      </c>
    </row>
    <row r="9" customHeight="1" spans="1:40">
      <c r="A9" s="1" t="str">
        <f>IFERROR(__xludf.DUMMYFUNCTION("""COMPUTED_VALUE"""),"02° BBM")</f>
        <v>02° BBM</v>
      </c>
      <c r="B9" s="1" t="str">
        <f>IFERROR(__xludf.DUMMYFUNCTION("""COMPUTED_VALUE"""),"Araricá")</f>
        <v>Araricá</v>
      </c>
      <c r="C9" s="119" t="str">
        <f>IFERROR(__xludf.DUMMYFUNCTION("""COMPUTED_VALUE"""),"CAB")</f>
        <v>CAB</v>
      </c>
      <c r="D9" s="119" t="str">
        <f>IFERROR(__xludf.DUMMYFUNCTION("""COMPUTED_VALUE"""),"ANDERSON ROBERTO DE SOUZA")</f>
        <v>ANDERSON ROBERTO DE SOUZA</v>
      </c>
      <c r="E9" s="119" t="str">
        <f>IFERROR(__xludf.DUMMYFUNCTION("""COMPUTED_VALUE"""),"Curso CAB operador concluído")</f>
        <v>Curso CAB operador concluído</v>
      </c>
      <c r="F9" s="1" t="str">
        <f>IFERROR(__xludf.DUMMYFUNCTION("""COMPUTED_VALUE"""),"018.223.540.80")</f>
        <v>018.223.540.80</v>
      </c>
      <c r="G9" s="1">
        <f>IFERROR(__xludf.DUMMYFUNCTION("""COMPUTED_VALUE"""),1104030075)</f>
        <v>1104030075</v>
      </c>
      <c r="H9" s="1" t="str">
        <f>IFERROR(__xludf.DUMMYFUNCTION("""COMPUTED_VALUE"""),"Combatente/Socorrista/ Condutor")</f>
        <v>Combatente/Socorrista/ Condutor</v>
      </c>
      <c r="I9" s="1" t="str">
        <f>IFERROR(__xludf.DUMMYFUNCTION("""COMPUTED_VALUE"""),"Bombeiro Voluntário/APH/NR35/NR11/NR13/CBAE/Instrutor de Brigada de Incêndio/Identificação e manejo de animais peçonhentos/COVE, Técnico de Segurança do Trabalho (em andamento)")</f>
        <v>Bombeiro Voluntário/APH/NR35/NR11/NR13/CBAE/Instrutor de Brigada de Incêndio/Identificação e manejo de animais peçonhentos/COVE, Técnico de Segurança do Trabalho (em andamento)</v>
      </c>
      <c r="J9" s="1" t="str">
        <f>IFERROR(__xludf.DUMMYFUNCTION("""COMPUTED_VALUE"""),"Sim")</f>
        <v>Sim</v>
      </c>
      <c r="K9" s="1" t="str">
        <f>IFERROR(__xludf.DUMMYFUNCTION("""COMPUTED_VALUE"""),"Não")</f>
        <v>Não</v>
      </c>
      <c r="L9" s="1" t="str">
        <f>IFERROR(__xludf.DUMMYFUNCTION("""COMPUTED_VALUE"""),"O+")</f>
        <v>O+</v>
      </c>
      <c r="M9" s="1" t="str">
        <f>IFERROR(__xludf.DUMMYFUNCTION("""COMPUTED_VALUE"""),"SOUZA")</f>
        <v>SOUZA</v>
      </c>
      <c r="N9" s="121">
        <f>IFERROR(__xludf.DUMMYFUNCTION("""COMPUTED_VALUE"""),34619)</f>
        <v>34619</v>
      </c>
      <c r="O9" s="1" t="str">
        <f>IFERROR(__xludf.DUMMYFUNCTION("""COMPUTED_VALUE"""),"Masculino")</f>
        <v>Masculino</v>
      </c>
      <c r="P9" s="1" t="str">
        <f>IFERROR(__xludf.DUMMYFUNCTION("""COMPUTED_VALUE"""),"Branca")</f>
        <v>Branca</v>
      </c>
      <c r="Q9" s="1" t="str">
        <f>IFERROR(__xludf.DUMMYFUNCTION("""COMPUTED_VALUE"""),"Ensino Médio")</f>
        <v>Ensino Médio</v>
      </c>
      <c r="R9" s="1" t="str">
        <f>IFERROR(__xludf.DUMMYFUNCTION("""COMPUTED_VALUE"""),"andersonsouzarider@gmail.com")</f>
        <v>andersonsouzarider@gmail.com</v>
      </c>
      <c r="S9" s="1">
        <f>IFERROR(__xludf.DUMMYFUNCTION("""COMPUTED_VALUE"""),102)</f>
        <v>102</v>
      </c>
      <c r="T9" s="1" t="str">
        <f>IFERROR(__xludf.DUMMYFUNCTION("""COMPUTED_VALUE"""),"Entre 1,71m e 1,75m")</f>
        <v>Entre 1,71m e 1,75m</v>
      </c>
      <c r="U9" s="1"/>
      <c r="V9" s="1">
        <f>IFERROR(__xludf.DUMMYFUNCTION("""COMPUTED_VALUE"""),51997039784)</f>
        <v>51997039784</v>
      </c>
      <c r="W9" s="1">
        <f>IFERROR(__xludf.DUMMYFUNCTION("""COMPUTED_VALUE"""),51997039784)</f>
        <v>51997039784</v>
      </c>
      <c r="X9" s="1" t="str">
        <f>IFERROR(__xludf.DUMMYFUNCTION("""COMPUTED_VALUE"""),"RS")</f>
        <v>RS</v>
      </c>
      <c r="Y9" s="1" t="str">
        <f>IFERROR(__xludf.DUMMYFUNCTION("""COMPUTED_VALUE"""),"Araricá")</f>
        <v>Araricá</v>
      </c>
      <c r="Z9" s="1" t="str">
        <f>IFERROR(__xludf.DUMMYFUNCTION("""COMPUTED_VALUE"""),"93880-000")</f>
        <v>93880-000</v>
      </c>
      <c r="AA9" s="1" t="str">
        <f>IFERROR(__xludf.DUMMYFUNCTION("""COMPUTED_VALUE"""),"rua Luis Sparremberg, 391")</f>
        <v>rua Luis Sparremberg, 391</v>
      </c>
      <c r="AB9" s="1" t="str">
        <f>IFERROR(__xludf.DUMMYFUNCTION("""COMPUTED_VALUE"""),"campo da brasina")</f>
        <v>campo da brasina</v>
      </c>
      <c r="AC9" s="1" t="str">
        <f>IFERROR(__xludf.DUMMYFUNCTION("""COMPUTED_VALUE"""),"GG")</f>
        <v>GG</v>
      </c>
      <c r="AD9" s="1" t="str">
        <f>IFERROR(__xludf.DUMMYFUNCTION("""COMPUTED_VALUE"""),"GG")</f>
        <v>GG</v>
      </c>
      <c r="AE9" s="1" t="str">
        <f>IFERROR(__xludf.DUMMYFUNCTION("""COMPUTED_VALUE"""),"GG")</f>
        <v>GG</v>
      </c>
      <c r="AF9" s="1" t="str">
        <f>IFERROR(__xludf.DUMMYFUNCTION("""COMPUTED_VALUE"""),"GG")</f>
        <v>GG</v>
      </c>
      <c r="AG9" s="1" t="str">
        <f>IFERROR(__xludf.DUMMYFUNCTION("""COMPUTED_VALUE"""),"GG")</f>
        <v>GG</v>
      </c>
      <c r="AH9" s="1">
        <f>IFERROR(__xludf.DUMMYFUNCTION("""COMPUTED_VALUE"""),43)</f>
        <v>43</v>
      </c>
      <c r="AI9" s="1">
        <f>IFERROR(__xludf.DUMMYFUNCTION("""COMPUTED_VALUE"""),43)</f>
        <v>43</v>
      </c>
      <c r="AJ9" s="1">
        <f>IFERROR(__xludf.DUMMYFUNCTION("""COMPUTED_VALUE"""),43)</f>
        <v>43</v>
      </c>
      <c r="AK9" s="1">
        <f>IFERROR(__xludf.DUMMYFUNCTION("""COMPUTED_VALUE"""),43)</f>
        <v>43</v>
      </c>
      <c r="AL9" s="1" t="str">
        <f>IFERROR(__xludf.DUMMYFUNCTION("""COMPUTED_VALUE"""),"GG")</f>
        <v>GG</v>
      </c>
      <c r="AM9" s="1" t="str">
        <f>IFERROR(__xludf.DUMMYFUNCTION("""COMPUTED_VALUE"""),"GG")</f>
        <v>GG</v>
      </c>
      <c r="AN9" s="1" t="str">
        <f>IFERROR(__xludf.DUMMYFUNCTION("""COMPUTED_VALUE"""),"GG")</f>
        <v>GG</v>
      </c>
    </row>
    <row r="10" customHeight="1" spans="1:40">
      <c r="A10" s="1" t="str">
        <f>IFERROR(__xludf.DUMMYFUNCTION("""COMPUTED_VALUE"""),"02° BBM")</f>
        <v>02° BBM</v>
      </c>
      <c r="B10" s="1" t="str">
        <f>IFERROR(__xludf.DUMMYFUNCTION("""COMPUTED_VALUE"""),"Dois Irmãos")</f>
        <v>Dois Irmãos</v>
      </c>
      <c r="C10" s="119" t="str">
        <f>IFERROR(__xludf.DUMMYFUNCTION("""COMPUTED_VALUE"""),"Comunitario")</f>
        <v>Comunitario</v>
      </c>
      <c r="D10" s="119" t="str">
        <f>IFERROR(__xludf.DUMMYFUNCTION("""COMPUTED_VALUE"""),"ANDRE ADRIANO DRESH")</f>
        <v>ANDRE ADRIANO DRESH</v>
      </c>
      <c r="E10" s="119" t="str">
        <f>IFERROR(__xludf.DUMMYFUNCTION("""COMPUTED_VALUE"""),"")</f>
        <v/>
      </c>
      <c r="F10" s="1" t="str">
        <f>IFERROR(__xludf.DUMMYFUNCTION("""COMPUTED_VALUE"""),"967.473.820-72")</f>
        <v>967.473.820-72</v>
      </c>
      <c r="G10" s="1">
        <f>IFERROR(__xludf.DUMMYFUNCTION("""COMPUTED_VALUE"""),7069071591)</f>
        <v>7069071591</v>
      </c>
      <c r="H10" s="1" t="str">
        <f>IFERROR(__xludf.DUMMYFUNCTION("""COMPUTED_VALUE"""),"Combatente e Socorrista")</f>
        <v>Combatente e Socorrista</v>
      </c>
      <c r="I10" s="1" t="str">
        <f>IFERROR(__xludf.DUMMYFUNCTION("""COMPUTED_VALUE"""),"Bombeiro Voluntario")</f>
        <v>Bombeiro Voluntario</v>
      </c>
      <c r="J10" s="1" t="str">
        <f>IFERROR(__xludf.DUMMYFUNCTION("""COMPUTED_VALUE"""),"Sim")</f>
        <v>Sim</v>
      </c>
      <c r="K10" s="1" t="str">
        <f>IFERROR(__xludf.DUMMYFUNCTION("""COMPUTED_VALUE"""),"Sim")</f>
        <v>Sim</v>
      </c>
      <c r="L10" s="1" t="str">
        <f>IFERROR(__xludf.DUMMYFUNCTION("""COMPUTED_VALUE"""),"O+")</f>
        <v>O+</v>
      </c>
      <c r="M10" s="1" t="str">
        <f>IFERROR(__xludf.DUMMYFUNCTION("""COMPUTED_VALUE"""),"DRESCH")</f>
        <v>DRESCH</v>
      </c>
      <c r="N10" s="120">
        <f>IFERROR(__xludf.DUMMYFUNCTION("""COMPUTED_VALUE"""),29629)</f>
        <v>29629</v>
      </c>
      <c r="O10" s="1" t="str">
        <f>IFERROR(__xludf.DUMMYFUNCTION("""COMPUTED_VALUE"""),"Masculino")</f>
        <v>Masculino</v>
      </c>
      <c r="P10" s="1" t="str">
        <f>IFERROR(__xludf.DUMMYFUNCTION("""COMPUTED_VALUE"""),"Branca")</f>
        <v>Branca</v>
      </c>
      <c r="Q10" s="1" t="str">
        <f>IFERROR(__xludf.DUMMYFUNCTION("""COMPUTED_VALUE"""),"Ensino Médio")</f>
        <v>Ensino Médio</v>
      </c>
      <c r="R10" s="1" t="str">
        <f>IFERROR(__xludf.DUMMYFUNCTION("""COMPUTED_VALUE"""),"andre.dresch@yahoo.com.br")</f>
        <v>andre.dresch@yahoo.com.br</v>
      </c>
      <c r="S10" s="1">
        <f>IFERROR(__xludf.DUMMYFUNCTION("""COMPUTED_VALUE"""),80)</f>
        <v>80</v>
      </c>
      <c r="T10" s="1" t="str">
        <f>IFERROR(__xludf.DUMMYFUNCTION("""COMPUTED_VALUE"""),"Entre 1,76m e 1,80m")</f>
        <v>Entre 1,76m e 1,80m</v>
      </c>
      <c r="U10" s="1"/>
      <c r="V10" s="1" t="str">
        <f>IFERROR(__xludf.DUMMYFUNCTION("""COMPUTED_VALUE"""),"(51) 999318126")</f>
        <v>(51) 999318126</v>
      </c>
      <c r="W10" s="1"/>
      <c r="X10" s="1" t="str">
        <f>IFERROR(__xludf.DUMMYFUNCTION("""COMPUTED_VALUE"""),"RS")</f>
        <v>RS</v>
      </c>
      <c r="Y10" s="1" t="str">
        <f>IFERROR(__xludf.DUMMYFUNCTION("""COMPUTED_VALUE"""),"Dois Irmãos")</f>
        <v>Dois Irmãos</v>
      </c>
      <c r="Z10" s="1" t="str">
        <f>IFERROR(__xludf.DUMMYFUNCTION("""COMPUTED_VALUE"""),"93950-000")</f>
        <v>93950-000</v>
      </c>
      <c r="AA10" s="1" t="str">
        <f>IFERROR(__xludf.DUMMYFUNCTION("""COMPUTED_VALUE"""),"Rua cacique Double 181")</f>
        <v>Rua cacique Double 181</v>
      </c>
      <c r="AB10" s="1" t="str">
        <f>IFERROR(__xludf.DUMMYFUNCTION("""COMPUTED_VALUE"""),"vale verde ")</f>
        <v>vale verde </v>
      </c>
      <c r="AC10" s="1" t="str">
        <f>IFERROR(__xludf.DUMMYFUNCTION("""COMPUTED_VALUE"""),"G")</f>
        <v>G</v>
      </c>
      <c r="AD10" s="1" t="str">
        <f>IFERROR(__xludf.DUMMYFUNCTION("""COMPUTED_VALUE"""),"G")</f>
        <v>G</v>
      </c>
      <c r="AE10" s="1" t="str">
        <f>IFERROR(__xludf.DUMMYFUNCTION("""COMPUTED_VALUE"""),"G")</f>
        <v>G</v>
      </c>
      <c r="AF10" s="1" t="str">
        <f>IFERROR(__xludf.DUMMYFUNCTION("""COMPUTED_VALUE"""),"G")</f>
        <v>G</v>
      </c>
      <c r="AG10" s="1" t="str">
        <f>IFERROR(__xludf.DUMMYFUNCTION("""COMPUTED_VALUE"""),"G")</f>
        <v>G</v>
      </c>
      <c r="AH10" s="1">
        <f>IFERROR(__xludf.DUMMYFUNCTION("""COMPUTED_VALUE"""),40)</f>
        <v>40</v>
      </c>
      <c r="AI10" s="1">
        <f>IFERROR(__xludf.DUMMYFUNCTION("""COMPUTED_VALUE"""),40)</f>
        <v>40</v>
      </c>
      <c r="AJ10" s="1">
        <f>IFERROR(__xludf.DUMMYFUNCTION("""COMPUTED_VALUE"""),40)</f>
        <v>40</v>
      </c>
      <c r="AK10" s="1">
        <f>IFERROR(__xludf.DUMMYFUNCTION("""COMPUTED_VALUE"""),40)</f>
        <v>40</v>
      </c>
      <c r="AL10" s="1" t="str">
        <f>IFERROR(__xludf.DUMMYFUNCTION("""COMPUTED_VALUE"""),"G")</f>
        <v>G</v>
      </c>
      <c r="AM10" s="1" t="str">
        <f>IFERROR(__xludf.DUMMYFUNCTION("""COMPUTED_VALUE"""),"G")</f>
        <v>G</v>
      </c>
      <c r="AN10" s="1" t="str">
        <f>IFERROR(__xludf.DUMMYFUNCTION("""COMPUTED_VALUE"""),"G")</f>
        <v>G</v>
      </c>
    </row>
    <row r="11" customHeight="1" spans="1:40">
      <c r="A11" s="1" t="str">
        <f>IFERROR(__xludf.DUMMYFUNCTION("""COMPUTED_VALUE"""),"02° BBM")</f>
        <v>02° BBM</v>
      </c>
      <c r="B11" s="1" t="str">
        <f>IFERROR(__xludf.DUMMYFUNCTION("""COMPUTED_VALUE"""),"Araricá")</f>
        <v>Araricá</v>
      </c>
      <c r="C11" s="119" t="str">
        <f>IFERROR(__xludf.DUMMYFUNCTION("""COMPUTED_VALUE"""),"CAB")</f>
        <v>CAB</v>
      </c>
      <c r="D11" s="119" t="str">
        <f>IFERROR(__xludf.DUMMYFUNCTION("""COMPUTED_VALUE"""),"ANDREIA ROZA DA CRUZ")</f>
        <v>ANDREIA ROZA DA CRUZ</v>
      </c>
      <c r="E11" s="119" t="str">
        <f>IFERROR(__xludf.DUMMYFUNCTION("""COMPUTED_VALUE"""),"Módulo 2 e 3 concluído")</f>
        <v>Módulo 2 e 3 concluído</v>
      </c>
      <c r="F11" s="119" t="str">
        <f>IFERROR(__xludf.DUMMYFUNCTION("""COMPUTED_VALUE"""),"009.042.680-04")</f>
        <v>009.042.680-04</v>
      </c>
      <c r="G11" s="1">
        <f>IFERROR(__xludf.DUMMYFUNCTION("""COMPUTED_VALUE"""),5095092531)</f>
        <v>5095092531</v>
      </c>
      <c r="H11" s="1" t="str">
        <f>IFERROR(__xludf.DUMMYFUNCTION("""COMPUTED_VALUE"""),"Combatente/Socorrista")</f>
        <v>Combatente/Socorrista</v>
      </c>
      <c r="I11" s="1" t="str">
        <f>IFERROR(__xludf.DUMMYFUNCTION("""COMPUTED_VALUE"""),"Bombeiro Voluntario/APH/SBV/Veicular/combate a incêndio/resgate dificil acesso/ NR33/35/Buscae Salvamento")</f>
        <v>Bombeiro Voluntario/APH/SBV/Veicular/combate a incêndio/resgate dificil acesso/ NR33/35/Buscae Salvamento</v>
      </c>
      <c r="J11" s="1" t="str">
        <f>IFERROR(__xludf.DUMMYFUNCTION("""COMPUTED_VALUE"""),"Sim")</f>
        <v>Sim</v>
      </c>
      <c r="K11" s="1" t="str">
        <f>IFERROR(__xludf.DUMMYFUNCTION("""COMPUTED_VALUE"""),"Não")</f>
        <v>Não</v>
      </c>
      <c r="L11" s="1" t="str">
        <f>IFERROR(__xludf.DUMMYFUNCTION("""COMPUTED_VALUE"""),"A-")</f>
        <v>A-</v>
      </c>
      <c r="M11" s="1" t="str">
        <f>IFERROR(__xludf.DUMMYFUNCTION("""COMPUTED_VALUE"""),"ANDREIA")</f>
        <v>ANDREIA</v>
      </c>
      <c r="N11" s="120">
        <f>IFERROR(__xludf.DUMMYFUNCTION("""COMPUTED_VALUE"""),31841)</f>
        <v>31841</v>
      </c>
      <c r="O11" s="1" t="str">
        <f>IFERROR(__xludf.DUMMYFUNCTION("""COMPUTED_VALUE"""),"Feminino")</f>
        <v>Feminino</v>
      </c>
      <c r="P11" s="1" t="str">
        <f>IFERROR(__xludf.DUMMYFUNCTION("""COMPUTED_VALUE"""),"Branca")</f>
        <v>Branca</v>
      </c>
      <c r="Q11" s="1" t="str">
        <f>IFERROR(__xludf.DUMMYFUNCTION("""COMPUTED_VALUE"""),"Ensino Médio")</f>
        <v>Ensino Médio</v>
      </c>
      <c r="R11" s="1" t="str">
        <f>IFERROR(__xludf.DUMMYFUNCTION("""COMPUTED_VALUE"""),"andreiarozar@gmail.com")</f>
        <v>andreiarozar@gmail.com</v>
      </c>
      <c r="S11" s="1">
        <f>IFERROR(__xludf.DUMMYFUNCTION("""COMPUTED_VALUE"""),83)</f>
        <v>83</v>
      </c>
      <c r="T11" s="1" t="str">
        <f>IFERROR(__xludf.DUMMYFUNCTION("""COMPUTED_VALUE"""),"Entre 1,66m e 1,70m")</f>
        <v>Entre 1,66m e 1,70m</v>
      </c>
      <c r="U11" s="1"/>
      <c r="V11" s="1">
        <f>IFERROR(__xludf.DUMMYFUNCTION("""COMPUTED_VALUE"""),51999221037)</f>
        <v>51999221037</v>
      </c>
      <c r="W11" s="1">
        <f>IFERROR(__xludf.DUMMYFUNCTION("""COMPUTED_VALUE"""),51999221037)</f>
        <v>51999221037</v>
      </c>
      <c r="X11" s="1" t="str">
        <f>IFERROR(__xludf.DUMMYFUNCTION("""COMPUTED_VALUE"""),"RS")</f>
        <v>RS</v>
      </c>
      <c r="Y11" s="1" t="str">
        <f>IFERROR(__xludf.DUMMYFUNCTION("""COMPUTED_VALUE"""),"Sapiranga")</f>
        <v>Sapiranga</v>
      </c>
      <c r="Z11" s="1"/>
      <c r="AA11" s="1" t="str">
        <f>IFERROR(__xludf.DUMMYFUNCTION("""COMPUTED_VALUE"""),"rua da Felicidade 07")</f>
        <v>rua da Felicidade 07</v>
      </c>
      <c r="AB11" s="1" t="str">
        <f>IFERROR(__xludf.DUMMYFUNCTION("""COMPUTED_VALUE"""),"Floresta")</f>
        <v>Floresta</v>
      </c>
      <c r="AC11" s="1" t="str">
        <f>IFERROR(__xludf.DUMMYFUNCTION("""COMPUTED_VALUE"""),"G")</f>
        <v>G</v>
      </c>
      <c r="AD11" s="1" t="str">
        <f>IFERROR(__xludf.DUMMYFUNCTION("""COMPUTED_VALUE"""),"G")</f>
        <v>G</v>
      </c>
      <c r="AE11" s="1" t="str">
        <f>IFERROR(__xludf.DUMMYFUNCTION("""COMPUTED_VALUE"""),"G")</f>
        <v>G</v>
      </c>
      <c r="AF11" s="1" t="str">
        <f>IFERROR(__xludf.DUMMYFUNCTION("""COMPUTED_VALUE"""),"G")</f>
        <v>G</v>
      </c>
      <c r="AG11" s="1" t="str">
        <f>IFERROR(__xludf.DUMMYFUNCTION("""COMPUTED_VALUE"""),"G")</f>
        <v>G</v>
      </c>
      <c r="AH11" s="1">
        <f>IFERROR(__xludf.DUMMYFUNCTION("""COMPUTED_VALUE"""),37)</f>
        <v>37</v>
      </c>
      <c r="AI11" s="1">
        <f>IFERROR(__xludf.DUMMYFUNCTION("""COMPUTED_VALUE"""),37)</f>
        <v>37</v>
      </c>
      <c r="AJ11" s="1">
        <f>IFERROR(__xludf.DUMMYFUNCTION("""COMPUTED_VALUE"""),37)</f>
        <v>37</v>
      </c>
      <c r="AK11" s="1">
        <f>IFERROR(__xludf.DUMMYFUNCTION("""COMPUTED_VALUE"""),37)</f>
        <v>37</v>
      </c>
      <c r="AL11" s="1" t="str">
        <f>IFERROR(__xludf.DUMMYFUNCTION("""COMPUTED_VALUE"""),"G")</f>
        <v>G</v>
      </c>
      <c r="AM11" s="1" t="str">
        <f>IFERROR(__xludf.DUMMYFUNCTION("""COMPUTED_VALUE"""),"G")</f>
        <v>G</v>
      </c>
      <c r="AN11" s="1" t="str">
        <f>IFERROR(__xludf.DUMMYFUNCTION("""COMPUTED_VALUE"""),"G")</f>
        <v>G</v>
      </c>
    </row>
    <row r="12" customHeight="1" spans="1:40">
      <c r="A12" s="1" t="str">
        <f>IFERROR(__xludf.DUMMYFUNCTION("""COMPUTED_VALUE"""),"02° BBM")</f>
        <v>02° BBM</v>
      </c>
      <c r="B12" s="1"/>
      <c r="C12" s="119"/>
      <c r="D12" s="119" t="str">
        <f>IFERROR(__xludf.DUMMYFUNCTION("""COMPUTED_VALUE"""),"ANDRINI DE OLIVEIRA FERREIRA")</f>
        <v>ANDRINI DE OLIVEIRA FERREIRA</v>
      </c>
      <c r="E12" s="119" t="str">
        <f>IFERROR(__xludf.DUMMYFUNCTION("""COMPUTED_VALUE"""),"Módulo 1 concluído")</f>
        <v>Módulo 1 concluído</v>
      </c>
      <c r="F12" s="1" t="str">
        <f>IFERROR(__xludf.DUMMYFUNCTION("""COMPUTED_VALUE"""),"050.154.120-96")</f>
        <v>050.154.120-96</v>
      </c>
      <c r="G12" s="1"/>
      <c r="H12" s="1"/>
      <c r="I12" s="1"/>
      <c r="J12" s="1"/>
      <c r="K12" s="1"/>
      <c r="L12" s="1"/>
      <c r="M12" s="1"/>
      <c r="N12" s="120"/>
      <c r="O12" s="1"/>
      <c r="P12" s="1"/>
      <c r="Q12" s="1"/>
      <c r="R12" s="1"/>
      <c r="S12" s="1"/>
      <c r="T12" s="1"/>
      <c r="U12" s="1"/>
      <c r="V12" s="1"/>
      <c r="W12" s="1"/>
      <c r="X12" s="1"/>
      <c r="Y12" s="1"/>
      <c r="Z12" s="1"/>
      <c r="AA12" s="1"/>
      <c r="AB12" s="1"/>
      <c r="AC12" s="1"/>
      <c r="AD12" s="1"/>
      <c r="AE12" s="1"/>
      <c r="AF12" s="1"/>
      <c r="AG12" s="1"/>
      <c r="AH12" s="1"/>
      <c r="AI12" s="1"/>
      <c r="AJ12" s="1"/>
      <c r="AK12" s="1"/>
      <c r="AL12" s="1"/>
      <c r="AM12" s="1"/>
      <c r="AN12" s="1"/>
    </row>
    <row r="13" customHeight="1" spans="1:40">
      <c r="A13" s="1" t="str">
        <f>IFERROR(__xludf.DUMMYFUNCTION("""COMPUTED_VALUE"""),"        02° BBM")</f>
        <v>        02° BBM</v>
      </c>
      <c r="B13" s="1" t="str">
        <f>IFERROR(__xludf.DUMMYFUNCTION("""COMPUTED_VALUE"""),"  Estância velha ")</f>
        <v>  Estância velha </v>
      </c>
      <c r="C13" s="119" t="str">
        <f>IFERROR(__xludf.DUMMYFUNCTION("""COMPUTED_VALUE"""),"Comunitario")</f>
        <v>Comunitario</v>
      </c>
      <c r="D13" s="119" t="str">
        <f>IFERROR(__xludf.DUMMYFUNCTION("""COMPUTED_VALUE"""),"ANGÉLICA BUENO DE FREITAS ")</f>
        <v>ANGÉLICA BUENO DE FREITAS </v>
      </c>
      <c r="E13" s="119" t="str">
        <f>IFERROR(__xludf.DUMMYFUNCTION("""COMPUTED_VALUE"""),"")</f>
        <v/>
      </c>
      <c r="F13" s="1" t="str">
        <f>IFERROR(__xludf.DUMMYFUNCTION("""COMPUTED_VALUE"""),"         061.354.270-32")</f>
        <v>         061.354.270-32</v>
      </c>
      <c r="G13" s="1">
        <f>IFERROR(__xludf.DUMMYFUNCTION("""COMPUTED_VALUE"""),9106040646)</f>
        <v>9106040646</v>
      </c>
      <c r="H13" s="1" t="str">
        <f>IFERROR(__xludf.DUMMYFUNCTION("""COMPUTED_VALUE"""),"Combatente e Socorrista ")</f>
        <v>Combatente e Socorrista </v>
      </c>
      <c r="I13" s="1" t="str">
        <f>IFERROR(__xludf.DUMMYFUNCTION("""COMPUTED_VALUE"""),"Bombeiro Voluntário, Bombeiro Civil, Aph, Emergências Químicas, NR 33, NR 35. ")</f>
        <v>Bombeiro Voluntário, Bombeiro Civil, Aph, Emergências Químicas, NR 33, NR 35. </v>
      </c>
      <c r="J13" s="1" t="str">
        <f>IFERROR(__xludf.DUMMYFUNCTION("""COMPUTED_VALUE"""),"Não")</f>
        <v>Não</v>
      </c>
      <c r="K13" s="1" t="str">
        <f>IFERROR(__xludf.DUMMYFUNCTION("""COMPUTED_VALUE"""),"Sim")</f>
        <v>Sim</v>
      </c>
      <c r="L13" s="1" t="str">
        <f>IFERROR(__xludf.DUMMYFUNCTION("""COMPUTED_VALUE"""),"A+")</f>
        <v>A+</v>
      </c>
      <c r="M13" s="1" t="str">
        <f>IFERROR(__xludf.DUMMYFUNCTION("""COMPUTED_VALUE"""),"Angélica ")</f>
        <v>Angélica </v>
      </c>
      <c r="N13" s="120">
        <f>IFERROR(__xludf.DUMMYFUNCTION("""COMPUTED_VALUE"""),38041)</f>
        <v>38041</v>
      </c>
      <c r="O13" s="1" t="str">
        <f>IFERROR(__xludf.DUMMYFUNCTION("""COMPUTED_VALUE"""),"Feminino")</f>
        <v>Feminino</v>
      </c>
      <c r="P13" s="1" t="str">
        <f>IFERROR(__xludf.DUMMYFUNCTION("""COMPUTED_VALUE"""),"Parda")</f>
        <v>Parda</v>
      </c>
      <c r="Q13" s="1" t="str">
        <f>IFERROR(__xludf.DUMMYFUNCTION("""COMPUTED_VALUE"""),"Ensino Médio")</f>
        <v>Ensino Médio</v>
      </c>
      <c r="R13" s="1" t="str">
        <f>IFERROR(__xludf.DUMMYFUNCTION("""COMPUTED_VALUE"""),"angelicabuenodefreitas22@gmail.com")</f>
        <v>angelicabuenodefreitas22@gmail.com</v>
      </c>
      <c r="S13" s="1" t="str">
        <f>IFERROR(__xludf.DUMMYFUNCTION("""COMPUTED_VALUE"""),"49kg")</f>
        <v>49kg</v>
      </c>
      <c r="T13" s="1" t="str">
        <f>IFERROR(__xludf.DUMMYFUNCTION("""COMPUTED_VALUE"""),"Entre 1,61m e 1,65m")</f>
        <v>Entre 1,61m e 1,65m</v>
      </c>
      <c r="U13" s="1"/>
      <c r="V13" s="1" t="str">
        <f>IFERROR(__xludf.DUMMYFUNCTION("""COMPUTED_VALUE"""),"54 996851078")</f>
        <v>54 996851078</v>
      </c>
      <c r="W13" s="1" t="str">
        <f>IFERROR(__xludf.DUMMYFUNCTION("""COMPUTED_VALUE"""),"51 99917-1242")</f>
        <v>51 99917-1242</v>
      </c>
      <c r="X13" s="1" t="str">
        <f>IFERROR(__xludf.DUMMYFUNCTION("""COMPUTED_VALUE"""),"RS")</f>
        <v>RS</v>
      </c>
      <c r="Y13" s="1" t="str">
        <f>IFERROR(__xludf.DUMMYFUNCTION("""COMPUTED_VALUE"""),"Novo Hamburgo")</f>
        <v>Novo Hamburgo</v>
      </c>
      <c r="Z13" s="1" t="str">
        <f>IFERROR(__xludf.DUMMYFUNCTION("""COMPUTED_VALUE"""),"93530-594")</f>
        <v>93530-594</v>
      </c>
      <c r="AA13" s="1" t="str">
        <f>IFERROR(__xludf.DUMMYFUNCTION("""COMPUTED_VALUE"""),"Rua da Terceira idade, 97 ")</f>
        <v>Rua da Terceira idade, 97 </v>
      </c>
      <c r="AB13" s="1" t="str">
        <f>IFERROR(__xludf.DUMMYFUNCTION("""COMPUTED_VALUE"""),"São José Kephas ")</f>
        <v>São José Kephas </v>
      </c>
      <c r="AC13" s="1" t="str">
        <f>IFERROR(__xludf.DUMMYFUNCTION("""COMPUTED_VALUE"""),"P")</f>
        <v>P</v>
      </c>
      <c r="AD13" s="1" t="str">
        <f>IFERROR(__xludf.DUMMYFUNCTION("""COMPUTED_VALUE"""),"P")</f>
        <v>P</v>
      </c>
      <c r="AE13" s="1" t="str">
        <f>IFERROR(__xludf.DUMMYFUNCTION("""COMPUTED_VALUE"""),"P")</f>
        <v>P</v>
      </c>
      <c r="AF13" s="1" t="str">
        <f>IFERROR(__xludf.DUMMYFUNCTION("""COMPUTED_VALUE"""),"P")</f>
        <v>P</v>
      </c>
      <c r="AG13" s="1" t="str">
        <f>IFERROR(__xludf.DUMMYFUNCTION("""COMPUTED_VALUE"""),"P")</f>
        <v>P</v>
      </c>
      <c r="AH13" s="1">
        <f>IFERROR(__xludf.DUMMYFUNCTION("""COMPUTED_VALUE"""),37)</f>
        <v>37</v>
      </c>
      <c r="AI13" s="1">
        <f>IFERROR(__xludf.DUMMYFUNCTION("""COMPUTED_VALUE"""),37)</f>
        <v>37</v>
      </c>
      <c r="AJ13" s="1">
        <f>IFERROR(__xludf.DUMMYFUNCTION("""COMPUTED_VALUE"""),37)</f>
        <v>37</v>
      </c>
      <c r="AK13" s="1">
        <f>IFERROR(__xludf.DUMMYFUNCTION("""COMPUTED_VALUE"""),37)</f>
        <v>37</v>
      </c>
      <c r="AL13" s="1" t="str">
        <f>IFERROR(__xludf.DUMMYFUNCTION("""COMPUTED_VALUE"""),"P")</f>
        <v>P</v>
      </c>
      <c r="AM13" s="1" t="str">
        <f>IFERROR(__xludf.DUMMYFUNCTION("""COMPUTED_VALUE"""),"P")</f>
        <v>P</v>
      </c>
      <c r="AN13" s="1" t="str">
        <f>IFERROR(__xludf.DUMMYFUNCTION("""COMPUTED_VALUE"""),"P")</f>
        <v>P</v>
      </c>
    </row>
    <row r="14" customHeight="1" spans="1:40">
      <c r="A14" s="1" t="str">
        <f>IFERROR(__xludf.DUMMYFUNCTION("""COMPUTED_VALUE"""),"02° BBM")</f>
        <v>02° BBM</v>
      </c>
      <c r="B14" s="1" t="str">
        <f>IFERROR(__xludf.DUMMYFUNCTION("""COMPUTED_VALUE"""),"Araricá")</f>
        <v>Araricá</v>
      </c>
      <c r="C14" s="119" t="str">
        <f>IFERROR(__xludf.DUMMYFUNCTION("""COMPUTED_VALUE"""),"CAB")</f>
        <v>CAB</v>
      </c>
      <c r="D14" s="119" t="str">
        <f>IFERROR(__xludf.DUMMYFUNCTION("""COMPUTED_VALUE"""),"ARIANE VIDAL DE OLIVEIRA")</f>
        <v>ARIANE VIDAL DE OLIVEIRA</v>
      </c>
      <c r="E14" s="119" t="str">
        <f>IFERROR(__xludf.DUMMYFUNCTION("""COMPUTED_VALUE"""),"Curso CAB operador concluído")</f>
        <v>Curso CAB operador concluído</v>
      </c>
      <c r="F14" s="1" t="str">
        <f>IFERROR(__xludf.DUMMYFUNCTION("""COMPUTED_VALUE"""),"048.663.250.46")</f>
        <v>048.663.250.46</v>
      </c>
      <c r="G14" s="1">
        <f>IFERROR(__xludf.DUMMYFUNCTION("""COMPUTED_VALUE"""),4120931086)</f>
        <v>4120931086</v>
      </c>
      <c r="H14" s="1" t="str">
        <f>IFERROR(__xludf.DUMMYFUNCTION("""COMPUTED_VALUE"""),"Combatente/Socorrista")</f>
        <v>Combatente/Socorrista</v>
      </c>
      <c r="I14" s="1" t="str">
        <f>IFERROR(__xludf.DUMMYFUNCTION("""COMPUTED_VALUE"""),"Bombeiro Voluntario/APH/BLS, combate à incêndio")</f>
        <v>Bombeiro Voluntario/APH/BLS, combate à incêndio</v>
      </c>
      <c r="J14" s="1" t="str">
        <f>IFERROR(__xludf.DUMMYFUNCTION("""COMPUTED_VALUE"""),"Sim")</f>
        <v>Sim</v>
      </c>
      <c r="K14" s="1" t="str">
        <f>IFERROR(__xludf.DUMMYFUNCTION("""COMPUTED_VALUE"""),"Não")</f>
        <v>Não</v>
      </c>
      <c r="L14" s="1" t="str">
        <f>IFERROR(__xludf.DUMMYFUNCTION("""COMPUTED_VALUE"""),"A+")</f>
        <v>A+</v>
      </c>
      <c r="M14" s="1" t="str">
        <f>IFERROR(__xludf.DUMMYFUNCTION("""COMPUTED_VALUE"""),"VIDAL")</f>
        <v>VIDAL</v>
      </c>
      <c r="N14" s="120">
        <f>IFERROR(__xludf.DUMMYFUNCTION("""COMPUTED_VALUE"""),36246)</f>
        <v>36246</v>
      </c>
      <c r="O14" s="1" t="str">
        <f>IFERROR(__xludf.DUMMYFUNCTION("""COMPUTED_VALUE"""),"Feminino")</f>
        <v>Feminino</v>
      </c>
      <c r="P14" s="1" t="str">
        <f>IFERROR(__xludf.DUMMYFUNCTION("""COMPUTED_VALUE"""),"Branca")</f>
        <v>Branca</v>
      </c>
      <c r="Q14" s="1" t="str">
        <f>IFERROR(__xludf.DUMMYFUNCTION("""COMPUTED_VALUE"""),"Ensino Fundamental")</f>
        <v>Ensino Fundamental</v>
      </c>
      <c r="R14" s="1" t="str">
        <f>IFERROR(__xludf.DUMMYFUNCTION("""COMPUTED_VALUE"""),"vidalariane5@gmail.com")</f>
        <v>vidalariane5@gmail.com</v>
      </c>
      <c r="S14" s="1">
        <f>IFERROR(__xludf.DUMMYFUNCTION("""COMPUTED_VALUE"""),61)</f>
        <v>61</v>
      </c>
      <c r="T14" s="1" t="str">
        <f>IFERROR(__xludf.DUMMYFUNCTION("""COMPUTED_VALUE"""),"Entre 1,61m e 1,65m")</f>
        <v>Entre 1,61m e 1,65m</v>
      </c>
      <c r="U14" s="1"/>
      <c r="V14" s="1">
        <f>IFERROR(__xludf.DUMMYFUNCTION("""COMPUTED_VALUE"""),51997090396)</f>
        <v>51997090396</v>
      </c>
      <c r="W14" s="1">
        <f>IFERROR(__xludf.DUMMYFUNCTION("""COMPUTED_VALUE"""),51997090396)</f>
        <v>51997090396</v>
      </c>
      <c r="X14" s="1" t="str">
        <f>IFERROR(__xludf.DUMMYFUNCTION("""COMPUTED_VALUE"""),"RS")</f>
        <v>RS</v>
      </c>
      <c r="Y14" s="1" t="str">
        <f>IFERROR(__xludf.DUMMYFUNCTION("""COMPUTED_VALUE"""),"Novo Hamburgo")</f>
        <v>Novo Hamburgo</v>
      </c>
      <c r="Z14" s="1">
        <f>IFERROR(__xludf.DUMMYFUNCTION("""COMPUTED_VALUE"""),93544370)</f>
        <v>93544370</v>
      </c>
      <c r="AA14" s="1" t="str">
        <f>IFERROR(__xludf.DUMMYFUNCTION("""COMPUTED_VALUE"""),"Rua Athanasio Becker,570")</f>
        <v>Rua Athanasio Becker,570</v>
      </c>
      <c r="AB14" s="1" t="str">
        <f>IFERROR(__xludf.DUMMYFUNCTION("""COMPUTED_VALUE"""),"Canudos")</f>
        <v>Canudos</v>
      </c>
      <c r="AC14" s="1" t="str">
        <f>IFERROR(__xludf.DUMMYFUNCTION("""COMPUTED_VALUE"""),"M")</f>
        <v>M</v>
      </c>
      <c r="AD14" s="1" t="str">
        <f>IFERROR(__xludf.DUMMYFUNCTION("""COMPUTED_VALUE"""),"M")</f>
        <v>M</v>
      </c>
      <c r="AE14" s="1" t="str">
        <f>IFERROR(__xludf.DUMMYFUNCTION("""COMPUTED_VALUE"""),"M")</f>
        <v>M</v>
      </c>
      <c r="AF14" s="1" t="str">
        <f>IFERROR(__xludf.DUMMYFUNCTION("""COMPUTED_VALUE"""),"M")</f>
        <v>M</v>
      </c>
      <c r="AG14" s="1" t="str">
        <f>IFERROR(__xludf.DUMMYFUNCTION("""COMPUTED_VALUE"""),"M")</f>
        <v>M</v>
      </c>
      <c r="AH14" s="1">
        <f>IFERROR(__xludf.DUMMYFUNCTION("""COMPUTED_VALUE"""),37)</f>
        <v>37</v>
      </c>
      <c r="AI14" s="1">
        <f>IFERROR(__xludf.DUMMYFUNCTION("""COMPUTED_VALUE"""),37)</f>
        <v>37</v>
      </c>
      <c r="AJ14" s="1">
        <f>IFERROR(__xludf.DUMMYFUNCTION("""COMPUTED_VALUE"""),37)</f>
        <v>37</v>
      </c>
      <c r="AK14" s="1">
        <f>IFERROR(__xludf.DUMMYFUNCTION("""COMPUTED_VALUE"""),37)</f>
        <v>37</v>
      </c>
      <c r="AL14" s="1" t="str">
        <f>IFERROR(__xludf.DUMMYFUNCTION("""COMPUTED_VALUE"""),"M")</f>
        <v>M</v>
      </c>
      <c r="AM14" s="1" t="str">
        <f>IFERROR(__xludf.DUMMYFUNCTION("""COMPUTED_VALUE"""),"P")</f>
        <v>P</v>
      </c>
      <c r="AN14" s="1" t="str">
        <f>IFERROR(__xludf.DUMMYFUNCTION("""COMPUTED_VALUE"""),"M")</f>
        <v>M</v>
      </c>
    </row>
    <row r="15" customHeight="1" spans="1:40">
      <c r="A15" s="1" t="str">
        <f>IFERROR(__xludf.DUMMYFUNCTION("""COMPUTED_VALUE"""),"02° BBM")</f>
        <v>02° BBM</v>
      </c>
      <c r="B15" s="1" t="str">
        <f>IFERROR(__xludf.DUMMYFUNCTION("""COMPUTED_VALUE"""),"Ivoti")</f>
        <v>Ivoti</v>
      </c>
      <c r="C15" s="119" t="str">
        <f>IFERROR(__xludf.DUMMYFUNCTION("""COMPUTED_VALUE"""),"Comunitario")</f>
        <v>Comunitario</v>
      </c>
      <c r="D15" s="119" t="str">
        <f>IFERROR(__xludf.DUMMYFUNCTION("""COMPUTED_VALUE"""),"ARLEI PAULO MALLMANN")</f>
        <v>ARLEI PAULO MALLMANN</v>
      </c>
      <c r="E15" s="119" t="str">
        <f>IFERROR(__xludf.DUMMYFUNCTION("""COMPUTED_VALUE"""),"")</f>
        <v/>
      </c>
      <c r="F15" s="1" t="str">
        <f>IFERROR(__xludf.DUMMYFUNCTION("""COMPUTED_VALUE"""),"896.177.620-72")</f>
        <v>896.177.620-72</v>
      </c>
      <c r="G15" s="1">
        <f>IFERROR(__xludf.DUMMYFUNCTION("""COMPUTED_VALUE"""),7068533764)</f>
        <v>7068533764</v>
      </c>
      <c r="H15" s="1" t="str">
        <f>IFERROR(__xludf.DUMMYFUNCTION("""COMPUTED_VALUE"""),"Combatente e Socorrista")</f>
        <v>Combatente e Socorrista</v>
      </c>
      <c r="I15" s="1" t="str">
        <f>IFERROR(__xludf.DUMMYFUNCTION("""COMPUTED_VALUE"""),"Bombeiro Voluntário")</f>
        <v>Bombeiro Voluntário</v>
      </c>
      <c r="J15" s="1" t="str">
        <f>IFERROR(__xludf.DUMMYFUNCTION("""COMPUTED_VALUE"""),"Sim")</f>
        <v>Sim</v>
      </c>
      <c r="K15" s="1" t="str">
        <f>IFERROR(__xludf.DUMMYFUNCTION("""COMPUTED_VALUE"""),"Sim")</f>
        <v>Sim</v>
      </c>
      <c r="L15" s="1"/>
      <c r="M15" s="1" t="str">
        <f>IFERROR(__xludf.DUMMYFUNCTION("""COMPUTED_VALUE"""),"MALLMANN")</f>
        <v>MALLMANN</v>
      </c>
      <c r="N15" s="120">
        <f>IFERROR(__xludf.DUMMYFUNCTION("""COMPUTED_VALUE"""),27638)</f>
        <v>27638</v>
      </c>
      <c r="O15" s="1" t="str">
        <f>IFERROR(__xludf.DUMMYFUNCTION("""COMPUTED_VALUE"""),"Masculino")</f>
        <v>Masculino</v>
      </c>
      <c r="P15" s="1" t="str">
        <f>IFERROR(__xludf.DUMMYFUNCTION("""COMPUTED_VALUE"""),"Branca")</f>
        <v>Branca</v>
      </c>
      <c r="Q15" s="1" t="str">
        <f>IFERROR(__xludf.DUMMYFUNCTION("""COMPUTED_VALUE"""),"Ensino Médio")</f>
        <v>Ensino Médio</v>
      </c>
      <c r="R15" s="1" t="str">
        <f>IFERROR(__xludf.DUMMYFUNCTION("""COMPUTED_VALUE"""),"arleipmallmann@yahoo.com.br")</f>
        <v>arleipmallmann@yahoo.com.br</v>
      </c>
      <c r="S15" s="1" t="str">
        <f>IFERROR(__xludf.DUMMYFUNCTION("""COMPUTED_VALUE"""),"72kg")</f>
        <v>72kg</v>
      </c>
      <c r="T15" s="1" t="str">
        <f>IFERROR(__xludf.DUMMYFUNCTION("""COMPUTED_VALUE"""),"Entre 1,66m e 1,70m")</f>
        <v>Entre 1,66m e 1,70m</v>
      </c>
      <c r="U15" s="1">
        <f>IFERROR(__xludf.DUMMYFUNCTION("""COMPUTED_VALUE"""),5135633163)</f>
        <v>5135633163</v>
      </c>
      <c r="V15" s="1" t="str">
        <f>IFERROR(__xludf.DUMMYFUNCTION("""COMPUTED_VALUE"""),"(51)9926-75251")</f>
        <v>(51)9926-75251</v>
      </c>
      <c r="W15" s="1"/>
      <c r="X15" s="1" t="str">
        <f>IFERROR(__xludf.DUMMYFUNCTION("""COMPUTED_VALUE"""),"RS")</f>
        <v>RS</v>
      </c>
      <c r="Y15" s="1" t="str">
        <f>IFERROR(__xludf.DUMMYFUNCTION("""COMPUTED_VALUE"""),"Ivoti")</f>
        <v>Ivoti</v>
      </c>
      <c r="Z15" s="1" t="str">
        <f>IFERROR(__xludf.DUMMYFUNCTION("""COMPUTED_VALUE"""),"93900-000 ")</f>
        <v>93900-000 </v>
      </c>
      <c r="AA15" s="1" t="str">
        <f>IFERROR(__xludf.DUMMYFUNCTION("""COMPUTED_VALUE"""),"Rua Arthur Strassburger 416")</f>
        <v>Rua Arthur Strassburger 416</v>
      </c>
      <c r="AB15" s="1" t="str">
        <f>IFERROR(__xludf.DUMMYFUNCTION("""COMPUTED_VALUE"""),"Bom Jardim")</f>
        <v>Bom Jardim</v>
      </c>
      <c r="AC15" s="1" t="str">
        <f>IFERROR(__xludf.DUMMYFUNCTION("""COMPUTED_VALUE"""),"M")</f>
        <v>M</v>
      </c>
      <c r="AD15" s="1" t="str">
        <f>IFERROR(__xludf.DUMMYFUNCTION("""COMPUTED_VALUE"""),"M")</f>
        <v>M</v>
      </c>
      <c r="AE15" s="1" t="str">
        <f>IFERROR(__xludf.DUMMYFUNCTION("""COMPUTED_VALUE"""),"M")</f>
        <v>M</v>
      </c>
      <c r="AF15" s="1" t="str">
        <f>IFERROR(__xludf.DUMMYFUNCTION("""COMPUTED_VALUE"""),"M")</f>
        <v>M</v>
      </c>
      <c r="AG15" s="1" t="str">
        <f>IFERROR(__xludf.DUMMYFUNCTION("""COMPUTED_VALUE"""),"M")</f>
        <v>M</v>
      </c>
      <c r="AH15" s="1">
        <f>IFERROR(__xludf.DUMMYFUNCTION("""COMPUTED_VALUE"""),42)</f>
        <v>42</v>
      </c>
      <c r="AI15" s="1">
        <f>IFERROR(__xludf.DUMMYFUNCTION("""COMPUTED_VALUE"""),42)</f>
        <v>42</v>
      </c>
      <c r="AJ15" s="1">
        <f>IFERROR(__xludf.DUMMYFUNCTION("""COMPUTED_VALUE"""),42)</f>
        <v>42</v>
      </c>
      <c r="AK15" s="1">
        <f>IFERROR(__xludf.DUMMYFUNCTION("""COMPUTED_VALUE"""),42)</f>
        <v>42</v>
      </c>
      <c r="AL15" s="1" t="str">
        <f>IFERROR(__xludf.DUMMYFUNCTION("""COMPUTED_VALUE"""),"M")</f>
        <v>M</v>
      </c>
      <c r="AM15" s="1" t="str">
        <f>IFERROR(__xludf.DUMMYFUNCTION("""COMPUTED_VALUE"""),"M")</f>
        <v>M</v>
      </c>
      <c r="AN15" s="1" t="str">
        <f>IFERROR(__xludf.DUMMYFUNCTION("""COMPUTED_VALUE"""),"M")</f>
        <v>M</v>
      </c>
    </row>
    <row r="16" customHeight="1" spans="1:40">
      <c r="A16" s="1" t="str">
        <f>IFERROR(__xludf.DUMMYFUNCTION("""COMPUTED_VALUE"""),"02° BBM")</f>
        <v>02° BBM</v>
      </c>
      <c r="B16" s="1" t="str">
        <f>IFERROR(__xludf.DUMMYFUNCTION("""COMPUTED_VALUE"""),"Estância Velha")</f>
        <v>Estância Velha</v>
      </c>
      <c r="C16" s="119" t="str">
        <f>IFERROR(__xludf.DUMMYFUNCTION("""COMPUTED_VALUE"""),"Comunitario")</f>
        <v>Comunitario</v>
      </c>
      <c r="D16" s="119" t="str">
        <f>IFERROR(__xludf.DUMMYFUNCTION("""COMPUTED_VALUE"""),"ARTHUR HENRIQUE DALOSTO")</f>
        <v>ARTHUR HENRIQUE DALOSTO</v>
      </c>
      <c r="E16" s="119" t="str">
        <f>IFERROR(__xludf.DUMMYFUNCTION("""COMPUTED_VALUE"""),"")</f>
        <v/>
      </c>
      <c r="F16" s="1" t="str">
        <f>IFERROR(__xludf.DUMMYFUNCTION("""COMPUTED_VALUE"""),"052.162.580-78")</f>
        <v>052.162.580-78</v>
      </c>
      <c r="G16" s="1">
        <f>IFERROR(__xludf.DUMMYFUNCTION("""COMPUTED_VALUE"""),4127531632)</f>
        <v>4127531632</v>
      </c>
      <c r="H16" s="1" t="str">
        <f>IFERROR(__xludf.DUMMYFUNCTION("""COMPUTED_VALUE"""),"Combatente e Socorrista")</f>
        <v>Combatente e Socorrista</v>
      </c>
      <c r="I16" s="1" t="str">
        <f>IFERROR(__xludf.DUMMYFUNCTION("""COMPUTED_VALUE"""),"Bombeiro Civil")</f>
        <v>Bombeiro Civil</v>
      </c>
      <c r="J16" s="1" t="str">
        <f>IFERROR(__xludf.DUMMYFUNCTION("""COMPUTED_VALUE"""),"Não")</f>
        <v>Não</v>
      </c>
      <c r="K16" s="1" t="str">
        <f>IFERROR(__xludf.DUMMYFUNCTION("""COMPUTED_VALUE"""),"Sim")</f>
        <v>Sim</v>
      </c>
      <c r="L16" s="1" t="str">
        <f>IFERROR(__xludf.DUMMYFUNCTION("""COMPUTED_VALUE"""),"O-")</f>
        <v>O-</v>
      </c>
      <c r="M16" s="1" t="str">
        <f>IFERROR(__xludf.DUMMYFUNCTION("""COMPUTED_VALUE"""),"ARTHUR")</f>
        <v>ARTHUR</v>
      </c>
      <c r="N16" s="120"/>
      <c r="O16" s="1" t="str">
        <f>IFERROR(__xludf.DUMMYFUNCTION("""COMPUTED_VALUE"""),"Masculino")</f>
        <v>Masculino</v>
      </c>
      <c r="P16" s="1" t="str">
        <f>IFERROR(__xludf.DUMMYFUNCTION("""COMPUTED_VALUE"""),"Branca")</f>
        <v>Branca</v>
      </c>
      <c r="Q16" s="1" t="str">
        <f>IFERROR(__xludf.DUMMYFUNCTION("""COMPUTED_VALUE"""),"Ensino Superior Incompleto")</f>
        <v>Ensino Superior Incompleto</v>
      </c>
      <c r="R16" s="1" t="str">
        <f>IFERROR(__xludf.DUMMYFUNCTION("""COMPUTED_VALUE"""),"arthurdalosto@live.com")</f>
        <v>arthurdalosto@live.com</v>
      </c>
      <c r="S16" s="1">
        <f>IFERROR(__xludf.DUMMYFUNCTION("""COMPUTED_VALUE"""),78)</f>
        <v>78</v>
      </c>
      <c r="T16" s="1" t="str">
        <f>IFERROR(__xludf.DUMMYFUNCTION("""COMPUTED_VALUE"""),"Entre 1,76m e 1,80m")</f>
        <v>Entre 1,76m e 1,80m</v>
      </c>
      <c r="U16" s="1"/>
      <c r="V16" s="1" t="str">
        <f>IFERROR(__xludf.DUMMYFUNCTION("""COMPUTED_VALUE"""),"(51) 993551791")</f>
        <v>(51) 993551791</v>
      </c>
      <c r="W16" s="1" t="str">
        <f>IFERROR(__xludf.DUMMYFUNCTION("""COMPUTED_VALUE"""),"(51) 993533636")</f>
        <v>(51) 993533636</v>
      </c>
      <c r="X16" s="1" t="str">
        <f>IFERROR(__xludf.DUMMYFUNCTION("""COMPUTED_VALUE"""),"RS")</f>
        <v>RS</v>
      </c>
      <c r="Y16" s="1" t="str">
        <f>IFERROR(__xludf.DUMMYFUNCTION("""COMPUTED_VALUE"""),"Estância Velha")</f>
        <v>Estância Velha</v>
      </c>
      <c r="Z16" s="1">
        <f>IFERROR(__xludf.DUMMYFUNCTION("""COMPUTED_VALUE"""),93610750)</f>
        <v>93610750</v>
      </c>
      <c r="AA16" s="1" t="str">
        <f>IFERROR(__xludf.DUMMYFUNCTION("""COMPUTED_VALUE"""),"Rua Barão do Rio branco, 697")</f>
        <v>Rua Barão do Rio branco, 697</v>
      </c>
      <c r="AB16" s="1" t="str">
        <f>IFERROR(__xludf.DUMMYFUNCTION("""COMPUTED_VALUE"""),"União")</f>
        <v>União</v>
      </c>
      <c r="AC16" s="1" t="str">
        <f>IFERROR(__xludf.DUMMYFUNCTION("""COMPUTED_VALUE"""),"G")</f>
        <v>G</v>
      </c>
      <c r="AD16" s="1" t="str">
        <f>IFERROR(__xludf.DUMMYFUNCTION("""COMPUTED_VALUE"""),"G")</f>
        <v>G</v>
      </c>
      <c r="AE16" s="1" t="str">
        <f>IFERROR(__xludf.DUMMYFUNCTION("""COMPUTED_VALUE"""),"G")</f>
        <v>G</v>
      </c>
      <c r="AF16" s="1" t="str">
        <f>IFERROR(__xludf.DUMMYFUNCTION("""COMPUTED_VALUE"""),"G")</f>
        <v>G</v>
      </c>
      <c r="AG16" s="1" t="str">
        <f>IFERROR(__xludf.DUMMYFUNCTION("""COMPUTED_VALUE"""),"G")</f>
        <v>G</v>
      </c>
      <c r="AH16" s="1">
        <f>IFERROR(__xludf.DUMMYFUNCTION("""COMPUTED_VALUE"""),41)</f>
        <v>41</v>
      </c>
      <c r="AI16" s="1">
        <f>IFERROR(__xludf.DUMMYFUNCTION("""COMPUTED_VALUE"""),41)</f>
        <v>41</v>
      </c>
      <c r="AJ16" s="1">
        <f>IFERROR(__xludf.DUMMYFUNCTION("""COMPUTED_VALUE"""),41)</f>
        <v>41</v>
      </c>
      <c r="AK16" s="1">
        <f>IFERROR(__xludf.DUMMYFUNCTION("""COMPUTED_VALUE"""),41)</f>
        <v>41</v>
      </c>
      <c r="AL16" s="1" t="str">
        <f>IFERROR(__xludf.DUMMYFUNCTION("""COMPUTED_VALUE"""),"G")</f>
        <v>G</v>
      </c>
      <c r="AM16" s="1" t="str">
        <f>IFERROR(__xludf.DUMMYFUNCTION("""COMPUTED_VALUE"""),"G")</f>
        <v>G</v>
      </c>
      <c r="AN16" s="1" t="str">
        <f>IFERROR(__xludf.DUMMYFUNCTION("""COMPUTED_VALUE"""),"G")</f>
        <v>G</v>
      </c>
    </row>
    <row r="17" customHeight="1" spans="1:40">
      <c r="A17" s="1" t="str">
        <f>IFERROR(__xludf.DUMMYFUNCTION("""COMPUTED_VALUE"""),"02° BBM")</f>
        <v>02° BBM</v>
      </c>
      <c r="B17" s="1" t="str">
        <f>IFERROR(__xludf.DUMMYFUNCTION("""COMPUTED_VALUE"""),"Ivoti ")</f>
        <v>Ivoti </v>
      </c>
      <c r="C17" s="119" t="str">
        <f>IFERROR(__xludf.DUMMYFUNCTION("""COMPUTED_VALUE"""),"Comunitario")</f>
        <v>Comunitario</v>
      </c>
      <c r="D17" s="119" t="str">
        <f>IFERROR(__xludf.DUMMYFUNCTION("""COMPUTED_VALUE"""),"BRENDA SCHMITZ")</f>
        <v>BRENDA SCHMITZ</v>
      </c>
      <c r="E17" s="119" t="str">
        <f>IFERROR(__xludf.DUMMYFUNCTION("""COMPUTED_VALUE"""),"Módulo 2 e 3 concluído")</f>
        <v>Módulo 2 e 3 concluído</v>
      </c>
      <c r="F17" s="1" t="str">
        <f>IFERROR(__xludf.DUMMYFUNCTION("""COMPUTED_VALUE""")," 034.997.280-01")</f>
        <v> 034.997.280-01</v>
      </c>
      <c r="G17" s="1">
        <f>IFERROR(__xludf.DUMMYFUNCTION("""COMPUTED_VALUE"""),1118712387)</f>
        <v>1118712387</v>
      </c>
      <c r="H17" s="1" t="str">
        <f>IFERROR(__xludf.DUMMYFUNCTION("""COMPUTED_VALUE"""),"Combatente e socorrista")</f>
        <v>Combatente e socorrista</v>
      </c>
      <c r="I17" s="1" t="str">
        <f>IFERROR(__xludf.DUMMYFUNCTION("""COMPUTED_VALUE"""),"Bombeiro Voluntário e técnico em enfermagem ")</f>
        <v>Bombeiro Voluntário e técnico em enfermagem </v>
      </c>
      <c r="J17" s="1" t="str">
        <f>IFERROR(__xludf.DUMMYFUNCTION("""COMPUTED_VALUE"""),"Sim")</f>
        <v>Sim</v>
      </c>
      <c r="K17" s="1" t="str">
        <f>IFERROR(__xludf.DUMMYFUNCTION("""COMPUTED_VALUE"""),"Não")</f>
        <v>Não</v>
      </c>
      <c r="L17" s="1" t="str">
        <f>IFERROR(__xludf.DUMMYFUNCTION("""COMPUTED_VALUE"""),"B+")</f>
        <v>B+</v>
      </c>
      <c r="M17" s="1" t="str">
        <f>IFERROR(__xludf.DUMMYFUNCTION("""COMPUTED_VALUE"""),"BRENDA")</f>
        <v>BRENDA</v>
      </c>
      <c r="N17" s="120">
        <f>IFERROR(__xludf.DUMMYFUNCTION("""COMPUTED_VALUE"""),38337)</f>
        <v>38337</v>
      </c>
      <c r="O17" s="1" t="str">
        <f>IFERROR(__xludf.DUMMYFUNCTION("""COMPUTED_VALUE"""),"Feminino")</f>
        <v>Feminino</v>
      </c>
      <c r="P17" s="1" t="str">
        <f>IFERROR(__xludf.DUMMYFUNCTION("""COMPUTED_VALUE"""),"Branca")</f>
        <v>Branca</v>
      </c>
      <c r="Q17" s="1" t="str">
        <f>IFERROR(__xludf.DUMMYFUNCTION("""COMPUTED_VALUE"""),"Ensino Médio")</f>
        <v>Ensino Médio</v>
      </c>
      <c r="R17" s="1" t="str">
        <f>IFERROR(__xludf.DUMMYFUNCTION("""COMPUTED_VALUE"""),"brendaschmitz16@gmail.com")</f>
        <v>brendaschmitz16@gmail.com</v>
      </c>
      <c r="S17" s="1">
        <f>IFERROR(__xludf.DUMMYFUNCTION("""COMPUTED_VALUE"""),65)</f>
        <v>65</v>
      </c>
      <c r="T17" s="1" t="str">
        <f>IFERROR(__xludf.DUMMYFUNCTION("""COMPUTED_VALUE"""),"Entre 1,66m e 1,70m")</f>
        <v>Entre 1,66m e 1,70m</v>
      </c>
      <c r="U17" s="1"/>
      <c r="V17" s="1" t="str">
        <f>IFERROR(__xludf.DUMMYFUNCTION("""COMPUTED_VALUE"""),"(51) 98060-1536")</f>
        <v>(51) 98060-1536</v>
      </c>
      <c r="W17" s="1"/>
      <c r="X17" s="1" t="str">
        <f>IFERROR(__xludf.DUMMYFUNCTION("""COMPUTED_VALUE"""),"RS")</f>
        <v>RS</v>
      </c>
      <c r="Y17" s="1" t="str">
        <f>IFERROR(__xludf.DUMMYFUNCTION("""COMPUTED_VALUE"""),"Ivoti")</f>
        <v>Ivoti</v>
      </c>
      <c r="Z17" s="1" t="str">
        <f>IFERROR(__xludf.DUMMYFUNCTION("""COMPUTED_VALUE"""),"93900-000")</f>
        <v>93900-000</v>
      </c>
      <c r="AA17" s="1" t="str">
        <f>IFERROR(__xludf.DUMMYFUNCTION("""COMPUTED_VALUE"""),"Rua José de Alencar")</f>
        <v>Rua José de Alencar</v>
      </c>
      <c r="AB17" s="1" t="str">
        <f>IFERROR(__xludf.DUMMYFUNCTION("""COMPUTED_VALUE"""),"Centro")</f>
        <v>Centro</v>
      </c>
      <c r="AC17" s="1" t="str">
        <f>IFERROR(__xludf.DUMMYFUNCTION("""COMPUTED_VALUE"""),"P")</f>
        <v>P</v>
      </c>
      <c r="AD17" s="1" t="str">
        <f>IFERROR(__xludf.DUMMYFUNCTION("""COMPUTED_VALUE"""),"P")</f>
        <v>P</v>
      </c>
      <c r="AE17" s="1" t="str">
        <f>IFERROR(__xludf.DUMMYFUNCTION("""COMPUTED_VALUE"""),"P")</f>
        <v>P</v>
      </c>
      <c r="AF17" s="1" t="str">
        <f>IFERROR(__xludf.DUMMYFUNCTION("""COMPUTED_VALUE"""),"P")</f>
        <v>P</v>
      </c>
      <c r="AG17" s="1" t="str">
        <f>IFERROR(__xludf.DUMMYFUNCTION("""COMPUTED_VALUE"""),"M")</f>
        <v>M</v>
      </c>
      <c r="AH17" s="1">
        <f>IFERROR(__xludf.DUMMYFUNCTION("""COMPUTED_VALUE"""),37)</f>
        <v>37</v>
      </c>
      <c r="AI17" s="1">
        <f>IFERROR(__xludf.DUMMYFUNCTION("""COMPUTED_VALUE"""),37)</f>
        <v>37</v>
      </c>
      <c r="AJ17" s="1">
        <f>IFERROR(__xludf.DUMMYFUNCTION("""COMPUTED_VALUE"""),37)</f>
        <v>37</v>
      </c>
      <c r="AK17" s="1">
        <f>IFERROR(__xludf.DUMMYFUNCTION("""COMPUTED_VALUE"""),37)</f>
        <v>37</v>
      </c>
      <c r="AL17" s="1" t="str">
        <f>IFERROR(__xludf.DUMMYFUNCTION("""COMPUTED_VALUE"""),"M")</f>
        <v>M</v>
      </c>
      <c r="AM17" s="1" t="str">
        <f>IFERROR(__xludf.DUMMYFUNCTION("""COMPUTED_VALUE"""),"M")</f>
        <v>M</v>
      </c>
      <c r="AN17" s="1" t="str">
        <f>IFERROR(__xludf.DUMMYFUNCTION("""COMPUTED_VALUE"""),"M")</f>
        <v>M</v>
      </c>
    </row>
    <row r="18" customHeight="1" spans="1:40">
      <c r="A18" s="1" t="str">
        <f>IFERROR(__xludf.DUMMYFUNCTION("""COMPUTED_VALUE"""),"02° BBM")</f>
        <v>02° BBM</v>
      </c>
      <c r="B18" s="1"/>
      <c r="C18" s="119"/>
      <c r="D18" s="119" t="str">
        <f>IFERROR(__xludf.DUMMYFUNCTION("""COMPUTED_VALUE"""),"BRUNA DUCAS ALVAREZ")</f>
        <v>BRUNA DUCAS ALVAREZ</v>
      </c>
      <c r="E18" s="119" t="str">
        <f>IFERROR(__xludf.DUMMYFUNCTION("""COMPUTED_VALUE"""),"Módulo 1 concluído")</f>
        <v>Módulo 1 concluído</v>
      </c>
      <c r="F18" s="1" t="str">
        <f>IFERROR(__xludf.DUMMYFUNCTION("""COMPUTED_VALUE"""),"018.286.870-22")</f>
        <v>018.286.870-22</v>
      </c>
      <c r="G18" s="1"/>
      <c r="H18" s="1"/>
      <c r="I18" s="1"/>
      <c r="J18" s="1"/>
      <c r="K18" s="1"/>
      <c r="L18" s="1"/>
      <c r="M18" s="1"/>
      <c r="N18" s="121"/>
      <c r="O18" s="1"/>
      <c r="P18" s="1"/>
      <c r="Q18" s="1"/>
      <c r="R18" s="1"/>
      <c r="S18" s="1"/>
      <c r="T18" s="1"/>
      <c r="U18" s="1"/>
      <c r="V18" s="1"/>
      <c r="W18" s="1"/>
      <c r="X18" s="1"/>
      <c r="Y18" s="1"/>
      <c r="Z18" s="1"/>
      <c r="AA18" s="1"/>
      <c r="AB18" s="1"/>
      <c r="AC18" s="1"/>
      <c r="AD18" s="1"/>
      <c r="AE18" s="1"/>
      <c r="AF18" s="1"/>
      <c r="AG18" s="1"/>
      <c r="AH18" s="1"/>
      <c r="AI18" s="1"/>
      <c r="AJ18" s="1"/>
      <c r="AK18" s="1"/>
      <c r="AL18" s="1"/>
      <c r="AM18" s="1"/>
      <c r="AN18" s="1"/>
    </row>
    <row r="19" customHeight="1" spans="1:40">
      <c r="A19" s="1" t="str">
        <f>IFERROR(__xludf.DUMMYFUNCTION("""COMPUTED_VALUE"""),"02° BBM")</f>
        <v>02° BBM</v>
      </c>
      <c r="B19" s="1" t="str">
        <f>IFERROR(__xludf.DUMMYFUNCTION("""COMPUTED_VALUE"""),"Ivoti")</f>
        <v>Ivoti</v>
      </c>
      <c r="C19" s="119" t="str">
        <f>IFERROR(__xludf.DUMMYFUNCTION("""COMPUTED_VALUE"""),"Comunitario")</f>
        <v>Comunitario</v>
      </c>
      <c r="D19" s="119" t="str">
        <f>IFERROR(__xludf.DUMMYFUNCTION("""COMPUTED_VALUE"""),"BRUNO MATHEUS WEBER")</f>
        <v>BRUNO MATHEUS WEBER</v>
      </c>
      <c r="E19" s="119" t="str">
        <f>IFERROR(__xludf.DUMMYFUNCTION("""COMPUTED_VALUE"""),"Curso CAB operador concluído")</f>
        <v>Curso CAB operador concluído</v>
      </c>
      <c r="F19" s="1" t="str">
        <f>IFERROR(__xludf.DUMMYFUNCTION("""COMPUTED_VALUE"""),"017.058.350-31")</f>
        <v>017.058.350-31</v>
      </c>
      <c r="G19" s="1">
        <f>IFERROR(__xludf.DUMMYFUNCTION("""COMPUTED_VALUE"""),1104136963)</f>
        <v>1104136963</v>
      </c>
      <c r="H19" s="1" t="str">
        <f>IFERROR(__xludf.DUMMYFUNCTION("""COMPUTED_VALUE"""),"Combatente e Socorrista")</f>
        <v>Combatente e Socorrista</v>
      </c>
      <c r="I19" s="1" t="str">
        <f>IFERROR(__xludf.DUMMYFUNCTION("""COMPUTED_VALUE"""),"Bombeiro Voluntário/APH/BLS/Curso resgate em áreas remotas(2024 FELIZ-RS)/ Curso Salvamento em águas rápidas N1 (2025 APIUNA SC)/ Comportamento extremo do fogo (2025 CONCÓRDIA SC)/Graduando em Enfermagem(Feevale)")</f>
        <v>Bombeiro Voluntário/APH/BLS/Curso resgate em áreas remotas(2024 FELIZ-RS)/ Curso Salvamento em águas rápidas N1 (2025 APIUNA SC)/ Comportamento extremo do fogo (2025 CONCÓRDIA SC)/Graduando em Enfermagem(Feevale)</v>
      </c>
      <c r="J19" s="1" t="str">
        <f>IFERROR(__xludf.DUMMYFUNCTION("""COMPUTED_VALUE"""),"Sim")</f>
        <v>Sim</v>
      </c>
      <c r="K19" s="1" t="str">
        <f>IFERROR(__xludf.DUMMYFUNCTION("""COMPUTED_VALUE"""),"Não")</f>
        <v>Não</v>
      </c>
      <c r="L19" s="1" t="str">
        <f>IFERROR(__xludf.DUMMYFUNCTION("""COMPUTED_VALUE"""),"A+")</f>
        <v>A+</v>
      </c>
      <c r="M19" s="1" t="str">
        <f>IFERROR(__xludf.DUMMYFUNCTION("""COMPUTED_VALUE"""),"BRUNO")</f>
        <v>BRUNO</v>
      </c>
      <c r="N19" s="121">
        <f>IFERROR(__xludf.DUMMYFUNCTION("""COMPUTED_VALUE"""),35393)</f>
        <v>35393</v>
      </c>
      <c r="O19" s="1" t="str">
        <f>IFERROR(__xludf.DUMMYFUNCTION("""COMPUTED_VALUE"""),"Masculino")</f>
        <v>Masculino</v>
      </c>
      <c r="P19" s="1" t="str">
        <f>IFERROR(__xludf.DUMMYFUNCTION("""COMPUTED_VALUE"""),"Branca")</f>
        <v>Branca</v>
      </c>
      <c r="Q19" s="1" t="str">
        <f>IFERROR(__xludf.DUMMYFUNCTION("""COMPUTED_VALUE"""),"Ensino Superior Incompleto")</f>
        <v>Ensino Superior Incompleto</v>
      </c>
      <c r="R19" s="1" t="str">
        <f>IFERROR(__xludf.DUMMYFUNCTION("""COMPUTED_VALUE"""),"brunoweber1996@gmail.com")</f>
        <v>brunoweber1996@gmail.com</v>
      </c>
      <c r="S19" s="1" t="str">
        <f>IFERROR(__xludf.DUMMYFUNCTION("""COMPUTED_VALUE"""),"88kg")</f>
        <v>88kg</v>
      </c>
      <c r="T19" s="1" t="str">
        <f>IFERROR(__xludf.DUMMYFUNCTION("""COMPUTED_VALUE"""),"Entre 1,81m e 1,85m")</f>
        <v>Entre 1,81m e 1,85m</v>
      </c>
      <c r="U19" s="1" t="str">
        <f>IFERROR(__xludf.DUMMYFUNCTION("""COMPUTED_VALUE"""),"não")</f>
        <v>não</v>
      </c>
      <c r="V19" s="1" t="str">
        <f>IFERROR(__xludf.DUMMYFUNCTION("""COMPUTED_VALUE"""),"(51)99764-3100")</f>
        <v>(51)99764-3100</v>
      </c>
      <c r="W19" s="1" t="str">
        <f>IFERROR(__xludf.DUMMYFUNCTION("""COMPUTED_VALUE"""),"(51)996521138")</f>
        <v>(51)996521138</v>
      </c>
      <c r="X19" s="1" t="str">
        <f>IFERROR(__xludf.DUMMYFUNCTION("""COMPUTED_VALUE"""),"RS")</f>
        <v>RS</v>
      </c>
      <c r="Y19" s="1" t="str">
        <f>IFERROR(__xludf.DUMMYFUNCTION("""COMPUTED_VALUE"""),"Dois Irmãos")</f>
        <v>Dois Irmãos</v>
      </c>
      <c r="Z19" s="1" t="str">
        <f>IFERROR(__xludf.DUMMYFUNCTION("""COMPUTED_VALUE"""),"93950-000")</f>
        <v>93950-000</v>
      </c>
      <c r="AA19" s="1" t="str">
        <f>IFERROR(__xludf.DUMMYFUNCTION("""COMPUTED_VALUE"""),"BR116 KM 230 n 350")</f>
        <v>BR116 KM 230 n 350</v>
      </c>
      <c r="AB19" s="1" t="str">
        <f>IFERROR(__xludf.DUMMYFUNCTION("""COMPUTED_VALUE"""),"travessão ")</f>
        <v>travessão </v>
      </c>
      <c r="AC19" s="1" t="str">
        <f>IFERROR(__xludf.DUMMYFUNCTION("""COMPUTED_VALUE"""),"G")</f>
        <v>G</v>
      </c>
      <c r="AD19" s="1" t="str">
        <f>IFERROR(__xludf.DUMMYFUNCTION("""COMPUTED_VALUE"""),"G")</f>
        <v>G</v>
      </c>
      <c r="AE19" s="1" t="str">
        <f>IFERROR(__xludf.DUMMYFUNCTION("""COMPUTED_VALUE"""),"G")</f>
        <v>G</v>
      </c>
      <c r="AF19" s="1" t="str">
        <f>IFERROR(__xludf.DUMMYFUNCTION("""COMPUTED_VALUE"""),"G")</f>
        <v>G</v>
      </c>
      <c r="AG19" s="1" t="str">
        <f>IFERROR(__xludf.DUMMYFUNCTION("""COMPUTED_VALUE"""),"G")</f>
        <v>G</v>
      </c>
      <c r="AH19" s="1">
        <f>IFERROR(__xludf.DUMMYFUNCTION("""COMPUTED_VALUE"""),42)</f>
        <v>42</v>
      </c>
      <c r="AI19" s="1">
        <f>IFERROR(__xludf.DUMMYFUNCTION("""COMPUTED_VALUE"""),42)</f>
        <v>42</v>
      </c>
      <c r="AJ19" s="1">
        <f>IFERROR(__xludf.DUMMYFUNCTION("""COMPUTED_VALUE"""),42)</f>
        <v>42</v>
      </c>
      <c r="AK19" s="1">
        <f>IFERROR(__xludf.DUMMYFUNCTION("""COMPUTED_VALUE"""),42)</f>
        <v>42</v>
      </c>
      <c r="AL19" s="1" t="str">
        <f>IFERROR(__xludf.DUMMYFUNCTION("""COMPUTED_VALUE"""),"G")</f>
        <v>G</v>
      </c>
      <c r="AM19" s="1" t="str">
        <f>IFERROR(__xludf.DUMMYFUNCTION("""COMPUTED_VALUE"""),"G")</f>
        <v>G</v>
      </c>
      <c r="AN19" s="1" t="str">
        <f>IFERROR(__xludf.DUMMYFUNCTION("""COMPUTED_VALUE"""),"G")</f>
        <v>G</v>
      </c>
    </row>
    <row r="20" customHeight="1" spans="1:40">
      <c r="A20" s="1" t="str">
        <f>IFERROR(__xludf.DUMMYFUNCTION("""COMPUTED_VALUE"""),"02° BBM")</f>
        <v>02° BBM</v>
      </c>
      <c r="B20" s="1" t="str">
        <f>IFERROR(__xludf.DUMMYFUNCTION("""COMPUTED_VALUE"""),"Parobé")</f>
        <v>Parobé</v>
      </c>
      <c r="C20" s="119" t="str">
        <f>IFERROR(__xludf.DUMMYFUNCTION("""COMPUTED_VALUE"""),"Comunitario")</f>
        <v>Comunitario</v>
      </c>
      <c r="D20" s="119" t="str">
        <f>IFERROR(__xludf.DUMMYFUNCTION("""COMPUTED_VALUE"""),"CARLA JENIFER DA SILVA")</f>
        <v>CARLA JENIFER DA SILVA</v>
      </c>
      <c r="E20" s="119" t="str">
        <f>IFERROR(__xludf.DUMMYFUNCTION("""COMPUTED_VALUE"""),"")</f>
        <v/>
      </c>
      <c r="F20" s="1" t="str">
        <f>IFERROR(__xludf.DUMMYFUNCTION("""COMPUTED_VALUE"""),"036.026.230-92")</f>
        <v>036.026.230-92</v>
      </c>
      <c r="G20" s="1">
        <f>IFERROR(__xludf.DUMMYFUNCTION("""COMPUTED_VALUE"""),2109577011)</f>
        <v>2109577011</v>
      </c>
      <c r="H20" s="1" t="str">
        <f>IFERROR(__xludf.DUMMYFUNCTION("""COMPUTED_VALUE"""),"Combatente e Socorrista")</f>
        <v>Combatente e Socorrista</v>
      </c>
      <c r="I20" s="1" t="str">
        <f>IFERROR(__xludf.DUMMYFUNCTION("""COMPUTED_VALUE"""),"Técnica em Enfermagem")</f>
        <v>Técnica em Enfermagem</v>
      </c>
      <c r="J20" s="1" t="str">
        <f>IFERROR(__xludf.DUMMYFUNCTION("""COMPUTED_VALUE"""),"Não")</f>
        <v>Não</v>
      </c>
      <c r="K20" s="1" t="str">
        <f>IFERROR(__xludf.DUMMYFUNCTION("""COMPUTED_VALUE"""),"Não")</f>
        <v>Não</v>
      </c>
      <c r="L20" s="1" t="str">
        <f>IFERROR(__xludf.DUMMYFUNCTION("""COMPUTED_VALUE"""),"AB+")</f>
        <v>AB+</v>
      </c>
      <c r="M20" s="1" t="str">
        <f>IFERROR(__xludf.DUMMYFUNCTION("""COMPUTED_VALUE"""),"CARLA")</f>
        <v>CARLA</v>
      </c>
      <c r="N20" s="122">
        <f>IFERROR(__xludf.DUMMYFUNCTION("""COMPUTED_VALUE"""),35532)</f>
        <v>35532</v>
      </c>
      <c r="O20" s="1" t="str">
        <f>IFERROR(__xludf.DUMMYFUNCTION("""COMPUTED_VALUE"""),"Feminino")</f>
        <v>Feminino</v>
      </c>
      <c r="P20" s="1" t="str">
        <f>IFERROR(__xludf.DUMMYFUNCTION("""COMPUTED_VALUE"""),"Preta")</f>
        <v>Preta</v>
      </c>
      <c r="Q20" s="1"/>
      <c r="R20" s="1" t="str">
        <f>IFERROR(__xludf.DUMMYFUNCTION("""COMPUTED_VALUE"""),"carlajeniferdasilva@gmail.com")</f>
        <v>carlajeniferdasilva@gmail.com</v>
      </c>
      <c r="S20" s="1">
        <f>IFERROR(__xludf.DUMMYFUNCTION("""COMPUTED_VALUE"""),60)</f>
        <v>60</v>
      </c>
      <c r="T20" s="1" t="str">
        <f>IFERROR(__xludf.DUMMYFUNCTION("""COMPUTED_VALUE"""),"Entre 1,61m e 1,65m")</f>
        <v>Entre 1,61m e 1,65m</v>
      </c>
      <c r="U20" s="1"/>
      <c r="V20" s="1" t="str">
        <f>IFERROR(__xludf.DUMMYFUNCTION("""COMPUTED_VALUE"""),"(51) 99973-7392")</f>
        <v>(51) 99973-7392</v>
      </c>
      <c r="W20" s="1" t="str">
        <f>IFERROR(__xludf.DUMMYFUNCTION("""COMPUTED_VALUE"""),"(51) 99997/3739")</f>
        <v>(51) 99997/3739</v>
      </c>
      <c r="X20" s="1" t="str">
        <f>IFERROR(__xludf.DUMMYFUNCTION("""COMPUTED_VALUE"""),"RS")</f>
        <v>RS</v>
      </c>
      <c r="Y20" s="1" t="str">
        <f>IFERROR(__xludf.DUMMYFUNCTION("""COMPUTED_VALUE"""),"Campo Bom")</f>
        <v>Campo Bom</v>
      </c>
      <c r="Z20" s="119" t="str">
        <f>IFERROR(__xludf.DUMMYFUNCTION("""COMPUTED_VALUE"""),"93700-000")</f>
        <v>93700-000</v>
      </c>
      <c r="AA20" s="1" t="str">
        <f>IFERROR(__xludf.DUMMYFUNCTION("""COMPUTED_VALUE"""),"Padre Réus, 126 - AP 3")</f>
        <v>Padre Réus, 126 - AP 3</v>
      </c>
      <c r="AB20" s="1" t="str">
        <f>IFERROR(__xludf.DUMMYFUNCTION("""COMPUTED_VALUE"""),"Bela Vista")</f>
        <v>Bela Vista</v>
      </c>
      <c r="AC20" s="1" t="str">
        <f>IFERROR(__xludf.DUMMYFUNCTION("""COMPUTED_VALUE"""),"G")</f>
        <v>G</v>
      </c>
      <c r="AD20" s="1" t="str">
        <f>IFERROR(__xludf.DUMMYFUNCTION("""COMPUTED_VALUE"""),"G")</f>
        <v>G</v>
      </c>
      <c r="AE20" s="1" t="str">
        <f>IFERROR(__xludf.DUMMYFUNCTION("""COMPUTED_VALUE"""),"M")</f>
        <v>M</v>
      </c>
      <c r="AF20" s="1" t="str">
        <f>IFERROR(__xludf.DUMMYFUNCTION("""COMPUTED_VALUE"""),"M")</f>
        <v>M</v>
      </c>
      <c r="AG20" s="1" t="str">
        <f>IFERROR(__xludf.DUMMYFUNCTION("""COMPUTED_VALUE"""),"M")</f>
        <v>M</v>
      </c>
      <c r="AH20" s="1">
        <f>IFERROR(__xludf.DUMMYFUNCTION("""COMPUTED_VALUE"""),35)</f>
        <v>35</v>
      </c>
      <c r="AI20" s="1">
        <f>IFERROR(__xludf.DUMMYFUNCTION("""COMPUTED_VALUE"""),35)</f>
        <v>35</v>
      </c>
      <c r="AJ20" s="1">
        <f>IFERROR(__xludf.DUMMYFUNCTION("""COMPUTED_VALUE"""),35)</f>
        <v>35</v>
      </c>
      <c r="AK20" s="1">
        <f>IFERROR(__xludf.DUMMYFUNCTION("""COMPUTED_VALUE"""),35)</f>
        <v>35</v>
      </c>
      <c r="AL20" s="1" t="str">
        <f>IFERROR(__xludf.DUMMYFUNCTION("""COMPUTED_VALUE"""),"M")</f>
        <v>M</v>
      </c>
      <c r="AM20" s="1" t="str">
        <f>IFERROR(__xludf.DUMMYFUNCTION("""COMPUTED_VALUE"""),"P")</f>
        <v>P</v>
      </c>
      <c r="AN20" s="1" t="str">
        <f>IFERROR(__xludf.DUMMYFUNCTION("""COMPUTED_VALUE"""),"M")</f>
        <v>M</v>
      </c>
    </row>
    <row r="21" customHeight="1" spans="1:40">
      <c r="A21" s="1" t="str">
        <f>IFERROR(__xludf.DUMMYFUNCTION("""COMPUTED_VALUE"""),"02° BBM")</f>
        <v>02° BBM</v>
      </c>
      <c r="B21" s="1" t="str">
        <f>IFERROR(__xludf.DUMMYFUNCTION("""COMPUTED_VALUE"""),"Montenegro")</f>
        <v>Montenegro</v>
      </c>
      <c r="C21" s="119" t="str">
        <f>IFERROR(__xludf.DUMMYFUNCTION("""COMPUTED_VALUE"""),"Comunitario")</f>
        <v>Comunitario</v>
      </c>
      <c r="D21" s="119" t="str">
        <f>IFERROR(__xludf.DUMMYFUNCTION("""COMPUTED_VALUE"""),"CARLOS ALEXANDRE BERGONSI")</f>
        <v>CARLOS ALEXANDRE BERGONSI</v>
      </c>
      <c r="E21" s="119" t="str">
        <f>IFERROR(__xludf.DUMMYFUNCTION("""COMPUTED_VALUE"""),"")</f>
        <v/>
      </c>
      <c r="F21" s="1" t="str">
        <f>IFERROR(__xludf.DUMMYFUNCTION("""COMPUTED_VALUE"""),"011.421.770-14")</f>
        <v>011.421.770-14</v>
      </c>
      <c r="G21" s="1">
        <f>IFERROR(__xludf.DUMMYFUNCTION("""COMPUTED_VALUE"""),1100313939)</f>
        <v>1100313939</v>
      </c>
      <c r="H21" s="1" t="str">
        <f>IFERROR(__xludf.DUMMYFUNCTION("""COMPUTED_VALUE"""),"Combatente")</f>
        <v>Combatente</v>
      </c>
      <c r="I21" s="1" t="str">
        <f>IFERROR(__xludf.DUMMYFUNCTION("""COMPUTED_VALUE"""),"Bombeiro Voluntário")</f>
        <v>Bombeiro Voluntário</v>
      </c>
      <c r="J21" s="1" t="str">
        <f>IFERROR(__xludf.DUMMYFUNCTION("""COMPUTED_VALUE"""),"Sim")</f>
        <v>Sim</v>
      </c>
      <c r="K21" s="1" t="str">
        <f>IFERROR(__xludf.DUMMYFUNCTION("""COMPUTED_VALUE"""),"Não")</f>
        <v>Não</v>
      </c>
      <c r="L21" s="1" t="str">
        <f>IFERROR(__xludf.DUMMYFUNCTION("""COMPUTED_VALUE"""),"A+")</f>
        <v>A+</v>
      </c>
      <c r="M21" s="1" t="str">
        <f>IFERROR(__xludf.DUMMYFUNCTION("""COMPUTED_VALUE"""),"CARLOS")</f>
        <v>CARLOS</v>
      </c>
      <c r="N21" s="120">
        <f>IFERROR(__xludf.DUMMYFUNCTION("""COMPUTED_VALUE"""),31580)</f>
        <v>31580</v>
      </c>
      <c r="O21" s="1" t="str">
        <f>IFERROR(__xludf.DUMMYFUNCTION("""COMPUTED_VALUE"""),"Masculino")</f>
        <v>Masculino</v>
      </c>
      <c r="P21" s="1" t="str">
        <f>IFERROR(__xludf.DUMMYFUNCTION("""COMPUTED_VALUE"""),"Branca")</f>
        <v>Branca</v>
      </c>
      <c r="Q21" s="1" t="str">
        <f>IFERROR(__xludf.DUMMYFUNCTION("""COMPUTED_VALUE"""),"Ensino Médio")</f>
        <v>Ensino Médio</v>
      </c>
      <c r="R21" s="1" t="str">
        <f>IFERROR(__xludf.DUMMYFUNCTION("""COMPUTED_VALUE"""),"totynho78@hotmail.com")</f>
        <v>totynho78@hotmail.com</v>
      </c>
      <c r="S21" s="1">
        <f>IFERROR(__xludf.DUMMYFUNCTION("""COMPUTED_VALUE"""),75)</f>
        <v>75</v>
      </c>
      <c r="T21" s="1" t="str">
        <f>IFERROR(__xludf.DUMMYFUNCTION("""COMPUTED_VALUE"""),"Entre 1,71m e 1,75m")</f>
        <v>Entre 1,71m e 1,75m</v>
      </c>
      <c r="U21" s="1" t="str">
        <f>IFERROR(__xludf.DUMMYFUNCTION("""COMPUTED_VALUE"""),"Não")</f>
        <v>Não</v>
      </c>
      <c r="V21" s="1" t="str">
        <f>IFERROR(__xludf.DUMMYFUNCTION("""COMPUTED_VALUE"""),"(51)98311-6991")</f>
        <v>(51)98311-6991</v>
      </c>
      <c r="W21" s="1" t="str">
        <f>IFERROR(__xludf.DUMMYFUNCTION("""COMPUTED_VALUE"""),"(51)98140-1473")</f>
        <v>(51)98140-1473</v>
      </c>
      <c r="X21" s="1" t="str">
        <f>IFERROR(__xludf.DUMMYFUNCTION("""COMPUTED_VALUE"""),"RS")</f>
        <v>RS</v>
      </c>
      <c r="Y21" s="1" t="str">
        <f>IFERROR(__xludf.DUMMYFUNCTION("""COMPUTED_VALUE"""),"Montenegro")</f>
        <v>Montenegro</v>
      </c>
      <c r="Z21" s="1" t="str">
        <f>IFERROR(__xludf.DUMMYFUNCTION("""COMPUTED_VALUE"""),"92532-000")</f>
        <v>92532-000</v>
      </c>
      <c r="AA21" s="1" t="str">
        <f>IFERROR(__xludf.DUMMYFUNCTION("""COMPUTED_VALUE"""),"BR 386 KM 413")</f>
        <v>BR 386 KM 413</v>
      </c>
      <c r="AB21" s="1" t="str">
        <f>IFERROR(__xludf.DUMMYFUNCTION("""COMPUTED_VALUE"""),"VENDINHA")</f>
        <v>VENDINHA</v>
      </c>
      <c r="AC21" s="1" t="str">
        <f>IFERROR(__xludf.DUMMYFUNCTION("""COMPUTED_VALUE"""),"M")</f>
        <v>M</v>
      </c>
      <c r="AD21" s="1" t="str">
        <f>IFERROR(__xludf.DUMMYFUNCTION("""COMPUTED_VALUE"""),"G")</f>
        <v>G</v>
      </c>
      <c r="AE21" s="1" t="str">
        <f>IFERROR(__xludf.DUMMYFUNCTION("""COMPUTED_VALUE"""),"G")</f>
        <v>G</v>
      </c>
      <c r="AF21" s="1" t="str">
        <f>IFERROR(__xludf.DUMMYFUNCTION("""COMPUTED_VALUE"""),"G")</f>
        <v>G</v>
      </c>
      <c r="AG21" s="1" t="str">
        <f>IFERROR(__xludf.DUMMYFUNCTION("""COMPUTED_VALUE"""),"M")</f>
        <v>M</v>
      </c>
      <c r="AH21" s="1">
        <f>IFERROR(__xludf.DUMMYFUNCTION("""COMPUTED_VALUE"""),42)</f>
        <v>42</v>
      </c>
      <c r="AI21" s="1">
        <f>IFERROR(__xludf.DUMMYFUNCTION("""COMPUTED_VALUE"""),42)</f>
        <v>42</v>
      </c>
      <c r="AJ21" s="1">
        <f>IFERROR(__xludf.DUMMYFUNCTION("""COMPUTED_VALUE"""),42)</f>
        <v>42</v>
      </c>
      <c r="AK21" s="1">
        <f>IFERROR(__xludf.DUMMYFUNCTION("""COMPUTED_VALUE"""),42)</f>
        <v>42</v>
      </c>
      <c r="AL21" s="1" t="str">
        <f>IFERROR(__xludf.DUMMYFUNCTION("""COMPUTED_VALUE"""),"M")</f>
        <v>M</v>
      </c>
      <c r="AM21" s="1" t="str">
        <f>IFERROR(__xludf.DUMMYFUNCTION("""COMPUTED_VALUE"""),"M")</f>
        <v>M</v>
      </c>
      <c r="AN21" s="1" t="str">
        <f>IFERROR(__xludf.DUMMYFUNCTION("""COMPUTED_VALUE"""),"G")</f>
        <v>G</v>
      </c>
    </row>
    <row r="22" customHeight="1" spans="1:40">
      <c r="A22" s="1" t="str">
        <f>IFERROR(__xludf.DUMMYFUNCTION("""COMPUTED_VALUE"""),"02° BBM")</f>
        <v>02° BBM</v>
      </c>
      <c r="B22" s="1" t="str">
        <f>IFERROR(__xludf.DUMMYFUNCTION("""COMPUTED_VALUE"""),"Marata")</f>
        <v>Marata</v>
      </c>
      <c r="C22" s="119" t="str">
        <f>IFERROR(__xludf.DUMMYFUNCTION("""COMPUTED_VALUE"""),"CAB")</f>
        <v>CAB</v>
      </c>
      <c r="D22" s="119" t="str">
        <f>IFERROR(__xludf.DUMMYFUNCTION("""COMPUTED_VALUE"""),"CARLOS ALEXANDRE BERGONSI")</f>
        <v>CARLOS ALEXANDRE BERGONSI</v>
      </c>
      <c r="E22" s="119" t="str">
        <f>IFERROR(__xludf.DUMMYFUNCTION("""COMPUTED_VALUE"""),"")</f>
        <v/>
      </c>
      <c r="F22" s="1" t="str">
        <f>IFERROR(__xludf.DUMMYFUNCTION("""COMPUTED_VALUE"""),"011.421.170-14")</f>
        <v>011.421.170-14</v>
      </c>
      <c r="G22" s="1">
        <f>IFERROR(__xludf.DUMMYFUNCTION("""COMPUTED_VALUE"""),1100313939)</f>
        <v>1100313939</v>
      </c>
      <c r="H22" s="1" t="str">
        <f>IFERROR(__xludf.DUMMYFUNCTION("""COMPUTED_VALUE"""),"Combatente Condutor e Socorrista")</f>
        <v>Combatente Condutor e Socorrista</v>
      </c>
      <c r="I22" s="1" t="str">
        <f>IFERROR(__xludf.DUMMYFUNCTION("""COMPUTED_VALUE"""),"Bombeiro Civil, SBV e Condutor de Veiculo de Emergencia")</f>
        <v>Bombeiro Civil, SBV e Condutor de Veiculo de Emergencia</v>
      </c>
      <c r="J22" s="1" t="str">
        <f>IFERROR(__xludf.DUMMYFUNCTION("""COMPUTED_VALUE"""),"Sim")</f>
        <v>Sim</v>
      </c>
      <c r="K22" s="1" t="str">
        <f>IFERROR(__xludf.DUMMYFUNCTION("""COMPUTED_VALUE"""),"Não")</f>
        <v>Não</v>
      </c>
      <c r="L22" s="1" t="str">
        <f>IFERROR(__xludf.DUMMYFUNCTION("""COMPUTED_VALUE"""),"A+")</f>
        <v>A+</v>
      </c>
      <c r="M22" s="1" t="str">
        <f>IFERROR(__xludf.DUMMYFUNCTION("""COMPUTED_VALUE"""),"CARLOS")</f>
        <v>CARLOS</v>
      </c>
      <c r="N22" s="120">
        <f>IFERROR(__xludf.DUMMYFUNCTION("""COMPUTED_VALUE"""),31580)</f>
        <v>31580</v>
      </c>
      <c r="O22" s="1" t="str">
        <f>IFERROR(__xludf.DUMMYFUNCTION("""COMPUTED_VALUE"""),"Masculino")</f>
        <v>Masculino</v>
      </c>
      <c r="P22" s="1" t="str">
        <f>IFERROR(__xludf.DUMMYFUNCTION("""COMPUTED_VALUE"""),"Branca")</f>
        <v>Branca</v>
      </c>
      <c r="Q22" s="1" t="str">
        <f>IFERROR(__xludf.DUMMYFUNCTION("""COMPUTED_VALUE"""),"Ensino Médio")</f>
        <v>Ensino Médio</v>
      </c>
      <c r="R22" s="123" t="str">
        <f>IFERROR(__xludf.DUMMYFUNCTION("""COMPUTED_VALUE"""),"totynho78@hotmail.com")</f>
        <v>totynho78@hotmail.com</v>
      </c>
      <c r="S22" s="1">
        <f>IFERROR(__xludf.DUMMYFUNCTION("""COMPUTED_VALUE"""),75)</f>
        <v>75</v>
      </c>
      <c r="T22" s="1" t="str">
        <f>IFERROR(__xludf.DUMMYFUNCTION("""COMPUTED_VALUE"""),"Entre 1,71m e 1,75m")</f>
        <v>Entre 1,71m e 1,75m</v>
      </c>
      <c r="U22" s="1"/>
      <c r="V22" s="1" t="str">
        <f>IFERROR(__xludf.DUMMYFUNCTION("""COMPUTED_VALUE"""),"51 - 983116991")</f>
        <v>51 - 983116991</v>
      </c>
      <c r="W22" s="1" t="str">
        <f>IFERROR(__xludf.DUMMYFUNCTION("""COMPUTED_VALUE"""),"51 - 981401473")</f>
        <v>51 - 981401473</v>
      </c>
      <c r="X22" s="1" t="str">
        <f>IFERROR(__xludf.DUMMYFUNCTION("""COMPUTED_VALUE"""),"RS")</f>
        <v>RS</v>
      </c>
      <c r="Y22" s="1" t="str">
        <f>IFERROR(__xludf.DUMMYFUNCTION("""COMPUTED_VALUE"""),"MONTENEGRO")</f>
        <v>MONTENEGRO</v>
      </c>
      <c r="Z22" s="1">
        <f>IFERROR(__xludf.DUMMYFUNCTION("""COMPUTED_VALUE"""),92532000)</f>
        <v>92532000</v>
      </c>
      <c r="AA22" s="1" t="str">
        <f>IFERROR(__xludf.DUMMYFUNCTION("""COMPUTED_VALUE"""),"BR 386 - KM 413")</f>
        <v>BR 386 - KM 413</v>
      </c>
      <c r="AB22" s="1" t="str">
        <f>IFERROR(__xludf.DUMMYFUNCTION("""COMPUTED_VALUE"""),"VENDINHA")</f>
        <v>VENDINHA</v>
      </c>
      <c r="AC22" s="1" t="str">
        <f>IFERROR(__xludf.DUMMYFUNCTION("""COMPUTED_VALUE"""),"M")</f>
        <v>M</v>
      </c>
      <c r="AD22" s="1" t="str">
        <f>IFERROR(__xludf.DUMMYFUNCTION("""COMPUTED_VALUE"""),"G")</f>
        <v>G</v>
      </c>
      <c r="AE22" s="1" t="str">
        <f>IFERROR(__xludf.DUMMYFUNCTION("""COMPUTED_VALUE"""),"G")</f>
        <v>G</v>
      </c>
      <c r="AF22" s="1" t="str">
        <f>IFERROR(__xludf.DUMMYFUNCTION("""COMPUTED_VALUE"""),"G")</f>
        <v>G</v>
      </c>
      <c r="AG22" s="1" t="str">
        <f>IFERROR(__xludf.DUMMYFUNCTION("""COMPUTED_VALUE"""),"M")</f>
        <v>M</v>
      </c>
      <c r="AH22" s="1">
        <f>IFERROR(__xludf.DUMMYFUNCTION("""COMPUTED_VALUE"""),42)</f>
        <v>42</v>
      </c>
      <c r="AI22" s="1">
        <f>IFERROR(__xludf.DUMMYFUNCTION("""COMPUTED_VALUE"""),42)</f>
        <v>42</v>
      </c>
      <c r="AJ22" s="1">
        <f>IFERROR(__xludf.DUMMYFUNCTION("""COMPUTED_VALUE"""),42)</f>
        <v>42</v>
      </c>
      <c r="AK22" s="1">
        <f>IFERROR(__xludf.DUMMYFUNCTION("""COMPUTED_VALUE"""),42)</f>
        <v>42</v>
      </c>
      <c r="AL22" s="1" t="str">
        <f>IFERROR(__xludf.DUMMYFUNCTION("""COMPUTED_VALUE"""),"M")</f>
        <v>M</v>
      </c>
      <c r="AM22" s="1" t="str">
        <f>IFERROR(__xludf.DUMMYFUNCTION("""COMPUTED_VALUE"""),"M")</f>
        <v>M</v>
      </c>
      <c r="AN22" s="1" t="str">
        <f>IFERROR(__xludf.DUMMYFUNCTION("""COMPUTED_VALUE"""),"UNIVERSAL")</f>
        <v>UNIVERSAL</v>
      </c>
    </row>
    <row r="23" customHeight="1" spans="1:40">
      <c r="A23" s="1" t="str">
        <f>IFERROR(__xludf.DUMMYFUNCTION("""COMPUTED_VALUE"""),"02° BBM")</f>
        <v>02° BBM</v>
      </c>
      <c r="B23" s="1" t="str">
        <f>IFERROR(__xludf.DUMMYFUNCTION("""COMPUTED_VALUE"""),"Araricá")</f>
        <v>Araricá</v>
      </c>
      <c r="C23" s="119" t="str">
        <f>IFERROR(__xludf.DUMMYFUNCTION("""COMPUTED_VALUE"""),"CAB")</f>
        <v>CAB</v>
      </c>
      <c r="D23" s="119" t="str">
        <f>IFERROR(__xludf.DUMMYFUNCTION("""COMPUTED_VALUE"""),"CARLOS ALEXANDRE MOURA")</f>
        <v>CARLOS ALEXANDRE MOURA</v>
      </c>
      <c r="E23" s="119" t="str">
        <f>IFERROR(__xludf.DUMMYFUNCTION("""COMPUTED_VALUE"""),"Curso CAB operador concluído")</f>
        <v>Curso CAB operador concluído</v>
      </c>
      <c r="F23" s="1" t="str">
        <f>IFERROR(__xludf.DUMMYFUNCTION("""COMPUTED_VALUE"""),"014.403.780-70")</f>
        <v>014.403.780-70</v>
      </c>
      <c r="G23" s="1">
        <f>IFERROR(__xludf.DUMMYFUNCTION("""COMPUTED_VALUE"""),3083238561)</f>
        <v>3083238561</v>
      </c>
      <c r="H23" s="1" t="str">
        <f>IFERROR(__xludf.DUMMYFUNCTION("""COMPUTED_VALUE"""),"combatente /socorrista/ condutor")</f>
        <v>combatente /socorrista/ condutor</v>
      </c>
      <c r="I23" s="1" t="str">
        <f>IFERROR(__xludf.DUMMYFUNCTION("""COMPUTED_VALUE"""),"combatente/ socorrista e condutor")</f>
        <v>combatente/ socorrista e condutor</v>
      </c>
      <c r="J23" s="1" t="str">
        <f>IFERROR(__xludf.DUMMYFUNCTION("""COMPUTED_VALUE"""),"Sim")</f>
        <v>Sim</v>
      </c>
      <c r="K23" s="1" t="str">
        <f>IFERROR(__xludf.DUMMYFUNCTION("""COMPUTED_VALUE"""),"Não")</f>
        <v>Não</v>
      </c>
      <c r="L23" s="1" t="str">
        <f>IFERROR(__xludf.DUMMYFUNCTION("""COMPUTED_VALUE"""),"O+")</f>
        <v>O+</v>
      </c>
      <c r="M23" s="1" t="str">
        <f>IFERROR(__xludf.DUMMYFUNCTION("""COMPUTED_VALUE"""),"MOURA")</f>
        <v>MOURA</v>
      </c>
      <c r="N23" s="120">
        <f>IFERROR(__xludf.DUMMYFUNCTION("""COMPUTED_VALUE"""),32190)</f>
        <v>32190</v>
      </c>
      <c r="O23" s="1" t="str">
        <f>IFERROR(__xludf.DUMMYFUNCTION("""COMPUTED_VALUE"""),"Masculino")</f>
        <v>Masculino</v>
      </c>
      <c r="P23" s="1" t="str">
        <f>IFERROR(__xludf.DUMMYFUNCTION("""COMPUTED_VALUE"""),"Branca")</f>
        <v>Branca</v>
      </c>
      <c r="Q23" s="1" t="str">
        <f>IFERROR(__xludf.DUMMYFUNCTION("""COMPUTED_VALUE"""),"Ensino Médio")</f>
        <v>Ensino Médio</v>
      </c>
      <c r="R23" s="1" t="str">
        <f>IFERROR(__xludf.DUMMYFUNCTION("""COMPUTED_VALUE"""),"alexandre.moura88@outlook.com")</f>
        <v>alexandre.moura88@outlook.com</v>
      </c>
      <c r="S23" s="1">
        <f>IFERROR(__xludf.DUMMYFUNCTION("""COMPUTED_VALUE"""),95)</f>
        <v>95</v>
      </c>
      <c r="T23" s="1" t="str">
        <f>IFERROR(__xludf.DUMMYFUNCTION("""COMPUTED_VALUE"""),"Entre 1,81m e 1,85m")</f>
        <v>Entre 1,81m e 1,85m</v>
      </c>
      <c r="U23" s="1"/>
      <c r="V23" s="1">
        <f>IFERROR(__xludf.DUMMYFUNCTION("""COMPUTED_VALUE"""),51997106400)</f>
        <v>51997106400</v>
      </c>
      <c r="W23" s="1">
        <f>IFERROR(__xludf.DUMMYFUNCTION("""COMPUTED_VALUE"""),57997106400)</f>
        <v>57997106400</v>
      </c>
      <c r="X23" s="1" t="str">
        <f>IFERROR(__xludf.DUMMYFUNCTION("""COMPUTED_VALUE"""),"RS")</f>
        <v>RS</v>
      </c>
      <c r="Y23" s="1" t="str">
        <f>IFERROR(__xludf.DUMMYFUNCTION("""COMPUTED_VALUE"""),"Parobé")</f>
        <v>Parobé</v>
      </c>
      <c r="Z23" s="1" t="str">
        <f>IFERROR(__xludf.DUMMYFUNCTION("""COMPUTED_VALUE"""),"95630-000")</f>
        <v>95630-000</v>
      </c>
      <c r="AA23" s="1" t="str">
        <f>IFERROR(__xludf.DUMMYFUNCTION("""COMPUTED_VALUE"""),"Rua Tupi 160")</f>
        <v>Rua Tupi 160</v>
      </c>
      <c r="AB23" s="1" t="str">
        <f>IFERROR(__xludf.DUMMYFUNCTION("""COMPUTED_VALUE"""),"Nova Parobé")</f>
        <v>Nova Parobé</v>
      </c>
      <c r="AC23" s="1" t="str">
        <f>IFERROR(__xludf.DUMMYFUNCTION("""COMPUTED_VALUE"""),"GG")</f>
        <v>GG</v>
      </c>
      <c r="AD23" s="1" t="str">
        <f>IFERROR(__xludf.DUMMYFUNCTION("""COMPUTED_VALUE"""),"G")</f>
        <v>G</v>
      </c>
      <c r="AE23" s="1" t="str">
        <f>IFERROR(__xludf.DUMMYFUNCTION("""COMPUTED_VALUE"""),"G")</f>
        <v>G</v>
      </c>
      <c r="AF23" s="1" t="str">
        <f>IFERROR(__xludf.DUMMYFUNCTION("""COMPUTED_VALUE"""),"GG")</f>
        <v>GG</v>
      </c>
      <c r="AG23" s="1" t="str">
        <f>IFERROR(__xludf.DUMMYFUNCTION("""COMPUTED_VALUE"""),"GG")</f>
        <v>GG</v>
      </c>
      <c r="AH23" s="1">
        <f>IFERROR(__xludf.DUMMYFUNCTION("""COMPUTED_VALUE"""),42)</f>
        <v>42</v>
      </c>
      <c r="AI23" s="1">
        <f>IFERROR(__xludf.DUMMYFUNCTION("""COMPUTED_VALUE"""),42)</f>
        <v>42</v>
      </c>
      <c r="AJ23" s="1">
        <f>IFERROR(__xludf.DUMMYFUNCTION("""COMPUTED_VALUE"""),42)</f>
        <v>42</v>
      </c>
      <c r="AK23" s="1">
        <f>IFERROR(__xludf.DUMMYFUNCTION("""COMPUTED_VALUE"""),42)</f>
        <v>42</v>
      </c>
      <c r="AL23" s="1" t="str">
        <f>IFERROR(__xludf.DUMMYFUNCTION("""COMPUTED_VALUE"""),"GG")</f>
        <v>GG</v>
      </c>
      <c r="AM23" s="1" t="str">
        <f>IFERROR(__xludf.DUMMYFUNCTION("""COMPUTED_VALUE"""),"G")</f>
        <v>G</v>
      </c>
      <c r="AN23" s="1" t="str">
        <f>IFERROR(__xludf.DUMMYFUNCTION("""COMPUTED_VALUE"""),"G")</f>
        <v>G</v>
      </c>
    </row>
    <row r="24" customHeight="1" spans="1:40">
      <c r="A24" s="1" t="str">
        <f>IFERROR(__xludf.DUMMYFUNCTION("""COMPUTED_VALUE"""),"02° BBM")</f>
        <v>02° BBM</v>
      </c>
      <c r="B24" s="1" t="str">
        <f>IFERROR(__xludf.DUMMYFUNCTION("""COMPUTED_VALUE"""),"Araricá")</f>
        <v>Araricá</v>
      </c>
      <c r="C24" s="119" t="str">
        <f>IFERROR(__xludf.DUMMYFUNCTION("""COMPUTED_VALUE"""),"CAB")</f>
        <v>CAB</v>
      </c>
      <c r="D24" s="119" t="str">
        <f>IFERROR(__xludf.DUMMYFUNCTION("""COMPUTED_VALUE"""),"CÁSSIO RODRIGO PEREIRA")</f>
        <v>CÁSSIO RODRIGO PEREIRA</v>
      </c>
      <c r="E24" s="119" t="str">
        <f>IFERROR(__xludf.DUMMYFUNCTION("""COMPUTED_VALUE"""),"Módulo 2 e 3 concluído")</f>
        <v>Módulo 2 e 3 concluído</v>
      </c>
      <c r="F24" s="1" t="str">
        <f>IFERROR(__xludf.DUMMYFUNCTION("""COMPUTED_VALUE"""),"809.894.970-20")</f>
        <v>809.894.970-20</v>
      </c>
      <c r="G24" s="1">
        <f>IFERROR(__xludf.DUMMYFUNCTION("""COMPUTED_VALUE"""),7052412165)</f>
        <v>7052412165</v>
      </c>
      <c r="H24" s="1" t="str">
        <f>IFERROR(__xludf.DUMMYFUNCTION("""COMPUTED_VALUE"""),"Combatente e Socorrista")</f>
        <v>Combatente e Socorrista</v>
      </c>
      <c r="I24" s="1" t="str">
        <f>IFERROR(__xludf.DUMMYFUNCTION("""COMPUTED_VALUE"""),"Bombeiro Voluntario/APH/BLS. Tec de enfermagem. Bombeiro civil classe III")</f>
        <v>Bombeiro Voluntario/APH/BLS. Tec de enfermagem. Bombeiro civil classe III</v>
      </c>
      <c r="J24" s="1" t="str">
        <f>IFERROR(__xludf.DUMMYFUNCTION("""COMPUTED_VALUE"""),"Sim")</f>
        <v>Sim</v>
      </c>
      <c r="K24" s="1" t="str">
        <f>IFERROR(__xludf.DUMMYFUNCTION("""COMPUTED_VALUE"""),"Não")</f>
        <v>Não</v>
      </c>
      <c r="L24" s="1" t="str">
        <f>IFERROR(__xludf.DUMMYFUNCTION("""COMPUTED_VALUE"""),"O+")</f>
        <v>O+</v>
      </c>
      <c r="M24" s="1" t="str">
        <f>IFERROR(__xludf.DUMMYFUNCTION("""COMPUTED_VALUE"""),"CÁSSIO")</f>
        <v>CÁSSIO</v>
      </c>
      <c r="N24" s="120">
        <f>IFERROR(__xludf.DUMMYFUNCTION("""COMPUTED_VALUE"""),28634)</f>
        <v>28634</v>
      </c>
      <c r="O24" s="1" t="str">
        <f>IFERROR(__xludf.DUMMYFUNCTION("""COMPUTED_VALUE"""),"Masculino")</f>
        <v>Masculino</v>
      </c>
      <c r="P24" s="1" t="str">
        <f>IFERROR(__xludf.DUMMYFUNCTION("""COMPUTED_VALUE"""),"Preta")</f>
        <v>Preta</v>
      </c>
      <c r="Q24" s="1" t="str">
        <f>IFERROR(__xludf.DUMMYFUNCTION("""COMPUTED_VALUE"""),"Ensino Médio")</f>
        <v>Ensino Médio</v>
      </c>
      <c r="R24" s="1" t="str">
        <f>IFERROR(__xludf.DUMMYFUNCTION("""COMPUTED_VALUE"""),"rodrigopereiracasssio@gmail.com")</f>
        <v>rodrigopereiracasssio@gmail.com</v>
      </c>
      <c r="S24" s="1">
        <f>IFERROR(__xludf.DUMMYFUNCTION("""COMPUTED_VALUE"""),95)</f>
        <v>95</v>
      </c>
      <c r="T24" s="1" t="str">
        <f>IFERROR(__xludf.DUMMYFUNCTION("""COMPUTED_VALUE"""),"Entre 1,81m e 1,85m")</f>
        <v>Entre 1,81m e 1,85m</v>
      </c>
      <c r="U24" s="1" t="str">
        <f>IFERROR(__xludf.DUMMYFUNCTION("""COMPUTED_VALUE"""),"(51) 3593-5531")</f>
        <v>(51) 3593-5531</v>
      </c>
      <c r="V24" s="1">
        <f>IFERROR(__xludf.DUMMYFUNCTION("""COMPUTED_VALUE"""),51999561369)</f>
        <v>51999561369</v>
      </c>
      <c r="W24" s="1">
        <f>IFERROR(__xludf.DUMMYFUNCTION("""COMPUTED_VALUE"""),51993736246)</f>
        <v>51993736246</v>
      </c>
      <c r="X24" s="1" t="str">
        <f>IFERROR(__xludf.DUMMYFUNCTION("""COMPUTED_VALUE"""),"RS")</f>
        <v>RS</v>
      </c>
      <c r="Y24" s="1" t="str">
        <f>IFERROR(__xludf.DUMMYFUNCTION("""COMPUTED_VALUE"""),"Novo Hamburgo")</f>
        <v>Novo Hamburgo</v>
      </c>
      <c r="Z24" s="1">
        <f>IFERROR(__xludf.DUMMYFUNCTION("""COMPUTED_VALUE"""),93415390)</f>
        <v>93415390</v>
      </c>
      <c r="AA24" s="1" t="str">
        <f>IFERROR(__xludf.DUMMYFUNCTION("""COMPUTED_VALUE"""),"Rua Bahia 66")</f>
        <v>Rua Bahia 66</v>
      </c>
      <c r="AB24" s="1" t="str">
        <f>IFERROR(__xludf.DUMMYFUNCTION("""COMPUTED_VALUE"""),"Rondônia")</f>
        <v>Rondônia</v>
      </c>
      <c r="AC24" s="1" t="str">
        <f>IFERROR(__xludf.DUMMYFUNCTION("""COMPUTED_VALUE"""),"G")</f>
        <v>G</v>
      </c>
      <c r="AD24" s="1" t="str">
        <f>IFERROR(__xludf.DUMMYFUNCTION("""COMPUTED_VALUE"""),"GG")</f>
        <v>GG</v>
      </c>
      <c r="AE24" s="1" t="str">
        <f>IFERROR(__xludf.DUMMYFUNCTION("""COMPUTED_VALUE"""),"GG")</f>
        <v>GG</v>
      </c>
      <c r="AF24" s="1" t="str">
        <f>IFERROR(__xludf.DUMMYFUNCTION("""COMPUTED_VALUE"""),"GG")</f>
        <v>GG</v>
      </c>
      <c r="AG24" s="1" t="str">
        <f>IFERROR(__xludf.DUMMYFUNCTION("""COMPUTED_VALUE"""),"G")</f>
        <v>G</v>
      </c>
      <c r="AH24" s="1">
        <f>IFERROR(__xludf.DUMMYFUNCTION("""COMPUTED_VALUE"""),42)</f>
        <v>42</v>
      </c>
      <c r="AI24" s="1">
        <f>IFERROR(__xludf.DUMMYFUNCTION("""COMPUTED_VALUE"""),42)</f>
        <v>42</v>
      </c>
      <c r="AJ24" s="1">
        <f>IFERROR(__xludf.DUMMYFUNCTION("""COMPUTED_VALUE"""),42)</f>
        <v>42</v>
      </c>
      <c r="AK24" s="1">
        <f>IFERROR(__xludf.DUMMYFUNCTION("""COMPUTED_VALUE"""),42)</f>
        <v>42</v>
      </c>
      <c r="AL24" s="1" t="str">
        <f>IFERROR(__xludf.DUMMYFUNCTION("""COMPUTED_VALUE"""),"GG")</f>
        <v>GG</v>
      </c>
      <c r="AM24" s="1" t="str">
        <f>IFERROR(__xludf.DUMMYFUNCTION("""COMPUTED_VALUE"""),"G")</f>
        <v>G</v>
      </c>
      <c r="AN24" s="1" t="str">
        <f>IFERROR(__xludf.DUMMYFUNCTION("""COMPUTED_VALUE"""),"G")</f>
        <v>G</v>
      </c>
    </row>
    <row r="25" customHeight="1" spans="1:40">
      <c r="A25" s="1"/>
      <c r="B25" s="1"/>
      <c r="C25" s="119"/>
      <c r="D25" s="119" t="str">
        <f>IFERROR(__xludf.DUMMYFUNCTION("""COMPUTED_VALUE"""),"DAIANE ANDRÉA MAUHS")</f>
        <v>DAIANE ANDRÉA MAUHS</v>
      </c>
      <c r="E25" s="119" t="str">
        <f>IFERROR(__xludf.DUMMYFUNCTION("""COMPUTED_VALUE"""),"Curso CAB operador concluído")</f>
        <v>Curso CAB operador concluído</v>
      </c>
      <c r="F25" s="1" t="str">
        <f>IFERROR(__xludf.DUMMYFUNCTION("""COMPUTED_VALUE"""),"002.056.700.67")</f>
        <v>002.056.700.67</v>
      </c>
      <c r="G25" s="1"/>
      <c r="H25" s="1"/>
      <c r="I25" s="1"/>
      <c r="J25" s="1"/>
      <c r="K25" s="1"/>
      <c r="L25" s="1"/>
      <c r="M25" s="1"/>
      <c r="N25" s="120"/>
      <c r="O25" s="1"/>
      <c r="P25" s="1"/>
      <c r="Q25" s="1"/>
      <c r="R25" s="1"/>
      <c r="S25" s="1"/>
      <c r="T25" s="1"/>
      <c r="U25" s="1"/>
      <c r="V25" s="1"/>
      <c r="W25" s="1"/>
      <c r="X25" s="1"/>
      <c r="Y25" s="1"/>
      <c r="Z25" s="1"/>
      <c r="AA25" s="1"/>
      <c r="AB25" s="1"/>
      <c r="AC25" s="1"/>
      <c r="AD25" s="1"/>
      <c r="AE25" s="1"/>
      <c r="AF25" s="1"/>
      <c r="AG25" s="1"/>
      <c r="AH25" s="1"/>
      <c r="AI25" s="1"/>
      <c r="AJ25" s="1"/>
      <c r="AK25" s="1"/>
      <c r="AL25" s="1"/>
      <c r="AM25" s="1"/>
      <c r="AN25" s="1"/>
    </row>
    <row r="26" customHeight="1" spans="1:40">
      <c r="A26" s="1" t="str">
        <f>IFERROR(__xludf.DUMMYFUNCTION("""COMPUTED_VALUE"""),"02° BBM")</f>
        <v>02° BBM</v>
      </c>
      <c r="B26" s="1" t="str">
        <f>IFERROR(__xludf.DUMMYFUNCTION("""COMPUTED_VALUE"""),"Estância Velha")</f>
        <v>Estância Velha</v>
      </c>
      <c r="C26" s="119" t="str">
        <f>IFERROR(__xludf.DUMMYFUNCTION("""COMPUTED_VALUE"""),"Comunitario")</f>
        <v>Comunitario</v>
      </c>
      <c r="D26" s="119" t="str">
        <f>IFERROR(__xludf.DUMMYFUNCTION("""COMPUTED_VALUE"""),"DANIEL BOENI OK")</f>
        <v>DANIEL BOENI OK</v>
      </c>
      <c r="E26" s="119" t="str">
        <f>IFERROR(__xludf.DUMMYFUNCTION("""COMPUTED_VALUE"""),"")</f>
        <v/>
      </c>
      <c r="F26" s="1" t="str">
        <f>IFERROR(__xludf.DUMMYFUNCTION("""COMPUTED_VALUE"""),"027.832.520-31")</f>
        <v>027.832.520-31</v>
      </c>
      <c r="G26" s="1">
        <f>IFERROR(__xludf.DUMMYFUNCTION("""COMPUTED_VALUE"""),7094501421)</f>
        <v>7094501421</v>
      </c>
      <c r="H26" s="1" t="str">
        <f>IFERROR(__xludf.DUMMYFUNCTION("""COMPUTED_VALUE"""),"Combatente e Socorrista")</f>
        <v>Combatente e Socorrista</v>
      </c>
      <c r="I26" s="1" t="str">
        <f>IFERROR(__xludf.DUMMYFUNCTION("""COMPUTED_VALUE"""),"Bombeiro Voluntario, Tecnico em enfermagem - Instrumentação Cirurgica, Bombeiro Civil")</f>
        <v>Bombeiro Voluntario, Tecnico em enfermagem - Instrumentação Cirurgica, Bombeiro Civil</v>
      </c>
      <c r="J26" s="1" t="str">
        <f>IFERROR(__xludf.DUMMYFUNCTION("""COMPUTED_VALUE"""),"Sim")</f>
        <v>Sim</v>
      </c>
      <c r="K26" s="1" t="str">
        <f>IFERROR(__xludf.DUMMYFUNCTION("""COMPUTED_VALUE"""),"Não")</f>
        <v>Não</v>
      </c>
      <c r="L26" s="1" t="str">
        <f>IFERROR(__xludf.DUMMYFUNCTION("""COMPUTED_VALUE"""),"A+")</f>
        <v>A+</v>
      </c>
      <c r="M26" s="1" t="str">
        <f>IFERROR(__xludf.DUMMYFUNCTION("""COMPUTED_VALUE"""),"Boeni")</f>
        <v>Boeni</v>
      </c>
      <c r="N26" s="120">
        <f>IFERROR(__xludf.DUMMYFUNCTION("""COMPUTED_VALUE"""),33638)</f>
        <v>33638</v>
      </c>
      <c r="O26" s="1" t="str">
        <f>IFERROR(__xludf.DUMMYFUNCTION("""COMPUTED_VALUE"""),"Masculino")</f>
        <v>Masculino</v>
      </c>
      <c r="P26" s="1" t="str">
        <f>IFERROR(__xludf.DUMMYFUNCTION("""COMPUTED_VALUE"""),"Branca")</f>
        <v>Branca</v>
      </c>
      <c r="Q26" s="1" t="str">
        <f>IFERROR(__xludf.DUMMYFUNCTION("""COMPUTED_VALUE"""),"Ensino Médio")</f>
        <v>Ensino Médio</v>
      </c>
      <c r="R26" s="1" t="str">
        <f>IFERROR(__xludf.DUMMYFUNCTION("""COMPUTED_VALUE"""),"danielboeni25@gmail.com")</f>
        <v>danielboeni25@gmail.com</v>
      </c>
      <c r="S26" s="1" t="str">
        <f>IFERROR(__xludf.DUMMYFUNCTION("""COMPUTED_VALUE"""),"90 kg")</f>
        <v>90 kg</v>
      </c>
      <c r="T26" s="1" t="str">
        <f>IFERROR(__xludf.DUMMYFUNCTION("""COMPUTED_VALUE"""),"Entre 1,86m e 1,90m")</f>
        <v>Entre 1,86m e 1,90m</v>
      </c>
      <c r="U26" s="1"/>
      <c r="V26" s="1" t="str">
        <f>IFERROR(__xludf.DUMMYFUNCTION("""COMPUTED_VALUE"""),"(51)996393935")</f>
        <v>(51)996393935</v>
      </c>
      <c r="W26" s="1"/>
      <c r="X26" s="1" t="str">
        <f>IFERROR(__xludf.DUMMYFUNCTION("""COMPUTED_VALUE"""),"RS")</f>
        <v>RS</v>
      </c>
      <c r="Y26" s="1" t="str">
        <f>IFERROR(__xludf.DUMMYFUNCTION("""COMPUTED_VALUE"""),"Novo Hamburgo")</f>
        <v>Novo Hamburgo</v>
      </c>
      <c r="Z26" s="1" t="str">
        <f>IFERROR(__xludf.DUMMYFUNCTION("""COMPUTED_VALUE"""),"93346-290")</f>
        <v>93346-290</v>
      </c>
      <c r="AA26" s="1" t="str">
        <f>IFERROR(__xludf.DUMMYFUNCTION("""COMPUTED_VALUE"""),"Rua Finlandia")</f>
        <v>Rua Finlandia</v>
      </c>
      <c r="AB26" s="1" t="str">
        <f>IFERROR(__xludf.DUMMYFUNCTION("""COMPUTED_VALUE"""),"Petropolis")</f>
        <v>Petropolis</v>
      </c>
      <c r="AC26" s="1" t="str">
        <f>IFERROR(__xludf.DUMMYFUNCTION("""COMPUTED_VALUE"""),"GG")</f>
        <v>GG</v>
      </c>
      <c r="AD26" s="1" t="str">
        <f>IFERROR(__xludf.DUMMYFUNCTION("""COMPUTED_VALUE"""),"GG")</f>
        <v>GG</v>
      </c>
      <c r="AE26" s="1" t="str">
        <f>IFERROR(__xludf.DUMMYFUNCTION("""COMPUTED_VALUE"""),"GG")</f>
        <v>GG</v>
      </c>
      <c r="AF26" s="1" t="str">
        <f>IFERROR(__xludf.DUMMYFUNCTION("""COMPUTED_VALUE"""),"GG")</f>
        <v>GG</v>
      </c>
      <c r="AG26" s="1" t="str">
        <f>IFERROR(__xludf.DUMMYFUNCTION("""COMPUTED_VALUE"""),"G")</f>
        <v>G</v>
      </c>
      <c r="AH26" s="1">
        <f>IFERROR(__xludf.DUMMYFUNCTION("""COMPUTED_VALUE"""),46)</f>
        <v>46</v>
      </c>
      <c r="AI26" s="1">
        <f>IFERROR(__xludf.DUMMYFUNCTION("""COMPUTED_VALUE"""),44)</f>
        <v>44</v>
      </c>
      <c r="AJ26" s="1">
        <f>IFERROR(__xludf.DUMMYFUNCTION("""COMPUTED_VALUE"""),45)</f>
        <v>45</v>
      </c>
      <c r="AK26" s="1">
        <f>IFERROR(__xludf.DUMMYFUNCTION("""COMPUTED_VALUE"""),44)</f>
        <v>44</v>
      </c>
      <c r="AL26" s="1" t="str">
        <f>IFERROR(__xludf.DUMMYFUNCTION("""COMPUTED_VALUE"""),"GG")</f>
        <v>GG</v>
      </c>
      <c r="AM26" s="1" t="str">
        <f>IFERROR(__xludf.DUMMYFUNCTION("""COMPUTED_VALUE"""),"GG")</f>
        <v>GG</v>
      </c>
      <c r="AN26" s="1" t="str">
        <f>IFERROR(__xludf.DUMMYFUNCTION("""COMPUTED_VALUE"""),"GG")</f>
        <v>GG</v>
      </c>
    </row>
    <row r="27" customHeight="1" spans="1:40">
      <c r="A27" s="1" t="str">
        <f>IFERROR(__xludf.DUMMYFUNCTION("""COMPUTED_VALUE"""),"02° BBM")</f>
        <v>02° BBM</v>
      </c>
      <c r="B27" s="1" t="str">
        <f>IFERROR(__xludf.DUMMYFUNCTION("""COMPUTED_VALUE"""),"Novo Hamburgo")</f>
        <v>Novo Hamburgo</v>
      </c>
      <c r="C27" s="119" t="str">
        <f>IFERROR(__xludf.DUMMYFUNCTION("""COMPUTED_VALUE"""),"Comunitario")</f>
        <v>Comunitario</v>
      </c>
      <c r="D27" s="119" t="str">
        <f>IFERROR(__xludf.DUMMYFUNCTION("""COMPUTED_VALUE"""),"DANIEL CALEBE BUENO DA SILVA")</f>
        <v>DANIEL CALEBE BUENO DA SILVA</v>
      </c>
      <c r="E27" s="119" t="str">
        <f>IFERROR(__xludf.DUMMYFUNCTION("""COMPUTED_VALUE"""),"")</f>
        <v/>
      </c>
      <c r="F27" s="1" t="str">
        <f>IFERROR(__xludf.DUMMYFUNCTION("""COMPUTED_VALUE"""),"041.098.040-43")</f>
        <v>041.098.040-43</v>
      </c>
      <c r="G27" s="1">
        <f>IFERROR(__xludf.DUMMYFUNCTION("""COMPUTED_VALUE"""),1123535005)</f>
        <v>1123535005</v>
      </c>
      <c r="H27" s="1" t="str">
        <f>IFERROR(__xludf.DUMMYFUNCTION("""COMPUTED_VALUE"""),"Combatente")</f>
        <v>Combatente</v>
      </c>
      <c r="I27" s="1" t="str">
        <f>IFERROR(__xludf.DUMMYFUNCTION("""COMPUTED_VALUE"""),"Bombeiro Voluntário, Combate a incêndio, APH")</f>
        <v>Bombeiro Voluntário, Combate a incêndio, APH</v>
      </c>
      <c r="J27" s="1" t="str">
        <f>IFERROR(__xludf.DUMMYFUNCTION("""COMPUTED_VALUE"""),"Sim")</f>
        <v>Sim</v>
      </c>
      <c r="K27" s="1" t="str">
        <f>IFERROR(__xludf.DUMMYFUNCTION("""COMPUTED_VALUE"""),"Sim")</f>
        <v>Sim</v>
      </c>
      <c r="L27" s="1"/>
      <c r="M27" s="1" t="str">
        <f>IFERROR(__xludf.DUMMYFUNCTION("""COMPUTED_VALUE"""),"CALEBE ")</f>
        <v>CALEBE </v>
      </c>
      <c r="N27" s="121">
        <f>IFERROR(__xludf.DUMMYFUNCTION("""COMPUTED_VALUE"""),36144)</f>
        <v>36144</v>
      </c>
      <c r="O27" s="1" t="str">
        <f>IFERROR(__xludf.DUMMYFUNCTION("""COMPUTED_VALUE"""),"Masculino")</f>
        <v>Masculino</v>
      </c>
      <c r="P27" s="1" t="str">
        <f>IFERROR(__xludf.DUMMYFUNCTION("""COMPUTED_VALUE"""),"Branca")</f>
        <v>Branca</v>
      </c>
      <c r="Q27" s="1" t="str">
        <f>IFERROR(__xludf.DUMMYFUNCTION("""COMPUTED_VALUE"""),"Ensino Médio")</f>
        <v>Ensino Médio</v>
      </c>
      <c r="R27" s="1" t="str">
        <f>IFERROR(__xludf.DUMMYFUNCTION("""COMPUTED_VALUE"""),"danielsilvacalebenh@gmail.com")</f>
        <v>danielsilvacalebenh@gmail.com</v>
      </c>
      <c r="S27" s="1">
        <f>IFERROR(__xludf.DUMMYFUNCTION("""COMPUTED_VALUE"""),85)</f>
        <v>85</v>
      </c>
      <c r="T27" s="1" t="str">
        <f>IFERROR(__xludf.DUMMYFUNCTION("""COMPUTED_VALUE"""),"Entre 1,81m e 1,85m")</f>
        <v>Entre 1,81m e 1,85m</v>
      </c>
      <c r="U27" s="1"/>
      <c r="V27" s="1" t="str">
        <f>IFERROR(__xludf.DUMMYFUNCTION("""COMPUTED_VALUE"""),"(51)981229120")</f>
        <v>(51)981229120</v>
      </c>
      <c r="W27" s="1" t="str">
        <f>IFERROR(__xludf.DUMMYFUNCTION("""COMPUTED_VALUE"""),"(51)981998288")</f>
        <v>(51)981998288</v>
      </c>
      <c r="X27" s="1" t="str">
        <f>IFERROR(__xludf.DUMMYFUNCTION("""COMPUTED_VALUE"""),"RS")</f>
        <v>RS</v>
      </c>
      <c r="Y27" s="1" t="str">
        <f>IFERROR(__xludf.DUMMYFUNCTION("""COMPUTED_VALUE"""),"Novo Hamburgo")</f>
        <v>Novo Hamburgo</v>
      </c>
      <c r="Z27" s="1" t="str">
        <f>IFERROR(__xludf.DUMMYFUNCTION("""COMPUTED_VALUE"""),"93544-340")</f>
        <v>93544-340</v>
      </c>
      <c r="AA27" s="1" t="str">
        <f>IFERROR(__xludf.DUMMYFUNCTION("""COMPUTED_VALUE"""),"Rua Carlito Kaiser, 342")</f>
        <v>Rua Carlito Kaiser, 342</v>
      </c>
      <c r="AB27" s="1" t="str">
        <f>IFERROR(__xludf.DUMMYFUNCTION("""COMPUTED_VALUE"""),"Canudos ")</f>
        <v>Canudos </v>
      </c>
      <c r="AC27" s="1" t="str">
        <f>IFERROR(__xludf.DUMMYFUNCTION("""COMPUTED_VALUE"""),"G")</f>
        <v>G</v>
      </c>
      <c r="AD27" s="1" t="str">
        <f>IFERROR(__xludf.DUMMYFUNCTION("""COMPUTED_VALUE"""),"G")</f>
        <v>G</v>
      </c>
      <c r="AE27" s="1" t="str">
        <f>IFERROR(__xludf.DUMMYFUNCTION("""COMPUTED_VALUE"""),"M")</f>
        <v>M</v>
      </c>
      <c r="AF27" s="1" t="str">
        <f>IFERROR(__xludf.DUMMYFUNCTION("""COMPUTED_VALUE"""),"M")</f>
        <v>M</v>
      </c>
      <c r="AG27" s="1" t="str">
        <f>IFERROR(__xludf.DUMMYFUNCTION("""COMPUTED_VALUE"""),"G")</f>
        <v>G</v>
      </c>
      <c r="AH27" s="1">
        <f>IFERROR(__xludf.DUMMYFUNCTION("""COMPUTED_VALUE"""),42)</f>
        <v>42</v>
      </c>
      <c r="AI27" s="1">
        <f>IFERROR(__xludf.DUMMYFUNCTION("""COMPUTED_VALUE"""),42)</f>
        <v>42</v>
      </c>
      <c r="AJ27" s="1">
        <f>IFERROR(__xludf.DUMMYFUNCTION("""COMPUTED_VALUE"""),43)</f>
        <v>43</v>
      </c>
      <c r="AK27" s="1">
        <f>IFERROR(__xludf.DUMMYFUNCTION("""COMPUTED_VALUE"""),43)</f>
        <v>43</v>
      </c>
      <c r="AL27" s="1" t="str">
        <f>IFERROR(__xludf.DUMMYFUNCTION("""COMPUTED_VALUE"""),"G")</f>
        <v>G</v>
      </c>
      <c r="AM27" s="1" t="str">
        <f>IFERROR(__xludf.DUMMYFUNCTION("""COMPUTED_VALUE"""),"M")</f>
        <v>M</v>
      </c>
      <c r="AN27" s="1" t="str">
        <f>IFERROR(__xludf.DUMMYFUNCTION("""COMPUTED_VALUE"""),"M")</f>
        <v>M</v>
      </c>
    </row>
    <row r="28" customHeight="1" spans="1:40">
      <c r="A28" s="1" t="str">
        <f>IFERROR(__xludf.DUMMYFUNCTION("""COMPUTED_VALUE"""),"02° BBM")</f>
        <v>02° BBM</v>
      </c>
      <c r="B28" s="1" t="str">
        <f>IFERROR(__xludf.DUMMYFUNCTION("""COMPUTED_VALUE"""),"Montenegro")</f>
        <v>Montenegro</v>
      </c>
      <c r="C28" s="119" t="str">
        <f>IFERROR(__xludf.DUMMYFUNCTION("""COMPUTED_VALUE"""),"Comunitario")</f>
        <v>Comunitario</v>
      </c>
      <c r="D28" s="119" t="str">
        <f>IFERROR(__xludf.DUMMYFUNCTION("""COMPUTED_VALUE"""),"DIEGO ALBERTO VEIMILLER")</f>
        <v>DIEGO ALBERTO VEIMILLER</v>
      </c>
      <c r="E28" s="119" t="str">
        <f>IFERROR(__xludf.DUMMYFUNCTION("""COMPUTED_VALUE"""),"")</f>
        <v/>
      </c>
      <c r="F28" s="1" t="str">
        <f>IFERROR(__xludf.DUMMYFUNCTION("""COMPUTED_VALUE"""),"017.713.640-50")</f>
        <v>017.713.640-50</v>
      </c>
      <c r="G28" s="1">
        <f>IFERROR(__xludf.DUMMYFUNCTION("""COMPUTED_VALUE"""),8067026446)</f>
        <v>8067026446</v>
      </c>
      <c r="H28" s="1" t="str">
        <f>IFERROR(__xludf.DUMMYFUNCTION("""COMPUTED_VALUE"""),"Coordenador/combatente")</f>
        <v>Coordenador/combatente</v>
      </c>
      <c r="I28" s="1" t="str">
        <f>IFERROR(__xludf.DUMMYFUNCTION("""COMPUTED_VALUE"""),"Bombeiro Voluntário, Bombeiro Civil, APH, BLS")</f>
        <v>Bombeiro Voluntário, Bombeiro Civil, APH, BLS</v>
      </c>
      <c r="J28" s="1" t="str">
        <f>IFERROR(__xludf.DUMMYFUNCTION("""COMPUTED_VALUE"""),"Sim")</f>
        <v>Sim</v>
      </c>
      <c r="K28" s="1" t="str">
        <f>IFERROR(__xludf.DUMMYFUNCTION("""COMPUTED_VALUE"""),"Não")</f>
        <v>Não</v>
      </c>
      <c r="L28" s="1" t="str">
        <f>IFERROR(__xludf.DUMMYFUNCTION("""COMPUTED_VALUE"""),"A+")</f>
        <v>A+</v>
      </c>
      <c r="M28" s="1" t="str">
        <f>IFERROR(__xludf.DUMMYFUNCTION("""COMPUTED_VALUE"""),"ALBERTO")</f>
        <v>ALBERTO</v>
      </c>
      <c r="N28" s="121">
        <f>IFERROR(__xludf.DUMMYFUNCTION("""COMPUTED_VALUE"""),32071)</f>
        <v>32071</v>
      </c>
      <c r="O28" s="1" t="str">
        <f>IFERROR(__xludf.DUMMYFUNCTION("""COMPUTED_VALUE"""),"Masculino")</f>
        <v>Masculino</v>
      </c>
      <c r="P28" s="1" t="str">
        <f>IFERROR(__xludf.DUMMYFUNCTION("""COMPUTED_VALUE"""),"Branca")</f>
        <v>Branca</v>
      </c>
      <c r="Q28" s="1" t="str">
        <f>IFERROR(__xludf.DUMMYFUNCTION("""COMPUTED_VALUE"""),"Ensino Médio")</f>
        <v>Ensino Médio</v>
      </c>
      <c r="R28" s="1" t="str">
        <f>IFERROR(__xludf.DUMMYFUNCTION("""COMPUTED_VALUE"""),"diegobombeiro@gmail.com")</f>
        <v>diegobombeiro@gmail.com</v>
      </c>
      <c r="S28" s="1">
        <f>IFERROR(__xludf.DUMMYFUNCTION("""COMPUTED_VALUE"""),115)</f>
        <v>115</v>
      </c>
      <c r="T28" s="1" t="str">
        <f>IFERROR(__xludf.DUMMYFUNCTION("""COMPUTED_VALUE"""),"Entre 1,81m e 1,85m")</f>
        <v>Entre 1,81m e 1,85m</v>
      </c>
      <c r="U28" s="1" t="str">
        <f>IFERROR(__xludf.DUMMYFUNCTION("""COMPUTED_VALUE"""),"Não")</f>
        <v>Não</v>
      </c>
      <c r="V28" s="1" t="str">
        <f>IFERROR(__xludf.DUMMYFUNCTION("""COMPUTED_VALUE"""),"(51)98194-2153")</f>
        <v>(51)98194-2153</v>
      </c>
      <c r="W28" s="1" t="str">
        <f>IFERROR(__xludf.DUMMYFUNCTION("""COMPUTED_VALUE"""),"(51)99703-2741")</f>
        <v>(51)99703-2741</v>
      </c>
      <c r="X28" s="1" t="str">
        <f>IFERROR(__xludf.DUMMYFUNCTION("""COMPUTED_VALUE"""),"RS")</f>
        <v>RS</v>
      </c>
      <c r="Y28" s="1" t="str">
        <f>IFERROR(__xludf.DUMMYFUNCTION("""COMPUTED_VALUE"""),"Sapiranga")</f>
        <v>Sapiranga</v>
      </c>
      <c r="Z28" s="1" t="str">
        <f>IFERROR(__xludf.DUMMYFUNCTION("""COMPUTED_VALUE"""),"93800-192")</f>
        <v>93800-192</v>
      </c>
      <c r="AA28" s="1" t="str">
        <f>IFERROR(__xludf.DUMMYFUNCTION("""COMPUTED_VALUE"""),"ALMIRANTE BARROSO, 614")</f>
        <v>ALMIRANTE BARROSO, 614</v>
      </c>
      <c r="AB28" s="1" t="str">
        <f>IFERROR(__xludf.DUMMYFUNCTION("""COMPUTED_VALUE"""),"CENTRO")</f>
        <v>CENTRO</v>
      </c>
      <c r="AC28" s="1" t="str">
        <f>IFERROR(__xludf.DUMMYFUNCTION("""COMPUTED_VALUE"""),"GG")</f>
        <v>GG</v>
      </c>
      <c r="AD28" s="1" t="str">
        <f>IFERROR(__xludf.DUMMYFUNCTION("""COMPUTED_VALUE"""),"GG")</f>
        <v>GG</v>
      </c>
      <c r="AE28" s="1" t="str">
        <f>IFERROR(__xludf.DUMMYFUNCTION("""COMPUTED_VALUE"""),"GG")</f>
        <v>GG</v>
      </c>
      <c r="AF28" s="1" t="str">
        <f>IFERROR(__xludf.DUMMYFUNCTION("""COMPUTED_VALUE"""),"GG")</f>
        <v>GG</v>
      </c>
      <c r="AG28" s="1" t="str">
        <f>IFERROR(__xludf.DUMMYFUNCTION("""COMPUTED_VALUE"""),"GG")</f>
        <v>GG</v>
      </c>
      <c r="AH28" s="1">
        <f>IFERROR(__xludf.DUMMYFUNCTION("""COMPUTED_VALUE"""),42)</f>
        <v>42</v>
      </c>
      <c r="AI28" s="1">
        <f>IFERROR(__xludf.DUMMYFUNCTION("""COMPUTED_VALUE"""),42)</f>
        <v>42</v>
      </c>
      <c r="AJ28" s="1">
        <f>IFERROR(__xludf.DUMMYFUNCTION("""COMPUTED_VALUE"""),42)</f>
        <v>42</v>
      </c>
      <c r="AK28" s="1">
        <f>IFERROR(__xludf.DUMMYFUNCTION("""COMPUTED_VALUE"""),42)</f>
        <v>42</v>
      </c>
      <c r="AL28" s="1" t="str">
        <f>IFERROR(__xludf.DUMMYFUNCTION("""COMPUTED_VALUE"""),"GG")</f>
        <v>GG</v>
      </c>
      <c r="AM28" s="1" t="str">
        <f>IFERROR(__xludf.DUMMYFUNCTION("""COMPUTED_VALUE"""),"GG")</f>
        <v>GG</v>
      </c>
      <c r="AN28" s="1" t="str">
        <f>IFERROR(__xludf.DUMMYFUNCTION("""COMPUTED_VALUE"""),"GG")</f>
        <v>GG</v>
      </c>
    </row>
    <row r="29" customHeight="1" spans="1:40">
      <c r="A29" s="1" t="str">
        <f>IFERROR(__xludf.DUMMYFUNCTION("""COMPUTED_VALUE"""),"02° BBM")</f>
        <v>02° BBM</v>
      </c>
      <c r="B29" s="1" t="str">
        <f>IFERROR(__xludf.DUMMYFUNCTION("""COMPUTED_VALUE"""),"Marata")</f>
        <v>Marata</v>
      </c>
      <c r="C29" s="119" t="str">
        <f>IFERROR(__xludf.DUMMYFUNCTION("""COMPUTED_VALUE"""),"CAB")</f>
        <v>CAB</v>
      </c>
      <c r="D29" s="119" t="str">
        <f>IFERROR(__xludf.DUMMYFUNCTION("""COMPUTED_VALUE"""),"DIEGO ALBERTO VEIMILLER")</f>
        <v>DIEGO ALBERTO VEIMILLER</v>
      </c>
      <c r="E29" s="119" t="str">
        <f>IFERROR(__xludf.DUMMYFUNCTION("""COMPUTED_VALUE"""),"")</f>
        <v/>
      </c>
      <c r="F29" s="1" t="str">
        <f>IFERROR(__xludf.DUMMYFUNCTION("""COMPUTED_VALUE"""),"017.713.640-50")</f>
        <v>017.713.640-50</v>
      </c>
      <c r="G29" s="1">
        <f>IFERROR(__xludf.DUMMYFUNCTION("""COMPUTED_VALUE"""),8067026446)</f>
        <v>8067026446</v>
      </c>
      <c r="H29" s="1" t="str">
        <f>IFERROR(__xludf.DUMMYFUNCTION("""COMPUTED_VALUE"""),"Combatente e Socorrista")</f>
        <v>Combatente e Socorrista</v>
      </c>
      <c r="I29" s="1" t="str">
        <f>IFERROR(__xludf.DUMMYFUNCTION("""COMPUTED_VALUE"""),"Bombeiro Civil, APH, SBV, NR35 e NR 33")</f>
        <v>Bombeiro Civil, APH, SBV, NR35 e NR 33</v>
      </c>
      <c r="J29" s="1" t="str">
        <f>IFERROR(__xludf.DUMMYFUNCTION("""COMPUTED_VALUE"""),"Sim")</f>
        <v>Sim</v>
      </c>
      <c r="K29" s="1" t="str">
        <f>IFERROR(__xludf.DUMMYFUNCTION("""COMPUTED_VALUE"""),"Não")</f>
        <v>Não</v>
      </c>
      <c r="L29" s="1" t="str">
        <f>IFERROR(__xludf.DUMMYFUNCTION("""COMPUTED_VALUE"""),"A+")</f>
        <v>A+</v>
      </c>
      <c r="M29" s="1" t="str">
        <f>IFERROR(__xludf.DUMMYFUNCTION("""COMPUTED_VALUE"""),"ALBERTO")</f>
        <v>ALBERTO</v>
      </c>
      <c r="N29" s="120">
        <f>IFERROR(__xludf.DUMMYFUNCTION("""COMPUTED_VALUE"""),32071)</f>
        <v>32071</v>
      </c>
      <c r="O29" s="1" t="str">
        <f>IFERROR(__xludf.DUMMYFUNCTION("""COMPUTED_VALUE"""),"Masculino")</f>
        <v>Masculino</v>
      </c>
      <c r="P29" s="1" t="str">
        <f>IFERROR(__xludf.DUMMYFUNCTION("""COMPUTED_VALUE"""),"Branca")</f>
        <v>Branca</v>
      </c>
      <c r="Q29" s="1" t="str">
        <f>IFERROR(__xludf.DUMMYFUNCTION("""COMPUTED_VALUE"""),"Ensino Médio")</f>
        <v>Ensino Médio</v>
      </c>
      <c r="R29" s="123" t="str">
        <f>IFERROR(__xludf.DUMMYFUNCTION("""COMPUTED_VALUE"""),"diegobombeiro@gmail.com")</f>
        <v>diegobombeiro@gmail.com</v>
      </c>
      <c r="S29" s="1">
        <f>IFERROR(__xludf.DUMMYFUNCTION("""COMPUTED_VALUE"""),115)</f>
        <v>115</v>
      </c>
      <c r="T29" s="1" t="str">
        <f>IFERROR(__xludf.DUMMYFUNCTION("""COMPUTED_VALUE"""),"Entre 1,81m e 1,85m")</f>
        <v>Entre 1,81m e 1,85m</v>
      </c>
      <c r="U29" s="1"/>
      <c r="V29" s="1" t="str">
        <f>IFERROR(__xludf.DUMMYFUNCTION("""COMPUTED_VALUE"""),"51 - 981942153")</f>
        <v>51 - 981942153</v>
      </c>
      <c r="W29" s="1" t="str">
        <f>IFERROR(__xludf.DUMMYFUNCTION("""COMPUTED_VALUE"""),"51 - 997032841")</f>
        <v>51 - 997032841</v>
      </c>
      <c r="X29" s="1" t="str">
        <f>IFERROR(__xludf.DUMMYFUNCTION("""COMPUTED_VALUE"""),"RS")</f>
        <v>RS</v>
      </c>
      <c r="Y29" s="1" t="str">
        <f>IFERROR(__xludf.DUMMYFUNCTION("""COMPUTED_VALUE"""),"SAPIRANGA")</f>
        <v>SAPIRANGA</v>
      </c>
      <c r="Z29" s="1">
        <f>IFERROR(__xludf.DUMMYFUNCTION("""COMPUTED_VALUE"""),93800192)</f>
        <v>93800192</v>
      </c>
      <c r="AA29" s="1" t="str">
        <f>IFERROR(__xludf.DUMMYFUNCTION("""COMPUTED_VALUE"""),"RUA ALMIRANTE BARROSO 614")</f>
        <v>RUA ALMIRANTE BARROSO 614</v>
      </c>
      <c r="AB29" s="1" t="str">
        <f>IFERROR(__xludf.DUMMYFUNCTION("""COMPUTED_VALUE"""),"CENTRO")</f>
        <v>CENTRO</v>
      </c>
      <c r="AC29" s="1" t="str">
        <f>IFERROR(__xludf.DUMMYFUNCTION("""COMPUTED_VALUE"""),"GG")</f>
        <v>GG</v>
      </c>
      <c r="AD29" s="1" t="str">
        <f>IFERROR(__xludf.DUMMYFUNCTION("""COMPUTED_VALUE"""),"GG")</f>
        <v>GG</v>
      </c>
      <c r="AE29" s="1" t="str">
        <f>IFERROR(__xludf.DUMMYFUNCTION("""COMPUTED_VALUE"""),"GG")</f>
        <v>GG</v>
      </c>
      <c r="AF29" s="1" t="str">
        <f>IFERROR(__xludf.DUMMYFUNCTION("""COMPUTED_VALUE"""),"GG")</f>
        <v>GG</v>
      </c>
      <c r="AG29" s="1" t="str">
        <f>IFERROR(__xludf.DUMMYFUNCTION("""COMPUTED_VALUE"""),"GG")</f>
        <v>GG</v>
      </c>
      <c r="AH29" s="1">
        <f>IFERROR(__xludf.DUMMYFUNCTION("""COMPUTED_VALUE"""),42)</f>
        <v>42</v>
      </c>
      <c r="AI29" s="1">
        <f>IFERROR(__xludf.DUMMYFUNCTION("""COMPUTED_VALUE"""),42)</f>
        <v>42</v>
      </c>
      <c r="AJ29" s="1">
        <f>IFERROR(__xludf.DUMMYFUNCTION("""COMPUTED_VALUE"""),42)</f>
        <v>42</v>
      </c>
      <c r="AK29" s="1">
        <f>IFERROR(__xludf.DUMMYFUNCTION("""COMPUTED_VALUE"""),42)</f>
        <v>42</v>
      </c>
      <c r="AL29" s="1" t="str">
        <f>IFERROR(__xludf.DUMMYFUNCTION("""COMPUTED_VALUE"""),"GG")</f>
        <v>GG</v>
      </c>
      <c r="AM29" s="1" t="str">
        <f>IFERROR(__xludf.DUMMYFUNCTION("""COMPUTED_VALUE"""),"GG")</f>
        <v>GG</v>
      </c>
      <c r="AN29" s="1" t="str">
        <f>IFERROR(__xludf.DUMMYFUNCTION("""COMPUTED_VALUE"""),"GG")</f>
        <v>GG</v>
      </c>
    </row>
    <row r="30" customHeight="1" spans="1:40">
      <c r="A30" s="1" t="str">
        <f>IFERROR(__xludf.DUMMYFUNCTION("""COMPUTED_VALUE"""),"02° BBM")</f>
        <v>02° BBM</v>
      </c>
      <c r="B30" s="1" t="str">
        <f>IFERROR(__xludf.DUMMYFUNCTION("""COMPUTED_VALUE"""),"Araricá")</f>
        <v>Araricá</v>
      </c>
      <c r="C30" s="119" t="str">
        <f>IFERROR(__xludf.DUMMYFUNCTION("""COMPUTED_VALUE"""),"CAB")</f>
        <v>CAB</v>
      </c>
      <c r="D30" s="119" t="str">
        <f>IFERROR(__xludf.DUMMYFUNCTION("""COMPUTED_VALUE"""),"DIEGO ANDERSON CARDOSO")</f>
        <v>DIEGO ANDERSON CARDOSO</v>
      </c>
      <c r="E30" s="119" t="str">
        <f>IFERROR(__xludf.DUMMYFUNCTION("""COMPUTED_VALUE"""),"Curso CAB operador concluído")</f>
        <v>Curso CAB operador concluído</v>
      </c>
      <c r="F30" s="1" t="str">
        <f>IFERROR(__xludf.DUMMYFUNCTION("""COMPUTED_VALUE"""),"032.162.020-89")</f>
        <v>032.162.020-89</v>
      </c>
      <c r="G30" s="1">
        <f>IFERROR(__xludf.DUMMYFUNCTION("""COMPUTED_VALUE"""),8100145674)</f>
        <v>8100145674</v>
      </c>
      <c r="H30" s="1" t="str">
        <f>IFERROR(__xludf.DUMMYFUNCTION("""COMPUTED_VALUE"""),"combatente/socorrista e condutor ")</f>
        <v>combatente/socorrista e condutor </v>
      </c>
      <c r="I30" s="1" t="str">
        <f>IFERROR(__xludf.DUMMYFUNCTION("""COMPUTED_VALUE"""),"Bombeiro Civil, APH, BLS")</f>
        <v>Bombeiro Civil, APH, BLS</v>
      </c>
      <c r="J30" s="1" t="str">
        <f>IFERROR(__xludf.DUMMYFUNCTION("""COMPUTED_VALUE"""),"Sim")</f>
        <v>Sim</v>
      </c>
      <c r="K30" s="1" t="str">
        <f>IFERROR(__xludf.DUMMYFUNCTION("""COMPUTED_VALUE"""),"Não")</f>
        <v>Não</v>
      </c>
      <c r="L30" s="1" t="str">
        <f>IFERROR(__xludf.DUMMYFUNCTION("""COMPUTED_VALUE"""),"O+")</f>
        <v>O+</v>
      </c>
      <c r="M30" s="1" t="str">
        <f>IFERROR(__xludf.DUMMYFUNCTION("""COMPUTED_VALUE"""),"DIEGO")</f>
        <v>DIEGO</v>
      </c>
      <c r="N30" s="121">
        <f>IFERROR(__xludf.DUMMYFUNCTION("""COMPUTED_VALUE"""),34267)</f>
        <v>34267</v>
      </c>
      <c r="O30" s="1" t="str">
        <f>IFERROR(__xludf.DUMMYFUNCTION("""COMPUTED_VALUE"""),"Masculino")</f>
        <v>Masculino</v>
      </c>
      <c r="P30" s="1" t="str">
        <f>IFERROR(__xludf.DUMMYFUNCTION("""COMPUTED_VALUE"""),"Preta")</f>
        <v>Preta</v>
      </c>
      <c r="Q30" s="1" t="str">
        <f>IFERROR(__xludf.DUMMYFUNCTION("""COMPUTED_VALUE"""),"Ensino Médio")</f>
        <v>Ensino Médio</v>
      </c>
      <c r="R30" s="1" t="str">
        <f>IFERROR(__xludf.DUMMYFUNCTION("""COMPUTED_VALUE"""),"diegocardoso15@hotmail.com")</f>
        <v>diegocardoso15@hotmail.com</v>
      </c>
      <c r="S30" s="1">
        <f>IFERROR(__xludf.DUMMYFUNCTION("""COMPUTED_VALUE"""),73)</f>
        <v>73</v>
      </c>
      <c r="T30" s="1" t="str">
        <f>IFERROR(__xludf.DUMMYFUNCTION("""COMPUTED_VALUE"""),"Entre 1,71m e 1,75m")</f>
        <v>Entre 1,71m e 1,75m</v>
      </c>
      <c r="U30" s="1"/>
      <c r="V30" s="1">
        <f>IFERROR(__xludf.DUMMYFUNCTION("""COMPUTED_VALUE"""),51998963271)</f>
        <v>51998963271</v>
      </c>
      <c r="W30" s="1">
        <f>IFERROR(__xludf.DUMMYFUNCTION("""COMPUTED_VALUE"""),51998963271)</f>
        <v>51998963271</v>
      </c>
      <c r="X30" s="1" t="str">
        <f>IFERROR(__xludf.DUMMYFUNCTION("""COMPUTED_VALUE"""),"RS")</f>
        <v>RS</v>
      </c>
      <c r="Y30" s="1" t="str">
        <f>IFERROR(__xludf.DUMMYFUNCTION("""COMPUTED_VALUE"""),"Estância Velha")</f>
        <v>Estância Velha</v>
      </c>
      <c r="Z30" s="1" t="str">
        <f>IFERROR(__xludf.DUMMYFUNCTION("""COMPUTED_VALUE"""),"93608-070")</f>
        <v>93608-070</v>
      </c>
      <c r="AA30" s="1" t="str">
        <f>IFERROR(__xludf.DUMMYFUNCTION("""COMPUTED_VALUE"""),"Rua São Crstovão 1519")</f>
        <v>Rua São Crstovão 1519</v>
      </c>
      <c r="AB30" s="1" t="str">
        <f>IFERROR(__xludf.DUMMYFUNCTION("""COMPUTED_VALUE"""),"Rincão dos Ilheus")</f>
        <v>Rincão dos Ilheus</v>
      </c>
      <c r="AC30" s="1" t="str">
        <f>IFERROR(__xludf.DUMMYFUNCTION("""COMPUTED_VALUE"""),"G")</f>
        <v>G</v>
      </c>
      <c r="AD30" s="1" t="str">
        <f>IFERROR(__xludf.DUMMYFUNCTION("""COMPUTED_VALUE"""),"G")</f>
        <v>G</v>
      </c>
      <c r="AE30" s="1" t="str">
        <f>IFERROR(__xludf.DUMMYFUNCTION("""COMPUTED_VALUE"""),"G")</f>
        <v>G</v>
      </c>
      <c r="AF30" s="1" t="str">
        <f>IFERROR(__xludf.DUMMYFUNCTION("""COMPUTED_VALUE"""),"G")</f>
        <v>G</v>
      </c>
      <c r="AG30" s="1" t="str">
        <f>IFERROR(__xludf.DUMMYFUNCTION("""COMPUTED_VALUE"""),"G")</f>
        <v>G</v>
      </c>
      <c r="AH30" s="1">
        <f>IFERROR(__xludf.DUMMYFUNCTION("""COMPUTED_VALUE"""),41)</f>
        <v>41</v>
      </c>
      <c r="AI30" s="1">
        <f>IFERROR(__xludf.DUMMYFUNCTION("""COMPUTED_VALUE"""),41)</f>
        <v>41</v>
      </c>
      <c r="AJ30" s="1">
        <f>IFERROR(__xludf.DUMMYFUNCTION("""COMPUTED_VALUE"""),41)</f>
        <v>41</v>
      </c>
      <c r="AK30" s="1">
        <f>IFERROR(__xludf.DUMMYFUNCTION("""COMPUTED_VALUE"""),41)</f>
        <v>41</v>
      </c>
      <c r="AL30" s="1" t="str">
        <f>IFERROR(__xludf.DUMMYFUNCTION("""COMPUTED_VALUE"""),"G")</f>
        <v>G</v>
      </c>
      <c r="AM30" s="1" t="str">
        <f>IFERROR(__xludf.DUMMYFUNCTION("""COMPUTED_VALUE"""),"G")</f>
        <v>G</v>
      </c>
      <c r="AN30" s="1" t="str">
        <f>IFERROR(__xludf.DUMMYFUNCTION("""COMPUTED_VALUE"""),"G")</f>
        <v>G</v>
      </c>
    </row>
    <row r="31" customHeight="1" spans="1:40">
      <c r="A31" s="1" t="str">
        <f>IFERROR(__xludf.DUMMYFUNCTION("""COMPUTED_VALUE"""),"02° BBM")</f>
        <v>02° BBM</v>
      </c>
      <c r="B31" s="1" t="str">
        <f>IFERROR(__xludf.DUMMYFUNCTION("""COMPUTED_VALUE"""),"Marata")</f>
        <v>Marata</v>
      </c>
      <c r="C31" s="119" t="str">
        <f>IFERROR(__xludf.DUMMYFUNCTION("""COMPUTED_VALUE"""),"CAB")</f>
        <v>CAB</v>
      </c>
      <c r="D31" s="119" t="str">
        <f>IFERROR(__xludf.DUMMYFUNCTION("""COMPUTED_VALUE"""),"DIEGO GONÇALVES")</f>
        <v>DIEGO GONÇALVES</v>
      </c>
      <c r="E31" s="119" t="str">
        <f>IFERROR(__xludf.DUMMYFUNCTION("""COMPUTED_VALUE"""),"")</f>
        <v/>
      </c>
      <c r="F31" s="1" t="str">
        <f>IFERROR(__xludf.DUMMYFUNCTION("""COMPUTED_VALUE"""),"022.690.620-51")</f>
        <v>022.690.620-51</v>
      </c>
      <c r="G31" s="1">
        <f>IFERROR(__xludf.DUMMYFUNCTION("""COMPUTED_VALUE"""),1093238994)</f>
        <v>1093238994</v>
      </c>
      <c r="H31" s="1" t="str">
        <f>IFERROR(__xludf.DUMMYFUNCTION("""COMPUTED_VALUE"""),"Combatente e Socorrista")</f>
        <v>Combatente e Socorrista</v>
      </c>
      <c r="I31" s="1" t="str">
        <f>IFERROR(__xludf.DUMMYFUNCTION("""COMPUTED_VALUE"""),"Bombeiro Civil, SBV")</f>
        <v>Bombeiro Civil, SBV</v>
      </c>
      <c r="J31" s="1" t="str">
        <f>IFERROR(__xludf.DUMMYFUNCTION("""COMPUTED_VALUE"""),"Não")</f>
        <v>Não</v>
      </c>
      <c r="K31" s="1" t="str">
        <f>IFERROR(__xludf.DUMMYFUNCTION("""COMPUTED_VALUE"""),"Não")</f>
        <v>Não</v>
      </c>
      <c r="L31" s="1" t="str">
        <f>IFERROR(__xludf.DUMMYFUNCTION("""COMPUTED_VALUE"""),"O-")</f>
        <v>O-</v>
      </c>
      <c r="M31" s="1" t="str">
        <f>IFERROR(__xludf.DUMMYFUNCTION("""COMPUTED_VALUE"""),"GONÇALVES")</f>
        <v>GONÇALVES</v>
      </c>
      <c r="N31" s="120">
        <f>IFERROR(__xludf.DUMMYFUNCTION("""COMPUTED_VALUE"""),32701)</f>
        <v>32701</v>
      </c>
      <c r="O31" s="1" t="str">
        <f>IFERROR(__xludf.DUMMYFUNCTION("""COMPUTED_VALUE"""),"Masculino")</f>
        <v>Masculino</v>
      </c>
      <c r="P31" s="1" t="str">
        <f>IFERROR(__xludf.DUMMYFUNCTION("""COMPUTED_VALUE"""),"Parda")</f>
        <v>Parda</v>
      </c>
      <c r="Q31" s="1" t="str">
        <f>IFERROR(__xludf.DUMMYFUNCTION("""COMPUTED_VALUE"""),"Ensino Médio")</f>
        <v>Ensino Médio</v>
      </c>
      <c r="R31" s="123" t="str">
        <f>IFERROR(__xludf.DUMMYFUNCTION("""COMPUTED_VALUE"""),"dgoncalvesbc61@gmail.com")</f>
        <v>dgoncalvesbc61@gmail.com</v>
      </c>
      <c r="S31" s="1">
        <f>IFERROR(__xludf.DUMMYFUNCTION("""COMPUTED_VALUE"""),92)</f>
        <v>92</v>
      </c>
      <c r="T31" s="1" t="str">
        <f>IFERROR(__xludf.DUMMYFUNCTION("""COMPUTED_VALUE"""),"Entre 1,71m e 1,75m")</f>
        <v>Entre 1,71m e 1,75m</v>
      </c>
      <c r="U31" s="1"/>
      <c r="V31" s="1" t="str">
        <f>IFERROR(__xludf.DUMMYFUNCTION("""COMPUTED_VALUE"""),"51 - 992068835")</f>
        <v>51 - 992068835</v>
      </c>
      <c r="W31" s="1" t="str">
        <f>IFERROR(__xludf.DUMMYFUNCTION("""COMPUTED_VALUE"""),"51 - 34291298")</f>
        <v>51 - 34291298</v>
      </c>
      <c r="X31" s="1" t="str">
        <f>IFERROR(__xludf.DUMMYFUNCTION("""COMPUTED_VALUE"""),"RS")</f>
        <v>RS</v>
      </c>
      <c r="Y31" s="1" t="str">
        <f>IFERROR(__xludf.DUMMYFUNCTION("""COMPUTED_VALUE"""),"CANOAS")</f>
        <v>CANOAS</v>
      </c>
      <c r="Z31" s="1">
        <f>IFERROR(__xludf.DUMMYFUNCTION("""COMPUTED_VALUE"""),92330370)</f>
        <v>92330370</v>
      </c>
      <c r="AA31" s="1" t="str">
        <f>IFERROR(__xludf.DUMMYFUNCTION("""COMPUTED_VALUE"""),"RUA URUGUAIANA 43")</f>
        <v>RUA URUGUAIANA 43</v>
      </c>
      <c r="AB31" s="1" t="str">
        <f>IFERROR(__xludf.DUMMYFUNCTION("""COMPUTED_VALUE"""),"MATHIAS VELHO")</f>
        <v>MATHIAS VELHO</v>
      </c>
      <c r="AC31" s="1" t="str">
        <f>IFERROR(__xludf.DUMMYFUNCTION("""COMPUTED_VALUE"""),"G")</f>
        <v>G</v>
      </c>
      <c r="AD31" s="1" t="str">
        <f>IFERROR(__xludf.DUMMYFUNCTION("""COMPUTED_VALUE"""),"M")</f>
        <v>M</v>
      </c>
      <c r="AE31" s="1" t="str">
        <f>IFERROR(__xludf.DUMMYFUNCTION("""COMPUTED_VALUE"""),"M")</f>
        <v>M</v>
      </c>
      <c r="AF31" s="1" t="str">
        <f>IFERROR(__xludf.DUMMYFUNCTION("""COMPUTED_VALUE"""),"M")</f>
        <v>M</v>
      </c>
      <c r="AG31" s="1" t="str">
        <f>IFERROR(__xludf.DUMMYFUNCTION("""COMPUTED_VALUE"""),"M")</f>
        <v>M</v>
      </c>
      <c r="AH31" s="1">
        <f>IFERROR(__xludf.DUMMYFUNCTION("""COMPUTED_VALUE"""),40)</f>
        <v>40</v>
      </c>
      <c r="AI31" s="1">
        <f>IFERROR(__xludf.DUMMYFUNCTION("""COMPUTED_VALUE"""),40)</f>
        <v>40</v>
      </c>
      <c r="AJ31" s="1">
        <f>IFERROR(__xludf.DUMMYFUNCTION("""COMPUTED_VALUE"""),40)</f>
        <v>40</v>
      </c>
      <c r="AK31" s="1">
        <f>IFERROR(__xludf.DUMMYFUNCTION("""COMPUTED_VALUE"""),40)</f>
        <v>40</v>
      </c>
      <c r="AL31" s="1" t="str">
        <f>IFERROR(__xludf.DUMMYFUNCTION("""COMPUTED_VALUE"""),"M")</f>
        <v>M</v>
      </c>
      <c r="AM31" s="1" t="str">
        <f>IFERROR(__xludf.DUMMYFUNCTION("""COMPUTED_VALUE"""),"M")</f>
        <v>M</v>
      </c>
      <c r="AN31" s="1" t="str">
        <f>IFERROR(__xludf.DUMMYFUNCTION("""COMPUTED_VALUE"""),"UNIVERSAL")</f>
        <v>UNIVERSAL</v>
      </c>
    </row>
    <row r="32" customHeight="1" spans="1:40">
      <c r="A32" s="1" t="str">
        <f>IFERROR(__xludf.DUMMYFUNCTION("""COMPUTED_VALUE"""),"02° BBM")</f>
        <v>02° BBM</v>
      </c>
      <c r="B32" s="1" t="str">
        <f>IFERROR(__xludf.DUMMYFUNCTION("""COMPUTED_VALUE"""),"Araricá")</f>
        <v>Araricá</v>
      </c>
      <c r="C32" s="119" t="str">
        <f>IFERROR(__xludf.DUMMYFUNCTION("""COMPUTED_VALUE"""),"CAB")</f>
        <v>CAB</v>
      </c>
      <c r="D32" s="119" t="str">
        <f>IFERROR(__xludf.DUMMYFUNCTION("""COMPUTED_VALUE"""),"DIÊNIFER CAMILA HENRIQUE LOPES")</f>
        <v>DIÊNIFER CAMILA HENRIQUE LOPES</v>
      </c>
      <c r="E32" s="119" t="str">
        <f>IFERROR(__xludf.DUMMYFUNCTION("""COMPUTED_VALUE"""),"")</f>
        <v/>
      </c>
      <c r="F32" s="1" t="str">
        <f>IFERROR(__xludf.DUMMYFUNCTION("""COMPUTED_VALUE"""),"037.896.100-36")</f>
        <v>037.896.100-36</v>
      </c>
      <c r="G32" s="1">
        <f>IFERROR(__xludf.DUMMYFUNCTION("""COMPUTED_VALUE"""),1114677287)</f>
        <v>1114677287</v>
      </c>
      <c r="H32" s="1" t="str">
        <f>IFERROR(__xludf.DUMMYFUNCTION("""COMPUTED_VALUE"""),"Combatente e Socorrista")</f>
        <v>Combatente e Socorrista</v>
      </c>
      <c r="I32" s="1" t="str">
        <f>IFERROR(__xludf.DUMMYFUNCTION("""COMPUTED_VALUE"""),"Bombeiro Voluntario/Bombeiro Civil ,APH, BLS, Resgate em Áreas de Difícil Acesso, Combate a Incêndio,  Resgate Veicular, Produtos Perigosos, Técnica de Enfermagem")</f>
        <v>Bombeiro Voluntario/Bombeiro Civil ,APH, BLS, Resgate em Áreas de Difícil Acesso, Combate a Incêndio,  Resgate Veicular, Produtos Perigosos, Técnica de Enfermagem</v>
      </c>
      <c r="J32" s="1" t="str">
        <f>IFERROR(__xludf.DUMMYFUNCTION("""COMPUTED_VALUE"""),"Não")</f>
        <v>Não</v>
      </c>
      <c r="K32" s="1" t="str">
        <f>IFERROR(__xludf.DUMMYFUNCTION("""COMPUTED_VALUE"""),"Não")</f>
        <v>Não</v>
      </c>
      <c r="L32" s="1" t="str">
        <f>IFERROR(__xludf.DUMMYFUNCTION("""COMPUTED_VALUE"""),"O+")</f>
        <v>O+</v>
      </c>
      <c r="M32" s="1" t="str">
        <f>IFERROR(__xludf.DUMMYFUNCTION("""COMPUTED_VALUE"""),"LOPES")</f>
        <v>LOPES</v>
      </c>
      <c r="N32" s="121">
        <f>IFERROR(__xludf.DUMMYFUNCTION("""COMPUTED_VALUE"""),35031)</f>
        <v>35031</v>
      </c>
      <c r="O32" s="1" t="str">
        <f>IFERROR(__xludf.DUMMYFUNCTION("""COMPUTED_VALUE"""),"Feminino")</f>
        <v>Feminino</v>
      </c>
      <c r="P32" s="1" t="str">
        <f>IFERROR(__xludf.DUMMYFUNCTION("""COMPUTED_VALUE"""),"Parda")</f>
        <v>Parda</v>
      </c>
      <c r="Q32" s="1" t="str">
        <f>IFERROR(__xludf.DUMMYFUNCTION("""COMPUTED_VALUE"""),"Ensino Superior Incompleto")</f>
        <v>Ensino Superior Incompleto</v>
      </c>
      <c r="R32" s="1" t="str">
        <f>IFERROR(__xludf.DUMMYFUNCTION("""COMPUTED_VALUE"""),"dieni_mila@hotmail.com")</f>
        <v>dieni_mila@hotmail.com</v>
      </c>
      <c r="S32" s="1">
        <f>IFERROR(__xludf.DUMMYFUNCTION("""COMPUTED_VALUE"""),65)</f>
        <v>65</v>
      </c>
      <c r="T32" s="1" t="str">
        <f>IFERROR(__xludf.DUMMYFUNCTION("""COMPUTED_VALUE"""),"Entre 1,50m e 1,55m")</f>
        <v>Entre 1,50m e 1,55m</v>
      </c>
      <c r="U32" s="1"/>
      <c r="V32" s="1">
        <f>IFERROR(__xludf.DUMMYFUNCTION("""COMPUTED_VALUE"""),51995095297)</f>
        <v>51995095297</v>
      </c>
      <c r="W32" s="1">
        <f>IFERROR(__xludf.DUMMYFUNCTION("""COMPUTED_VALUE"""),51995095297)</f>
        <v>51995095297</v>
      </c>
      <c r="X32" s="1" t="str">
        <f>IFERROR(__xludf.DUMMYFUNCTION("""COMPUTED_VALUE"""),"RS")</f>
        <v>RS</v>
      </c>
      <c r="Y32" s="1" t="str">
        <f>IFERROR(__xludf.DUMMYFUNCTION("""COMPUTED_VALUE"""),"Araricá")</f>
        <v>Araricá</v>
      </c>
      <c r="Z32" s="1" t="str">
        <f>IFERROR(__xludf.DUMMYFUNCTION("""COMPUTED_VALUE"""),"93880-000")</f>
        <v>93880-000</v>
      </c>
      <c r="AA32" s="1" t="str">
        <f>IFERROR(__xludf.DUMMYFUNCTION("""COMPUTED_VALUE"""),"rua serraria ferrabráz,990")</f>
        <v>rua serraria ferrabráz,990</v>
      </c>
      <c r="AB32" s="1" t="str">
        <f>IFERROR(__xludf.DUMMYFUNCTION("""COMPUTED_VALUE"""),"campo da brasina")</f>
        <v>campo da brasina</v>
      </c>
      <c r="AC32" s="1" t="str">
        <f>IFERROR(__xludf.DUMMYFUNCTION("""COMPUTED_VALUE"""),"M")</f>
        <v>M</v>
      </c>
      <c r="AD32" s="1" t="str">
        <f>IFERROR(__xludf.DUMMYFUNCTION("""COMPUTED_VALUE"""),"M")</f>
        <v>M</v>
      </c>
      <c r="AE32" s="1" t="str">
        <f>IFERROR(__xludf.DUMMYFUNCTION("""COMPUTED_VALUE"""),"M")</f>
        <v>M</v>
      </c>
      <c r="AF32" s="1" t="str">
        <f>IFERROR(__xludf.DUMMYFUNCTION("""COMPUTED_VALUE"""),"M")</f>
        <v>M</v>
      </c>
      <c r="AG32" s="1" t="str">
        <f>IFERROR(__xludf.DUMMYFUNCTION("""COMPUTED_VALUE"""),"M")</f>
        <v>M</v>
      </c>
      <c r="AH32" s="1">
        <f>IFERROR(__xludf.DUMMYFUNCTION("""COMPUTED_VALUE"""),35)</f>
        <v>35</v>
      </c>
      <c r="AI32" s="1">
        <f>IFERROR(__xludf.DUMMYFUNCTION("""COMPUTED_VALUE"""),35)</f>
        <v>35</v>
      </c>
      <c r="AJ32" s="1">
        <f>IFERROR(__xludf.DUMMYFUNCTION("""COMPUTED_VALUE"""),35)</f>
        <v>35</v>
      </c>
      <c r="AK32" s="1">
        <f>IFERROR(__xludf.DUMMYFUNCTION("""COMPUTED_VALUE"""),35)</f>
        <v>35</v>
      </c>
      <c r="AL32" s="1" t="str">
        <f>IFERROR(__xludf.DUMMYFUNCTION("""COMPUTED_VALUE"""),"M")</f>
        <v>M</v>
      </c>
      <c r="AM32" s="1" t="str">
        <f>IFERROR(__xludf.DUMMYFUNCTION("""COMPUTED_VALUE"""),"M")</f>
        <v>M</v>
      </c>
      <c r="AN32" s="1" t="str">
        <f>IFERROR(__xludf.DUMMYFUNCTION("""COMPUTED_VALUE"""),"M")</f>
        <v>M</v>
      </c>
    </row>
    <row r="33" customHeight="1" spans="1:40">
      <c r="A33" s="1" t="str">
        <f>IFERROR(__xludf.DUMMYFUNCTION("""COMPUTED_VALUE"""),"02° BBM")</f>
        <v>02° BBM</v>
      </c>
      <c r="B33" s="1" t="str">
        <f>IFERROR(__xludf.DUMMYFUNCTION("""COMPUTED_VALUE"""),"São Leopoldo")</f>
        <v>São Leopoldo</v>
      </c>
      <c r="C33" s="119" t="str">
        <f>IFERROR(__xludf.DUMMYFUNCTION("""COMPUTED_VALUE"""),"Comunitario")</f>
        <v>Comunitario</v>
      </c>
      <c r="D33" s="119" t="str">
        <f>IFERROR(__xludf.DUMMYFUNCTION("""COMPUTED_VALUE"""),"DIOGO TRASSANTE URBANETTO")</f>
        <v>DIOGO TRASSANTE URBANETTO</v>
      </c>
      <c r="E33" s="119" t="str">
        <f>IFERROR(__xludf.DUMMYFUNCTION("""COMPUTED_VALUE"""),"")</f>
        <v/>
      </c>
      <c r="F33" s="1" t="str">
        <f>IFERROR(__xludf.DUMMYFUNCTION("""COMPUTED_VALUE"""),"953.892.970-72")</f>
        <v>953.892.970-72</v>
      </c>
      <c r="G33" s="1">
        <f>IFERROR(__xludf.DUMMYFUNCTION("""COMPUTED_VALUE"""),8075556103)</f>
        <v>8075556103</v>
      </c>
      <c r="H33" s="1" t="str">
        <f>IFERROR(__xludf.DUMMYFUNCTION("""COMPUTED_VALUE"""),"Combatente")</f>
        <v>Combatente</v>
      </c>
      <c r="I33" s="1" t="str">
        <f>IFERROR(__xludf.DUMMYFUNCTION("""COMPUTED_VALUE"""),"Bombeiro Voluntario")</f>
        <v>Bombeiro Voluntario</v>
      </c>
      <c r="J33" s="1" t="str">
        <f>IFERROR(__xludf.DUMMYFUNCTION("""COMPUTED_VALUE"""),"Não")</f>
        <v>Não</v>
      </c>
      <c r="K33" s="1" t="str">
        <f>IFERROR(__xludf.DUMMYFUNCTION("""COMPUTED_VALUE"""),"Não")</f>
        <v>Não</v>
      </c>
      <c r="L33" s="1" t="str">
        <f>IFERROR(__xludf.DUMMYFUNCTION("""COMPUTED_VALUE"""),"O+")</f>
        <v>O+</v>
      </c>
      <c r="M33" s="1" t="str">
        <f>IFERROR(__xludf.DUMMYFUNCTION("""COMPUTED_VALUE"""),"URBANETO")</f>
        <v>URBANETO</v>
      </c>
      <c r="N33" s="120">
        <f>IFERROR(__xludf.DUMMYFUNCTION("""COMPUTED_VALUE"""),29437)</f>
        <v>29437</v>
      </c>
      <c r="O33" s="1" t="str">
        <f>IFERROR(__xludf.DUMMYFUNCTION("""COMPUTED_VALUE"""),"Masculino")</f>
        <v>Masculino</v>
      </c>
      <c r="P33" s="1" t="str">
        <f>IFERROR(__xludf.DUMMYFUNCTION("""COMPUTED_VALUE"""),"Branca")</f>
        <v>Branca</v>
      </c>
      <c r="Q33" s="1" t="str">
        <f>IFERROR(__xludf.DUMMYFUNCTION("""COMPUTED_VALUE"""),"Ensino Superior Incompleto")</f>
        <v>Ensino Superior Incompleto</v>
      </c>
      <c r="R33" s="1" t="str">
        <f>IFERROR(__xludf.DUMMYFUNCTION("""COMPUTED_VALUE"""),"diogotu@gmail.com")</f>
        <v>diogotu@gmail.com</v>
      </c>
      <c r="S33" s="1">
        <f>IFERROR(__xludf.DUMMYFUNCTION("""COMPUTED_VALUE"""),105)</f>
        <v>105</v>
      </c>
      <c r="T33" s="1" t="str">
        <f>IFERROR(__xludf.DUMMYFUNCTION("""COMPUTED_VALUE"""),"Entre 1,71m e 1,75m")</f>
        <v>Entre 1,71m e 1,75m</v>
      </c>
      <c r="U33" s="1"/>
      <c r="V33" s="1">
        <f>IFERROR(__xludf.DUMMYFUNCTION("""COMPUTED_VALUE"""),51991913242)</f>
        <v>51991913242</v>
      </c>
      <c r="W33" s="1"/>
      <c r="X33" s="1" t="str">
        <f>IFERROR(__xludf.DUMMYFUNCTION("""COMPUTED_VALUE"""),"RS")</f>
        <v>RS</v>
      </c>
      <c r="Y33" s="1" t="str">
        <f>IFERROR(__xludf.DUMMYFUNCTION("""COMPUTED_VALUE"""),"Eldorado do Sul")</f>
        <v>Eldorado do Sul</v>
      </c>
      <c r="Z33" s="1">
        <f>IFERROR(__xludf.DUMMYFUNCTION("""COMPUTED_VALUE"""),92990000)</f>
        <v>92990000</v>
      </c>
      <c r="AA33" s="1" t="str">
        <f>IFERROR(__xludf.DUMMYFUNCTION("""COMPUTED_VALUE"""),"Argentina,24")</f>
        <v>Argentina,24</v>
      </c>
      <c r="AB33" s="1"/>
      <c r="AC33" s="1" t="str">
        <f>IFERROR(__xludf.DUMMYFUNCTION("""COMPUTED_VALUE"""),"EXG")</f>
        <v>EXG</v>
      </c>
      <c r="AD33" s="1" t="str">
        <f>IFERROR(__xludf.DUMMYFUNCTION("""COMPUTED_VALUE"""),"GG")</f>
        <v>GG</v>
      </c>
      <c r="AE33" s="1" t="str">
        <f>IFERROR(__xludf.DUMMYFUNCTION("""COMPUTED_VALUE"""),"GG")</f>
        <v>GG</v>
      </c>
      <c r="AF33" s="1" t="str">
        <f>IFERROR(__xludf.DUMMYFUNCTION("""COMPUTED_VALUE"""),"GG")</f>
        <v>GG</v>
      </c>
      <c r="AG33" s="1" t="str">
        <f>IFERROR(__xludf.DUMMYFUNCTION("""COMPUTED_VALUE"""),"GG")</f>
        <v>GG</v>
      </c>
      <c r="AH33" s="1">
        <f>IFERROR(__xludf.DUMMYFUNCTION("""COMPUTED_VALUE"""),43)</f>
        <v>43</v>
      </c>
      <c r="AI33" s="1">
        <f>IFERROR(__xludf.DUMMYFUNCTION("""COMPUTED_VALUE"""),43)</f>
        <v>43</v>
      </c>
      <c r="AJ33" s="1">
        <f>IFERROR(__xludf.DUMMYFUNCTION("""COMPUTED_VALUE"""),43)</f>
        <v>43</v>
      </c>
      <c r="AK33" s="1">
        <f>IFERROR(__xludf.DUMMYFUNCTION("""COMPUTED_VALUE"""),43)</f>
        <v>43</v>
      </c>
      <c r="AL33" s="1" t="str">
        <f>IFERROR(__xludf.DUMMYFUNCTION("""COMPUTED_VALUE"""),"GG")</f>
        <v>GG</v>
      </c>
      <c r="AM33" s="1" t="str">
        <f>IFERROR(__xludf.DUMMYFUNCTION("""COMPUTED_VALUE"""),"GG")</f>
        <v>GG</v>
      </c>
      <c r="AN33" s="1" t="str">
        <f>IFERROR(__xludf.DUMMYFUNCTION("""COMPUTED_VALUE"""),"G")</f>
        <v>G</v>
      </c>
    </row>
    <row r="34" customHeight="1" spans="1:40">
      <c r="A34" s="1" t="str">
        <f>IFERROR(__xludf.DUMMYFUNCTION("""COMPUTED_VALUE"""),"02° BBM")</f>
        <v>02° BBM</v>
      </c>
      <c r="B34" s="1" t="str">
        <f>IFERROR(__xludf.DUMMYFUNCTION("""COMPUTED_VALUE"""),"Campo Bom")</f>
        <v>Campo Bom</v>
      </c>
      <c r="C34" s="119" t="str">
        <f>IFERROR(__xludf.DUMMYFUNCTION("""COMPUTED_VALUE"""),"Comunitario")</f>
        <v>Comunitario</v>
      </c>
      <c r="D34" s="119" t="str">
        <f>IFERROR(__xludf.DUMMYFUNCTION("""COMPUTED_VALUE"""),"DIOGO UBIRAJARA BENITES MORGENSTERN")</f>
        <v>DIOGO UBIRAJARA BENITES MORGENSTERN</v>
      </c>
      <c r="E34" s="119" t="str">
        <f>IFERROR(__xludf.DUMMYFUNCTION("""COMPUTED_VALUE"""),"")</f>
        <v/>
      </c>
      <c r="F34" s="1" t="str">
        <f>IFERROR(__xludf.DUMMYFUNCTION("""COMPUTED_VALUE"""),"999.577.010-53")</f>
        <v>999.577.010-53</v>
      </c>
      <c r="G34" s="1">
        <f>IFERROR(__xludf.DUMMYFUNCTION("""COMPUTED_VALUE"""),2067082591)</f>
        <v>2067082591</v>
      </c>
      <c r="H34" s="1" t="str">
        <f>IFERROR(__xludf.DUMMYFUNCTION("""COMPUTED_VALUE"""),"Combatente")</f>
        <v>Combatente</v>
      </c>
      <c r="I34" s="1" t="str">
        <f>IFERROR(__xludf.DUMMYFUNCTION("""COMPUTED_VALUE"""),"Bombeiro Voluntário")</f>
        <v>Bombeiro Voluntário</v>
      </c>
      <c r="J34" s="1" t="str">
        <f>IFERROR(__xludf.DUMMYFUNCTION("""COMPUTED_VALUE"""),"Sim")</f>
        <v>Sim</v>
      </c>
      <c r="K34" s="1" t="str">
        <f>IFERROR(__xludf.DUMMYFUNCTION("""COMPUTED_VALUE"""),"Sim")</f>
        <v>Sim</v>
      </c>
      <c r="L34" s="1" t="str">
        <f>IFERROR(__xludf.DUMMYFUNCTION("""COMPUTED_VALUE"""),"O+")</f>
        <v>O+</v>
      </c>
      <c r="M34" s="1" t="str">
        <f>IFERROR(__xludf.DUMMYFUNCTION("""COMPUTED_VALUE"""),"BENITES")</f>
        <v>BENITES</v>
      </c>
      <c r="N34" s="121">
        <f>IFERROR(__xludf.DUMMYFUNCTION("""COMPUTED_VALUE"""),28848)</f>
        <v>28848</v>
      </c>
      <c r="O34" s="1" t="str">
        <f>IFERROR(__xludf.DUMMYFUNCTION("""COMPUTED_VALUE"""),"Masculino")</f>
        <v>Masculino</v>
      </c>
      <c r="P34" s="1" t="str">
        <f>IFERROR(__xludf.DUMMYFUNCTION("""COMPUTED_VALUE"""),"Preta")</f>
        <v>Preta</v>
      </c>
      <c r="Q34" s="1" t="str">
        <f>IFERROR(__xludf.DUMMYFUNCTION("""COMPUTED_VALUE"""),"Ensino Médio")</f>
        <v>Ensino Médio</v>
      </c>
      <c r="R34" s="1" t="str">
        <f>IFERROR(__xludf.DUMMYFUNCTION("""COMPUTED_VALUE"""),"diogo.stern@gmail.com")</f>
        <v>diogo.stern@gmail.com</v>
      </c>
      <c r="S34" s="1">
        <f>IFERROR(__xludf.DUMMYFUNCTION("""COMPUTED_VALUE"""),82)</f>
        <v>82</v>
      </c>
      <c r="T34" s="1" t="str">
        <f>IFERROR(__xludf.DUMMYFUNCTION("""COMPUTED_VALUE"""),"Entre 1,61m e 1,65m")</f>
        <v>Entre 1,61m e 1,65m</v>
      </c>
      <c r="U34" s="1"/>
      <c r="V34" s="1" t="str">
        <f>IFERROR(__xludf.DUMMYFUNCTION("""COMPUTED_VALUE"""),"(51) 996219465")</f>
        <v>(51) 996219465</v>
      </c>
      <c r="W34" s="1" t="str">
        <f>IFERROR(__xludf.DUMMYFUNCTION("""COMPUTED_VALUE"""),"(51)998167379")</f>
        <v>(51)998167379</v>
      </c>
      <c r="X34" s="1" t="str">
        <f>IFERROR(__xludf.DUMMYFUNCTION("""COMPUTED_VALUE"""),"RS")</f>
        <v>RS</v>
      </c>
      <c r="Y34" s="1" t="str">
        <f>IFERROR(__xludf.DUMMYFUNCTION("""COMPUTED_VALUE"""),"Campo Bom")</f>
        <v>Campo Bom</v>
      </c>
      <c r="Z34" s="1" t="str">
        <f>IFERROR(__xludf.DUMMYFUNCTION("""COMPUTED_VALUE"""),"93700-000")</f>
        <v>93700-000</v>
      </c>
      <c r="AA34" s="1" t="str">
        <f>IFERROR(__xludf.DUMMYFUNCTION("""COMPUTED_VALUE"""),"Rua Tavares,450")</f>
        <v>Rua Tavares,450</v>
      </c>
      <c r="AB34" s="1" t="str">
        <f>IFERROR(__xludf.DUMMYFUNCTION("""COMPUTED_VALUE"""),"Bairro Imigrante Norte ")</f>
        <v>Bairro Imigrante Norte </v>
      </c>
      <c r="AC34" s="1" t="str">
        <f>IFERROR(__xludf.DUMMYFUNCTION("""COMPUTED_VALUE"""),"G")</f>
        <v>G</v>
      </c>
      <c r="AD34" s="1" t="str">
        <f>IFERROR(__xludf.DUMMYFUNCTION("""COMPUTED_VALUE"""),"G")</f>
        <v>G</v>
      </c>
      <c r="AE34" s="1" t="str">
        <f>IFERROR(__xludf.DUMMYFUNCTION("""COMPUTED_VALUE"""),"G")</f>
        <v>G</v>
      </c>
      <c r="AF34" s="1" t="str">
        <f>IFERROR(__xludf.DUMMYFUNCTION("""COMPUTED_VALUE"""),"G")</f>
        <v>G</v>
      </c>
      <c r="AG34" s="1" t="str">
        <f>IFERROR(__xludf.DUMMYFUNCTION("""COMPUTED_VALUE"""),"G")</f>
        <v>G</v>
      </c>
      <c r="AH34" s="1">
        <f>IFERROR(__xludf.DUMMYFUNCTION("""COMPUTED_VALUE"""),38)</f>
        <v>38</v>
      </c>
      <c r="AI34" s="1">
        <f>IFERROR(__xludf.DUMMYFUNCTION("""COMPUTED_VALUE"""),38)</f>
        <v>38</v>
      </c>
      <c r="AJ34" s="1">
        <f>IFERROR(__xludf.DUMMYFUNCTION("""COMPUTED_VALUE"""),38)</f>
        <v>38</v>
      </c>
      <c r="AK34" s="1">
        <f>IFERROR(__xludf.DUMMYFUNCTION("""COMPUTED_VALUE"""),38)</f>
        <v>38</v>
      </c>
      <c r="AL34" s="1" t="str">
        <f>IFERROR(__xludf.DUMMYFUNCTION("""COMPUTED_VALUE"""),"G")</f>
        <v>G</v>
      </c>
      <c r="AM34" s="1" t="str">
        <f>IFERROR(__xludf.DUMMYFUNCTION("""COMPUTED_VALUE"""),"G")</f>
        <v>G</v>
      </c>
      <c r="AN34" s="1" t="str">
        <f>IFERROR(__xludf.DUMMYFUNCTION("""COMPUTED_VALUE"""),"M")</f>
        <v>M</v>
      </c>
    </row>
    <row r="35" customHeight="1" spans="1:40">
      <c r="A35" s="1" t="str">
        <f>IFERROR(__xludf.DUMMYFUNCTION("""COMPUTED_VALUE"""),"02° BBM")</f>
        <v>02° BBM</v>
      </c>
      <c r="B35" s="1" t="str">
        <f>IFERROR(__xludf.DUMMYFUNCTION("""COMPUTED_VALUE"""),"Araricá")</f>
        <v>Araricá</v>
      </c>
      <c r="C35" s="119" t="str">
        <f>IFERROR(__xludf.DUMMYFUNCTION("""COMPUTED_VALUE"""),"CAB")</f>
        <v>CAB</v>
      </c>
      <c r="D35" s="119" t="str">
        <f>IFERROR(__xludf.DUMMYFUNCTION("""COMPUTED_VALUE"""),"DION NORBERT DE OLIVEIRA")</f>
        <v>DION NORBERT DE OLIVEIRA</v>
      </c>
      <c r="E35" s="119" t="str">
        <f>IFERROR(__xludf.DUMMYFUNCTION("""COMPUTED_VALUE"""),"Curso CAB operador concluído")</f>
        <v>Curso CAB operador concluído</v>
      </c>
      <c r="F35" s="119" t="str">
        <f>IFERROR(__xludf.DUMMYFUNCTION("""COMPUTED_VALUE"""),"007.753.110-81")</f>
        <v>007.753.110-81</v>
      </c>
      <c r="G35" s="1">
        <f>IFERROR(__xludf.DUMMYFUNCTION("""COMPUTED_VALUE"""),6067004728)</f>
        <v>6067004728</v>
      </c>
      <c r="H35" s="1" t="str">
        <f>IFERROR(__xludf.DUMMYFUNCTION("""COMPUTED_VALUE"""),"Combatente/Socorrista/ Condutor")</f>
        <v>Combatente/Socorrista/ Condutor</v>
      </c>
      <c r="I35" s="1" t="str">
        <f>IFERROR(__xludf.DUMMYFUNCTION("""COMPUTED_VALUE"""),"Bombeiro Voluntario/bombeiro civil, APH, BLS, resgate veicular, Bacharel em Direito e Pós Graduado")</f>
        <v>Bombeiro Voluntario/bombeiro civil, APH, BLS, resgate veicular, Bacharel em Direito e Pós Graduado</v>
      </c>
      <c r="J35" s="1" t="str">
        <f>IFERROR(__xludf.DUMMYFUNCTION("""COMPUTED_VALUE"""),"Sim")</f>
        <v>Sim</v>
      </c>
      <c r="K35" s="1" t="str">
        <f>IFERROR(__xludf.DUMMYFUNCTION("""COMPUTED_VALUE"""),"Não")</f>
        <v>Não</v>
      </c>
      <c r="L35" s="1" t="str">
        <f>IFERROR(__xludf.DUMMYFUNCTION("""COMPUTED_VALUE"""),"A+")</f>
        <v>A+</v>
      </c>
      <c r="M35" s="1" t="str">
        <f>IFERROR(__xludf.DUMMYFUNCTION("""COMPUTED_VALUE"""),"NORBERT")</f>
        <v>NORBERT</v>
      </c>
      <c r="N35" s="120">
        <f>IFERROR(__xludf.DUMMYFUNCTION("""COMPUTED_VALUE"""),31415)</f>
        <v>31415</v>
      </c>
      <c r="O35" s="1" t="str">
        <f>IFERROR(__xludf.DUMMYFUNCTION("""COMPUTED_VALUE"""),"Masculino")</f>
        <v>Masculino</v>
      </c>
      <c r="P35" s="1" t="str">
        <f>IFERROR(__xludf.DUMMYFUNCTION("""COMPUTED_VALUE"""),"Branca")</f>
        <v>Branca</v>
      </c>
      <c r="Q35" s="1" t="str">
        <f>IFERROR(__xludf.DUMMYFUNCTION("""COMPUTED_VALUE"""),"Pós-graduação")</f>
        <v>Pós-graduação</v>
      </c>
      <c r="R35" s="1" t="str">
        <f>IFERROR(__xludf.DUMMYFUNCTION("""COMPUTED_VALUE"""),"dionnorbert.adv@gmail.com")</f>
        <v>dionnorbert.adv@gmail.com</v>
      </c>
      <c r="S35" s="1">
        <f>IFERROR(__xludf.DUMMYFUNCTION("""COMPUTED_VALUE"""),96)</f>
        <v>96</v>
      </c>
      <c r="T35" s="1" t="str">
        <f>IFERROR(__xludf.DUMMYFUNCTION("""COMPUTED_VALUE"""),"Entre 1,71m e 1,75m")</f>
        <v>Entre 1,71m e 1,75m</v>
      </c>
      <c r="U35" s="1"/>
      <c r="V35" s="1">
        <f>IFERROR(__xludf.DUMMYFUNCTION("""COMPUTED_VALUE"""),51985531809)</f>
        <v>51985531809</v>
      </c>
      <c r="W35" s="1">
        <f>IFERROR(__xludf.DUMMYFUNCTION("""COMPUTED_VALUE"""),51985531809)</f>
        <v>51985531809</v>
      </c>
      <c r="X35" s="1" t="str">
        <f>IFERROR(__xludf.DUMMYFUNCTION("""COMPUTED_VALUE"""),"RS")</f>
        <v>RS</v>
      </c>
      <c r="Y35" s="1" t="str">
        <f>IFERROR(__xludf.DUMMYFUNCTION("""COMPUTED_VALUE"""),"Novo Hamburgo")</f>
        <v>Novo Hamburgo</v>
      </c>
      <c r="Z35" s="1" t="str">
        <f>IFERROR(__xludf.DUMMYFUNCTION("""COMPUTED_VALUE"""),"93542-590")</f>
        <v>93542-590</v>
      </c>
      <c r="AA35" s="1" t="str">
        <f>IFERROR(__xludf.DUMMYFUNCTION("""COMPUTED_VALUE"""),"Avenida Reynaldo Kayser, 1221  bloco J AP. 34")</f>
        <v>Avenida Reynaldo Kayser, 1221  bloco J AP. 34</v>
      </c>
      <c r="AB35" s="1" t="str">
        <f>IFERROR(__xludf.DUMMYFUNCTION("""COMPUTED_VALUE"""),"Canudos")</f>
        <v>Canudos</v>
      </c>
      <c r="AC35" s="1" t="str">
        <f>IFERROR(__xludf.DUMMYFUNCTION("""COMPUTED_VALUE"""),"G")</f>
        <v>G</v>
      </c>
      <c r="AD35" s="1" t="str">
        <f>IFERROR(__xludf.DUMMYFUNCTION("""COMPUTED_VALUE"""),"G")</f>
        <v>G</v>
      </c>
      <c r="AE35" s="1" t="str">
        <f>IFERROR(__xludf.DUMMYFUNCTION("""COMPUTED_VALUE"""),"G")</f>
        <v>G</v>
      </c>
      <c r="AF35" s="1" t="str">
        <f>IFERROR(__xludf.DUMMYFUNCTION("""COMPUTED_VALUE"""),"G")</f>
        <v>G</v>
      </c>
      <c r="AG35" s="1" t="str">
        <f>IFERROR(__xludf.DUMMYFUNCTION("""COMPUTED_VALUE"""),"G")</f>
        <v>G</v>
      </c>
      <c r="AH35" s="1">
        <f>IFERROR(__xludf.DUMMYFUNCTION("""COMPUTED_VALUE"""),42)</f>
        <v>42</v>
      </c>
      <c r="AI35" s="1">
        <f>IFERROR(__xludf.DUMMYFUNCTION("""COMPUTED_VALUE"""),42)</f>
        <v>42</v>
      </c>
      <c r="AJ35" s="1">
        <f>IFERROR(__xludf.DUMMYFUNCTION("""COMPUTED_VALUE"""),42)</f>
        <v>42</v>
      </c>
      <c r="AK35" s="1">
        <f>IFERROR(__xludf.DUMMYFUNCTION("""COMPUTED_VALUE"""),42)</f>
        <v>42</v>
      </c>
      <c r="AL35" s="1" t="str">
        <f>IFERROR(__xludf.DUMMYFUNCTION("""COMPUTED_VALUE"""),"GG")</f>
        <v>GG</v>
      </c>
      <c r="AM35" s="1" t="str">
        <f>IFERROR(__xludf.DUMMYFUNCTION("""COMPUTED_VALUE"""),"G")</f>
        <v>G</v>
      </c>
      <c r="AN35" s="1" t="str">
        <f>IFERROR(__xludf.DUMMYFUNCTION("""COMPUTED_VALUE"""),"G")</f>
        <v>G</v>
      </c>
    </row>
    <row r="36" customHeight="1" spans="1:40">
      <c r="A36" s="1" t="str">
        <f>IFERROR(__xludf.DUMMYFUNCTION("""COMPUTED_VALUE"""),"02° BBM")</f>
        <v>02° BBM</v>
      </c>
      <c r="B36" s="1" t="str">
        <f>IFERROR(__xludf.DUMMYFUNCTION("""COMPUTED_VALUE"""),"Campo Bom")</f>
        <v>Campo Bom</v>
      </c>
      <c r="C36" s="119" t="str">
        <f>IFERROR(__xludf.DUMMYFUNCTION("""COMPUTED_VALUE"""),"Comunitario")</f>
        <v>Comunitario</v>
      </c>
      <c r="D36" s="119" t="str">
        <f>IFERROR(__xludf.DUMMYFUNCTION("""COMPUTED_VALUE"""),"DIONATAN BONATTO")</f>
        <v>DIONATAN BONATTO</v>
      </c>
      <c r="E36" s="119" t="str">
        <f>IFERROR(__xludf.DUMMYFUNCTION("""COMPUTED_VALUE"""),"Curso CAB operador concluído")</f>
        <v>Curso CAB operador concluído</v>
      </c>
      <c r="F36" s="1" t="str">
        <f>IFERROR(__xludf.DUMMYFUNCTION("""COMPUTED_VALUE"""),"004.887.190-70")</f>
        <v>004.887.190-70</v>
      </c>
      <c r="G36" s="1">
        <f>IFERROR(__xludf.DUMMYFUNCTION("""COMPUTED_VALUE"""),1067025815)</f>
        <v>1067025815</v>
      </c>
      <c r="H36" s="1" t="str">
        <f>IFERROR(__xludf.DUMMYFUNCTION("""COMPUTED_VALUE"""),"Combatente")</f>
        <v>Combatente</v>
      </c>
      <c r="I36" s="1" t="str">
        <f>IFERROR(__xludf.DUMMYFUNCTION("""COMPUTED_VALUE"""),"Bombeiro Voluntário")</f>
        <v>Bombeiro Voluntário</v>
      </c>
      <c r="J36" s="1" t="str">
        <f>IFERROR(__xludf.DUMMYFUNCTION("""COMPUTED_VALUE"""),"Sim")</f>
        <v>Sim</v>
      </c>
      <c r="K36" s="1" t="str">
        <f>IFERROR(__xludf.DUMMYFUNCTION("""COMPUTED_VALUE"""),"Sim")</f>
        <v>Sim</v>
      </c>
      <c r="L36" s="1" t="str">
        <f>IFERROR(__xludf.DUMMYFUNCTION("""COMPUTED_VALUE"""),"O+")</f>
        <v>O+</v>
      </c>
      <c r="M36" s="1" t="str">
        <f>IFERROR(__xludf.DUMMYFUNCTION("""COMPUTED_VALUE"""),"BONATTO")</f>
        <v>BONATTO</v>
      </c>
      <c r="N36" s="120">
        <f>IFERROR(__xludf.DUMMYFUNCTION("""COMPUTED_VALUE"""),31204)</f>
        <v>31204</v>
      </c>
      <c r="O36" s="1" t="str">
        <f>IFERROR(__xludf.DUMMYFUNCTION("""COMPUTED_VALUE"""),"Masculino")</f>
        <v>Masculino</v>
      </c>
      <c r="P36" s="1" t="str">
        <f>IFERROR(__xludf.DUMMYFUNCTION("""COMPUTED_VALUE"""),"Branca")</f>
        <v>Branca</v>
      </c>
      <c r="Q36" s="1" t="str">
        <f>IFERROR(__xludf.DUMMYFUNCTION("""COMPUTED_VALUE"""),"Pós-graduação")</f>
        <v>Pós-graduação</v>
      </c>
      <c r="R36" s="1" t="str">
        <f>IFERROR(__xludf.DUMMYFUNCTION("""COMPUTED_VALUE"""),"bonatto_dionatan@hotmail.com")</f>
        <v>bonatto_dionatan@hotmail.com</v>
      </c>
      <c r="S36" s="1">
        <f>IFERROR(__xludf.DUMMYFUNCTION("""COMPUTED_VALUE"""),126)</f>
        <v>126</v>
      </c>
      <c r="T36" s="1" t="str">
        <f>IFERROR(__xludf.DUMMYFUNCTION("""COMPUTED_VALUE"""),"Entre 1,76m e 1,80m")</f>
        <v>Entre 1,76m e 1,80m</v>
      </c>
      <c r="U36" s="1" t="str">
        <f>IFERROR(__xludf.DUMMYFUNCTION("""COMPUTED_VALUE"""),"(51) 3536-2286")</f>
        <v>(51) 3536-2286</v>
      </c>
      <c r="V36" s="1" t="str">
        <f>IFERROR(__xludf.DUMMYFUNCTION("""COMPUTED_VALUE"""),"(51)995512961")</f>
        <v>(51)995512961</v>
      </c>
      <c r="W36" s="1" t="str">
        <f>IFERROR(__xludf.DUMMYFUNCTION("""COMPUTED_VALUE"""),"(51)3536-2286")</f>
        <v>(51)3536-2286</v>
      </c>
      <c r="X36" s="1" t="str">
        <f>IFERROR(__xludf.DUMMYFUNCTION("""COMPUTED_VALUE"""),"RS")</f>
        <v>RS</v>
      </c>
      <c r="Y36" s="1" t="str">
        <f>IFERROR(__xludf.DUMMYFUNCTION("""COMPUTED_VALUE"""),"São Sebastião do Caí")</f>
        <v>São Sebastião do Caí</v>
      </c>
      <c r="Z36" s="1" t="str">
        <f>IFERROR(__xludf.DUMMYFUNCTION("""COMPUTED_VALUE"""),"95760-000")</f>
        <v>95760-000</v>
      </c>
      <c r="AA36" s="1" t="str">
        <f>IFERROR(__xludf.DUMMYFUNCTION("""COMPUTED_VALUE"""),"ERS-122 Km 07 nº54")</f>
        <v>ERS-122 Km 07 nº54</v>
      </c>
      <c r="AB36" s="1" t="str">
        <f>IFERROR(__xludf.DUMMYFUNCTION("""COMPUTED_VALUE"""),"Conceição")</f>
        <v>Conceição</v>
      </c>
      <c r="AC36" s="1" t="str">
        <f>IFERROR(__xludf.DUMMYFUNCTION("""COMPUTED_VALUE"""),"EXG")</f>
        <v>EXG</v>
      </c>
      <c r="AD36" s="1" t="str">
        <f>IFERROR(__xludf.DUMMYFUNCTION("""COMPUTED_VALUE"""),"EXG")</f>
        <v>EXG</v>
      </c>
      <c r="AE36" s="1" t="str">
        <f>IFERROR(__xludf.DUMMYFUNCTION("""COMPUTED_VALUE"""),"EXG")</f>
        <v>EXG</v>
      </c>
      <c r="AF36" s="1" t="str">
        <f>IFERROR(__xludf.DUMMYFUNCTION("""COMPUTED_VALUE"""),"EXG")</f>
        <v>EXG</v>
      </c>
      <c r="AG36" s="1" t="str">
        <f>IFERROR(__xludf.DUMMYFUNCTION("""COMPUTED_VALUE"""),"EXG")</f>
        <v>EXG</v>
      </c>
      <c r="AH36" s="1">
        <f>IFERROR(__xludf.DUMMYFUNCTION("""COMPUTED_VALUE"""),42)</f>
        <v>42</v>
      </c>
      <c r="AI36" s="1">
        <f>IFERROR(__xludf.DUMMYFUNCTION("""COMPUTED_VALUE"""),42)</f>
        <v>42</v>
      </c>
      <c r="AJ36" s="1">
        <f>IFERROR(__xludf.DUMMYFUNCTION("""COMPUTED_VALUE"""),42)</f>
        <v>42</v>
      </c>
      <c r="AK36" s="1">
        <f>IFERROR(__xludf.DUMMYFUNCTION("""COMPUTED_VALUE"""),42)</f>
        <v>42</v>
      </c>
      <c r="AL36" s="1" t="str">
        <f>IFERROR(__xludf.DUMMYFUNCTION("""COMPUTED_VALUE"""),"EXG")</f>
        <v>EXG</v>
      </c>
      <c r="AM36" s="1" t="str">
        <f>IFERROR(__xludf.DUMMYFUNCTION("""COMPUTED_VALUE"""),"EXG")</f>
        <v>EXG</v>
      </c>
      <c r="AN36" s="1" t="str">
        <f>IFERROR(__xludf.DUMMYFUNCTION("""COMPUTED_VALUE"""),"M")</f>
        <v>M</v>
      </c>
    </row>
    <row r="37" customHeight="1" spans="1:40">
      <c r="A37" s="1"/>
      <c r="B37" s="1"/>
      <c r="C37" s="119"/>
      <c r="D37" s="119" t="str">
        <f>IFERROR(__xludf.DUMMYFUNCTION("""COMPUTED_VALUE"""),"DOUGLAS RAFAEL KESSLER")</f>
        <v>DOUGLAS RAFAEL KESSLER</v>
      </c>
      <c r="E37" s="119" t="str">
        <f>IFERROR(__xludf.DUMMYFUNCTION("""COMPUTED_VALUE"""),"Curso CAB operador concluído")</f>
        <v>Curso CAB operador concluído</v>
      </c>
      <c r="F37" s="1" t="str">
        <f>IFERROR(__xludf.DUMMYFUNCTION("""COMPUTED_VALUE"""),"088.249.729-42")</f>
        <v>088.249.729-42</v>
      </c>
      <c r="G37" s="1"/>
      <c r="H37" s="1"/>
      <c r="I37" s="1"/>
      <c r="J37" s="1"/>
      <c r="K37" s="1"/>
      <c r="L37" s="1"/>
      <c r="M37" s="1"/>
      <c r="N37" s="120"/>
      <c r="O37" s="1"/>
      <c r="P37" s="1"/>
      <c r="Q37" s="1"/>
      <c r="R37" s="1"/>
      <c r="S37" s="1"/>
      <c r="T37" s="1"/>
      <c r="U37" s="1"/>
      <c r="V37" s="1"/>
      <c r="W37" s="1"/>
      <c r="X37" s="1"/>
      <c r="Y37" s="1"/>
      <c r="Z37" s="1"/>
      <c r="AA37" s="1"/>
      <c r="AB37" s="1"/>
      <c r="AC37" s="1"/>
      <c r="AD37" s="1"/>
      <c r="AE37" s="1"/>
      <c r="AF37" s="1"/>
      <c r="AG37" s="1"/>
      <c r="AH37" s="1"/>
      <c r="AI37" s="1"/>
      <c r="AJ37" s="1"/>
      <c r="AK37" s="1"/>
      <c r="AL37" s="1"/>
      <c r="AM37" s="1"/>
      <c r="AN37" s="1"/>
    </row>
    <row r="38" customHeight="1" spans="1:40">
      <c r="A38" s="1" t="str">
        <f>IFERROR(__xludf.DUMMYFUNCTION("""COMPUTED_VALUE"""),"02° BBM")</f>
        <v>02° BBM</v>
      </c>
      <c r="B38" s="1" t="str">
        <f>IFERROR(__xludf.DUMMYFUNCTION("""COMPUTED_VALUE"""),"Campo Bom")</f>
        <v>Campo Bom</v>
      </c>
      <c r="C38" s="119" t="str">
        <f>IFERROR(__xludf.DUMMYFUNCTION("""COMPUTED_VALUE"""),"Comunitario")</f>
        <v>Comunitario</v>
      </c>
      <c r="D38" s="119" t="str">
        <f>IFERROR(__xludf.DUMMYFUNCTION("""COMPUTED_VALUE"""),"EDER FRANCISCO FURTUOSO VIEIRA")</f>
        <v>EDER FRANCISCO FURTUOSO VIEIRA</v>
      </c>
      <c r="E38" s="119" t="str">
        <f>IFERROR(__xludf.DUMMYFUNCTION("""COMPUTED_VALUE"""),"")</f>
        <v/>
      </c>
      <c r="F38" s="1" t="str">
        <f>IFERROR(__xludf.DUMMYFUNCTION("""COMPUTED_VALUE"""),"001.974.980-51")</f>
        <v>001.974.980-51</v>
      </c>
      <c r="G38" s="1">
        <f>IFERROR(__xludf.DUMMYFUNCTION("""COMPUTED_VALUE"""),8081251657)</f>
        <v>8081251657</v>
      </c>
      <c r="H38" s="1" t="str">
        <f>IFERROR(__xludf.DUMMYFUNCTION("""COMPUTED_VALUE"""),"Combatente")</f>
        <v>Combatente</v>
      </c>
      <c r="I38" s="1" t="str">
        <f>IFERROR(__xludf.DUMMYFUNCTION("""COMPUTED_VALUE"""),"Bombeiro Voluntário")</f>
        <v>Bombeiro Voluntário</v>
      </c>
      <c r="J38" s="1" t="str">
        <f>IFERROR(__xludf.DUMMYFUNCTION("""COMPUTED_VALUE"""),"Não")</f>
        <v>Não</v>
      </c>
      <c r="K38" s="1" t="str">
        <f>IFERROR(__xludf.DUMMYFUNCTION("""COMPUTED_VALUE"""),"Não")</f>
        <v>Não</v>
      </c>
      <c r="L38" s="1" t="str">
        <f>IFERROR(__xludf.DUMMYFUNCTION("""COMPUTED_VALUE"""),"O+")</f>
        <v>O+</v>
      </c>
      <c r="M38" s="1" t="str">
        <f>IFERROR(__xludf.DUMMYFUNCTION("""COMPUTED_VALUE"""),"EDER")</f>
        <v>EDER</v>
      </c>
      <c r="N38" s="121">
        <f>IFERROR(__xludf.DUMMYFUNCTION("""COMPUTED_VALUE"""),30672)</f>
        <v>30672</v>
      </c>
      <c r="O38" s="1" t="str">
        <f>IFERROR(__xludf.DUMMYFUNCTION("""COMPUTED_VALUE"""),"Masculino")</f>
        <v>Masculino</v>
      </c>
      <c r="P38" s="1" t="str">
        <f>IFERROR(__xludf.DUMMYFUNCTION("""COMPUTED_VALUE"""),"Branca")</f>
        <v>Branca</v>
      </c>
      <c r="Q38" s="1" t="str">
        <f>IFERROR(__xludf.DUMMYFUNCTION("""COMPUTED_VALUE"""),"Ensino Superior Completo")</f>
        <v>Ensino Superior Completo</v>
      </c>
      <c r="R38" s="1" t="str">
        <f>IFERROR(__xludf.DUMMYFUNCTION("""COMPUTED_VALUE"""),"edervieiratst@gmail.com")</f>
        <v>edervieiratst@gmail.com</v>
      </c>
      <c r="S38" s="1">
        <f>IFERROR(__xludf.DUMMYFUNCTION("""COMPUTED_VALUE"""),87)</f>
        <v>87</v>
      </c>
      <c r="T38" s="1" t="str">
        <f>IFERROR(__xludf.DUMMYFUNCTION("""COMPUTED_VALUE"""),"Entre 1,71m e 1,75m")</f>
        <v>Entre 1,71m e 1,75m</v>
      </c>
      <c r="U38" s="1"/>
      <c r="V38" s="1" t="str">
        <f>IFERROR(__xludf.DUMMYFUNCTION("""COMPUTED_VALUE"""),"51 991165277")</f>
        <v>51 991165277</v>
      </c>
      <c r="W38" s="1" t="str">
        <f>IFERROR(__xludf.DUMMYFUNCTION("""COMPUTED_VALUE"""),"51 991165277")</f>
        <v>51 991165277</v>
      </c>
      <c r="X38" s="1" t="str">
        <f>IFERROR(__xludf.DUMMYFUNCTION("""COMPUTED_VALUE"""),"RS")</f>
        <v>RS</v>
      </c>
      <c r="Y38" s="1" t="str">
        <f>IFERROR(__xludf.DUMMYFUNCTION("""COMPUTED_VALUE"""),"Novo Hamburgo")</f>
        <v>Novo Hamburgo</v>
      </c>
      <c r="Z38" s="1" t="str">
        <f>IFERROR(__xludf.DUMMYFUNCTION("""COMPUTED_VALUE"""),"93490-288")</f>
        <v>93490-288</v>
      </c>
      <c r="AA38" s="1" t="str">
        <f>IFERROR(__xludf.DUMMYFUNCTION("""COMPUTED_VALUE"""),"Flávio da Silveira, 105")</f>
        <v>Flávio da Silveira, 105</v>
      </c>
      <c r="AB38" s="1" t="str">
        <f>IFERROR(__xludf.DUMMYFUNCTION("""COMPUTED_VALUE"""),"Lomba Grande")</f>
        <v>Lomba Grande</v>
      </c>
      <c r="AC38" s="1" t="str">
        <f>IFERROR(__xludf.DUMMYFUNCTION("""COMPUTED_VALUE"""),"G")</f>
        <v>G</v>
      </c>
      <c r="AD38" s="1" t="str">
        <f>IFERROR(__xludf.DUMMYFUNCTION("""COMPUTED_VALUE"""),"G")</f>
        <v>G</v>
      </c>
      <c r="AE38" s="1" t="str">
        <f>IFERROR(__xludf.DUMMYFUNCTION("""COMPUTED_VALUE"""),"G")</f>
        <v>G</v>
      </c>
      <c r="AF38" s="1" t="str">
        <f>IFERROR(__xludf.DUMMYFUNCTION("""COMPUTED_VALUE"""),"G")</f>
        <v>G</v>
      </c>
      <c r="AG38" s="1" t="str">
        <f>IFERROR(__xludf.DUMMYFUNCTION("""COMPUTED_VALUE"""),"G")</f>
        <v>G</v>
      </c>
      <c r="AH38" s="1">
        <f>IFERROR(__xludf.DUMMYFUNCTION("""COMPUTED_VALUE"""),39)</f>
        <v>39</v>
      </c>
      <c r="AI38" s="1">
        <f>IFERROR(__xludf.DUMMYFUNCTION("""COMPUTED_VALUE"""),39)</f>
        <v>39</v>
      </c>
      <c r="AJ38" s="1">
        <f>IFERROR(__xludf.DUMMYFUNCTION("""COMPUTED_VALUE"""),39)</f>
        <v>39</v>
      </c>
      <c r="AK38" s="1">
        <f>IFERROR(__xludf.DUMMYFUNCTION("""COMPUTED_VALUE"""),39)</f>
        <v>39</v>
      </c>
      <c r="AL38" s="1" t="str">
        <f>IFERROR(__xludf.DUMMYFUNCTION("""COMPUTED_VALUE"""),"G")</f>
        <v>G</v>
      </c>
      <c r="AM38" s="1" t="str">
        <f>IFERROR(__xludf.DUMMYFUNCTION("""COMPUTED_VALUE"""),"G")</f>
        <v>G</v>
      </c>
      <c r="AN38" s="1" t="str">
        <f>IFERROR(__xludf.DUMMYFUNCTION("""COMPUTED_VALUE"""),"G")</f>
        <v>G</v>
      </c>
    </row>
    <row r="39" customHeight="1" spans="1:40">
      <c r="A39" s="1"/>
      <c r="B39" s="1"/>
      <c r="C39" s="119"/>
      <c r="D39" s="119" t="str">
        <f>IFERROR(__xludf.DUMMYFUNCTION("""COMPUTED_VALUE"""),"EDIANE DO PRADO")</f>
        <v>EDIANE DO PRADO</v>
      </c>
      <c r="E39" s="119" t="str">
        <f>IFERROR(__xludf.DUMMYFUNCTION("""COMPUTED_VALUE"""),"Curso CAB operador concluído")</f>
        <v>Curso CAB operador concluído</v>
      </c>
      <c r="F39" s="1" t="str">
        <f>IFERROR(__xludf.DUMMYFUNCTION("""COMPUTED_VALUE"""),"031.297.580-54")</f>
        <v>031.297.580-54</v>
      </c>
      <c r="G39" s="1"/>
      <c r="H39" s="1"/>
      <c r="I39" s="1"/>
      <c r="J39" s="1"/>
      <c r="K39" s="1"/>
      <c r="L39" s="1"/>
      <c r="M39" s="1"/>
      <c r="N39" s="120"/>
      <c r="O39" s="1"/>
      <c r="P39" s="1"/>
      <c r="Q39" s="1"/>
      <c r="R39" s="1"/>
      <c r="S39" s="1"/>
      <c r="T39" s="1"/>
      <c r="U39" s="1"/>
      <c r="V39" s="1"/>
      <c r="W39" s="1"/>
      <c r="X39" s="1"/>
      <c r="Y39" s="1"/>
      <c r="Z39" s="1"/>
      <c r="AA39" s="1"/>
      <c r="AB39" s="1"/>
      <c r="AC39" s="1"/>
      <c r="AD39" s="1"/>
      <c r="AE39" s="1"/>
      <c r="AF39" s="1"/>
      <c r="AG39" s="1"/>
      <c r="AH39" s="1"/>
      <c r="AI39" s="1"/>
      <c r="AJ39" s="1"/>
      <c r="AK39" s="1"/>
      <c r="AL39" s="1"/>
      <c r="AM39" s="1"/>
      <c r="AN39" s="1"/>
    </row>
    <row r="40" customHeight="1" spans="1:40">
      <c r="A40" s="1" t="str">
        <f>IFERROR(__xludf.DUMMYFUNCTION("""COMPUTED_VALUE"""),"02° BBM")</f>
        <v>02° BBM</v>
      </c>
      <c r="B40" s="1" t="str">
        <f>IFERROR(__xludf.DUMMYFUNCTION("""COMPUTED_VALUE"""),"Araricá")</f>
        <v>Araricá</v>
      </c>
      <c r="C40" s="119" t="str">
        <f>IFERROR(__xludf.DUMMYFUNCTION("""COMPUTED_VALUE"""),"CAB")</f>
        <v>CAB</v>
      </c>
      <c r="D40" s="119" t="str">
        <f>IFERROR(__xludf.DUMMYFUNCTION("""COMPUTED_VALUE"""),"EDIANE DO PRADO ")</f>
        <v>EDIANE DO PRADO </v>
      </c>
      <c r="E40" s="119" t="str">
        <f>IFERROR(__xludf.DUMMYFUNCTION("""COMPUTED_VALUE"""),"")</f>
        <v/>
      </c>
      <c r="F40" s="1" t="str">
        <f>IFERROR(__xludf.DUMMYFUNCTION("""COMPUTED_VALUE"""),"031.297.480-54")</f>
        <v>031.297.480-54</v>
      </c>
      <c r="G40" s="1">
        <f>IFERROR(__xludf.DUMMYFUNCTION("""COMPUTED_VALUE"""),2140663507)</f>
        <v>2140663507</v>
      </c>
      <c r="H40" s="1" t="str">
        <f>IFERROR(__xludf.DUMMYFUNCTION("""COMPUTED_VALUE"""),"Combatente e Socorrista")</f>
        <v>Combatente e Socorrista</v>
      </c>
      <c r="I40" s="1" t="str">
        <f>IFERROR(__xludf.DUMMYFUNCTION("""COMPUTED_VALUE"""),"Bombeiro Voluntario/APH/BLS/COMBATE INCÊNDIO ")</f>
        <v>Bombeiro Voluntario/APH/BLS/COMBATE INCÊNDIO </v>
      </c>
      <c r="J40" s="1" t="str">
        <f>IFERROR(__xludf.DUMMYFUNCTION("""COMPUTED_VALUE"""),"Sim")</f>
        <v>Sim</v>
      </c>
      <c r="K40" s="1" t="str">
        <f>IFERROR(__xludf.DUMMYFUNCTION("""COMPUTED_VALUE"""),"Não")</f>
        <v>Não</v>
      </c>
      <c r="L40" s="1" t="str">
        <f>IFERROR(__xludf.DUMMYFUNCTION("""COMPUTED_VALUE"""),"A+")</f>
        <v>A+</v>
      </c>
      <c r="M40" s="1" t="str">
        <f>IFERROR(__xludf.DUMMYFUNCTION("""COMPUTED_VALUE"""),"PRADO")</f>
        <v>PRADO</v>
      </c>
      <c r="N40" s="121">
        <f>IFERROR(__xludf.DUMMYFUNCTION("""COMPUTED_VALUE"""),34888)</f>
        <v>34888</v>
      </c>
      <c r="O40" s="1" t="str">
        <f>IFERROR(__xludf.DUMMYFUNCTION("""COMPUTED_VALUE"""),"Feminino")</f>
        <v>Feminino</v>
      </c>
      <c r="P40" s="1" t="str">
        <f>IFERROR(__xludf.DUMMYFUNCTION("""COMPUTED_VALUE"""),"Morena")</f>
        <v>Morena</v>
      </c>
      <c r="Q40" s="1" t="str">
        <f>IFERROR(__xludf.DUMMYFUNCTION("""COMPUTED_VALUE"""),"Ensino Superior Incompleto")</f>
        <v>Ensino Superior Incompleto</v>
      </c>
      <c r="R40" s="1" t="str">
        <f>IFERROR(__xludf.DUMMYFUNCTION("""COMPUTED_VALUE"""),"edianeprado.gripa08@gmail.com")</f>
        <v>edianeprado.gripa08@gmail.com</v>
      </c>
      <c r="S40" s="1">
        <f>IFERROR(__xludf.DUMMYFUNCTION("""COMPUTED_VALUE"""),65)</f>
        <v>65</v>
      </c>
      <c r="T40" s="1" t="str">
        <f>IFERROR(__xludf.DUMMYFUNCTION("""COMPUTED_VALUE"""),"Entre 1,66m e 1,70m")</f>
        <v>Entre 1,66m e 1,70m</v>
      </c>
      <c r="U40" s="1"/>
      <c r="V40" s="1">
        <f>IFERROR(__xludf.DUMMYFUNCTION("""COMPUTED_VALUE"""),51989166674)</f>
        <v>51989166674</v>
      </c>
      <c r="W40" s="1">
        <f>IFERROR(__xludf.DUMMYFUNCTION("""COMPUTED_VALUE"""),51989166674)</f>
        <v>51989166674</v>
      </c>
      <c r="X40" s="1" t="str">
        <f>IFERROR(__xludf.DUMMYFUNCTION("""COMPUTED_VALUE"""),"RS")</f>
        <v>RS</v>
      </c>
      <c r="Y40" s="1" t="str">
        <f>IFERROR(__xludf.DUMMYFUNCTION("""COMPUTED_VALUE"""),"Parobé")</f>
        <v>Parobé</v>
      </c>
      <c r="Z40" s="1">
        <f>IFERROR(__xludf.DUMMYFUNCTION("""COMPUTED_VALUE"""),95630000)</f>
        <v>95630000</v>
      </c>
      <c r="AA40" s="1" t="str">
        <f>IFERROR(__xludf.DUMMYFUNCTION("""COMPUTED_VALUE"""),"rua 12 de outubro 72")</f>
        <v>rua 12 de outubro 72</v>
      </c>
      <c r="AB40" s="1" t="str">
        <f>IFERROR(__xludf.DUMMYFUNCTION("""COMPUTED_VALUE"""),"palmeiras")</f>
        <v>palmeiras</v>
      </c>
      <c r="AC40" s="1" t="str">
        <f>IFERROR(__xludf.DUMMYFUNCTION("""COMPUTED_VALUE"""),"M")</f>
        <v>M</v>
      </c>
      <c r="AD40" s="1" t="str">
        <f>IFERROR(__xludf.DUMMYFUNCTION("""COMPUTED_VALUE"""),"M")</f>
        <v>M</v>
      </c>
      <c r="AE40" s="1" t="str">
        <f>IFERROR(__xludf.DUMMYFUNCTION("""COMPUTED_VALUE"""),"M")</f>
        <v>M</v>
      </c>
      <c r="AF40" s="1" t="str">
        <f>IFERROR(__xludf.DUMMYFUNCTION("""COMPUTED_VALUE"""),"M")</f>
        <v>M</v>
      </c>
      <c r="AG40" s="1" t="str">
        <f>IFERROR(__xludf.DUMMYFUNCTION("""COMPUTED_VALUE"""),"M")</f>
        <v>M</v>
      </c>
      <c r="AH40" s="1">
        <f>IFERROR(__xludf.DUMMYFUNCTION("""COMPUTED_VALUE"""),39)</f>
        <v>39</v>
      </c>
      <c r="AI40" s="1">
        <f>IFERROR(__xludf.DUMMYFUNCTION("""COMPUTED_VALUE"""),39)</f>
        <v>39</v>
      </c>
      <c r="AJ40" s="1">
        <f>IFERROR(__xludf.DUMMYFUNCTION("""COMPUTED_VALUE"""),39)</f>
        <v>39</v>
      </c>
      <c r="AK40" s="1">
        <f>IFERROR(__xludf.DUMMYFUNCTION("""COMPUTED_VALUE"""),39)</f>
        <v>39</v>
      </c>
      <c r="AL40" s="1" t="str">
        <f>IFERROR(__xludf.DUMMYFUNCTION("""COMPUTED_VALUE"""),"M")</f>
        <v>M</v>
      </c>
      <c r="AM40" s="1" t="str">
        <f>IFERROR(__xludf.DUMMYFUNCTION("""COMPUTED_VALUE"""),"M")</f>
        <v>M</v>
      </c>
      <c r="AN40" s="1" t="str">
        <f>IFERROR(__xludf.DUMMYFUNCTION("""COMPUTED_VALUE"""),"M")</f>
        <v>M</v>
      </c>
    </row>
    <row r="41" customHeight="1" spans="1:40">
      <c r="A41" s="1" t="str">
        <f>IFERROR(__xludf.DUMMYFUNCTION("""COMPUTED_VALUE"""),"02° BBM")</f>
        <v>02° BBM</v>
      </c>
      <c r="B41" s="1" t="str">
        <f>IFERROR(__xludf.DUMMYFUNCTION("""COMPUTED_VALUE"""),"Estância Velha")</f>
        <v>Estância Velha</v>
      </c>
      <c r="C41" s="119" t="str">
        <f>IFERROR(__xludf.DUMMYFUNCTION("""COMPUTED_VALUE"""),"Comunitario")</f>
        <v>Comunitario</v>
      </c>
      <c r="D41" s="119" t="str">
        <f>IFERROR(__xludf.DUMMYFUNCTION("""COMPUTED_VALUE"""),"EDMILSON DA SILVA CARVALHO")</f>
        <v>EDMILSON DA SILVA CARVALHO</v>
      </c>
      <c r="E41" s="119" t="str">
        <f>IFERROR(__xludf.DUMMYFUNCTION("""COMPUTED_VALUE"""),"")</f>
        <v/>
      </c>
      <c r="F41" s="1" t="str">
        <f>IFERROR(__xludf.DUMMYFUNCTION("""COMPUTED_VALUE"""),"012.450.474-42")</f>
        <v>012.450.474-42</v>
      </c>
      <c r="G41" s="1">
        <f>IFERROR(__xludf.DUMMYFUNCTION("""COMPUTED_VALUE"""),2687649)</f>
        <v>2687649</v>
      </c>
      <c r="H41" s="1" t="str">
        <f>IFERROR(__xludf.DUMMYFUNCTION("""COMPUTED_VALUE"""),"Combatente e Socorrista")</f>
        <v>Combatente e Socorrista</v>
      </c>
      <c r="I41" s="1" t="str">
        <f>IFERROR(__xludf.DUMMYFUNCTION("""COMPUTED_VALUE"""),"Bombeiro Voluntário")</f>
        <v>Bombeiro Voluntário</v>
      </c>
      <c r="J41" s="1" t="str">
        <f>IFERROR(__xludf.DUMMYFUNCTION("""COMPUTED_VALUE"""),"Não")</f>
        <v>Não</v>
      </c>
      <c r="K41" s="1" t="str">
        <f>IFERROR(__xludf.DUMMYFUNCTION("""COMPUTED_VALUE"""),"Sim")</f>
        <v>Sim</v>
      </c>
      <c r="L41" s="1" t="str">
        <f>IFERROR(__xludf.DUMMYFUNCTION("""COMPUTED_VALUE"""),"B+")</f>
        <v>B+</v>
      </c>
      <c r="M41" s="1" t="str">
        <f>IFERROR(__xludf.DUMMYFUNCTION("""COMPUTED_VALUE"""),"Edmilson")</f>
        <v>Edmilson</v>
      </c>
      <c r="N41" s="120">
        <f>IFERROR(__xludf.DUMMYFUNCTION("""COMPUTED_VALUE"""),30053)</f>
        <v>30053</v>
      </c>
      <c r="O41" s="1" t="str">
        <f>IFERROR(__xludf.DUMMYFUNCTION("""COMPUTED_VALUE"""),"Masculino")</f>
        <v>Masculino</v>
      </c>
      <c r="P41" s="1" t="str">
        <f>IFERROR(__xludf.DUMMYFUNCTION("""COMPUTED_VALUE"""),"Branca")</f>
        <v>Branca</v>
      </c>
      <c r="Q41" s="1" t="str">
        <f>IFERROR(__xludf.DUMMYFUNCTION("""COMPUTED_VALUE"""),"Ensino Médio")</f>
        <v>Ensino Médio</v>
      </c>
      <c r="R41" s="1" t="str">
        <f>IFERROR(__xludf.DUMMYFUNCTION("""COMPUTED_VALUE"""),"edmilsocarvalho85@gmail.com")</f>
        <v>edmilsocarvalho85@gmail.com</v>
      </c>
      <c r="S41" s="1" t="str">
        <f>IFERROR(__xludf.DUMMYFUNCTION("""COMPUTED_VALUE"""),"72 kg")</f>
        <v>72 kg</v>
      </c>
      <c r="T41" s="1" t="str">
        <f>IFERROR(__xludf.DUMMYFUNCTION("""COMPUTED_VALUE"""),"Entre 1,61m e 1,65m")</f>
        <v>Entre 1,61m e 1,65m</v>
      </c>
      <c r="U41" s="1"/>
      <c r="V41" s="1" t="str">
        <f>IFERROR(__xludf.DUMMYFUNCTION("""COMPUTED_VALUE"""),"51 999921082")</f>
        <v>51 999921082</v>
      </c>
      <c r="W41" s="1"/>
      <c r="X41" s="1" t="str">
        <f>IFERROR(__xludf.DUMMYFUNCTION("""COMPUTED_VALUE"""),"PB")</f>
        <v>PB</v>
      </c>
      <c r="Y41" s="1" t="str">
        <f>IFERROR(__xludf.DUMMYFUNCTION("""COMPUTED_VALUE"""),"Estância Velha")</f>
        <v>Estância Velha</v>
      </c>
      <c r="Z41" s="1"/>
      <c r="AA41" s="1" t="str">
        <f>IFERROR(__xludf.DUMMYFUNCTION("""COMPUTED_VALUE"""),"Rua Portugal n921")</f>
        <v>Rua Portugal n921</v>
      </c>
      <c r="AB41" s="1" t="str">
        <f>IFERROR(__xludf.DUMMYFUNCTION("""COMPUTED_VALUE"""),"Sol Nacente")</f>
        <v>Sol Nacente</v>
      </c>
      <c r="AC41" s="1" t="str">
        <f>IFERROR(__xludf.DUMMYFUNCTION("""COMPUTED_VALUE"""),"M")</f>
        <v>M</v>
      </c>
      <c r="AD41" s="1" t="str">
        <f>IFERROR(__xludf.DUMMYFUNCTION("""COMPUTED_VALUE"""),"M")</f>
        <v>M</v>
      </c>
      <c r="AE41" s="1" t="str">
        <f>IFERROR(__xludf.DUMMYFUNCTION("""COMPUTED_VALUE"""),"M")</f>
        <v>M</v>
      </c>
      <c r="AF41" s="1" t="str">
        <f>IFERROR(__xludf.DUMMYFUNCTION("""COMPUTED_VALUE"""),"M")</f>
        <v>M</v>
      </c>
      <c r="AG41" s="1" t="str">
        <f>IFERROR(__xludf.DUMMYFUNCTION("""COMPUTED_VALUE"""),"M")</f>
        <v>M</v>
      </c>
      <c r="AH41" s="1">
        <f>IFERROR(__xludf.DUMMYFUNCTION("""COMPUTED_VALUE"""),40)</f>
        <v>40</v>
      </c>
      <c r="AI41" s="1">
        <f>IFERROR(__xludf.DUMMYFUNCTION("""COMPUTED_VALUE"""),40)</f>
        <v>40</v>
      </c>
      <c r="AJ41" s="1">
        <f>IFERROR(__xludf.DUMMYFUNCTION("""COMPUTED_VALUE"""),40)</f>
        <v>40</v>
      </c>
      <c r="AK41" s="1">
        <f>IFERROR(__xludf.DUMMYFUNCTION("""COMPUTED_VALUE"""),40)</f>
        <v>40</v>
      </c>
      <c r="AL41" s="1" t="str">
        <f>IFERROR(__xludf.DUMMYFUNCTION("""COMPUTED_VALUE"""),"M")</f>
        <v>M</v>
      </c>
      <c r="AM41" s="1" t="str">
        <f>IFERROR(__xludf.DUMMYFUNCTION("""COMPUTED_VALUE"""),"M")</f>
        <v>M</v>
      </c>
      <c r="AN41" s="1" t="str">
        <f>IFERROR(__xludf.DUMMYFUNCTION("""COMPUTED_VALUE"""),"M")</f>
        <v>M</v>
      </c>
    </row>
    <row r="42" customHeight="1" spans="1:40">
      <c r="A42" s="1" t="str">
        <f>IFERROR(__xludf.DUMMYFUNCTION("""COMPUTED_VALUE"""),"02° BBM")</f>
        <v>02° BBM</v>
      </c>
      <c r="B42" s="1" t="str">
        <f>IFERROR(__xludf.DUMMYFUNCTION("""COMPUTED_VALUE"""),"Parobé")</f>
        <v>Parobé</v>
      </c>
      <c r="C42" s="119" t="str">
        <f>IFERROR(__xludf.DUMMYFUNCTION("""COMPUTED_VALUE"""),"Comunitario")</f>
        <v>Comunitario</v>
      </c>
      <c r="D42" s="119" t="str">
        <f>IFERROR(__xludf.DUMMYFUNCTION("""COMPUTED_VALUE"""),"EDUARDA BAUMGARTNER")</f>
        <v>EDUARDA BAUMGARTNER</v>
      </c>
      <c r="E42" s="119" t="str">
        <f>IFERROR(__xludf.DUMMYFUNCTION("""COMPUTED_VALUE"""),"Módulo 1 concluído")</f>
        <v>Módulo 1 concluído</v>
      </c>
      <c r="F42" s="1" t="str">
        <f>IFERROR(__xludf.DUMMYFUNCTION("""COMPUTED_VALUE"""),"023.101.160-17")</f>
        <v>023.101.160-17</v>
      </c>
      <c r="G42" s="1">
        <f>IFERROR(__xludf.DUMMYFUNCTION("""COMPUTED_VALUE"""),1133162592)</f>
        <v>1133162592</v>
      </c>
      <c r="H42" s="1" t="str">
        <f>IFERROR(__xludf.DUMMYFUNCTION("""COMPUTED_VALUE"""),"Combatente e Socorrista")</f>
        <v>Combatente e Socorrista</v>
      </c>
      <c r="I42" s="1" t="str">
        <f>IFERROR(__xludf.DUMMYFUNCTION("""COMPUTED_VALUE"""),"Bombeiro Civil, APH e BLS")</f>
        <v>Bombeiro Civil, APH e BLS</v>
      </c>
      <c r="J42" s="1" t="str">
        <f>IFERROR(__xludf.DUMMYFUNCTION("""COMPUTED_VALUE"""),"Não")</f>
        <v>Não</v>
      </c>
      <c r="K42" s="1" t="str">
        <f>IFERROR(__xludf.DUMMYFUNCTION("""COMPUTED_VALUE"""),"Não")</f>
        <v>Não</v>
      </c>
      <c r="L42" s="1" t="str">
        <f>IFERROR(__xludf.DUMMYFUNCTION("""COMPUTED_VALUE"""),"B+")</f>
        <v>B+</v>
      </c>
      <c r="M42" s="1" t="str">
        <f>IFERROR(__xludf.DUMMYFUNCTION("""COMPUTED_VALUE"""),"EDUARDA")</f>
        <v>EDUARDA</v>
      </c>
      <c r="N42" s="120">
        <f>IFERROR(__xludf.DUMMYFUNCTION("""COMPUTED_VALUE"""),37572)</f>
        <v>37572</v>
      </c>
      <c r="O42" s="1" t="str">
        <f>IFERROR(__xludf.DUMMYFUNCTION("""COMPUTED_VALUE"""),"Feminino")</f>
        <v>Feminino</v>
      </c>
      <c r="P42" s="1" t="str">
        <f>IFERROR(__xludf.DUMMYFUNCTION("""COMPUTED_VALUE"""),"Branca")</f>
        <v>Branca</v>
      </c>
      <c r="Q42" s="1" t="str">
        <f>IFERROR(__xludf.DUMMYFUNCTION("""COMPUTED_VALUE"""),"Ensino Superior Incompleto")</f>
        <v>Ensino Superior Incompleto</v>
      </c>
      <c r="R42" s="1" t="str">
        <f>IFERROR(__xludf.DUMMYFUNCTION("""COMPUTED_VALUE"""),"dudabaumgartnercimol@gmail.com")</f>
        <v>dudabaumgartnercimol@gmail.com</v>
      </c>
      <c r="S42" s="1">
        <f>IFERROR(__xludf.DUMMYFUNCTION("""COMPUTED_VALUE"""),60)</f>
        <v>60</v>
      </c>
      <c r="T42" s="1" t="str">
        <f>IFERROR(__xludf.DUMMYFUNCTION("""COMPUTED_VALUE"""),"Entre 1,66m e 1,70m")</f>
        <v>Entre 1,66m e 1,70m</v>
      </c>
      <c r="U42" s="1"/>
      <c r="V42" s="1" t="str">
        <f>IFERROR(__xludf.DUMMYFUNCTION("""COMPUTED_VALUE"""),"(51) 98947-2046")</f>
        <v>(51) 98947-2046</v>
      </c>
      <c r="W42" s="1" t="str">
        <f>IFERROR(__xludf.DUMMYFUNCTION("""COMPUTED_VALUE"""),"(51) 99574-5019")</f>
        <v>(51) 99574-5019</v>
      </c>
      <c r="X42" s="1" t="str">
        <f>IFERROR(__xludf.DUMMYFUNCTION("""COMPUTED_VALUE"""),"RS")</f>
        <v>RS</v>
      </c>
      <c r="Y42" s="1" t="str">
        <f>IFERROR(__xludf.DUMMYFUNCTION("""COMPUTED_VALUE"""),"Parobé")</f>
        <v>Parobé</v>
      </c>
      <c r="Z42" s="1" t="str">
        <f>IFERROR(__xludf.DUMMYFUNCTION("""COMPUTED_VALUE"""),"95630-000")</f>
        <v>95630-000</v>
      </c>
      <c r="AA42" s="1" t="str">
        <f>IFERROR(__xludf.DUMMYFUNCTION("""COMPUTED_VALUE"""),"Cesar de Oliveira, 190")</f>
        <v>Cesar de Oliveira, 190</v>
      </c>
      <c r="AB42" s="1" t="str">
        <f>IFERROR(__xludf.DUMMYFUNCTION("""COMPUTED_VALUE"""),"Cohab")</f>
        <v>Cohab</v>
      </c>
      <c r="AC42" s="1" t="str">
        <f>IFERROR(__xludf.DUMMYFUNCTION("""COMPUTED_VALUE"""),"M")</f>
        <v>M</v>
      </c>
      <c r="AD42" s="1" t="str">
        <f>IFERROR(__xludf.DUMMYFUNCTION("""COMPUTED_VALUE"""),"M")</f>
        <v>M</v>
      </c>
      <c r="AE42" s="1" t="str">
        <f>IFERROR(__xludf.DUMMYFUNCTION("""COMPUTED_VALUE"""),"P")</f>
        <v>P</v>
      </c>
      <c r="AF42" s="1" t="str">
        <f>IFERROR(__xludf.DUMMYFUNCTION("""COMPUTED_VALUE"""),"P")</f>
        <v>P</v>
      </c>
      <c r="AG42" s="1" t="str">
        <f>IFERROR(__xludf.DUMMYFUNCTION("""COMPUTED_VALUE"""),"M")</f>
        <v>M</v>
      </c>
      <c r="AH42" s="1">
        <f>IFERROR(__xludf.DUMMYFUNCTION("""COMPUTED_VALUE"""),38)</f>
        <v>38</v>
      </c>
      <c r="AI42" s="1">
        <f>IFERROR(__xludf.DUMMYFUNCTION("""COMPUTED_VALUE"""),38)</f>
        <v>38</v>
      </c>
      <c r="AJ42" s="1">
        <f>IFERROR(__xludf.DUMMYFUNCTION("""COMPUTED_VALUE"""),38)</f>
        <v>38</v>
      </c>
      <c r="AK42" s="1">
        <f>IFERROR(__xludf.DUMMYFUNCTION("""COMPUTED_VALUE"""),38)</f>
        <v>38</v>
      </c>
      <c r="AL42" s="1" t="str">
        <f>IFERROR(__xludf.DUMMYFUNCTION("""COMPUTED_VALUE"""),"M")</f>
        <v>M</v>
      </c>
      <c r="AM42" s="1" t="str">
        <f>IFERROR(__xludf.DUMMYFUNCTION("""COMPUTED_VALUE"""),"P")</f>
        <v>P</v>
      </c>
      <c r="AN42" s="1" t="str">
        <f>IFERROR(__xludf.DUMMYFUNCTION("""COMPUTED_VALUE"""),"P")</f>
        <v>P</v>
      </c>
    </row>
    <row r="43" customHeight="1" spans="1:40">
      <c r="A43" s="1" t="str">
        <f>IFERROR(__xludf.DUMMYFUNCTION("""COMPUTED_VALUE"""),"02° BBM")</f>
        <v>02° BBM</v>
      </c>
      <c r="B43" s="1" t="str">
        <f>IFERROR(__xludf.DUMMYFUNCTION("""COMPUTED_VALUE"""),"Novo Hamburgo")</f>
        <v>Novo Hamburgo</v>
      </c>
      <c r="C43" s="119" t="str">
        <f>IFERROR(__xludf.DUMMYFUNCTION("""COMPUTED_VALUE"""),"Comunitario")</f>
        <v>Comunitario</v>
      </c>
      <c r="D43" s="119" t="str">
        <f>IFERROR(__xludf.DUMMYFUNCTION("""COMPUTED_VALUE"""),"EDUARDO HENZ")</f>
        <v>EDUARDO HENZ</v>
      </c>
      <c r="E43" s="119" t="str">
        <f>IFERROR(__xludf.DUMMYFUNCTION("""COMPUTED_VALUE"""),"Curso CAB operador concluído")</f>
        <v>Curso CAB operador concluído</v>
      </c>
      <c r="F43" s="1" t="str">
        <f>IFERROR(__xludf.DUMMYFUNCTION("""COMPUTED_VALUE"""),"027.853.280-27")</f>
        <v>027.853.280-27</v>
      </c>
      <c r="G43" s="1">
        <f>IFERROR(__xludf.DUMMYFUNCTION("""COMPUTED_VALUE"""),3110664863)</f>
        <v>3110664863</v>
      </c>
      <c r="H43" s="1" t="str">
        <f>IFERROR(__xludf.DUMMYFUNCTION("""COMPUTED_VALUE"""),"Combatente e Socorista")</f>
        <v>Combatente e Socorista</v>
      </c>
      <c r="I43" s="1" t="str">
        <f>IFERROR(__xludf.DUMMYFUNCTION("""COMPUTED_VALUE"""),"Bombeiro Voluntário, Combate a Incêndio, APH, BLS, Trabalho em altura, Trabalho em Espaço Confinado, Técnico de Segurança do Trabalho, Condutor de Veículos de Transporte de Emergência - Detran RS, Resgate veícular")</f>
        <v>Bombeiro Voluntário, Combate a Incêndio, APH, BLS, Trabalho em altura, Trabalho em Espaço Confinado, Técnico de Segurança do Trabalho, Condutor de Veículos de Transporte de Emergência - Detran RS, Resgate veícular</v>
      </c>
      <c r="J43" s="1" t="str">
        <f>IFERROR(__xludf.DUMMYFUNCTION("""COMPUTED_VALUE"""),"Sim")</f>
        <v>Sim</v>
      </c>
      <c r="K43" s="1" t="str">
        <f>IFERROR(__xludf.DUMMYFUNCTION("""COMPUTED_VALUE"""),"Sim")</f>
        <v>Sim</v>
      </c>
      <c r="L43" s="1" t="str">
        <f>IFERROR(__xludf.DUMMYFUNCTION("""COMPUTED_VALUE"""),"A+")</f>
        <v>A+</v>
      </c>
      <c r="M43" s="1" t="str">
        <f>IFERROR(__xludf.DUMMYFUNCTION("""COMPUTED_VALUE"""),"HENZ")</f>
        <v>HENZ</v>
      </c>
      <c r="N43" s="120">
        <f>IFERROR(__xludf.DUMMYFUNCTION("""COMPUTED_VALUE"""),34038)</f>
        <v>34038</v>
      </c>
      <c r="O43" s="1" t="str">
        <f>IFERROR(__xludf.DUMMYFUNCTION("""COMPUTED_VALUE"""),"Masculino")</f>
        <v>Masculino</v>
      </c>
      <c r="P43" s="1" t="str">
        <f>IFERROR(__xludf.DUMMYFUNCTION("""COMPUTED_VALUE"""),"Branca")</f>
        <v>Branca</v>
      </c>
      <c r="Q43" s="1" t="str">
        <f>IFERROR(__xludf.DUMMYFUNCTION("""COMPUTED_VALUE"""),"Ensino Superior Completo")</f>
        <v>Ensino Superior Completo</v>
      </c>
      <c r="R43" s="1" t="str">
        <f>IFERROR(__xludf.DUMMYFUNCTION("""COMPUTED_VALUE"""),"duduhenz@gmail.com")</f>
        <v>duduhenz@gmail.com</v>
      </c>
      <c r="S43" s="1">
        <f>IFERROR(__xludf.DUMMYFUNCTION("""COMPUTED_VALUE"""),82)</f>
        <v>82</v>
      </c>
      <c r="T43" s="1" t="str">
        <f>IFERROR(__xludf.DUMMYFUNCTION("""COMPUTED_VALUE"""),"Entre 1,61m e 1,65m")</f>
        <v>Entre 1,61m e 1,65m</v>
      </c>
      <c r="U43" s="1"/>
      <c r="V43" s="1" t="str">
        <f>IFERROR(__xludf.DUMMYFUNCTION("""COMPUTED_VALUE"""),"(51) 992974525")</f>
        <v>(51) 992974525</v>
      </c>
      <c r="W43" s="1" t="str">
        <f>IFERROR(__xludf.DUMMYFUNCTION("""COMPUTED_VALUE"""),"(51) 992974525")</f>
        <v>(51) 992974525</v>
      </c>
      <c r="X43" s="1" t="str">
        <f>IFERROR(__xludf.DUMMYFUNCTION("""COMPUTED_VALUE"""),"RS")</f>
        <v>RS</v>
      </c>
      <c r="Y43" s="1" t="str">
        <f>IFERROR(__xludf.DUMMYFUNCTION("""COMPUTED_VALUE"""),"Novo Hamburgo")</f>
        <v>Novo Hamburgo</v>
      </c>
      <c r="Z43" s="1" t="str">
        <f>IFERROR(__xludf.DUMMYFUNCTION("""COMPUTED_VALUE"""),"93351-010")</f>
        <v>93351-010</v>
      </c>
      <c r="AA43" s="1" t="str">
        <f>IFERROR(__xludf.DUMMYFUNCTION("""COMPUTED_VALUE"""),"Rua das Aroeiras, 300")</f>
        <v>Rua das Aroeiras, 300</v>
      </c>
      <c r="AB43" s="1" t="str">
        <f>IFERROR(__xludf.DUMMYFUNCTION("""COMPUTED_VALUE"""),"Roselandia")</f>
        <v>Roselandia</v>
      </c>
      <c r="AC43" s="1" t="str">
        <f>IFERROR(__xludf.DUMMYFUNCTION("""COMPUTED_VALUE"""),"M")</f>
        <v>M</v>
      </c>
      <c r="AD43" s="1" t="str">
        <f>IFERROR(__xludf.DUMMYFUNCTION("""COMPUTED_VALUE"""),"M")</f>
        <v>M</v>
      </c>
      <c r="AE43" s="1" t="str">
        <f>IFERROR(__xludf.DUMMYFUNCTION("""COMPUTED_VALUE"""),"M")</f>
        <v>M</v>
      </c>
      <c r="AF43" s="1" t="str">
        <f>IFERROR(__xludf.DUMMYFUNCTION("""COMPUTED_VALUE"""),"M")</f>
        <v>M</v>
      </c>
      <c r="AG43" s="1" t="str">
        <f>IFERROR(__xludf.DUMMYFUNCTION("""COMPUTED_VALUE"""),"M")</f>
        <v>M</v>
      </c>
      <c r="AH43" s="1">
        <f>IFERROR(__xludf.DUMMYFUNCTION("""COMPUTED_VALUE"""),41)</f>
        <v>41</v>
      </c>
      <c r="AI43" s="1">
        <f>IFERROR(__xludf.DUMMYFUNCTION("""COMPUTED_VALUE"""),41)</f>
        <v>41</v>
      </c>
      <c r="AJ43" s="1">
        <f>IFERROR(__xludf.DUMMYFUNCTION("""COMPUTED_VALUE"""),41)</f>
        <v>41</v>
      </c>
      <c r="AK43" s="1">
        <f>IFERROR(__xludf.DUMMYFUNCTION("""COMPUTED_VALUE"""),41)</f>
        <v>41</v>
      </c>
      <c r="AL43" s="1" t="str">
        <f>IFERROR(__xludf.DUMMYFUNCTION("""COMPUTED_VALUE"""),"M")</f>
        <v>M</v>
      </c>
      <c r="AM43" s="1" t="str">
        <f>IFERROR(__xludf.DUMMYFUNCTION("""COMPUTED_VALUE"""),"M")</f>
        <v>M</v>
      </c>
      <c r="AN43" s="1" t="str">
        <f>IFERROR(__xludf.DUMMYFUNCTION("""COMPUTED_VALUE"""),"M")</f>
        <v>M</v>
      </c>
    </row>
    <row r="44" customHeight="1" spans="1:40">
      <c r="A44" s="1" t="str">
        <f>IFERROR(__xludf.DUMMYFUNCTION("""COMPUTED_VALUE"""),"02° BBM")</f>
        <v>02° BBM</v>
      </c>
      <c r="B44" s="1" t="str">
        <f>IFERROR(__xludf.DUMMYFUNCTION("""COMPUTED_VALUE"""),"Araricá")</f>
        <v>Araricá</v>
      </c>
      <c r="C44" s="119" t="str">
        <f>IFERROR(__xludf.DUMMYFUNCTION("""COMPUTED_VALUE"""),"CAB")</f>
        <v>CAB</v>
      </c>
      <c r="D44" s="119" t="str">
        <f>IFERROR(__xludf.DUMMYFUNCTION("""COMPUTED_VALUE"""),"ELISEU PEREIRA TAQUES")</f>
        <v>ELISEU PEREIRA TAQUES</v>
      </c>
      <c r="E44" s="119" t="str">
        <f>IFERROR(__xludf.DUMMYFUNCTION("""COMPUTED_VALUE"""),"")</f>
        <v/>
      </c>
      <c r="F44" s="1" t="str">
        <f>IFERROR(__xludf.DUMMYFUNCTION("""COMPUTED_VALUE"""),"168.805.200-3")</f>
        <v>168.805.200-3</v>
      </c>
      <c r="G44" s="1">
        <f>IFERROR(__xludf.DUMMYFUNCTION("""COMPUTED_VALUE"""),6096756538)</f>
        <v>6096756538</v>
      </c>
      <c r="H44" s="1" t="str">
        <f>IFERROR(__xludf.DUMMYFUNCTION("""COMPUTED_VALUE"""),"Combatente/Socorrista/ Condutor")</f>
        <v>Combatente/Socorrista/ Condutor</v>
      </c>
      <c r="I44" s="1" t="str">
        <f>IFERROR(__xludf.DUMMYFUNCTION("""COMPUTED_VALUE"""),"Bombeiro Voluntario/APH, BLS")</f>
        <v>Bombeiro Voluntario/APH, BLS</v>
      </c>
      <c r="J44" s="1" t="str">
        <f>IFERROR(__xludf.DUMMYFUNCTION("""COMPUTED_VALUE"""),"Não")</f>
        <v>Não</v>
      </c>
      <c r="K44" s="1" t="str">
        <f>IFERROR(__xludf.DUMMYFUNCTION("""COMPUTED_VALUE"""),"Não")</f>
        <v>Não</v>
      </c>
      <c r="L44" s="1"/>
      <c r="M44" s="1" t="str">
        <f>IFERROR(__xludf.DUMMYFUNCTION("""COMPUTED_VALUE"""),"PEREIRA")</f>
        <v>PEREIRA</v>
      </c>
      <c r="N44" s="120">
        <f>IFERROR(__xludf.DUMMYFUNCTION("""COMPUTED_VALUE"""),32327)</f>
        <v>32327</v>
      </c>
      <c r="O44" s="1" t="str">
        <f>IFERROR(__xludf.DUMMYFUNCTION("""COMPUTED_VALUE"""),"Masculino")</f>
        <v>Masculino</v>
      </c>
      <c r="P44" s="1" t="str">
        <f>IFERROR(__xludf.DUMMYFUNCTION("""COMPUTED_VALUE"""),"Parda")</f>
        <v>Parda</v>
      </c>
      <c r="Q44" s="1" t="str">
        <f>IFERROR(__xludf.DUMMYFUNCTION("""COMPUTED_VALUE"""),"Ensino Médio")</f>
        <v>Ensino Médio</v>
      </c>
      <c r="R44" s="1" t="str">
        <f>IFERROR(__xludf.DUMMYFUNCTION("""COMPUTED_VALUE"""),"eliseupereirataques89@gmail.com")</f>
        <v>eliseupereirataques89@gmail.com</v>
      </c>
      <c r="S44" s="1">
        <f>IFERROR(__xludf.DUMMYFUNCTION("""COMPUTED_VALUE"""),82)</f>
        <v>82</v>
      </c>
      <c r="T44" s="1" t="str">
        <f>IFERROR(__xludf.DUMMYFUNCTION("""COMPUTED_VALUE"""),"Entre 1,61m e 1,65m")</f>
        <v>Entre 1,61m e 1,65m</v>
      </c>
      <c r="U44" s="1"/>
      <c r="V44" s="1">
        <f>IFERROR(__xludf.DUMMYFUNCTION("""COMPUTED_VALUE"""),51980189316)</f>
        <v>51980189316</v>
      </c>
      <c r="W44" s="1">
        <f>IFERROR(__xludf.DUMMYFUNCTION("""COMPUTED_VALUE"""),51980189316)</f>
        <v>51980189316</v>
      </c>
      <c r="X44" s="1" t="str">
        <f>IFERROR(__xludf.DUMMYFUNCTION("""COMPUTED_VALUE"""),"RS")</f>
        <v>RS</v>
      </c>
      <c r="Y44" s="1" t="str">
        <f>IFERROR(__xludf.DUMMYFUNCTION("""COMPUTED_VALUE"""),"Araricá")</f>
        <v>Araricá</v>
      </c>
      <c r="Z44" s="1" t="str">
        <f>IFERROR(__xludf.DUMMYFUNCTION("""COMPUTED_VALUE"""),"938880-000")</f>
        <v>938880-000</v>
      </c>
      <c r="AA44" s="1" t="str">
        <f>IFERROR(__xludf.DUMMYFUNCTION("""COMPUTED_VALUE"""),"Rua Lothário Helmuth Kautzmann")</f>
        <v>Rua Lothário Helmuth Kautzmann</v>
      </c>
      <c r="AB44" s="1" t="str">
        <f>IFERROR(__xludf.DUMMYFUNCTION("""COMPUTED_VALUE"""),"campo da brasina")</f>
        <v>campo da brasina</v>
      </c>
      <c r="AC44" s="1" t="str">
        <f>IFERROR(__xludf.DUMMYFUNCTION("""COMPUTED_VALUE"""),"M")</f>
        <v>M</v>
      </c>
      <c r="AD44" s="1" t="str">
        <f>IFERROR(__xludf.DUMMYFUNCTION("""COMPUTED_VALUE"""),"M")</f>
        <v>M</v>
      </c>
      <c r="AE44" s="1" t="str">
        <f>IFERROR(__xludf.DUMMYFUNCTION("""COMPUTED_VALUE"""),"G")</f>
        <v>G</v>
      </c>
      <c r="AF44" s="1" t="str">
        <f>IFERROR(__xludf.DUMMYFUNCTION("""COMPUTED_VALUE"""),"G")</f>
        <v>G</v>
      </c>
      <c r="AG44" s="1" t="str">
        <f>IFERROR(__xludf.DUMMYFUNCTION("""COMPUTED_VALUE"""),"G")</f>
        <v>G</v>
      </c>
      <c r="AH44" s="1">
        <f>IFERROR(__xludf.DUMMYFUNCTION("""COMPUTED_VALUE"""),40)</f>
        <v>40</v>
      </c>
      <c r="AI44" s="1">
        <f>IFERROR(__xludf.DUMMYFUNCTION("""COMPUTED_VALUE"""),40)</f>
        <v>40</v>
      </c>
      <c r="AJ44" s="1">
        <f>IFERROR(__xludf.DUMMYFUNCTION("""COMPUTED_VALUE"""),40)</f>
        <v>40</v>
      </c>
      <c r="AK44" s="1">
        <f>IFERROR(__xludf.DUMMYFUNCTION("""COMPUTED_VALUE"""),40)</f>
        <v>40</v>
      </c>
      <c r="AL44" s="1" t="str">
        <f>IFERROR(__xludf.DUMMYFUNCTION("""COMPUTED_VALUE"""),"G")</f>
        <v>G</v>
      </c>
      <c r="AM44" s="1" t="str">
        <f>IFERROR(__xludf.DUMMYFUNCTION("""COMPUTED_VALUE"""),"M")</f>
        <v>M</v>
      </c>
      <c r="AN44" s="1" t="str">
        <f>IFERROR(__xludf.DUMMYFUNCTION("""COMPUTED_VALUE"""),"M")</f>
        <v>M</v>
      </c>
    </row>
    <row r="45" customHeight="1" spans="1:40">
      <c r="A45" s="1" t="str">
        <f>IFERROR(__xludf.DUMMYFUNCTION("""COMPUTED_VALUE"""),"02° BBM")</f>
        <v>02° BBM</v>
      </c>
      <c r="B45" s="1" t="str">
        <f>IFERROR(__xludf.DUMMYFUNCTION("""COMPUTED_VALUE"""),"Parobé")</f>
        <v>Parobé</v>
      </c>
      <c r="C45" s="119" t="str">
        <f>IFERROR(__xludf.DUMMYFUNCTION("""COMPUTED_VALUE"""),"Comunitario")</f>
        <v>Comunitario</v>
      </c>
      <c r="D45" s="119" t="str">
        <f>IFERROR(__xludf.DUMMYFUNCTION("""COMPUTED_VALUE"""),"ELIZANDRO LOPES NAGILDO")</f>
        <v>ELIZANDRO LOPES NAGILDO</v>
      </c>
      <c r="E45" s="119" t="str">
        <f>IFERROR(__xludf.DUMMYFUNCTION("""COMPUTED_VALUE"""),"")</f>
        <v/>
      </c>
      <c r="F45" s="1" t="str">
        <f>IFERROR(__xludf.DUMMYFUNCTION("""COMPUTED_VALUE"""),"675.309.900-04")</f>
        <v>675.309.900-04</v>
      </c>
      <c r="G45" s="1">
        <f>IFERROR(__xludf.DUMMYFUNCTION("""COMPUTED_VALUE"""),9058645467)</f>
        <v>9058645467</v>
      </c>
      <c r="H45" s="1" t="str">
        <f>IFERROR(__xludf.DUMMYFUNCTION("""COMPUTED_VALUE"""),"condutor")</f>
        <v>condutor</v>
      </c>
      <c r="I45" s="1" t="str">
        <f>IFERROR(__xludf.DUMMYFUNCTION("""COMPUTED_VALUE"""),"Bombeiro Comunitario")</f>
        <v>Bombeiro Comunitario</v>
      </c>
      <c r="J45" s="1" t="str">
        <f>IFERROR(__xludf.DUMMYFUNCTION("""COMPUTED_VALUE"""),"Não")</f>
        <v>Não</v>
      </c>
      <c r="K45" s="1" t="str">
        <f>IFERROR(__xludf.DUMMYFUNCTION("""COMPUTED_VALUE"""),"Sim")</f>
        <v>Sim</v>
      </c>
      <c r="L45" s="1" t="str">
        <f>IFERROR(__xludf.DUMMYFUNCTION("""COMPUTED_VALUE"""),"O-")</f>
        <v>O-</v>
      </c>
      <c r="M45" s="1" t="str">
        <f>IFERROR(__xludf.DUMMYFUNCTION("""COMPUTED_VALUE"""),"Nagildo")</f>
        <v>Nagildo</v>
      </c>
      <c r="N45" s="120">
        <f>IFERROR(__xludf.DUMMYFUNCTION("""COMPUTED_VALUE"""),27910)</f>
        <v>27910</v>
      </c>
      <c r="O45" s="1" t="str">
        <f>IFERROR(__xludf.DUMMYFUNCTION("""COMPUTED_VALUE"""),"Masculino")</f>
        <v>Masculino</v>
      </c>
      <c r="P45" s="1" t="str">
        <f>IFERROR(__xludf.DUMMYFUNCTION("""COMPUTED_VALUE"""),"Parda")</f>
        <v>Parda</v>
      </c>
      <c r="Q45" s="1" t="str">
        <f>IFERROR(__xludf.DUMMYFUNCTION("""COMPUTED_VALUE"""),"Ensino Médio")</f>
        <v>Ensino Médio</v>
      </c>
      <c r="R45" s="1" t="str">
        <f>IFERROR(__xludf.DUMMYFUNCTION("""COMPUTED_VALUE"""),"nagilda@live.com")</f>
        <v>nagilda@live.com</v>
      </c>
      <c r="S45" s="1">
        <f>IFERROR(__xludf.DUMMYFUNCTION("""COMPUTED_VALUE"""),98)</f>
        <v>98</v>
      </c>
      <c r="T45" s="1" t="str">
        <f>IFERROR(__xludf.DUMMYFUNCTION("""COMPUTED_VALUE"""),"Entre 1,66m e 1,70m")</f>
        <v>Entre 1,66m e 1,70m</v>
      </c>
      <c r="U45" s="1"/>
      <c r="V45" s="1" t="str">
        <f>IFERROR(__xludf.DUMMYFUNCTION("""COMPUTED_VALUE"""),"(51) 998534725")</f>
        <v>(51) 998534725</v>
      </c>
      <c r="W45" s="1" t="str">
        <f>IFERROR(__xludf.DUMMYFUNCTION("""COMPUTED_VALUE"""),"(51) 998534725")</f>
        <v>(51) 998534725</v>
      </c>
      <c r="X45" s="1" t="str">
        <f>IFERROR(__xludf.DUMMYFUNCTION("""COMPUTED_VALUE"""),"RS")</f>
        <v>RS</v>
      </c>
      <c r="Y45" s="1" t="str">
        <f>IFERROR(__xludf.DUMMYFUNCTION("""COMPUTED_VALUE"""),"Parobé")</f>
        <v>Parobé</v>
      </c>
      <c r="Z45" s="1">
        <f>IFERROR(__xludf.DUMMYFUNCTION("""COMPUTED_VALUE"""),9563000)</f>
        <v>9563000</v>
      </c>
      <c r="AA45" s="1" t="str">
        <f>IFERROR(__xludf.DUMMYFUNCTION("""COMPUTED_VALUE"""),"Rua Esplinder,175 casa 6")</f>
        <v>Rua Esplinder,175 casa 6</v>
      </c>
      <c r="AB45" s="1" t="str">
        <f>IFERROR(__xludf.DUMMYFUNCTION("""COMPUTED_VALUE"""),"Integração")</f>
        <v>Integração</v>
      </c>
      <c r="AC45" s="1" t="str">
        <f>IFERROR(__xludf.DUMMYFUNCTION("""COMPUTED_VALUE"""),"GG")</f>
        <v>GG</v>
      </c>
      <c r="AD45" s="1" t="str">
        <f>IFERROR(__xludf.DUMMYFUNCTION("""COMPUTED_VALUE"""),"GG")</f>
        <v>GG</v>
      </c>
      <c r="AE45" s="1" t="str">
        <f>IFERROR(__xludf.DUMMYFUNCTION("""COMPUTED_VALUE"""),"GG")</f>
        <v>GG</v>
      </c>
      <c r="AF45" s="1" t="str">
        <f>IFERROR(__xludf.DUMMYFUNCTION("""COMPUTED_VALUE"""),"GG")</f>
        <v>GG</v>
      </c>
      <c r="AG45" s="1" t="str">
        <f>IFERROR(__xludf.DUMMYFUNCTION("""COMPUTED_VALUE"""),"GG")</f>
        <v>GG</v>
      </c>
      <c r="AH45" s="1">
        <f>IFERROR(__xludf.DUMMYFUNCTION("""COMPUTED_VALUE"""),42)</f>
        <v>42</v>
      </c>
      <c r="AI45" s="1">
        <f>IFERROR(__xludf.DUMMYFUNCTION("""COMPUTED_VALUE"""),41)</f>
        <v>41</v>
      </c>
      <c r="AJ45" s="1">
        <f>IFERROR(__xludf.DUMMYFUNCTION("""COMPUTED_VALUE"""),42)</f>
        <v>42</v>
      </c>
      <c r="AK45" s="1">
        <f>IFERROR(__xludf.DUMMYFUNCTION("""COMPUTED_VALUE"""),41)</f>
        <v>41</v>
      </c>
      <c r="AL45" s="1" t="str">
        <f>IFERROR(__xludf.DUMMYFUNCTION("""COMPUTED_VALUE"""),"G")</f>
        <v>G</v>
      </c>
      <c r="AM45" s="1" t="str">
        <f>IFERROR(__xludf.DUMMYFUNCTION("""COMPUTED_VALUE"""),"G")</f>
        <v>G</v>
      </c>
      <c r="AN45" s="1" t="str">
        <f>IFERROR(__xludf.DUMMYFUNCTION("""COMPUTED_VALUE"""),"G")</f>
        <v>G</v>
      </c>
    </row>
    <row r="46" customHeight="1" spans="1:40">
      <c r="A46" s="1" t="str">
        <f>IFERROR(__xludf.DUMMYFUNCTION("""COMPUTED_VALUE"""),"02° BBM")</f>
        <v>02° BBM</v>
      </c>
      <c r="B46" s="1" t="str">
        <f>IFERROR(__xludf.DUMMYFUNCTION("""COMPUTED_VALUE"""),"Marata")</f>
        <v>Marata</v>
      </c>
      <c r="C46" s="119" t="str">
        <f>IFERROR(__xludf.DUMMYFUNCTION("""COMPUTED_VALUE"""),"CAB")</f>
        <v>CAB</v>
      </c>
      <c r="D46" s="119" t="str">
        <f>IFERROR(__xludf.DUMMYFUNCTION("""COMPUTED_VALUE"""),"EMERSON VALNEI SCHUTT")</f>
        <v>EMERSON VALNEI SCHUTT</v>
      </c>
      <c r="E46" s="119" t="str">
        <f>IFERROR(__xludf.DUMMYFUNCTION("""COMPUTED_VALUE"""),"")</f>
        <v/>
      </c>
      <c r="F46" s="1" t="str">
        <f>IFERROR(__xludf.DUMMYFUNCTION("""COMPUTED_VALUE"""),"723.011.040-87")</f>
        <v>723.011.040-87</v>
      </c>
      <c r="G46" s="1">
        <f>IFERROR(__xludf.DUMMYFUNCTION("""COMPUTED_VALUE"""),3059128821)</f>
        <v>3059128821</v>
      </c>
      <c r="H46" s="1" t="str">
        <f>IFERROR(__xludf.DUMMYFUNCTION("""COMPUTED_VALUE"""),"Combatente e Socorrista")</f>
        <v>Combatente e Socorrista</v>
      </c>
      <c r="I46" s="1" t="str">
        <f>IFERROR(__xludf.DUMMYFUNCTION("""COMPUTED_VALUE"""),"Bombeiro Civil, SBV")</f>
        <v>Bombeiro Civil, SBV</v>
      </c>
      <c r="J46" s="1" t="str">
        <f>IFERROR(__xludf.DUMMYFUNCTION("""COMPUTED_VALUE"""),"Sim")</f>
        <v>Sim</v>
      </c>
      <c r="K46" s="1" t="str">
        <f>IFERROR(__xludf.DUMMYFUNCTION("""COMPUTED_VALUE"""),"Não")</f>
        <v>Não</v>
      </c>
      <c r="L46" s="1" t="str">
        <f>IFERROR(__xludf.DUMMYFUNCTION("""COMPUTED_VALUE"""),"O-")</f>
        <v>O-</v>
      </c>
      <c r="M46" s="1" t="str">
        <f>IFERROR(__xludf.DUMMYFUNCTION("""COMPUTED_VALUE"""),"SCHUTT")</f>
        <v>SCHUTT</v>
      </c>
      <c r="N46" s="120">
        <f>IFERROR(__xludf.DUMMYFUNCTION("""COMPUTED_VALUE"""),27246)</f>
        <v>27246</v>
      </c>
      <c r="O46" s="1" t="str">
        <f>IFERROR(__xludf.DUMMYFUNCTION("""COMPUTED_VALUE"""),"Masculino")</f>
        <v>Masculino</v>
      </c>
      <c r="P46" s="1" t="str">
        <f>IFERROR(__xludf.DUMMYFUNCTION("""COMPUTED_VALUE"""),"Branca")</f>
        <v>Branca</v>
      </c>
      <c r="Q46" s="1" t="str">
        <f>IFERROR(__xludf.DUMMYFUNCTION("""COMPUTED_VALUE"""),"Ensino Médio")</f>
        <v>Ensino Médio</v>
      </c>
      <c r="R46" s="123" t="str">
        <f>IFERROR(__xludf.DUMMYFUNCTION("""COMPUTED_VALUE"""),"emerson.schutt@gmail.com")</f>
        <v>emerson.schutt@gmail.com</v>
      </c>
      <c r="S46" s="1">
        <f>IFERROR(__xludf.DUMMYFUNCTION("""COMPUTED_VALUE"""),80)</f>
        <v>80</v>
      </c>
      <c r="T46" s="1" t="str">
        <f>IFERROR(__xludf.DUMMYFUNCTION("""COMPUTED_VALUE"""),"Entre 1,66m e 1,70m")</f>
        <v>Entre 1,66m e 1,70m</v>
      </c>
      <c r="U46" s="1"/>
      <c r="V46" s="1" t="str">
        <f>IFERROR(__xludf.DUMMYFUNCTION("""COMPUTED_VALUE"""),"51 - 985757780")</f>
        <v>51 - 985757780</v>
      </c>
      <c r="W46" s="1" t="str">
        <f>IFERROR(__xludf.DUMMYFUNCTION("""COMPUTED_VALUE"""),"51 - 999434652")</f>
        <v>51 - 999434652</v>
      </c>
      <c r="X46" s="1" t="str">
        <f>IFERROR(__xludf.DUMMYFUNCTION("""COMPUTED_VALUE"""),"RS")</f>
        <v>RS</v>
      </c>
      <c r="Y46" s="1" t="str">
        <f>IFERROR(__xludf.DUMMYFUNCTION("""COMPUTED_VALUE"""),"SAPUCAIA DO SUL")</f>
        <v>SAPUCAIA DO SUL</v>
      </c>
      <c r="Z46" s="1">
        <f>IFERROR(__xludf.DUMMYFUNCTION("""COMPUTED_VALUE"""),92222440)</f>
        <v>92222440</v>
      </c>
      <c r="AA46" s="1" t="str">
        <f>IFERROR(__xludf.DUMMYFUNCTION("""COMPUTED_VALUE"""),"RUA TRES COROAS 690")</f>
        <v>RUA TRES COROAS 690</v>
      </c>
      <c r="AB46" s="1" t="str">
        <f>IFERROR(__xludf.DUMMYFUNCTION("""COMPUTED_VALUE"""),"VARGAS")</f>
        <v>VARGAS</v>
      </c>
      <c r="AC46" s="1" t="str">
        <f>IFERROR(__xludf.DUMMYFUNCTION("""COMPUTED_VALUE"""),"G")</f>
        <v>G</v>
      </c>
      <c r="AD46" s="1" t="str">
        <f>IFERROR(__xludf.DUMMYFUNCTION("""COMPUTED_VALUE"""),"G")</f>
        <v>G</v>
      </c>
      <c r="AE46" s="1" t="str">
        <f>IFERROR(__xludf.DUMMYFUNCTION("""COMPUTED_VALUE"""),"G")</f>
        <v>G</v>
      </c>
      <c r="AF46" s="1" t="str">
        <f>IFERROR(__xludf.DUMMYFUNCTION("""COMPUTED_VALUE"""),"G")</f>
        <v>G</v>
      </c>
      <c r="AG46" s="1" t="str">
        <f>IFERROR(__xludf.DUMMYFUNCTION("""COMPUTED_VALUE"""),"G")</f>
        <v>G</v>
      </c>
      <c r="AH46" s="1">
        <f>IFERROR(__xludf.DUMMYFUNCTION("""COMPUTED_VALUE"""),40)</f>
        <v>40</v>
      </c>
      <c r="AI46" s="1">
        <f>IFERROR(__xludf.DUMMYFUNCTION("""COMPUTED_VALUE"""),40)</f>
        <v>40</v>
      </c>
      <c r="AJ46" s="1">
        <f>IFERROR(__xludf.DUMMYFUNCTION("""COMPUTED_VALUE"""),40)</f>
        <v>40</v>
      </c>
      <c r="AK46" s="1">
        <f>IFERROR(__xludf.DUMMYFUNCTION("""COMPUTED_VALUE"""),40)</f>
        <v>40</v>
      </c>
      <c r="AL46" s="1" t="str">
        <f>IFERROR(__xludf.DUMMYFUNCTION("""COMPUTED_VALUE"""),"G")</f>
        <v>G</v>
      </c>
      <c r="AM46" s="1" t="str">
        <f>IFERROR(__xludf.DUMMYFUNCTION("""COMPUTED_VALUE"""),"G")</f>
        <v>G</v>
      </c>
      <c r="AN46" s="1" t="str">
        <f>IFERROR(__xludf.DUMMYFUNCTION("""COMPUTED_VALUE"""),"UNIVERSAL")</f>
        <v>UNIVERSAL</v>
      </c>
    </row>
    <row r="47" customHeight="1" spans="1:40">
      <c r="A47" s="1" t="str">
        <f>IFERROR(__xludf.DUMMYFUNCTION("""COMPUTED_VALUE"""),"02° BBM")</f>
        <v>02° BBM</v>
      </c>
      <c r="B47" s="1" t="str">
        <f>IFERROR(__xludf.DUMMYFUNCTION("""COMPUTED_VALUE"""),"Campo Bom")</f>
        <v>Campo Bom</v>
      </c>
      <c r="C47" s="119" t="str">
        <f>IFERROR(__xludf.DUMMYFUNCTION("""COMPUTED_VALUE"""),"Comunitario")</f>
        <v>Comunitario</v>
      </c>
      <c r="D47" s="119" t="str">
        <f>IFERROR(__xludf.DUMMYFUNCTION("""COMPUTED_VALUE"""),"EMILIANO BORBA DA SILVA")</f>
        <v>EMILIANO BORBA DA SILVA</v>
      </c>
      <c r="E47" s="119" t="str">
        <f>IFERROR(__xludf.DUMMYFUNCTION("""COMPUTED_VALUE"""),"")</f>
        <v/>
      </c>
      <c r="F47" s="1" t="str">
        <f>IFERROR(__xludf.DUMMYFUNCTION("""COMPUTED_VALUE"""),"628.098.900-30")</f>
        <v>628.098.900-30</v>
      </c>
      <c r="G47" s="1">
        <f>IFERROR(__xludf.DUMMYFUNCTION("""COMPUTED_VALUE"""),1059570661)</f>
        <v>1059570661</v>
      </c>
      <c r="H47" s="1" t="str">
        <f>IFERROR(__xludf.DUMMYFUNCTION("""COMPUTED_VALUE"""),"Combatente")</f>
        <v>Combatente</v>
      </c>
      <c r="I47" s="1" t="str">
        <f>IFERROR(__xludf.DUMMYFUNCTION("""COMPUTED_VALUE"""),"Bombeiro Voluntário")</f>
        <v>Bombeiro Voluntário</v>
      </c>
      <c r="J47" s="1" t="str">
        <f>IFERROR(__xludf.DUMMYFUNCTION("""COMPUTED_VALUE"""),"Sim")</f>
        <v>Sim</v>
      </c>
      <c r="K47" s="1" t="str">
        <f>IFERROR(__xludf.DUMMYFUNCTION("""COMPUTED_VALUE"""),"Sim")</f>
        <v>Sim</v>
      </c>
      <c r="L47" s="1" t="str">
        <f>IFERROR(__xludf.DUMMYFUNCTION("""COMPUTED_VALUE"""),"O+")</f>
        <v>O+</v>
      </c>
      <c r="M47" s="1" t="str">
        <f>IFERROR(__xludf.DUMMYFUNCTION("""COMPUTED_VALUE"""),"EMILIANO")</f>
        <v>EMILIANO</v>
      </c>
      <c r="N47" s="120">
        <f>IFERROR(__xludf.DUMMYFUNCTION("""COMPUTED_VALUE"""),27413)</f>
        <v>27413</v>
      </c>
      <c r="O47" s="1" t="str">
        <f>IFERROR(__xludf.DUMMYFUNCTION("""COMPUTED_VALUE"""),"Masculino")</f>
        <v>Masculino</v>
      </c>
      <c r="P47" s="1" t="str">
        <f>IFERROR(__xludf.DUMMYFUNCTION("""COMPUTED_VALUE"""),"Branca")</f>
        <v>Branca</v>
      </c>
      <c r="Q47" s="1" t="str">
        <f>IFERROR(__xludf.DUMMYFUNCTION("""COMPUTED_VALUE"""),"Ensino Médio")</f>
        <v>Ensino Médio</v>
      </c>
      <c r="R47" s="1" t="str">
        <f>IFERROR(__xludf.DUMMYFUNCTION("""COMPUTED_VALUE"""),"emiliano.borba@yahoo.com")</f>
        <v>emiliano.borba@yahoo.com</v>
      </c>
      <c r="S47" s="1">
        <f>IFERROR(__xludf.DUMMYFUNCTION("""COMPUTED_VALUE"""),98)</f>
        <v>98</v>
      </c>
      <c r="T47" s="1" t="str">
        <f>IFERROR(__xludf.DUMMYFUNCTION("""COMPUTED_VALUE"""),"Entre 1,71m e 1,75m")</f>
        <v>Entre 1,71m e 1,75m</v>
      </c>
      <c r="U47" s="1"/>
      <c r="V47" s="1" t="str">
        <f>IFERROR(__xludf.DUMMYFUNCTION("""COMPUTED_VALUE"""),"(51) 981221426")</f>
        <v>(51) 981221426</v>
      </c>
      <c r="W47" s="1"/>
      <c r="X47" s="1" t="str">
        <f>IFERROR(__xludf.DUMMYFUNCTION("""COMPUTED_VALUE"""),"RS")</f>
        <v>RS</v>
      </c>
      <c r="Y47" s="1" t="str">
        <f>IFERROR(__xludf.DUMMYFUNCTION("""COMPUTED_VALUE"""),"Novo Hamburgo")</f>
        <v>Novo Hamburgo</v>
      </c>
      <c r="Z47" s="1" t="str">
        <f>IFERROR(__xludf.DUMMYFUNCTION("""COMPUTED_VALUE"""),"93542-280")</f>
        <v>93542-280</v>
      </c>
      <c r="AA47" s="1" t="str">
        <f>IFERROR(__xludf.DUMMYFUNCTION("""COMPUTED_VALUE"""),"RUA ESTOCOLMO, 99")</f>
        <v>RUA ESTOCOLMO, 99</v>
      </c>
      <c r="AB47" s="1" t="str">
        <f>IFERROR(__xludf.DUMMYFUNCTION("""COMPUTED_VALUE"""),"CANUDOS")</f>
        <v>CANUDOS</v>
      </c>
      <c r="AC47" s="1" t="str">
        <f>IFERROR(__xludf.DUMMYFUNCTION("""COMPUTED_VALUE"""),"G")</f>
        <v>G</v>
      </c>
      <c r="AD47" s="1" t="str">
        <f>IFERROR(__xludf.DUMMYFUNCTION("""COMPUTED_VALUE"""),"G")</f>
        <v>G</v>
      </c>
      <c r="AE47" s="1" t="str">
        <f>IFERROR(__xludf.DUMMYFUNCTION("""COMPUTED_VALUE"""),"G")</f>
        <v>G</v>
      </c>
      <c r="AF47" s="1" t="str">
        <f>IFERROR(__xludf.DUMMYFUNCTION("""COMPUTED_VALUE"""),"G")</f>
        <v>G</v>
      </c>
      <c r="AG47" s="1" t="str">
        <f>IFERROR(__xludf.DUMMYFUNCTION("""COMPUTED_VALUE"""),"G")</f>
        <v>G</v>
      </c>
      <c r="AH47" s="1">
        <f>IFERROR(__xludf.DUMMYFUNCTION("""COMPUTED_VALUE"""),41)</f>
        <v>41</v>
      </c>
      <c r="AI47" s="1">
        <f>IFERROR(__xludf.DUMMYFUNCTION("""COMPUTED_VALUE"""),41)</f>
        <v>41</v>
      </c>
      <c r="AJ47" s="1">
        <f>IFERROR(__xludf.DUMMYFUNCTION("""COMPUTED_VALUE"""),41)</f>
        <v>41</v>
      </c>
      <c r="AK47" s="1">
        <f>IFERROR(__xludf.DUMMYFUNCTION("""COMPUTED_VALUE"""),41)</f>
        <v>41</v>
      </c>
      <c r="AL47" s="1" t="str">
        <f>IFERROR(__xludf.DUMMYFUNCTION("""COMPUTED_VALUE"""),"G")</f>
        <v>G</v>
      </c>
      <c r="AM47" s="1" t="str">
        <f>IFERROR(__xludf.DUMMYFUNCTION("""COMPUTED_VALUE"""),"G")</f>
        <v>G</v>
      </c>
      <c r="AN47" s="1" t="str">
        <f>IFERROR(__xludf.DUMMYFUNCTION("""COMPUTED_VALUE"""),"M")</f>
        <v>M</v>
      </c>
    </row>
    <row r="48" customHeight="1" spans="1:40">
      <c r="A48" s="1" t="str">
        <f>IFERROR(__xludf.DUMMYFUNCTION("""COMPUTED_VALUE"""),"       02º BBM")</f>
        <v>       02º BBM</v>
      </c>
      <c r="B48" s="1" t="str">
        <f>IFERROR(__xludf.DUMMYFUNCTION("""COMPUTED_VALUE"""),"Estância Velha")</f>
        <v>Estância Velha</v>
      </c>
      <c r="C48" s="119" t="str">
        <f>IFERROR(__xludf.DUMMYFUNCTION("""COMPUTED_VALUE"""),"Comunitário ")</f>
        <v>Comunitário </v>
      </c>
      <c r="D48" s="119" t="str">
        <f>IFERROR(__xludf.DUMMYFUNCTION("""COMPUTED_VALUE"""),"ENÉIAS ROCHA DOS SANTOS")</f>
        <v>ENÉIAS ROCHA DOS SANTOS</v>
      </c>
      <c r="E48" s="119" t="str">
        <f>IFERROR(__xludf.DUMMYFUNCTION("""COMPUTED_VALUE"""),"")</f>
        <v/>
      </c>
      <c r="F48" s="1" t="str">
        <f>IFERROR(__xludf.DUMMYFUNCTION("""COMPUTED_VALUE"""),"         008.084.600-99")</f>
        <v>         008.084.600-99</v>
      </c>
      <c r="G48" s="1">
        <f>IFERROR(__xludf.DUMMYFUNCTION("""COMPUTED_VALUE"""),5094379244)</f>
        <v>5094379244</v>
      </c>
      <c r="H48" s="1" t="str">
        <f>IFERROR(__xludf.DUMMYFUNCTION("""COMPUTED_VALUE"""),"Combatente e Socorrista")</f>
        <v>Combatente e Socorrista</v>
      </c>
      <c r="I48" s="1" t="str">
        <f>IFERROR(__xludf.DUMMYFUNCTION("""COMPUTED_VALUE"""),"Bombeiro Voluntário Nível 1 (ESBO); Bombeiro Profissional Civil (APSE Cursos); Curso atualização APH e BLS (RCP Treinamentos/2025); Curso Combate a Incêndio; Prevenção e combate a incêndio e noções de resgate veicular; Curso especializado de transporte de"&amp;" Veículo de Emergência (CETVE)")</f>
        <v>Bombeiro Voluntário Nível 1 (ESBO); Bombeiro Profissional Civil (APSE Cursos); Curso atualização APH e BLS (RCP Treinamentos/2025); Curso Combate a Incêndio; Prevenção e combate a incêndio e noções de resgate veicular; Curso especializado de transporte de Veículo de Emergência (CETVE)</v>
      </c>
      <c r="J48" s="1" t="str">
        <f>IFERROR(__xludf.DUMMYFUNCTION("""COMPUTED_VALUE"""),"sim")</f>
        <v>sim</v>
      </c>
      <c r="K48" s="1" t="str">
        <f>IFERROR(__xludf.DUMMYFUNCTION("""COMPUTED_VALUE"""),"Sim")</f>
        <v>Sim</v>
      </c>
      <c r="L48" s="1" t="str">
        <f>IFERROR(__xludf.DUMMYFUNCTION("""COMPUTED_VALUE"""),"A+")</f>
        <v>A+</v>
      </c>
      <c r="M48" s="1" t="str">
        <f>IFERROR(__xludf.DUMMYFUNCTION("""COMPUTED_VALUE"""),"ROCHA")</f>
        <v>ROCHA</v>
      </c>
      <c r="N48" s="120">
        <f>IFERROR(__xludf.DUMMYFUNCTION("""COMPUTED_VALUE"""),31027)</f>
        <v>31027</v>
      </c>
      <c r="O48" s="1" t="str">
        <f>IFERROR(__xludf.DUMMYFUNCTION("""COMPUTED_VALUE"""),"Masculino")</f>
        <v>Masculino</v>
      </c>
      <c r="P48" s="1" t="str">
        <f>IFERROR(__xludf.DUMMYFUNCTION("""COMPUTED_VALUE"""),"Branca")</f>
        <v>Branca</v>
      </c>
      <c r="Q48" s="1" t="str">
        <f>IFERROR(__xludf.DUMMYFUNCTION("""COMPUTED_VALUE"""),"Ensino Médio")</f>
        <v>Ensino Médio</v>
      </c>
      <c r="R48" s="1" t="str">
        <f>IFERROR(__xludf.DUMMYFUNCTION("""COMPUTED_VALUE"""),"eneiasrocha3@gmail.com")</f>
        <v>eneiasrocha3@gmail.com</v>
      </c>
      <c r="S48" s="1" t="str">
        <f>IFERROR(__xludf.DUMMYFUNCTION("""COMPUTED_VALUE"""),"104kg")</f>
        <v>104kg</v>
      </c>
      <c r="T48" s="1" t="str">
        <f>IFERROR(__xludf.DUMMYFUNCTION("""COMPUTED_VALUE"""),"Entre 1,71m e 1,75m")</f>
        <v>Entre 1,71m e 1,75m</v>
      </c>
      <c r="U48" s="1"/>
      <c r="V48" s="1">
        <f>IFERROR(__xludf.DUMMYFUNCTION("""COMPUTED_VALUE"""),51996984981)</f>
        <v>51996984981</v>
      </c>
      <c r="W48" s="1" t="str">
        <f>IFERROR(__xludf.DUMMYFUNCTION("""COMPUTED_VALUE"""),"(51)997691607")</f>
        <v>(51)997691607</v>
      </c>
      <c r="X48" s="1" t="str">
        <f>IFERROR(__xludf.DUMMYFUNCTION("""COMPUTED_VALUE"""),"RS")</f>
        <v>RS</v>
      </c>
      <c r="Y48" s="1" t="str">
        <f>IFERROR(__xludf.DUMMYFUNCTION("""COMPUTED_VALUE"""),"Novo Hamburgo")</f>
        <v>Novo Hamburgo</v>
      </c>
      <c r="Z48" s="1">
        <f>IFERROR(__xludf.DUMMYFUNCTION("""COMPUTED_VALUE"""),93548420)</f>
        <v>93548420</v>
      </c>
      <c r="AA48" s="1" t="str">
        <f>IFERROR(__xludf.DUMMYFUNCTION("""COMPUTED_VALUE"""),"Rua Araruama, 811")</f>
        <v>Rua Araruama, 811</v>
      </c>
      <c r="AB48" s="1" t="str">
        <f>IFERROR(__xludf.DUMMYFUNCTION("""COMPUTED_VALUE"""),"Jardim Mauá")</f>
        <v>Jardim Mauá</v>
      </c>
      <c r="AC48" s="1" t="str">
        <f>IFERROR(__xludf.DUMMYFUNCTION("""COMPUTED_VALUE"""),"GG")</f>
        <v>GG</v>
      </c>
      <c r="AD48" s="1" t="str">
        <f>IFERROR(__xludf.DUMMYFUNCTION("""COMPUTED_VALUE"""),"EXG")</f>
        <v>EXG</v>
      </c>
      <c r="AE48" s="1" t="str">
        <f>IFERROR(__xludf.DUMMYFUNCTION("""COMPUTED_VALUE"""),"EXG")</f>
        <v>EXG</v>
      </c>
      <c r="AF48" s="1" t="str">
        <f>IFERROR(__xludf.DUMMYFUNCTION("""COMPUTED_VALUE"""),"EXG")</f>
        <v>EXG</v>
      </c>
      <c r="AG48" s="1" t="str">
        <f>IFERROR(__xludf.DUMMYFUNCTION("""COMPUTED_VALUE"""),"EXG")</f>
        <v>EXG</v>
      </c>
      <c r="AH48" s="1">
        <f>IFERROR(__xludf.DUMMYFUNCTION("""COMPUTED_VALUE"""),41)</f>
        <v>41</v>
      </c>
      <c r="AI48" s="1">
        <f>IFERROR(__xludf.DUMMYFUNCTION("""COMPUTED_VALUE"""),41)</f>
        <v>41</v>
      </c>
      <c r="AJ48" s="1">
        <f>IFERROR(__xludf.DUMMYFUNCTION("""COMPUTED_VALUE"""),41)</f>
        <v>41</v>
      </c>
      <c r="AK48" s="1">
        <f>IFERROR(__xludf.DUMMYFUNCTION("""COMPUTED_VALUE"""),41)</f>
        <v>41</v>
      </c>
      <c r="AL48" s="1" t="str">
        <f>IFERROR(__xludf.DUMMYFUNCTION("""COMPUTED_VALUE"""),"EXG")</f>
        <v>EXG</v>
      </c>
      <c r="AM48" s="1" t="str">
        <f>IFERROR(__xludf.DUMMYFUNCTION("""COMPUTED_VALUE"""),"EXG")</f>
        <v>EXG</v>
      </c>
      <c r="AN48" s="1" t="str">
        <f>IFERROR(__xludf.DUMMYFUNCTION("""COMPUTED_VALUE"""),"GG")</f>
        <v>GG</v>
      </c>
    </row>
    <row r="49" customHeight="1" spans="1:40">
      <c r="A49" s="1" t="str">
        <f>IFERROR(__xludf.DUMMYFUNCTION("""COMPUTED_VALUE"""),"02° BBM")</f>
        <v>02° BBM</v>
      </c>
      <c r="B49" s="1" t="str">
        <f>IFERROR(__xludf.DUMMYFUNCTION("""COMPUTED_VALUE"""),"Portão")</f>
        <v>Portão</v>
      </c>
      <c r="C49" s="119" t="str">
        <f>IFERROR(__xludf.DUMMYFUNCTION("""COMPUTED_VALUE"""),"Comunitario")</f>
        <v>Comunitario</v>
      </c>
      <c r="D49" s="119" t="str">
        <f>IFERROR(__xludf.DUMMYFUNCTION("""COMPUTED_VALUE"""),"EVANDRO NUNES LOPES")</f>
        <v>EVANDRO NUNES LOPES</v>
      </c>
      <c r="E49" s="119" t="str">
        <f>IFERROR(__xludf.DUMMYFUNCTION("""COMPUTED_VALUE"""),"Curso CAB operador concluído")</f>
        <v>Curso CAB operador concluído</v>
      </c>
      <c r="F49" s="1" t="str">
        <f>IFERROR(__xludf.DUMMYFUNCTION("""COMPUTED_VALUE"""),"008.907.370-70")</f>
        <v>008.907.370-70</v>
      </c>
      <c r="G49" s="1">
        <f>IFERROR(__xludf.DUMMYFUNCTION("""COMPUTED_VALUE"""),7092719389)</f>
        <v>7092719389</v>
      </c>
      <c r="H49" s="1" t="str">
        <f>IFERROR(__xludf.DUMMYFUNCTION("""COMPUTED_VALUE"""),"Combatente")</f>
        <v>Combatente</v>
      </c>
      <c r="I49" s="1" t="str">
        <f>IFERROR(__xludf.DUMMYFUNCTION("""COMPUTED_VALUE"""),"Bombeiro Voluntário")</f>
        <v>Bombeiro Voluntário</v>
      </c>
      <c r="J49" s="1" t="str">
        <f>IFERROR(__xludf.DUMMYFUNCTION("""COMPUTED_VALUE"""),"Sim")</f>
        <v>Sim</v>
      </c>
      <c r="K49" s="1" t="str">
        <f>IFERROR(__xludf.DUMMYFUNCTION("""COMPUTED_VALUE"""),"Não")</f>
        <v>Não</v>
      </c>
      <c r="L49" s="1" t="str">
        <f>IFERROR(__xludf.DUMMYFUNCTION("""COMPUTED_VALUE"""),"A+")</f>
        <v>A+</v>
      </c>
      <c r="M49" s="1" t="str">
        <f>IFERROR(__xludf.DUMMYFUNCTION("""COMPUTED_VALUE"""),"NUNES")</f>
        <v>NUNES</v>
      </c>
      <c r="N49" s="120">
        <f>IFERROR(__xludf.DUMMYFUNCTION("""COMPUTED_VALUE"""),28865)</f>
        <v>28865</v>
      </c>
      <c r="O49" s="1" t="str">
        <f>IFERROR(__xludf.DUMMYFUNCTION("""COMPUTED_VALUE"""),"Masculino")</f>
        <v>Masculino</v>
      </c>
      <c r="P49" s="1" t="str">
        <f>IFERROR(__xludf.DUMMYFUNCTION("""COMPUTED_VALUE"""),"Branca")</f>
        <v>Branca</v>
      </c>
      <c r="Q49" s="1" t="str">
        <f>IFERROR(__xludf.DUMMYFUNCTION("""COMPUTED_VALUE"""),"Ensino Médio")</f>
        <v>Ensino Médio</v>
      </c>
      <c r="R49" s="1" t="str">
        <f>IFERROR(__xludf.DUMMYFUNCTION("""COMPUTED_VALUE"""),"evandrolopes79@hotmail.com")</f>
        <v>evandrolopes79@hotmail.com</v>
      </c>
      <c r="S49" s="1">
        <f>IFERROR(__xludf.DUMMYFUNCTION("""COMPUTED_VALUE"""),94)</f>
        <v>94</v>
      </c>
      <c r="T49" s="1" t="str">
        <f>IFERROR(__xludf.DUMMYFUNCTION("""COMPUTED_VALUE"""),"Entre 1,76m e 1,80m")</f>
        <v>Entre 1,76m e 1,80m</v>
      </c>
      <c r="U49" s="1"/>
      <c r="V49" s="1" t="str">
        <f>IFERROR(__xludf.DUMMYFUNCTION("""COMPUTED_VALUE"""),"(51)996768907")</f>
        <v>(51)996768907</v>
      </c>
      <c r="W49" s="1"/>
      <c r="X49" s="1" t="str">
        <f>IFERROR(__xludf.DUMMYFUNCTION("""COMPUTED_VALUE"""),"RS")</f>
        <v>RS</v>
      </c>
      <c r="Y49" s="1" t="str">
        <f>IFERROR(__xludf.DUMMYFUNCTION("""COMPUTED_VALUE"""),"Portão")</f>
        <v>Portão</v>
      </c>
      <c r="Z49" s="1" t="str">
        <f>IFERROR(__xludf.DUMMYFUNCTION("""COMPUTED_VALUE"""),"93180-000")</f>
        <v>93180-000</v>
      </c>
      <c r="AA49" s="1" t="str">
        <f>IFERROR(__xludf.DUMMYFUNCTION("""COMPUTED_VALUE"""),"Rua Antônio Cardoso, 90")</f>
        <v>Rua Antônio Cardoso, 90</v>
      </c>
      <c r="AB49" s="1" t="str">
        <f>IFERROR(__xludf.DUMMYFUNCTION("""COMPUTED_VALUE"""),"Portão Velho")</f>
        <v>Portão Velho</v>
      </c>
      <c r="AC49" s="1" t="str">
        <f>IFERROR(__xludf.DUMMYFUNCTION("""COMPUTED_VALUE"""),"GG")</f>
        <v>GG</v>
      </c>
      <c r="AD49" s="1" t="str">
        <f>IFERROR(__xludf.DUMMYFUNCTION("""COMPUTED_VALUE"""),"GG")</f>
        <v>GG</v>
      </c>
      <c r="AE49" s="1" t="str">
        <f>IFERROR(__xludf.DUMMYFUNCTION("""COMPUTED_VALUE"""),"GG")</f>
        <v>GG</v>
      </c>
      <c r="AF49" s="1" t="str">
        <f>IFERROR(__xludf.DUMMYFUNCTION("""COMPUTED_VALUE"""),"GG")</f>
        <v>GG</v>
      </c>
      <c r="AG49" s="1" t="str">
        <f>IFERROR(__xludf.DUMMYFUNCTION("""COMPUTED_VALUE"""),"GG")</f>
        <v>GG</v>
      </c>
      <c r="AH49" s="1">
        <f>IFERROR(__xludf.DUMMYFUNCTION("""COMPUTED_VALUE"""),42)</f>
        <v>42</v>
      </c>
      <c r="AI49" s="1">
        <f>IFERROR(__xludf.DUMMYFUNCTION("""COMPUTED_VALUE"""),42)</f>
        <v>42</v>
      </c>
      <c r="AJ49" s="1">
        <f>IFERROR(__xludf.DUMMYFUNCTION("""COMPUTED_VALUE"""),42)</f>
        <v>42</v>
      </c>
      <c r="AK49" s="1">
        <f>IFERROR(__xludf.DUMMYFUNCTION("""COMPUTED_VALUE"""),42)</f>
        <v>42</v>
      </c>
      <c r="AL49" s="1" t="str">
        <f>IFERROR(__xludf.DUMMYFUNCTION("""COMPUTED_VALUE"""),"GG")</f>
        <v>GG</v>
      </c>
      <c r="AM49" s="1" t="str">
        <f>IFERROR(__xludf.DUMMYFUNCTION("""COMPUTED_VALUE"""),"GG")</f>
        <v>GG</v>
      </c>
      <c r="AN49" s="1" t="str">
        <f>IFERROR(__xludf.DUMMYFUNCTION("""COMPUTED_VALUE"""),"GG")</f>
        <v>GG</v>
      </c>
    </row>
    <row r="50" customHeight="1" spans="1:40">
      <c r="A50" s="1" t="str">
        <f>IFERROR(__xludf.DUMMYFUNCTION("""COMPUTED_VALUE"""),"02° BBM")</f>
        <v>02° BBM</v>
      </c>
      <c r="B50" s="1" t="str">
        <f>IFERROR(__xludf.DUMMYFUNCTION("""COMPUTED_VALUE"""),"Novo Hamburgo")</f>
        <v>Novo Hamburgo</v>
      </c>
      <c r="C50" s="119" t="str">
        <f>IFERROR(__xludf.DUMMYFUNCTION("""COMPUTED_VALUE"""),"Comunitario")</f>
        <v>Comunitario</v>
      </c>
      <c r="D50" s="119" t="str">
        <f>IFERROR(__xludf.DUMMYFUNCTION("""COMPUTED_VALUE"""),"EVÂNIO ADÃO ROSADO")</f>
        <v>EVÂNIO ADÃO ROSADO</v>
      </c>
      <c r="E50" s="119" t="str">
        <f>IFERROR(__xludf.DUMMYFUNCTION("""COMPUTED_VALUE"""),"Módulo 1 concluído")</f>
        <v>Módulo 1 concluído</v>
      </c>
      <c r="F50" s="1" t="str">
        <f>IFERROR(__xludf.DUMMYFUNCTION("""COMPUTED_VALUE"""),"608.736.800-06")</f>
        <v>608.736.800-06</v>
      </c>
      <c r="G50" s="1">
        <f>IFERROR(__xludf.DUMMYFUNCTION("""COMPUTED_VALUE"""),3051177041)</f>
        <v>3051177041</v>
      </c>
      <c r="H50" s="1" t="str">
        <f>IFERROR(__xludf.DUMMYFUNCTION("""COMPUTED_VALUE"""),"Combatente")</f>
        <v>Combatente</v>
      </c>
      <c r="I50" s="1" t="str">
        <f>IFERROR(__xludf.DUMMYFUNCTION("""COMPUTED_VALUE"""),"Bombeiro Voluntário")</f>
        <v>Bombeiro Voluntário</v>
      </c>
      <c r="J50" s="1" t="str">
        <f>IFERROR(__xludf.DUMMYFUNCTION("""COMPUTED_VALUE"""),"Sim")</f>
        <v>Sim</v>
      </c>
      <c r="K50" s="1" t="str">
        <f>IFERROR(__xludf.DUMMYFUNCTION("""COMPUTED_VALUE"""),"Sim")</f>
        <v>Sim</v>
      </c>
      <c r="L50" s="1" t="str">
        <f>IFERROR(__xludf.DUMMYFUNCTION("""COMPUTED_VALUE"""),"A+")</f>
        <v>A+</v>
      </c>
      <c r="M50" s="1" t="str">
        <f>IFERROR(__xludf.DUMMYFUNCTION("""COMPUTED_VALUE"""),"ROSADO")</f>
        <v>ROSADO</v>
      </c>
      <c r="N50" s="120">
        <f>IFERROR(__xludf.DUMMYFUNCTION("""COMPUTED_VALUE"""),26157)</f>
        <v>26157</v>
      </c>
      <c r="O50" s="1" t="str">
        <f>IFERROR(__xludf.DUMMYFUNCTION("""COMPUTED_VALUE"""),"Masculino")</f>
        <v>Masculino</v>
      </c>
      <c r="P50" s="1" t="str">
        <f>IFERROR(__xludf.DUMMYFUNCTION("""COMPUTED_VALUE"""),"Branca")</f>
        <v>Branca</v>
      </c>
      <c r="Q50" s="1" t="str">
        <f>IFERROR(__xludf.DUMMYFUNCTION("""COMPUTED_VALUE"""),"Ensino Superior Completo")</f>
        <v>Ensino Superior Completo</v>
      </c>
      <c r="R50" s="1" t="str">
        <f>IFERROR(__xludf.DUMMYFUNCTION("""COMPUTED_VALUE"""),"evanio.rosado@gmail.com")</f>
        <v>evanio.rosado@gmail.com</v>
      </c>
      <c r="S50" s="1">
        <f>IFERROR(__xludf.DUMMYFUNCTION("""COMPUTED_VALUE"""),80)</f>
        <v>80</v>
      </c>
      <c r="T50" s="1" t="str">
        <f>IFERROR(__xludf.DUMMYFUNCTION("""COMPUTED_VALUE"""),"Entre 1,71m e 1,75m")</f>
        <v>Entre 1,71m e 1,75m</v>
      </c>
      <c r="U50" s="1"/>
      <c r="V50" s="1" t="str">
        <f>IFERROR(__xludf.DUMMYFUNCTION("""COMPUTED_VALUE"""),"(51) 989538593")</f>
        <v>(51) 989538593</v>
      </c>
      <c r="W50" s="1" t="str">
        <f>IFERROR(__xludf.DUMMYFUNCTION("""COMPUTED_VALUE"""),"(51) 981558168")</f>
        <v>(51) 981558168</v>
      </c>
      <c r="X50" s="1" t="str">
        <f>IFERROR(__xludf.DUMMYFUNCTION("""COMPUTED_VALUE"""),"RS")</f>
        <v>RS</v>
      </c>
      <c r="Y50" s="1" t="str">
        <f>IFERROR(__xludf.DUMMYFUNCTION("""COMPUTED_VALUE"""),"São Sebastião do Caí")</f>
        <v>São Sebastião do Caí</v>
      </c>
      <c r="Z50" s="1" t="str">
        <f>IFERROR(__xludf.DUMMYFUNCTION("""COMPUTED_VALUE"""),"95760-000")</f>
        <v>95760-000</v>
      </c>
      <c r="AA50" s="1" t="str">
        <f>IFERROR(__xludf.DUMMYFUNCTION("""COMPUTED_VALUE"""),"Rua Emílio Müller, 181")</f>
        <v>Rua Emílio Müller, 181</v>
      </c>
      <c r="AB50" s="1" t="str">
        <f>IFERROR(__xludf.DUMMYFUNCTION("""COMPUTED_VALUE"""),"Conceição")</f>
        <v>Conceição</v>
      </c>
      <c r="AC50" s="1" t="str">
        <f>IFERROR(__xludf.DUMMYFUNCTION("""COMPUTED_VALUE"""),"G")</f>
        <v>G</v>
      </c>
      <c r="AD50" s="1" t="str">
        <f>IFERROR(__xludf.DUMMYFUNCTION("""COMPUTED_VALUE"""),"G")</f>
        <v>G</v>
      </c>
      <c r="AE50" s="1" t="str">
        <f>IFERROR(__xludf.DUMMYFUNCTION("""COMPUTED_VALUE"""),"M")</f>
        <v>M</v>
      </c>
      <c r="AF50" s="1" t="str">
        <f>IFERROR(__xludf.DUMMYFUNCTION("""COMPUTED_VALUE"""),"G")</f>
        <v>G</v>
      </c>
      <c r="AG50" s="1" t="str">
        <f>IFERROR(__xludf.DUMMYFUNCTION("""COMPUTED_VALUE"""),"G")</f>
        <v>G</v>
      </c>
      <c r="AH50" s="1">
        <f>IFERROR(__xludf.DUMMYFUNCTION("""COMPUTED_VALUE"""),41)</f>
        <v>41</v>
      </c>
      <c r="AI50" s="1">
        <f>IFERROR(__xludf.DUMMYFUNCTION("""COMPUTED_VALUE"""),41)</f>
        <v>41</v>
      </c>
      <c r="AJ50" s="1">
        <f>IFERROR(__xludf.DUMMYFUNCTION("""COMPUTED_VALUE"""),41)</f>
        <v>41</v>
      </c>
      <c r="AK50" s="1">
        <f>IFERROR(__xludf.DUMMYFUNCTION("""COMPUTED_VALUE"""),41)</f>
        <v>41</v>
      </c>
      <c r="AL50" s="1" t="str">
        <f>IFERROR(__xludf.DUMMYFUNCTION("""COMPUTED_VALUE"""),"G")</f>
        <v>G</v>
      </c>
      <c r="AM50" s="1" t="str">
        <f>IFERROR(__xludf.DUMMYFUNCTION("""COMPUTED_VALUE"""),"M")</f>
        <v>M</v>
      </c>
      <c r="AN50" s="1" t="str">
        <f>IFERROR(__xludf.DUMMYFUNCTION("""COMPUTED_VALUE"""),"M")</f>
        <v>M</v>
      </c>
    </row>
    <row r="51" customHeight="1" spans="1:40">
      <c r="A51" s="1" t="str">
        <f>IFERROR(__xludf.DUMMYFUNCTION("""COMPUTED_VALUE"""),"02° BBM")</f>
        <v>02° BBM</v>
      </c>
      <c r="B51" s="1"/>
      <c r="C51" s="119"/>
      <c r="D51" s="119" t="str">
        <f>IFERROR(__xludf.DUMMYFUNCTION("""COMPUTED_VALUE"""),"EVERTON FERANANDO ESPITALHER DE SOUZA")</f>
        <v>EVERTON FERANANDO ESPITALHER DE SOUZA</v>
      </c>
      <c r="E51" s="119" t="str">
        <f>IFERROR(__xludf.DUMMYFUNCTION("""COMPUTED_VALUE"""),"Módulo 1 concluído")</f>
        <v>Módulo 1 concluído</v>
      </c>
      <c r="F51" s="1" t="str">
        <f>IFERROR(__xludf.DUMMYFUNCTION("""COMPUTED_VALUE"""),"001.272.410-60")</f>
        <v>001.272.410-60</v>
      </c>
      <c r="G51" s="1"/>
      <c r="H51" s="1"/>
      <c r="I51" s="1"/>
      <c r="J51" s="1"/>
      <c r="K51" s="1"/>
      <c r="L51" s="1"/>
      <c r="M51" s="1"/>
      <c r="N51" s="120"/>
      <c r="O51" s="1"/>
      <c r="P51" s="1"/>
      <c r="Q51" s="1"/>
      <c r="R51" s="1"/>
      <c r="S51" s="1"/>
      <c r="T51" s="1"/>
      <c r="U51" s="1"/>
      <c r="V51" s="1"/>
      <c r="W51" s="1"/>
      <c r="X51" s="1"/>
      <c r="Y51" s="1"/>
      <c r="Z51" s="1"/>
      <c r="AA51" s="1"/>
      <c r="AB51" s="1"/>
      <c r="AC51" s="1"/>
      <c r="AD51" s="1"/>
      <c r="AE51" s="1"/>
      <c r="AF51" s="1"/>
      <c r="AG51" s="1"/>
      <c r="AH51" s="1"/>
      <c r="AI51" s="1"/>
      <c r="AJ51" s="1"/>
      <c r="AK51" s="1"/>
      <c r="AL51" s="1"/>
      <c r="AM51" s="1"/>
      <c r="AN51" s="1"/>
    </row>
    <row r="52" customHeight="1" spans="1:40">
      <c r="A52" s="1" t="str">
        <f>IFERROR(__xludf.DUMMYFUNCTION("""COMPUTED_VALUE"""),"02° BBM")</f>
        <v>02° BBM</v>
      </c>
      <c r="B52" s="1" t="str">
        <f>IFERROR(__xludf.DUMMYFUNCTION("""COMPUTED_VALUE"""),"Estancia Velha")</f>
        <v>Estancia Velha</v>
      </c>
      <c r="C52" s="119" t="str">
        <f>IFERROR(__xludf.DUMMYFUNCTION("""COMPUTED_VALUE"""),"Comunitario")</f>
        <v>Comunitario</v>
      </c>
      <c r="D52" s="119" t="str">
        <f>IFERROR(__xludf.DUMMYFUNCTION("""COMPUTED_VALUE"""),"FELIPE EDUARDO DA COSTA")</f>
        <v>FELIPE EDUARDO DA COSTA</v>
      </c>
      <c r="E52" s="119" t="str">
        <f>IFERROR(__xludf.DUMMYFUNCTION("""COMPUTED_VALUE"""),"Módulo 2 e 3 concluído")</f>
        <v>Módulo 2 e 3 concluído</v>
      </c>
      <c r="F52" s="1" t="str">
        <f>IFERROR(__xludf.DUMMYFUNCTION("""COMPUTED_VALUE"""),"015.657.480-26")</f>
        <v>015.657.480-26</v>
      </c>
      <c r="G52" s="1">
        <f>IFERROR(__xludf.DUMMYFUNCTION("""COMPUTED_VALUE"""),1085327672)</f>
        <v>1085327672</v>
      </c>
      <c r="H52" s="1" t="str">
        <f>IFERROR(__xludf.DUMMYFUNCTION("""COMPUTED_VALUE"""),"Combatente e socorrista")</f>
        <v>Combatente e socorrista</v>
      </c>
      <c r="I52" s="1" t="str">
        <f>IFERROR(__xludf.DUMMYFUNCTION("""COMPUTED_VALUE"""),"bombeiro voluntario,curso condutor de veículos de emergencia")</f>
        <v>bombeiro voluntario,curso condutor de veículos de emergencia</v>
      </c>
      <c r="J52" s="1" t="str">
        <f>IFERROR(__xludf.DUMMYFUNCTION("""COMPUTED_VALUE"""),"Sim")</f>
        <v>Sim</v>
      </c>
      <c r="K52" s="1" t="str">
        <f>IFERROR(__xludf.DUMMYFUNCTION("""COMPUTED_VALUE"""),"Não")</f>
        <v>Não</v>
      </c>
      <c r="L52" s="1" t="str">
        <f>IFERROR(__xludf.DUMMYFUNCTION("""COMPUTED_VALUE"""),"O+")</f>
        <v>O+</v>
      </c>
      <c r="M52" s="1" t="str">
        <f>IFERROR(__xludf.DUMMYFUNCTION("""COMPUTED_VALUE"""),"Costa")</f>
        <v>Costa</v>
      </c>
      <c r="N52" s="120">
        <f>IFERROR(__xludf.DUMMYFUNCTION("""COMPUTED_VALUE"""),31846)</f>
        <v>31846</v>
      </c>
      <c r="O52" s="1" t="str">
        <f>IFERROR(__xludf.DUMMYFUNCTION("""COMPUTED_VALUE"""),"Masculino")</f>
        <v>Masculino</v>
      </c>
      <c r="P52" s="1" t="str">
        <f>IFERROR(__xludf.DUMMYFUNCTION("""COMPUTED_VALUE"""),"Amarela")</f>
        <v>Amarela</v>
      </c>
      <c r="Q52" s="1" t="str">
        <f>IFERROR(__xludf.DUMMYFUNCTION("""COMPUTED_VALUE"""),"Ensino Fundamental")</f>
        <v>Ensino Fundamental</v>
      </c>
      <c r="R52" s="1" t="str">
        <f>IFERROR(__xludf.DUMMYFUNCTION("""COMPUTED_VALUE"""),"felipeed1987@hotmai.com")</f>
        <v>felipeed1987@hotmai.com</v>
      </c>
      <c r="S52" s="1">
        <f>IFERROR(__xludf.DUMMYFUNCTION("""COMPUTED_VALUE"""),83)</f>
        <v>83</v>
      </c>
      <c r="T52" s="1"/>
      <c r="U52" s="1"/>
      <c r="V52" s="1">
        <f>IFERROR(__xludf.DUMMYFUNCTION("""COMPUTED_VALUE"""),51980885493)</f>
        <v>51980885493</v>
      </c>
      <c r="W52" s="1"/>
      <c r="X52" s="1" t="str">
        <f>IFERROR(__xludf.DUMMYFUNCTION("""COMPUTED_VALUE"""),"RS")</f>
        <v>RS</v>
      </c>
      <c r="Y52" s="1" t="str">
        <f>IFERROR(__xludf.DUMMYFUNCTION("""COMPUTED_VALUE"""),"Morro Reuter")</f>
        <v>Morro Reuter</v>
      </c>
      <c r="Z52" s="1">
        <f>IFERROR(__xludf.DUMMYFUNCTION("""COMPUTED_VALUE"""),9399000)</f>
        <v>9399000</v>
      </c>
      <c r="AA52" s="1" t="str">
        <f>IFERROR(__xludf.DUMMYFUNCTION("""COMPUTED_VALUE"""),"Rua Sao Nicola 1375")</f>
        <v>Rua Sao Nicola 1375</v>
      </c>
      <c r="AB52" s="1" t="str">
        <f>IFERROR(__xludf.DUMMYFUNCTION("""COMPUTED_VALUE"""),"wacharai")</f>
        <v>wacharai</v>
      </c>
      <c r="AC52" s="1" t="str">
        <f>IFERROR(__xludf.DUMMYFUNCTION("""COMPUTED_VALUE"""),"G")</f>
        <v>G</v>
      </c>
      <c r="AD52" s="1" t="str">
        <f>IFERROR(__xludf.DUMMYFUNCTION("""COMPUTED_VALUE"""),"G")</f>
        <v>G</v>
      </c>
      <c r="AE52" s="1" t="str">
        <f>IFERROR(__xludf.DUMMYFUNCTION("""COMPUTED_VALUE"""),"G")</f>
        <v>G</v>
      </c>
      <c r="AF52" s="1" t="str">
        <f>IFERROR(__xludf.DUMMYFUNCTION("""COMPUTED_VALUE"""),"G")</f>
        <v>G</v>
      </c>
      <c r="AG52" s="1" t="str">
        <f>IFERROR(__xludf.DUMMYFUNCTION("""COMPUTED_VALUE"""),"G")</f>
        <v>G</v>
      </c>
      <c r="AH52" s="1">
        <f>IFERROR(__xludf.DUMMYFUNCTION("""COMPUTED_VALUE"""),41)</f>
        <v>41</v>
      </c>
      <c r="AI52" s="1">
        <f>IFERROR(__xludf.DUMMYFUNCTION("""COMPUTED_VALUE"""),41)</f>
        <v>41</v>
      </c>
      <c r="AJ52" s="1">
        <f>IFERROR(__xludf.DUMMYFUNCTION("""COMPUTED_VALUE"""),41)</f>
        <v>41</v>
      </c>
      <c r="AK52" s="1">
        <f>IFERROR(__xludf.DUMMYFUNCTION("""COMPUTED_VALUE"""),41)</f>
        <v>41</v>
      </c>
      <c r="AL52" s="1" t="str">
        <f>IFERROR(__xludf.DUMMYFUNCTION("""COMPUTED_VALUE"""),"G")</f>
        <v>G</v>
      </c>
      <c r="AM52" s="1" t="str">
        <f>IFERROR(__xludf.DUMMYFUNCTION("""COMPUTED_VALUE"""),"G")</f>
        <v>G</v>
      </c>
      <c r="AN52" s="1"/>
    </row>
    <row r="53" customHeight="1" spans="1:40">
      <c r="A53" s="1" t="str">
        <f>IFERROR(__xludf.DUMMYFUNCTION("""COMPUTED_VALUE"""),"02° BBM")</f>
        <v>02° BBM</v>
      </c>
      <c r="B53" s="1" t="str">
        <f>IFERROR(__xludf.DUMMYFUNCTION("""COMPUTED_VALUE"""),"Araricá")</f>
        <v>Araricá</v>
      </c>
      <c r="C53" s="119" t="str">
        <f>IFERROR(__xludf.DUMMYFUNCTION("""COMPUTED_VALUE"""),"CAB")</f>
        <v>CAB</v>
      </c>
      <c r="D53" s="119" t="str">
        <f>IFERROR(__xludf.DUMMYFUNCTION("""COMPUTED_VALUE"""),"FERNANDO GUERRA TEIXEIRA")</f>
        <v>FERNANDO GUERRA TEIXEIRA</v>
      </c>
      <c r="E53" s="119" t="str">
        <f>IFERROR(__xludf.DUMMYFUNCTION("""COMPUTED_VALUE"""),"Curso CAB operador concluído")</f>
        <v>Curso CAB operador concluído</v>
      </c>
      <c r="F53" s="1" t="str">
        <f>IFERROR(__xludf.DUMMYFUNCTION("""COMPUTED_VALUE"""),"827.435.680-20")</f>
        <v>827.435.680-20</v>
      </c>
      <c r="G53" s="1">
        <f>IFERROR(__xludf.DUMMYFUNCTION("""COMPUTED_VALUE"""),3073793411)</f>
        <v>3073793411</v>
      </c>
      <c r="H53" s="1" t="str">
        <f>IFERROR(__xludf.DUMMYFUNCTION("""COMPUTED_VALUE"""),"Combatente/Socorrista/ Condutor")</f>
        <v>Combatente/Socorrista/ Condutor</v>
      </c>
      <c r="I53" s="1" t="str">
        <f>IFERROR(__xludf.DUMMYFUNCTION("""COMPUTED_VALUE"""),"Bombeiro Voluntario/CVE/APH/SBV")</f>
        <v>Bombeiro Voluntario/CVE/APH/SBV</v>
      </c>
      <c r="J53" s="1" t="str">
        <f>IFERROR(__xludf.DUMMYFUNCTION("""COMPUTED_VALUE"""),"Sim")</f>
        <v>Sim</v>
      </c>
      <c r="K53" s="1" t="str">
        <f>IFERROR(__xludf.DUMMYFUNCTION("""COMPUTED_VALUE"""),"Não")</f>
        <v>Não</v>
      </c>
      <c r="L53" s="1" t="str">
        <f>IFERROR(__xludf.DUMMYFUNCTION("""COMPUTED_VALUE"""),"O+")</f>
        <v>O+</v>
      </c>
      <c r="M53" s="1" t="str">
        <f>IFERROR(__xludf.DUMMYFUNCTION("""COMPUTED_VALUE"""),"GUERRA")</f>
        <v>GUERRA</v>
      </c>
      <c r="N53" s="121">
        <f>IFERROR(__xludf.DUMMYFUNCTION("""COMPUTED_VALUE"""),29585)</f>
        <v>29585</v>
      </c>
      <c r="O53" s="1" t="str">
        <f>IFERROR(__xludf.DUMMYFUNCTION("""COMPUTED_VALUE"""),"Masculino")</f>
        <v>Masculino</v>
      </c>
      <c r="P53" s="1" t="str">
        <f>IFERROR(__xludf.DUMMYFUNCTION("""COMPUTED_VALUE"""),"Parda")</f>
        <v>Parda</v>
      </c>
      <c r="Q53" s="1" t="str">
        <f>IFERROR(__xludf.DUMMYFUNCTION("""COMPUTED_VALUE"""),"Ensino Médio")</f>
        <v>Ensino Médio</v>
      </c>
      <c r="R53" s="1" t="str">
        <f>IFERROR(__xludf.DUMMYFUNCTION("""COMPUTED_VALUE"""),"fernando.guerra.80@hotmail.com")</f>
        <v>fernando.guerra.80@hotmail.com</v>
      </c>
      <c r="S53" s="1">
        <f>IFERROR(__xludf.DUMMYFUNCTION("""COMPUTED_VALUE"""),105)</f>
        <v>105</v>
      </c>
      <c r="T53" s="1" t="str">
        <f>IFERROR(__xludf.DUMMYFUNCTION("""COMPUTED_VALUE"""),"Entre 1,76m e 1,80m")</f>
        <v>Entre 1,76m e 1,80m</v>
      </c>
      <c r="U53" s="1"/>
      <c r="V53" s="1">
        <f>IFERROR(__xludf.DUMMYFUNCTION("""COMPUTED_VALUE"""),51995424200)</f>
        <v>51995424200</v>
      </c>
      <c r="W53" s="1">
        <f>IFERROR(__xludf.DUMMYFUNCTION("""COMPUTED_VALUE"""),51995424200)</f>
        <v>51995424200</v>
      </c>
      <c r="X53" s="1" t="str">
        <f>IFERROR(__xludf.DUMMYFUNCTION("""COMPUTED_VALUE"""),"RS")</f>
        <v>RS</v>
      </c>
      <c r="Y53" s="1" t="str">
        <f>IFERROR(__xludf.DUMMYFUNCTION("""COMPUTED_VALUE"""),"Nova Hartz")</f>
        <v>Nova Hartz</v>
      </c>
      <c r="Z53" s="1" t="str">
        <f>IFERROR(__xludf.DUMMYFUNCTION("""COMPUTED_VALUE"""),"93890-000")</f>
        <v>93890-000</v>
      </c>
      <c r="AA53" s="1" t="str">
        <f>IFERROR(__xludf.DUMMYFUNCTION("""COMPUTED_VALUE"""),"rua egidio peixoto, 75")</f>
        <v>rua egidio peixoto, 75</v>
      </c>
      <c r="AB53" s="1" t="str">
        <f>IFERROR(__xludf.DUMMYFUNCTION("""COMPUTED_VALUE"""),"liberdade")</f>
        <v>liberdade</v>
      </c>
      <c r="AC53" s="1" t="str">
        <f>IFERROR(__xludf.DUMMYFUNCTION("""COMPUTED_VALUE"""),"GG")</f>
        <v>GG</v>
      </c>
      <c r="AD53" s="1" t="str">
        <f>IFERROR(__xludf.DUMMYFUNCTION("""COMPUTED_VALUE"""),"G")</f>
        <v>G</v>
      </c>
      <c r="AE53" s="1" t="str">
        <f>IFERROR(__xludf.DUMMYFUNCTION("""COMPUTED_VALUE"""),"GG")</f>
        <v>GG</v>
      </c>
      <c r="AF53" s="1" t="str">
        <f>IFERROR(__xludf.DUMMYFUNCTION("""COMPUTED_VALUE"""),"GG")</f>
        <v>GG</v>
      </c>
      <c r="AG53" s="1" t="str">
        <f>IFERROR(__xludf.DUMMYFUNCTION("""COMPUTED_VALUE"""),"GG")</f>
        <v>GG</v>
      </c>
      <c r="AH53" s="1">
        <f>IFERROR(__xludf.DUMMYFUNCTION("""COMPUTED_VALUE"""),41)</f>
        <v>41</v>
      </c>
      <c r="AI53" s="1">
        <f>IFERROR(__xludf.DUMMYFUNCTION("""COMPUTED_VALUE"""),41)</f>
        <v>41</v>
      </c>
      <c r="AJ53" s="1">
        <f>IFERROR(__xludf.DUMMYFUNCTION("""COMPUTED_VALUE"""),41)</f>
        <v>41</v>
      </c>
      <c r="AK53" s="1">
        <f>IFERROR(__xludf.DUMMYFUNCTION("""COMPUTED_VALUE"""),41)</f>
        <v>41</v>
      </c>
      <c r="AL53" s="1" t="str">
        <f>IFERROR(__xludf.DUMMYFUNCTION("""COMPUTED_VALUE"""),"GG")</f>
        <v>GG</v>
      </c>
      <c r="AM53" s="1" t="str">
        <f>IFERROR(__xludf.DUMMYFUNCTION("""COMPUTED_VALUE"""),"GG")</f>
        <v>GG</v>
      </c>
      <c r="AN53" s="1" t="str">
        <f>IFERROR(__xludf.DUMMYFUNCTION("""COMPUTED_VALUE"""),"GG")</f>
        <v>GG</v>
      </c>
    </row>
    <row r="54" customHeight="1" spans="1:40">
      <c r="A54" s="1" t="str">
        <f>IFERROR(__xludf.DUMMYFUNCTION("""COMPUTED_VALUE"""),"02° BBM")</f>
        <v>02° BBM</v>
      </c>
      <c r="B54" s="1" t="str">
        <f>IFERROR(__xludf.DUMMYFUNCTION("""COMPUTED_VALUE"""),"Araricá")</f>
        <v>Araricá</v>
      </c>
      <c r="C54" s="119" t="str">
        <f>IFERROR(__xludf.DUMMYFUNCTION("""COMPUTED_VALUE"""),"CAB")</f>
        <v>CAB</v>
      </c>
      <c r="D54" s="119" t="str">
        <f>IFERROR(__xludf.DUMMYFUNCTION("""COMPUTED_VALUE"""),"FRANCILEI FELBER ")</f>
        <v>FRANCILEI FELBER </v>
      </c>
      <c r="E54" s="119" t="str">
        <f>IFERROR(__xludf.DUMMYFUNCTION("""COMPUTED_VALUE"""),"")</f>
        <v/>
      </c>
      <c r="F54" s="1" t="str">
        <f>IFERROR(__xludf.DUMMYFUNCTION("""COMPUTED_VALUE"""),"017.944.080-29")</f>
        <v>017.944.080-29</v>
      </c>
      <c r="G54" s="1">
        <f>IFERROR(__xludf.DUMMYFUNCTION("""COMPUTED_VALUE"""),1066919695)</f>
        <v>1066919695</v>
      </c>
      <c r="H54" s="1" t="str">
        <f>IFERROR(__xludf.DUMMYFUNCTION("""COMPUTED_VALUE"""),"Combatente e Socorrista")</f>
        <v>Combatente e Socorrista</v>
      </c>
      <c r="I54" s="1" t="str">
        <f>IFERROR(__xludf.DUMMYFUNCTION("""COMPUTED_VALUE"""),"Bombeiro Voluntario/Bombeiro Civil /APH/BLS")</f>
        <v>Bombeiro Voluntario/Bombeiro Civil /APH/BLS</v>
      </c>
      <c r="J54" s="1" t="str">
        <f>IFERROR(__xludf.DUMMYFUNCTION("""COMPUTED_VALUE"""),"Não")</f>
        <v>Não</v>
      </c>
      <c r="K54" s="1" t="str">
        <f>IFERROR(__xludf.DUMMYFUNCTION("""COMPUTED_VALUE"""),"Não")</f>
        <v>Não</v>
      </c>
      <c r="L54" s="1" t="str">
        <f>IFERROR(__xludf.DUMMYFUNCTION("""COMPUTED_VALUE"""),"AB+")</f>
        <v>AB+</v>
      </c>
      <c r="M54" s="1" t="str">
        <f>IFERROR(__xludf.DUMMYFUNCTION("""COMPUTED_VALUE"""),"FRANCIELI")</f>
        <v>FRANCIELI</v>
      </c>
      <c r="N54" s="120">
        <f>IFERROR(__xludf.DUMMYFUNCTION("""COMPUTED_VALUE"""),32791)</f>
        <v>32791</v>
      </c>
      <c r="O54" s="1" t="str">
        <f>IFERROR(__xludf.DUMMYFUNCTION("""COMPUTED_VALUE"""),"Feminino")</f>
        <v>Feminino</v>
      </c>
      <c r="P54" s="1" t="str">
        <f>IFERROR(__xludf.DUMMYFUNCTION("""COMPUTED_VALUE"""),"Branca")</f>
        <v>Branca</v>
      </c>
      <c r="Q54" s="1" t="str">
        <f>IFERROR(__xludf.DUMMYFUNCTION("""COMPUTED_VALUE"""),"Ensino Superior Completo")</f>
        <v>Ensino Superior Completo</v>
      </c>
      <c r="R54" s="1" t="str">
        <f>IFERROR(__xludf.DUMMYFUNCTION("""COMPUTED_VALUE"""),"franfelber@gmail.com")</f>
        <v>franfelber@gmail.com</v>
      </c>
      <c r="S54" s="1">
        <f>IFERROR(__xludf.DUMMYFUNCTION("""COMPUTED_VALUE"""),56)</f>
        <v>56</v>
      </c>
      <c r="T54" s="1" t="str">
        <f>IFERROR(__xludf.DUMMYFUNCTION("""COMPUTED_VALUE"""),"Entre 1,56m e 1,60m")</f>
        <v>Entre 1,56m e 1,60m</v>
      </c>
      <c r="U54" s="1"/>
      <c r="V54" s="1">
        <f>IFERROR(__xludf.DUMMYFUNCTION("""COMPUTED_VALUE"""),51996158617)</f>
        <v>51996158617</v>
      </c>
      <c r="W54" s="1">
        <f>IFERROR(__xludf.DUMMYFUNCTION("""COMPUTED_VALUE"""),51996158617)</f>
        <v>51996158617</v>
      </c>
      <c r="X54" s="1" t="str">
        <f>IFERROR(__xludf.DUMMYFUNCTION("""COMPUTED_VALUE"""),"RS")</f>
        <v>RS</v>
      </c>
      <c r="Y54" s="1" t="str">
        <f>IFERROR(__xludf.DUMMYFUNCTION("""COMPUTED_VALUE"""),"Campo Bom")</f>
        <v>Campo Bom</v>
      </c>
      <c r="Z54" s="1" t="str">
        <f>IFERROR(__xludf.DUMMYFUNCTION("""COMPUTED_VALUE"""),"93700-000")</f>
        <v>93700-000</v>
      </c>
      <c r="AA54" s="1" t="str">
        <f>IFERROR(__xludf.DUMMYFUNCTION("""COMPUTED_VALUE"""),"Rua Leão XIII 480")</f>
        <v>Rua Leão XIII 480</v>
      </c>
      <c r="AB54" s="1" t="str">
        <f>IFERROR(__xludf.DUMMYFUNCTION("""COMPUTED_VALUE"""),"25 de julho")</f>
        <v>25 de julho</v>
      </c>
      <c r="AC54" s="1" t="str">
        <f>IFERROR(__xludf.DUMMYFUNCTION("""COMPUTED_VALUE"""),"P")</f>
        <v>P</v>
      </c>
      <c r="AD54" s="1" t="str">
        <f>IFERROR(__xludf.DUMMYFUNCTION("""COMPUTED_VALUE"""),"P")</f>
        <v>P</v>
      </c>
      <c r="AE54" s="1" t="str">
        <f>IFERROR(__xludf.DUMMYFUNCTION("""COMPUTED_VALUE"""),"P")</f>
        <v>P</v>
      </c>
      <c r="AF54" s="1" t="str">
        <f>IFERROR(__xludf.DUMMYFUNCTION("""COMPUTED_VALUE"""),"P")</f>
        <v>P</v>
      </c>
      <c r="AG54" s="1" t="str">
        <f>IFERROR(__xludf.DUMMYFUNCTION("""COMPUTED_VALUE"""),"M")</f>
        <v>M</v>
      </c>
      <c r="AH54" s="1">
        <f>IFERROR(__xludf.DUMMYFUNCTION("""COMPUTED_VALUE"""),34)</f>
        <v>34</v>
      </c>
      <c r="AI54" s="1">
        <f>IFERROR(__xludf.DUMMYFUNCTION("""COMPUTED_VALUE"""),34)</f>
        <v>34</v>
      </c>
      <c r="AJ54" s="1">
        <f>IFERROR(__xludf.DUMMYFUNCTION("""COMPUTED_VALUE"""),34)</f>
        <v>34</v>
      </c>
      <c r="AK54" s="1">
        <f>IFERROR(__xludf.DUMMYFUNCTION("""COMPUTED_VALUE"""),34)</f>
        <v>34</v>
      </c>
      <c r="AL54" s="1" t="str">
        <f>IFERROR(__xludf.DUMMYFUNCTION("""COMPUTED_VALUE"""),"P")</f>
        <v>P</v>
      </c>
      <c r="AM54" s="1" t="str">
        <f>IFERROR(__xludf.DUMMYFUNCTION("""COMPUTED_VALUE"""),"P")</f>
        <v>P</v>
      </c>
      <c r="AN54" s="1" t="str">
        <f>IFERROR(__xludf.DUMMYFUNCTION("""COMPUTED_VALUE"""),"P")</f>
        <v>P</v>
      </c>
    </row>
    <row r="55" customHeight="1" spans="1:40">
      <c r="A55" s="1" t="str">
        <f>IFERROR(__xludf.DUMMYFUNCTION("""COMPUTED_VALUE"""),"02° BBM")</f>
        <v>02° BBM</v>
      </c>
      <c r="B55" s="1" t="str">
        <f>IFERROR(__xludf.DUMMYFUNCTION("""COMPUTED_VALUE"""),"Marata")</f>
        <v>Marata</v>
      </c>
      <c r="C55" s="119" t="str">
        <f>IFERROR(__xludf.DUMMYFUNCTION("""COMPUTED_VALUE"""),"CAB")</f>
        <v>CAB</v>
      </c>
      <c r="D55" s="119" t="str">
        <f>IFERROR(__xludf.DUMMYFUNCTION("""COMPUTED_VALUE"""),"GABRIEL DIAS DE MORAES")</f>
        <v>GABRIEL DIAS DE MORAES</v>
      </c>
      <c r="E55" s="119" t="str">
        <f>IFERROR(__xludf.DUMMYFUNCTION("""COMPUTED_VALUE"""),"")</f>
        <v/>
      </c>
      <c r="F55" s="1" t="str">
        <f>IFERROR(__xludf.DUMMYFUNCTION("""COMPUTED_VALUE"""),"015.936.120-60")</f>
        <v>015.936.120-60</v>
      </c>
      <c r="G55" s="1">
        <f>IFERROR(__xludf.DUMMYFUNCTION("""COMPUTED_VALUE"""),4089624292)</f>
        <v>4089624292</v>
      </c>
      <c r="H55" s="1" t="str">
        <f>IFERROR(__xludf.DUMMYFUNCTION("""COMPUTED_VALUE"""),"Combatente Condutor e Socorrista")</f>
        <v>Combatente Condutor e Socorrista</v>
      </c>
      <c r="I55" s="1" t="str">
        <f>IFERROR(__xludf.DUMMYFUNCTION("""COMPUTED_VALUE"""),"Bombeiro Civil ,SBV ,APH, Condutor de Veiculo de Emergencia")</f>
        <v>Bombeiro Civil ,SBV ,APH, Condutor de Veiculo de Emergencia</v>
      </c>
      <c r="J55" s="1" t="str">
        <f>IFERROR(__xludf.DUMMYFUNCTION("""COMPUTED_VALUE"""),"SIM")</f>
        <v>SIM</v>
      </c>
      <c r="K55" s="1" t="str">
        <f>IFERROR(__xludf.DUMMYFUNCTION("""COMPUTED_VALUE"""),"Sim")</f>
        <v>Sim</v>
      </c>
      <c r="L55" s="1" t="str">
        <f>IFERROR(__xludf.DUMMYFUNCTION("""COMPUTED_VALUE"""),"O+")</f>
        <v>O+</v>
      </c>
      <c r="M55" s="1" t="str">
        <f>IFERROR(__xludf.DUMMYFUNCTION("""COMPUTED_VALUE"""),"MORAES")</f>
        <v>MORAES</v>
      </c>
      <c r="N55" s="120">
        <f>IFERROR(__xludf.DUMMYFUNCTION("""COMPUTED_VALUE"""),32695)</f>
        <v>32695</v>
      </c>
      <c r="O55" s="1" t="str">
        <f>IFERROR(__xludf.DUMMYFUNCTION("""COMPUTED_VALUE"""),"Masculino")</f>
        <v>Masculino</v>
      </c>
      <c r="P55" s="1" t="str">
        <f>IFERROR(__xludf.DUMMYFUNCTION("""COMPUTED_VALUE"""),"Branca")</f>
        <v>Branca</v>
      </c>
      <c r="Q55" s="1" t="str">
        <f>IFERROR(__xludf.DUMMYFUNCTION("""COMPUTED_VALUE"""),"Ensino Médio")</f>
        <v>Ensino Médio</v>
      </c>
      <c r="R55" s="1" t="str">
        <f>IFERROR(__xludf.DUMMYFUNCTION("""COMPUTED_VALUE"""),"gdiasdemoraes@gmail.com")</f>
        <v>gdiasdemoraes@gmail.com</v>
      </c>
      <c r="S55" s="1">
        <f>IFERROR(__xludf.DUMMYFUNCTION("""COMPUTED_VALUE"""),80)</f>
        <v>80</v>
      </c>
      <c r="T55" s="1" t="str">
        <f>IFERROR(__xludf.DUMMYFUNCTION("""COMPUTED_VALUE"""),"Entre 1,61m e 1,65m")</f>
        <v>Entre 1,61m e 1,65m</v>
      </c>
      <c r="U55" s="1"/>
      <c r="V55" s="1" t="str">
        <f>IFERROR(__xludf.DUMMYFUNCTION("""COMPUTED_VALUE"""),"51-983467325")</f>
        <v>51-983467325</v>
      </c>
      <c r="W55" s="1" t="str">
        <f>IFERROR(__xludf.DUMMYFUNCTION("""COMPUTED_VALUE"""),"51 - 998982116")</f>
        <v>51 - 998982116</v>
      </c>
      <c r="X55" s="1" t="str">
        <f>IFERROR(__xludf.DUMMYFUNCTION("""COMPUTED_VALUE"""),"RS")</f>
        <v>RS</v>
      </c>
      <c r="Y55" s="1" t="str">
        <f>IFERROR(__xludf.DUMMYFUNCTION("""COMPUTED_VALUE"""),"Novo Hamburgo")</f>
        <v>Novo Hamburgo</v>
      </c>
      <c r="Z55" s="1">
        <f>IFERROR(__xludf.DUMMYFUNCTION("""COMPUTED_VALUE"""),935443600)</f>
        <v>935443600</v>
      </c>
      <c r="AA55" s="1" t="str">
        <f>IFERROR(__xludf.DUMMYFUNCTION("""COMPUTED_VALUE"""),"RUA bruno werner storck 50 , Bloco ,c 22")</f>
        <v>RUA bruno werner storck 50 , Bloco ,c 22</v>
      </c>
      <c r="AB55" s="1" t="str">
        <f>IFERROR(__xludf.DUMMYFUNCTION("""COMPUTED_VALUE"""),"CANUDOS")</f>
        <v>CANUDOS</v>
      </c>
      <c r="AC55" s="1" t="str">
        <f>IFERROR(__xludf.DUMMYFUNCTION("""COMPUTED_VALUE"""),"G")</f>
        <v>G</v>
      </c>
      <c r="AD55" s="1" t="str">
        <f>IFERROR(__xludf.DUMMYFUNCTION("""COMPUTED_VALUE"""),"G")</f>
        <v>G</v>
      </c>
      <c r="AE55" s="1" t="str">
        <f>IFERROR(__xludf.DUMMYFUNCTION("""COMPUTED_VALUE"""),"G")</f>
        <v>G</v>
      </c>
      <c r="AF55" s="1" t="str">
        <f>IFERROR(__xludf.DUMMYFUNCTION("""COMPUTED_VALUE"""),"G")</f>
        <v>G</v>
      </c>
      <c r="AG55" s="1" t="str">
        <f>IFERROR(__xludf.DUMMYFUNCTION("""COMPUTED_VALUE"""),"G")</f>
        <v>G</v>
      </c>
      <c r="AH55" s="1">
        <f>IFERROR(__xludf.DUMMYFUNCTION("""COMPUTED_VALUE"""),39)</f>
        <v>39</v>
      </c>
      <c r="AI55" s="1">
        <f>IFERROR(__xludf.DUMMYFUNCTION("""COMPUTED_VALUE"""),39)</f>
        <v>39</v>
      </c>
      <c r="AJ55" s="1">
        <f>IFERROR(__xludf.DUMMYFUNCTION("""COMPUTED_VALUE"""),39)</f>
        <v>39</v>
      </c>
      <c r="AK55" s="1">
        <f>IFERROR(__xludf.DUMMYFUNCTION("""COMPUTED_VALUE"""),39)</f>
        <v>39</v>
      </c>
      <c r="AL55" s="1" t="str">
        <f>IFERROR(__xludf.DUMMYFUNCTION("""COMPUTED_VALUE"""),"G")</f>
        <v>G</v>
      </c>
      <c r="AM55" s="1" t="str">
        <f>IFERROR(__xludf.DUMMYFUNCTION("""COMPUTED_VALUE"""),"G")</f>
        <v>G</v>
      </c>
      <c r="AN55" s="1" t="str">
        <f>IFERROR(__xludf.DUMMYFUNCTION("""COMPUTED_VALUE"""),"G")</f>
        <v>G</v>
      </c>
    </row>
    <row r="56" customHeight="1" spans="1:40">
      <c r="A56" s="1" t="str">
        <f>IFERROR(__xludf.DUMMYFUNCTION("""COMPUTED_VALUE"""),"02° BBM")</f>
        <v>02° BBM</v>
      </c>
      <c r="B56" s="1" t="str">
        <f>IFERROR(__xludf.DUMMYFUNCTION("""COMPUTED_VALUE"""),"Campo Bom")</f>
        <v>Campo Bom</v>
      </c>
      <c r="C56" s="119" t="str">
        <f>IFERROR(__xludf.DUMMYFUNCTION("""COMPUTED_VALUE"""),"Comunitario")</f>
        <v>Comunitario</v>
      </c>
      <c r="D56" s="119" t="str">
        <f>IFERROR(__xludf.DUMMYFUNCTION("""COMPUTED_VALUE"""),"GABRIEL DOS SANTOS PALHANO BARTH")</f>
        <v>GABRIEL DOS SANTOS PALHANO BARTH</v>
      </c>
      <c r="E56" s="119" t="str">
        <f>IFERROR(__xludf.DUMMYFUNCTION("""COMPUTED_VALUE"""),"")</f>
        <v/>
      </c>
      <c r="F56" s="1" t="str">
        <f>IFERROR(__xludf.DUMMYFUNCTION("""COMPUTED_VALUE"""),"041.240.680-26")</f>
        <v>041.240.680-26</v>
      </c>
      <c r="G56" s="1">
        <f>IFERROR(__xludf.DUMMYFUNCTION("""COMPUTED_VALUE"""),7123045581)</f>
        <v>7123045581</v>
      </c>
      <c r="H56" s="1" t="str">
        <f>IFERROR(__xludf.DUMMYFUNCTION("""COMPUTED_VALUE"""),"Combatente")</f>
        <v>Combatente</v>
      </c>
      <c r="I56" s="1" t="str">
        <f>IFERROR(__xludf.DUMMYFUNCTION("""COMPUTED_VALUE"""),"Bombeiro Voluntário")</f>
        <v>Bombeiro Voluntário</v>
      </c>
      <c r="J56" s="1" t="str">
        <f>IFERROR(__xludf.DUMMYFUNCTION("""COMPUTED_VALUE"""),"Não")</f>
        <v>Não</v>
      </c>
      <c r="K56" s="1" t="str">
        <f>IFERROR(__xludf.DUMMYFUNCTION("""COMPUTED_VALUE"""),"Não")</f>
        <v>Não</v>
      </c>
      <c r="L56" s="1" t="str">
        <f>IFERROR(__xludf.DUMMYFUNCTION("""COMPUTED_VALUE"""),"A+")</f>
        <v>A+</v>
      </c>
      <c r="M56" s="1" t="str">
        <f>IFERROR(__xludf.DUMMYFUNCTION("""COMPUTED_VALUE"""),"GABRIEL")</f>
        <v>GABRIEL</v>
      </c>
      <c r="N56" s="120">
        <f>IFERROR(__xludf.DUMMYFUNCTION("""COMPUTED_VALUE"""),35203)</f>
        <v>35203</v>
      </c>
      <c r="O56" s="1" t="str">
        <f>IFERROR(__xludf.DUMMYFUNCTION("""COMPUTED_VALUE"""),"Masculino")</f>
        <v>Masculino</v>
      </c>
      <c r="P56" s="1" t="str">
        <f>IFERROR(__xludf.DUMMYFUNCTION("""COMPUTED_VALUE"""),"Branca")</f>
        <v>Branca</v>
      </c>
      <c r="Q56" s="1" t="str">
        <f>IFERROR(__xludf.DUMMYFUNCTION("""COMPUTED_VALUE"""),"Ensino Médio")</f>
        <v>Ensino Médio</v>
      </c>
      <c r="R56" s="1" t="str">
        <f>IFERROR(__xludf.DUMMYFUNCTION("""COMPUTED_VALUE"""),"gabrielbarthpalhano@gmail.com")</f>
        <v>gabrielbarthpalhano@gmail.com</v>
      </c>
      <c r="S56" s="1">
        <f>IFERROR(__xludf.DUMMYFUNCTION("""COMPUTED_VALUE"""),83)</f>
        <v>83</v>
      </c>
      <c r="T56" s="1" t="str">
        <f>IFERROR(__xludf.DUMMYFUNCTION("""COMPUTED_VALUE"""),"Entre 1,71m e 1,75m")</f>
        <v>Entre 1,71m e 1,75m</v>
      </c>
      <c r="U56" s="1"/>
      <c r="V56" s="1" t="str">
        <f>IFERROR(__xludf.DUMMYFUNCTION("""COMPUTED_VALUE"""),"51 997283147")</f>
        <v>51 997283147</v>
      </c>
      <c r="W56" s="1" t="str">
        <f>IFERROR(__xludf.DUMMYFUNCTION("""COMPUTED_VALUE"""),"51 997283147")</f>
        <v>51 997283147</v>
      </c>
      <c r="X56" s="1" t="str">
        <f>IFERROR(__xludf.DUMMYFUNCTION("""COMPUTED_VALUE"""),"RS")</f>
        <v>RS</v>
      </c>
      <c r="Y56" s="1" t="str">
        <f>IFERROR(__xludf.DUMMYFUNCTION("""COMPUTED_VALUE"""),"Novo Hamburgo")</f>
        <v>Novo Hamburgo</v>
      </c>
      <c r="Z56" s="1" t="str">
        <f>IFERROR(__xludf.DUMMYFUNCTION("""COMPUTED_VALUE"""),"93415-640")</f>
        <v>93415-640</v>
      </c>
      <c r="AA56" s="1" t="str">
        <f>IFERROR(__xludf.DUMMYFUNCTION("""COMPUTED_VALUE"""),"João Pedro Schimitt, 977")</f>
        <v>João Pedro Schimitt, 977</v>
      </c>
      <c r="AB56" s="1" t="str">
        <f>IFERROR(__xludf.DUMMYFUNCTION("""COMPUTED_VALUE"""),"Rondonia")</f>
        <v>Rondonia</v>
      </c>
      <c r="AC56" s="1" t="str">
        <f>IFERROR(__xludf.DUMMYFUNCTION("""COMPUTED_VALUE"""),"G")</f>
        <v>G</v>
      </c>
      <c r="AD56" s="1" t="str">
        <f>IFERROR(__xludf.DUMMYFUNCTION("""COMPUTED_VALUE"""),"G")</f>
        <v>G</v>
      </c>
      <c r="AE56" s="1" t="str">
        <f>IFERROR(__xludf.DUMMYFUNCTION("""COMPUTED_VALUE"""),"G")</f>
        <v>G</v>
      </c>
      <c r="AF56" s="1" t="str">
        <f>IFERROR(__xludf.DUMMYFUNCTION("""COMPUTED_VALUE"""),"G")</f>
        <v>G</v>
      </c>
      <c r="AG56" s="1" t="str">
        <f>IFERROR(__xludf.DUMMYFUNCTION("""COMPUTED_VALUE"""),"G")</f>
        <v>G</v>
      </c>
      <c r="AH56" s="1">
        <f>IFERROR(__xludf.DUMMYFUNCTION("""COMPUTED_VALUE"""),39)</f>
        <v>39</v>
      </c>
      <c r="AI56" s="1">
        <f>IFERROR(__xludf.DUMMYFUNCTION("""COMPUTED_VALUE"""),39)</f>
        <v>39</v>
      </c>
      <c r="AJ56" s="1">
        <f>IFERROR(__xludf.DUMMYFUNCTION("""COMPUTED_VALUE"""),39)</f>
        <v>39</v>
      </c>
      <c r="AK56" s="1">
        <f>IFERROR(__xludf.DUMMYFUNCTION("""COMPUTED_VALUE"""),39)</f>
        <v>39</v>
      </c>
      <c r="AL56" s="1" t="str">
        <f>IFERROR(__xludf.DUMMYFUNCTION("""COMPUTED_VALUE"""),"G")</f>
        <v>G</v>
      </c>
      <c r="AM56" s="1" t="str">
        <f>IFERROR(__xludf.DUMMYFUNCTION("""COMPUTED_VALUE"""),"G")</f>
        <v>G</v>
      </c>
      <c r="AN56" s="1" t="str">
        <f>IFERROR(__xludf.DUMMYFUNCTION("""COMPUTED_VALUE"""),"G")</f>
        <v>G</v>
      </c>
    </row>
    <row r="57" customHeight="1" spans="1:40">
      <c r="A57" s="1" t="str">
        <f>IFERROR(__xludf.DUMMYFUNCTION("""COMPUTED_VALUE"""),"02° BBM")</f>
        <v>02° BBM</v>
      </c>
      <c r="B57" s="1" t="str">
        <f>IFERROR(__xludf.DUMMYFUNCTION("""COMPUTED_VALUE"""),"Portão")</f>
        <v>Portão</v>
      </c>
      <c r="C57" s="119" t="str">
        <f>IFERROR(__xludf.DUMMYFUNCTION("""COMPUTED_VALUE"""),"Comunitario")</f>
        <v>Comunitario</v>
      </c>
      <c r="D57" s="119" t="str">
        <f>IFERROR(__xludf.DUMMYFUNCTION("""COMPUTED_VALUE"""),"GABRIEL RODRIGUES DA SILVA")</f>
        <v>GABRIEL RODRIGUES DA SILVA</v>
      </c>
      <c r="E57" s="119" t="str">
        <f>IFERROR(__xludf.DUMMYFUNCTION("""COMPUTED_VALUE"""),"Módulo 1 concluído")</f>
        <v>Módulo 1 concluído</v>
      </c>
      <c r="F57" s="1" t="str">
        <f>IFERROR(__xludf.DUMMYFUNCTION("""COMPUTED_VALUE"""),"030.548.300-55")</f>
        <v>030.548.300-55</v>
      </c>
      <c r="G57" s="1">
        <f>IFERROR(__xludf.DUMMYFUNCTION("""COMPUTED_VALUE"""),1100481066)</f>
        <v>1100481066</v>
      </c>
      <c r="H57" s="1" t="str">
        <f>IFERROR(__xludf.DUMMYFUNCTION("""COMPUTED_VALUE"""),"Combatente")</f>
        <v>Combatente</v>
      </c>
      <c r="I57" s="1" t="str">
        <f>IFERROR(__xludf.DUMMYFUNCTION("""COMPUTED_VALUE"""),"Bombeiro Voluntário, NR10, NR12, Atmosferas explosivas, APH T.")</f>
        <v>Bombeiro Voluntário, NR10, NR12, Atmosferas explosivas, APH T.</v>
      </c>
      <c r="J57" s="1" t="str">
        <f>IFERROR(__xludf.DUMMYFUNCTION("""COMPUTED_VALUE"""),"Sim")</f>
        <v>Sim</v>
      </c>
      <c r="K57" s="1" t="str">
        <f>IFERROR(__xludf.DUMMYFUNCTION("""COMPUTED_VALUE"""),"Não")</f>
        <v>Não</v>
      </c>
      <c r="L57" s="1" t="str">
        <f>IFERROR(__xludf.DUMMYFUNCTION("""COMPUTED_VALUE"""),"A+")</f>
        <v>A+</v>
      </c>
      <c r="M57" s="1" t="str">
        <f>IFERROR(__xludf.DUMMYFUNCTION("""COMPUTED_VALUE"""),"RODRIGUES")</f>
        <v>RODRIGUES</v>
      </c>
      <c r="N57" s="120">
        <f>IFERROR(__xludf.DUMMYFUNCTION("""COMPUTED_VALUE"""),36369)</f>
        <v>36369</v>
      </c>
      <c r="O57" s="1" t="str">
        <f>IFERROR(__xludf.DUMMYFUNCTION("""COMPUTED_VALUE"""),"Masculino")</f>
        <v>Masculino</v>
      </c>
      <c r="P57" s="1" t="str">
        <f>IFERROR(__xludf.DUMMYFUNCTION("""COMPUTED_VALUE"""),"Branca")</f>
        <v>Branca</v>
      </c>
      <c r="Q57" s="1" t="str">
        <f>IFERROR(__xludf.DUMMYFUNCTION("""COMPUTED_VALUE"""),"Ensino Médio")</f>
        <v>Ensino Médio</v>
      </c>
      <c r="R57" s="1" t="str">
        <f>IFERROR(__xludf.DUMMYFUNCTION("""COMPUTED_VALUE"""),"gabrielsilva2899@gmail.com")</f>
        <v>gabrielsilva2899@gmail.com</v>
      </c>
      <c r="S57" s="1">
        <f>IFERROR(__xludf.DUMMYFUNCTION("""COMPUTED_VALUE"""),84)</f>
        <v>84</v>
      </c>
      <c r="T57" s="1" t="str">
        <f>IFERROR(__xludf.DUMMYFUNCTION("""COMPUTED_VALUE"""),"Entre 1,71m e 1,75m")</f>
        <v>Entre 1,71m e 1,75m</v>
      </c>
      <c r="U57" s="1"/>
      <c r="V57" s="1" t="str">
        <f>IFERROR(__xludf.DUMMYFUNCTION("""COMPUTED_VALUE"""),"(51)993445921")</f>
        <v>(51)993445921</v>
      </c>
      <c r="W57" s="1"/>
      <c r="X57" s="1" t="str">
        <f>IFERROR(__xludf.DUMMYFUNCTION("""COMPUTED_VALUE"""),"RS")</f>
        <v>RS</v>
      </c>
      <c r="Y57" s="1" t="str">
        <f>IFERROR(__xludf.DUMMYFUNCTION("""COMPUTED_VALUE"""),"Portão")</f>
        <v>Portão</v>
      </c>
      <c r="Z57" s="1" t="str">
        <f>IFERROR(__xludf.DUMMYFUNCTION("""COMPUTED_VALUE"""),"93180-000")</f>
        <v>93180-000</v>
      </c>
      <c r="AA57" s="1" t="str">
        <f>IFERROR(__xludf.DUMMYFUNCTION("""COMPUTED_VALUE"""),"Rua Garibaldi, 444")</f>
        <v>Rua Garibaldi, 444</v>
      </c>
      <c r="AB57" s="1" t="str">
        <f>IFERROR(__xludf.DUMMYFUNCTION("""COMPUTED_VALUE"""),"Parque Neto")</f>
        <v>Parque Neto</v>
      </c>
      <c r="AC57" s="1" t="str">
        <f>IFERROR(__xludf.DUMMYFUNCTION("""COMPUTED_VALUE"""),"G")</f>
        <v>G</v>
      </c>
      <c r="AD57" s="1" t="str">
        <f>IFERROR(__xludf.DUMMYFUNCTION("""COMPUTED_VALUE"""),"G")</f>
        <v>G</v>
      </c>
      <c r="AE57" s="1" t="str">
        <f>IFERROR(__xludf.DUMMYFUNCTION("""COMPUTED_VALUE"""),"G")</f>
        <v>G</v>
      </c>
      <c r="AF57" s="1" t="str">
        <f>IFERROR(__xludf.DUMMYFUNCTION("""COMPUTED_VALUE"""),"G")</f>
        <v>G</v>
      </c>
      <c r="AG57" s="1" t="str">
        <f>IFERROR(__xludf.DUMMYFUNCTION("""COMPUTED_VALUE"""),"G")</f>
        <v>G</v>
      </c>
      <c r="AH57" s="1">
        <f>IFERROR(__xludf.DUMMYFUNCTION("""COMPUTED_VALUE"""),42)</f>
        <v>42</v>
      </c>
      <c r="AI57" s="1">
        <f>IFERROR(__xludf.DUMMYFUNCTION("""COMPUTED_VALUE"""),42)</f>
        <v>42</v>
      </c>
      <c r="AJ57" s="1">
        <f>IFERROR(__xludf.DUMMYFUNCTION("""COMPUTED_VALUE"""),42)</f>
        <v>42</v>
      </c>
      <c r="AK57" s="1">
        <f>IFERROR(__xludf.DUMMYFUNCTION("""COMPUTED_VALUE"""),42)</f>
        <v>42</v>
      </c>
      <c r="AL57" s="1" t="str">
        <f>IFERROR(__xludf.DUMMYFUNCTION("""COMPUTED_VALUE"""),"G")</f>
        <v>G</v>
      </c>
      <c r="AM57" s="1" t="str">
        <f>IFERROR(__xludf.DUMMYFUNCTION("""COMPUTED_VALUE"""),"G")</f>
        <v>G</v>
      </c>
      <c r="AN57" s="1" t="str">
        <f>IFERROR(__xludf.DUMMYFUNCTION("""COMPUTED_VALUE"""),"G")</f>
        <v>G</v>
      </c>
    </row>
    <row r="58" customHeight="1" spans="1:40">
      <c r="A58" s="1" t="str">
        <f>IFERROR(__xludf.DUMMYFUNCTION("""COMPUTED_VALUE"""),"02° BBM")</f>
        <v>02° BBM</v>
      </c>
      <c r="B58" s="1" t="str">
        <f>IFERROR(__xludf.DUMMYFUNCTION("""COMPUTED_VALUE"""),"Ivoti ")</f>
        <v>Ivoti </v>
      </c>
      <c r="C58" s="119" t="str">
        <f>IFERROR(__xludf.DUMMYFUNCTION("""COMPUTED_VALUE"""),"Comunitario")</f>
        <v>Comunitario</v>
      </c>
      <c r="D58" s="119" t="str">
        <f>IFERROR(__xludf.DUMMYFUNCTION("""COMPUTED_VALUE"""),"GEOVANNA ZALESKI")</f>
        <v>GEOVANNA ZALESKI</v>
      </c>
      <c r="E58" s="119" t="str">
        <f>IFERROR(__xludf.DUMMYFUNCTION("""COMPUTED_VALUE"""),"Módulo 2 e 3 concluído")</f>
        <v>Módulo 2 e 3 concluído</v>
      </c>
      <c r="F58" s="1" t="str">
        <f>IFERROR(__xludf.DUMMYFUNCTION("""COMPUTED_VALUE"""),"035.987.100-38")</f>
        <v>035.987.100-38</v>
      </c>
      <c r="G58" s="1">
        <f>IFERROR(__xludf.DUMMYFUNCTION("""COMPUTED_VALUE"""),1121537482)</f>
        <v>1121537482</v>
      </c>
      <c r="H58" s="1" t="str">
        <f>IFERROR(__xludf.DUMMYFUNCTION("""COMPUTED_VALUE"""),"Combatente e socorrista ")</f>
        <v>Combatente e socorrista </v>
      </c>
      <c r="I58" s="1" t="str">
        <f>IFERROR(__xludf.DUMMYFUNCTION("""COMPUTED_VALUE"""),"Bombeiro voluntário, técnico em enfermagem ")</f>
        <v>Bombeiro voluntário, técnico em enfermagem </v>
      </c>
      <c r="J58" s="1" t="str">
        <f>IFERROR(__xludf.DUMMYFUNCTION("""COMPUTED_VALUE"""),"Sim")</f>
        <v>Sim</v>
      </c>
      <c r="K58" s="1" t="str">
        <f>IFERROR(__xludf.DUMMYFUNCTION("""COMPUTED_VALUE"""),"Não")</f>
        <v>Não</v>
      </c>
      <c r="L58" s="1" t="str">
        <f>IFERROR(__xludf.DUMMYFUNCTION("""COMPUTED_VALUE"""),"O+")</f>
        <v>O+</v>
      </c>
      <c r="M58" s="1" t="str">
        <f>IFERROR(__xludf.DUMMYFUNCTION("""COMPUTED_VALUE"""),"GEOVANNA")</f>
        <v>GEOVANNA</v>
      </c>
      <c r="N58" s="120">
        <f>IFERROR(__xludf.DUMMYFUNCTION("""COMPUTED_VALUE"""),38238)</f>
        <v>38238</v>
      </c>
      <c r="O58" s="1" t="str">
        <f>IFERROR(__xludf.DUMMYFUNCTION("""COMPUTED_VALUE"""),"Feminino")</f>
        <v>Feminino</v>
      </c>
      <c r="P58" s="1" t="str">
        <f>IFERROR(__xludf.DUMMYFUNCTION("""COMPUTED_VALUE"""),"Branca")</f>
        <v>Branca</v>
      </c>
      <c r="Q58" s="1" t="str">
        <f>IFERROR(__xludf.DUMMYFUNCTION("""COMPUTED_VALUE"""),"Ensino Superior Incompleto")</f>
        <v>Ensino Superior Incompleto</v>
      </c>
      <c r="R58" s="1" t="str">
        <f>IFERROR(__xludf.DUMMYFUNCTION("""COMPUTED_VALUE"""),"geovanna@zaleski.com.br")</f>
        <v>geovanna@zaleski.com.br</v>
      </c>
      <c r="S58" s="1">
        <f>IFERROR(__xludf.DUMMYFUNCTION("""COMPUTED_VALUE"""),60)</f>
        <v>60</v>
      </c>
      <c r="T58" s="1" t="str">
        <f>IFERROR(__xludf.DUMMYFUNCTION("""COMPUTED_VALUE"""),"Entre 1,66m e 1,70m")</f>
        <v>Entre 1,66m e 1,70m</v>
      </c>
      <c r="U58" s="1"/>
      <c r="V58" s="1">
        <f>IFERROR(__xludf.DUMMYFUNCTION("""COMPUTED_VALUE"""),51997038290)</f>
        <v>51997038290</v>
      </c>
      <c r="W58" s="1">
        <f>IFERROR(__xludf.DUMMYFUNCTION("""COMPUTED_VALUE"""),51997038290)</f>
        <v>51997038290</v>
      </c>
      <c r="X58" s="1" t="str">
        <f>IFERROR(__xludf.DUMMYFUNCTION("""COMPUTED_VALUE"""),"RS")</f>
        <v>RS</v>
      </c>
      <c r="Y58" s="1" t="str">
        <f>IFERROR(__xludf.DUMMYFUNCTION("""COMPUTED_VALUE"""),"Ivoti")</f>
        <v>Ivoti</v>
      </c>
      <c r="Z58" s="1">
        <f>IFERROR(__xludf.DUMMYFUNCTION("""COMPUTED_VALUE"""),93900000)</f>
        <v>93900000</v>
      </c>
      <c r="AA58" s="1" t="str">
        <f>IFERROR(__xludf.DUMMYFUNCTION("""COMPUTED_VALUE"""),"Rua Jacob Dhein 777")</f>
        <v>Rua Jacob Dhein 777</v>
      </c>
      <c r="AB58" s="1" t="str">
        <f>IFERROR(__xludf.DUMMYFUNCTION("""COMPUTED_VALUE"""),"Jardim do Alto")</f>
        <v>Jardim do Alto</v>
      </c>
      <c r="AC58" s="1" t="str">
        <f>IFERROR(__xludf.DUMMYFUNCTION("""COMPUTED_VALUE"""),"P")</f>
        <v>P</v>
      </c>
      <c r="AD58" s="1" t="str">
        <f>IFERROR(__xludf.DUMMYFUNCTION("""COMPUTED_VALUE"""),"P")</f>
        <v>P</v>
      </c>
      <c r="AE58" s="1" t="str">
        <f>IFERROR(__xludf.DUMMYFUNCTION("""COMPUTED_VALUE"""),"P")</f>
        <v>P</v>
      </c>
      <c r="AF58" s="1" t="str">
        <f>IFERROR(__xludf.DUMMYFUNCTION("""COMPUTED_VALUE"""),"P")</f>
        <v>P</v>
      </c>
      <c r="AG58" s="1" t="str">
        <f>IFERROR(__xludf.DUMMYFUNCTION("""COMPUTED_VALUE"""),"M")</f>
        <v>M</v>
      </c>
      <c r="AH58" s="1">
        <f>IFERROR(__xludf.DUMMYFUNCTION("""COMPUTED_VALUE"""),38)</f>
        <v>38</v>
      </c>
      <c r="AI58" s="1">
        <f>IFERROR(__xludf.DUMMYFUNCTION("""COMPUTED_VALUE"""),38)</f>
        <v>38</v>
      </c>
      <c r="AJ58" s="1">
        <f>IFERROR(__xludf.DUMMYFUNCTION("""COMPUTED_VALUE"""),38)</f>
        <v>38</v>
      </c>
      <c r="AK58" s="1">
        <f>IFERROR(__xludf.DUMMYFUNCTION("""COMPUTED_VALUE"""),38)</f>
        <v>38</v>
      </c>
      <c r="AL58" s="1" t="str">
        <f>IFERROR(__xludf.DUMMYFUNCTION("""COMPUTED_VALUE"""),"M")</f>
        <v>M</v>
      </c>
      <c r="AM58" s="1" t="str">
        <f>IFERROR(__xludf.DUMMYFUNCTION("""COMPUTED_VALUE"""),"M")</f>
        <v>M</v>
      </c>
      <c r="AN58" s="1" t="str">
        <f>IFERROR(__xludf.DUMMYFUNCTION("""COMPUTED_VALUE"""),"M")</f>
        <v>M</v>
      </c>
    </row>
    <row r="59" customHeight="1" spans="1:40">
      <c r="A59" s="1" t="str">
        <f>IFERROR(__xludf.DUMMYFUNCTION("""COMPUTED_VALUE"""),"02° BBM")</f>
        <v>02° BBM</v>
      </c>
      <c r="B59" s="1" t="str">
        <f>IFERROR(__xludf.DUMMYFUNCTION("""COMPUTED_VALUE"""),"Araricá")</f>
        <v>Araricá</v>
      </c>
      <c r="C59" s="119" t="str">
        <f>IFERROR(__xludf.DUMMYFUNCTION("""COMPUTED_VALUE"""),"CAB")</f>
        <v>CAB</v>
      </c>
      <c r="D59" s="119" t="str">
        <f>IFERROR(__xludf.DUMMYFUNCTION("""COMPUTED_VALUE"""),"GRAZIELA OLIVEIRA GOMES")</f>
        <v>GRAZIELA OLIVEIRA GOMES</v>
      </c>
      <c r="E59" s="119" t="str">
        <f>IFERROR(__xludf.DUMMYFUNCTION("""COMPUTED_VALUE"""),"Curso CAB operador concluído")</f>
        <v>Curso CAB operador concluído</v>
      </c>
      <c r="F59" s="1" t="str">
        <f>IFERROR(__xludf.DUMMYFUNCTION("""COMPUTED_VALUE"""),"710.825.300-34")</f>
        <v>710.825.300-34</v>
      </c>
      <c r="G59" s="1">
        <f>IFERROR(__xludf.DUMMYFUNCTION("""COMPUTED_VALUE"""),6089658519)</f>
        <v>6089658519</v>
      </c>
      <c r="H59" s="1" t="str">
        <f>IFERROR(__xludf.DUMMYFUNCTION("""COMPUTED_VALUE"""),"Combatente e Socorrista")</f>
        <v>Combatente e Socorrista</v>
      </c>
      <c r="I59" s="1" t="str">
        <f>IFERROR(__xludf.DUMMYFUNCTION("""COMPUTED_VALUE"""),"Bombeiro Voluntario/ Bombeira Civil  ")</f>
        <v>Bombeiro Voluntario/ Bombeira Civil  </v>
      </c>
      <c r="J59" s="1" t="str">
        <f>IFERROR(__xludf.DUMMYFUNCTION("""COMPUTED_VALUE"""),"Sim")</f>
        <v>Sim</v>
      </c>
      <c r="K59" s="1" t="str">
        <f>IFERROR(__xludf.DUMMYFUNCTION("""COMPUTED_VALUE"""),"Não")</f>
        <v>Não</v>
      </c>
      <c r="L59" s="1" t="str">
        <f>IFERROR(__xludf.DUMMYFUNCTION("""COMPUTED_VALUE"""),"A+")</f>
        <v>A+</v>
      </c>
      <c r="M59" s="1" t="str">
        <f>IFERROR(__xludf.DUMMYFUNCTION("""COMPUTED_VALUE"""),"GOMES")</f>
        <v>GOMES</v>
      </c>
      <c r="N59" s="120">
        <f>IFERROR(__xludf.DUMMYFUNCTION("""COMPUTED_VALUE"""),27932)</f>
        <v>27932</v>
      </c>
      <c r="O59" s="1" t="str">
        <f>IFERROR(__xludf.DUMMYFUNCTION("""COMPUTED_VALUE"""),"Feminino")</f>
        <v>Feminino</v>
      </c>
      <c r="P59" s="1" t="str">
        <f>IFERROR(__xludf.DUMMYFUNCTION("""COMPUTED_VALUE"""),"Branca")</f>
        <v>Branca</v>
      </c>
      <c r="Q59" s="1" t="str">
        <f>IFERROR(__xludf.DUMMYFUNCTION("""COMPUTED_VALUE"""),"Ensino Médio")</f>
        <v>Ensino Médio</v>
      </c>
      <c r="R59" s="1" t="str">
        <f>IFERROR(__xludf.DUMMYFUNCTION("""COMPUTED_VALUE"""),"grazyoliveiragomes@gmail.com")</f>
        <v>grazyoliveiragomes@gmail.com</v>
      </c>
      <c r="S59" s="1">
        <f>IFERROR(__xludf.DUMMYFUNCTION("""COMPUTED_VALUE"""),55)</f>
        <v>55</v>
      </c>
      <c r="T59" s="1" t="str">
        <f>IFERROR(__xludf.DUMMYFUNCTION("""COMPUTED_VALUE"""),"Entre 1,50m e 1,55m")</f>
        <v>Entre 1,50m e 1,55m</v>
      </c>
      <c r="U59" s="1"/>
      <c r="V59" s="1">
        <f>IFERROR(__xludf.DUMMYFUNCTION("""COMPUTED_VALUE"""),51992806388)</f>
        <v>51992806388</v>
      </c>
      <c r="W59" s="1">
        <f>IFERROR(__xludf.DUMMYFUNCTION("""COMPUTED_VALUE"""),51992806388)</f>
        <v>51992806388</v>
      </c>
      <c r="X59" s="1" t="str">
        <f>IFERROR(__xludf.DUMMYFUNCTION("""COMPUTED_VALUE"""),"RS")</f>
        <v>RS</v>
      </c>
      <c r="Y59" s="1" t="str">
        <f>IFERROR(__xludf.DUMMYFUNCTION("""COMPUTED_VALUE"""),"Cachoeirinha")</f>
        <v>Cachoeirinha</v>
      </c>
      <c r="Z59" s="1">
        <f>IFERROR(__xludf.DUMMYFUNCTION("""COMPUTED_VALUE"""),94960864)</f>
        <v>94960864</v>
      </c>
      <c r="AA59" s="1" t="str">
        <f>IFERROR(__xludf.DUMMYFUNCTION("""COMPUTED_VALUE"""),"rua josé pereira de andrade 249")</f>
        <v>rua josé pereira de andrade 249</v>
      </c>
      <c r="AB59" s="1" t="str">
        <f>IFERROR(__xludf.DUMMYFUNCTION("""COMPUTED_VALUE"""),"morada do bosque")</f>
        <v>morada do bosque</v>
      </c>
      <c r="AC59" s="1" t="str">
        <f>IFERROR(__xludf.DUMMYFUNCTION("""COMPUTED_VALUE"""),"P")</f>
        <v>P</v>
      </c>
      <c r="AD59" s="1" t="str">
        <f>IFERROR(__xludf.DUMMYFUNCTION("""COMPUTED_VALUE"""),"P")</f>
        <v>P</v>
      </c>
      <c r="AE59" s="1" t="str">
        <f>IFERROR(__xludf.DUMMYFUNCTION("""COMPUTED_VALUE"""),"P")</f>
        <v>P</v>
      </c>
      <c r="AF59" s="1" t="str">
        <f>IFERROR(__xludf.DUMMYFUNCTION("""COMPUTED_VALUE"""),"P")</f>
        <v>P</v>
      </c>
      <c r="AG59" s="1" t="str">
        <f>IFERROR(__xludf.DUMMYFUNCTION("""COMPUTED_VALUE"""),"P")</f>
        <v>P</v>
      </c>
      <c r="AH59" s="1">
        <f>IFERROR(__xludf.DUMMYFUNCTION("""COMPUTED_VALUE"""),36)</f>
        <v>36</v>
      </c>
      <c r="AI59" s="1">
        <f>IFERROR(__xludf.DUMMYFUNCTION("""COMPUTED_VALUE"""),36)</f>
        <v>36</v>
      </c>
      <c r="AJ59" s="1">
        <f>IFERROR(__xludf.DUMMYFUNCTION("""COMPUTED_VALUE"""),36)</f>
        <v>36</v>
      </c>
      <c r="AK59" s="1">
        <f>IFERROR(__xludf.DUMMYFUNCTION("""COMPUTED_VALUE"""),36)</f>
        <v>36</v>
      </c>
      <c r="AL59" s="1" t="str">
        <f>IFERROR(__xludf.DUMMYFUNCTION("""COMPUTED_VALUE"""),"P")</f>
        <v>P</v>
      </c>
      <c r="AM59" s="1" t="str">
        <f>IFERROR(__xludf.DUMMYFUNCTION("""COMPUTED_VALUE"""),"P")</f>
        <v>P</v>
      </c>
      <c r="AN59" s="1" t="str">
        <f>IFERROR(__xludf.DUMMYFUNCTION("""COMPUTED_VALUE"""),"P")</f>
        <v>P</v>
      </c>
    </row>
    <row r="60" customHeight="1" spans="1:40">
      <c r="A60" s="1" t="str">
        <f>IFERROR(__xludf.DUMMYFUNCTION("""COMPUTED_VALUE"""),"02° BBM")</f>
        <v>02° BBM</v>
      </c>
      <c r="B60" s="1" t="str">
        <f>IFERROR(__xludf.DUMMYFUNCTION("""COMPUTED_VALUE"""),"Parobé")</f>
        <v>Parobé</v>
      </c>
      <c r="C60" s="119" t="str">
        <f>IFERROR(__xludf.DUMMYFUNCTION("""COMPUTED_VALUE"""),"Comunitario")</f>
        <v>Comunitario</v>
      </c>
      <c r="D60" s="119" t="str">
        <f>IFERROR(__xludf.DUMMYFUNCTION("""COMPUTED_VALUE"""),"GUILHERME MACHADO NOVAK")</f>
        <v>GUILHERME MACHADO NOVAK</v>
      </c>
      <c r="E60" s="119" t="str">
        <f>IFERROR(__xludf.DUMMYFUNCTION("""COMPUTED_VALUE"""),"Curso CAB operador concluído")</f>
        <v>Curso CAB operador concluído</v>
      </c>
      <c r="F60" s="1" t="str">
        <f>IFERROR(__xludf.DUMMYFUNCTION("""COMPUTED_VALUE"""),"032.031.050-71")</f>
        <v>032.031.050-71</v>
      </c>
      <c r="G60" s="1">
        <f>IFERROR(__xludf.DUMMYFUNCTION("""COMPUTED_VALUE"""),3109414577)</f>
        <v>3109414577</v>
      </c>
      <c r="H60" s="1" t="str">
        <f>IFERROR(__xludf.DUMMYFUNCTION("""COMPUTED_VALUE"""),"Combatente e Socorrista")</f>
        <v>Combatente e Socorrista</v>
      </c>
      <c r="I60" s="1" t="str">
        <f>IFERROR(__xludf.DUMMYFUNCTION("""COMPUTED_VALUE"""),"Bombeiro Voluntário")</f>
        <v>Bombeiro Voluntário</v>
      </c>
      <c r="J60" s="1" t="str">
        <f>IFERROR(__xludf.DUMMYFUNCTION("""COMPUTED_VALUE"""),"Não")</f>
        <v>Não</v>
      </c>
      <c r="K60" s="1" t="str">
        <f>IFERROR(__xludf.DUMMYFUNCTION("""COMPUTED_VALUE"""),"Não")</f>
        <v>Não</v>
      </c>
      <c r="L60" s="1" t="str">
        <f>IFERROR(__xludf.DUMMYFUNCTION("""COMPUTED_VALUE"""),"O+")</f>
        <v>O+</v>
      </c>
      <c r="M60" s="1" t="str">
        <f>IFERROR(__xludf.DUMMYFUNCTION("""COMPUTED_VALUE"""),"GUILHERME")</f>
        <v>GUILHERME</v>
      </c>
      <c r="N60" s="120">
        <f>IFERROR(__xludf.DUMMYFUNCTION("""COMPUTED_VALUE"""),34359)</f>
        <v>34359</v>
      </c>
      <c r="O60" s="1" t="str">
        <f>IFERROR(__xludf.DUMMYFUNCTION("""COMPUTED_VALUE"""),"Masculino")</f>
        <v>Masculino</v>
      </c>
      <c r="P60" s="1" t="str">
        <f>IFERROR(__xludf.DUMMYFUNCTION("""COMPUTED_VALUE"""),"Branca")</f>
        <v>Branca</v>
      </c>
      <c r="Q60" s="1" t="str">
        <f>IFERROR(__xludf.DUMMYFUNCTION("""COMPUTED_VALUE"""),"Ensino Médio")</f>
        <v>Ensino Médio</v>
      </c>
      <c r="R60" s="1" t="str">
        <f>IFERROR(__xludf.DUMMYFUNCTION("""COMPUTED_VALUE"""),"guilhermenovak@hotmail.com")</f>
        <v>guilhermenovak@hotmail.com</v>
      </c>
      <c r="S60" s="1">
        <f>IFERROR(__xludf.DUMMYFUNCTION("""COMPUTED_VALUE"""),103)</f>
        <v>103</v>
      </c>
      <c r="T60" s="1" t="str">
        <f>IFERROR(__xludf.DUMMYFUNCTION("""COMPUTED_VALUE"""),"Entre 1,81m e 1,85m")</f>
        <v>Entre 1,81m e 1,85m</v>
      </c>
      <c r="U60" s="1"/>
      <c r="V60" s="1" t="str">
        <f>IFERROR(__xludf.DUMMYFUNCTION("""COMPUTED_VALUE"""),"(51) 99900-6327")</f>
        <v>(51) 99900-6327</v>
      </c>
      <c r="W60" s="1" t="str">
        <f>IFERROR(__xludf.DUMMYFUNCTION("""COMPUTED_VALUE"""),"(51) 99900-6327")</f>
        <v>(51) 99900-6327</v>
      </c>
      <c r="X60" s="1" t="str">
        <f>IFERROR(__xludf.DUMMYFUNCTION("""COMPUTED_VALUE"""),"RS")</f>
        <v>RS</v>
      </c>
      <c r="Y60" s="1" t="str">
        <f>IFERROR(__xludf.DUMMYFUNCTION("""COMPUTED_VALUE"""),"Parobé")</f>
        <v>Parobé</v>
      </c>
      <c r="Z60" s="1" t="str">
        <f>IFERROR(__xludf.DUMMYFUNCTION("""COMPUTED_VALUE"""),"95630-000")</f>
        <v>95630-000</v>
      </c>
      <c r="AA60" s="1" t="str">
        <f>IFERROR(__xludf.DUMMYFUNCTION("""COMPUTED_VALUE"""),"Rua Mario Mosmann, 2525 casa38 ")</f>
        <v>Rua Mario Mosmann, 2525 casa38 </v>
      </c>
      <c r="AB60" s="1" t="str">
        <f>IFERROR(__xludf.DUMMYFUNCTION("""COMPUTED_VALUE"""),"Emancipação ")</f>
        <v>Emancipação </v>
      </c>
      <c r="AC60" s="1" t="str">
        <f>IFERROR(__xludf.DUMMYFUNCTION("""COMPUTED_VALUE"""),"G")</f>
        <v>G</v>
      </c>
      <c r="AD60" s="1" t="str">
        <f>IFERROR(__xludf.DUMMYFUNCTION("""COMPUTED_VALUE"""),"G")</f>
        <v>G</v>
      </c>
      <c r="AE60" s="1" t="str">
        <f>IFERROR(__xludf.DUMMYFUNCTION("""COMPUTED_VALUE"""),"G")</f>
        <v>G</v>
      </c>
      <c r="AF60" s="1" t="str">
        <f>IFERROR(__xludf.DUMMYFUNCTION("""COMPUTED_VALUE"""),"G")</f>
        <v>G</v>
      </c>
      <c r="AG60" s="1" t="str">
        <f>IFERROR(__xludf.DUMMYFUNCTION("""COMPUTED_VALUE"""),"G")</f>
        <v>G</v>
      </c>
      <c r="AH60" s="1">
        <f>IFERROR(__xludf.DUMMYFUNCTION("""COMPUTED_VALUE"""),43)</f>
        <v>43</v>
      </c>
      <c r="AI60" s="1">
        <f>IFERROR(__xludf.DUMMYFUNCTION("""COMPUTED_VALUE"""),43)</f>
        <v>43</v>
      </c>
      <c r="AJ60" s="1">
        <f>IFERROR(__xludf.DUMMYFUNCTION("""COMPUTED_VALUE"""),43)</f>
        <v>43</v>
      </c>
      <c r="AK60" s="1">
        <f>IFERROR(__xludf.DUMMYFUNCTION("""COMPUTED_VALUE"""),43)</f>
        <v>43</v>
      </c>
      <c r="AL60" s="1" t="str">
        <f>IFERROR(__xludf.DUMMYFUNCTION("""COMPUTED_VALUE"""),"G")</f>
        <v>G</v>
      </c>
      <c r="AM60" s="1" t="str">
        <f>IFERROR(__xludf.DUMMYFUNCTION("""COMPUTED_VALUE"""),"G")</f>
        <v>G</v>
      </c>
      <c r="AN60" s="1" t="str">
        <f>IFERROR(__xludf.DUMMYFUNCTION("""COMPUTED_VALUE"""),"G")</f>
        <v>G</v>
      </c>
    </row>
    <row r="61" customHeight="1" spans="1:40">
      <c r="A61" s="1" t="str">
        <f>IFERROR(__xludf.DUMMYFUNCTION("""COMPUTED_VALUE"""),"02° BBM")</f>
        <v>02° BBM</v>
      </c>
      <c r="B61" s="1" t="str">
        <f>IFERROR(__xludf.DUMMYFUNCTION("""COMPUTED_VALUE"""),"Dois Irmãos")</f>
        <v>Dois Irmãos</v>
      </c>
      <c r="C61" s="119" t="str">
        <f>IFERROR(__xludf.DUMMYFUNCTION("""COMPUTED_VALUE"""),"Comunitario")</f>
        <v>Comunitario</v>
      </c>
      <c r="D61" s="119" t="str">
        <f>IFERROR(__xludf.DUMMYFUNCTION("""COMPUTED_VALUE"""),"GUSTAVO PACHECO DA SILVA")</f>
        <v>GUSTAVO PACHECO DA SILVA</v>
      </c>
      <c r="E61" s="119" t="str">
        <f>IFERROR(__xludf.DUMMYFUNCTION("""COMPUTED_VALUE"""),"Curso CAB operador concluído")</f>
        <v>Curso CAB operador concluído</v>
      </c>
      <c r="F61" s="1" t="str">
        <f>IFERROR(__xludf.DUMMYFUNCTION("""COMPUTED_VALUE"""),"012.132.180-04")</f>
        <v>012.132.180-04</v>
      </c>
      <c r="G61" s="1">
        <f>IFERROR(__xludf.DUMMYFUNCTION("""COMPUTED_VALUE"""),6078444194)</f>
        <v>6078444194</v>
      </c>
      <c r="H61" s="1" t="str">
        <f>IFERROR(__xludf.DUMMYFUNCTION("""COMPUTED_VALUE"""),"Combatente e Socorrista")</f>
        <v>Combatente e Socorrista</v>
      </c>
      <c r="I61" s="1" t="str">
        <f>IFERROR(__xludf.DUMMYFUNCTION("""COMPUTED_VALUE"""),"Bombeiro Voluntário")</f>
        <v>Bombeiro Voluntário</v>
      </c>
      <c r="J61" s="1" t="str">
        <f>IFERROR(__xludf.DUMMYFUNCTION("""COMPUTED_VALUE"""),"Sim")</f>
        <v>Sim</v>
      </c>
      <c r="K61" s="1" t="str">
        <f>IFERROR(__xludf.DUMMYFUNCTION("""COMPUTED_VALUE"""),"Sim")</f>
        <v>Sim</v>
      </c>
      <c r="L61" s="1" t="str">
        <f>IFERROR(__xludf.DUMMYFUNCTION("""COMPUTED_VALUE"""),"O+")</f>
        <v>O+</v>
      </c>
      <c r="M61" s="1" t="str">
        <f>IFERROR(__xludf.DUMMYFUNCTION("""COMPUTED_VALUE"""),"PACHECO")</f>
        <v>PACHECO</v>
      </c>
      <c r="N61" s="121">
        <f>IFERROR(__xludf.DUMMYFUNCTION("""COMPUTED_VALUE"""),32459)</f>
        <v>32459</v>
      </c>
      <c r="O61" s="1" t="str">
        <f>IFERROR(__xludf.DUMMYFUNCTION("""COMPUTED_VALUE"""),"Masculino")</f>
        <v>Masculino</v>
      </c>
      <c r="P61" s="1" t="str">
        <f>IFERROR(__xludf.DUMMYFUNCTION("""COMPUTED_VALUE"""),"Branca")</f>
        <v>Branca</v>
      </c>
      <c r="Q61" s="1" t="str">
        <f>IFERROR(__xludf.DUMMYFUNCTION("""COMPUTED_VALUE"""),"Ensino Médio")</f>
        <v>Ensino Médio</v>
      </c>
      <c r="R61" s="1" t="str">
        <f>IFERROR(__xludf.DUMMYFUNCTION("""COMPUTED_VALUE"""),"contato@pefmetalurgica.com.br")</f>
        <v>contato@pefmetalurgica.com.br</v>
      </c>
      <c r="S61" s="1">
        <f>IFERROR(__xludf.DUMMYFUNCTION("""COMPUTED_VALUE"""),92)</f>
        <v>92</v>
      </c>
      <c r="T61" s="1" t="str">
        <f>IFERROR(__xludf.DUMMYFUNCTION("""COMPUTED_VALUE"""),"Entre 1,71m e 1,75m")</f>
        <v>Entre 1,71m e 1,75m</v>
      </c>
      <c r="U61" s="1"/>
      <c r="V61" s="1" t="str">
        <f>IFERROR(__xludf.DUMMYFUNCTION("""COMPUTED_VALUE"""),"(51) 981490387")</f>
        <v>(51) 981490387</v>
      </c>
      <c r="W61" s="1"/>
      <c r="X61" s="1" t="str">
        <f>IFERROR(__xludf.DUMMYFUNCTION("""COMPUTED_VALUE"""),"RS")</f>
        <v>RS</v>
      </c>
      <c r="Y61" s="1" t="str">
        <f>IFERROR(__xludf.DUMMYFUNCTION("""COMPUTED_VALUE"""),"Dois Irmãos")</f>
        <v>Dois Irmãos</v>
      </c>
      <c r="Z61" s="1" t="str">
        <f>IFERROR(__xludf.DUMMYFUNCTION("""COMPUTED_VALUE"""),"93950-000")</f>
        <v>93950-000</v>
      </c>
      <c r="AA61" s="1" t="str">
        <f>IFERROR(__xludf.DUMMYFUNCTION("""COMPUTED_VALUE"""),"Balduíno Konrath, 179")</f>
        <v>Balduíno Konrath, 179</v>
      </c>
      <c r="AB61" s="1" t="str">
        <f>IFERROR(__xludf.DUMMYFUNCTION("""COMPUTED_VALUE"""),"União")</f>
        <v>União</v>
      </c>
      <c r="AC61" s="1" t="str">
        <f>IFERROR(__xludf.DUMMYFUNCTION("""COMPUTED_VALUE"""),"G")</f>
        <v>G</v>
      </c>
      <c r="AD61" s="1" t="str">
        <f>IFERROR(__xludf.DUMMYFUNCTION("""COMPUTED_VALUE"""),"G")</f>
        <v>G</v>
      </c>
      <c r="AE61" s="1" t="str">
        <f>IFERROR(__xludf.DUMMYFUNCTION("""COMPUTED_VALUE"""),"G")</f>
        <v>G</v>
      </c>
      <c r="AF61" s="1" t="str">
        <f>IFERROR(__xludf.DUMMYFUNCTION("""COMPUTED_VALUE"""),"G")</f>
        <v>G</v>
      </c>
      <c r="AG61" s="1" t="str">
        <f>IFERROR(__xludf.DUMMYFUNCTION("""COMPUTED_VALUE"""),"G")</f>
        <v>G</v>
      </c>
      <c r="AH61" s="1">
        <f>IFERROR(__xludf.DUMMYFUNCTION("""COMPUTED_VALUE"""),43)</f>
        <v>43</v>
      </c>
      <c r="AI61" s="1">
        <f>IFERROR(__xludf.DUMMYFUNCTION("""COMPUTED_VALUE"""),43)</f>
        <v>43</v>
      </c>
      <c r="AJ61" s="1">
        <f>IFERROR(__xludf.DUMMYFUNCTION("""COMPUTED_VALUE"""),43)</f>
        <v>43</v>
      </c>
      <c r="AK61" s="1">
        <f>IFERROR(__xludf.DUMMYFUNCTION("""COMPUTED_VALUE"""),43)</f>
        <v>43</v>
      </c>
      <c r="AL61" s="1" t="str">
        <f>IFERROR(__xludf.DUMMYFUNCTION("""COMPUTED_VALUE"""),"G")</f>
        <v>G</v>
      </c>
      <c r="AM61" s="1" t="str">
        <f>IFERROR(__xludf.DUMMYFUNCTION("""COMPUTED_VALUE"""),"G")</f>
        <v>G</v>
      </c>
      <c r="AN61" s="1" t="str">
        <f>IFERROR(__xludf.DUMMYFUNCTION("""COMPUTED_VALUE"""),"G")</f>
        <v>G</v>
      </c>
    </row>
    <row r="62" customHeight="1" spans="1:40">
      <c r="A62" s="1" t="str">
        <f>IFERROR(__xludf.DUMMYFUNCTION("""COMPUTED_VALUE"""),"02° BBM")</f>
        <v>02° BBM</v>
      </c>
      <c r="B62" s="1" t="str">
        <f>IFERROR(__xludf.DUMMYFUNCTION("""COMPUTED_VALUE"""),"Marata")</f>
        <v>Marata</v>
      </c>
      <c r="C62" s="119" t="str">
        <f>IFERROR(__xludf.DUMMYFUNCTION("""COMPUTED_VALUE"""),"CAB")</f>
        <v>CAB</v>
      </c>
      <c r="D62" s="119" t="str">
        <f>IFERROR(__xludf.DUMMYFUNCTION("""COMPUTED_VALUE"""),"GUSTAVO SOARES RODRIGUES")</f>
        <v>GUSTAVO SOARES RODRIGUES</v>
      </c>
      <c r="E62" s="119" t="str">
        <f>IFERROR(__xludf.DUMMYFUNCTION("""COMPUTED_VALUE"""),"")</f>
        <v/>
      </c>
      <c r="F62" s="1" t="str">
        <f>IFERROR(__xludf.DUMMYFUNCTION("""COMPUTED_VALUE"""),"027.149.750-54")</f>
        <v>027.149.750-54</v>
      </c>
      <c r="G62" s="1">
        <f>IFERROR(__xludf.DUMMYFUNCTION("""COMPUTED_VALUE"""),9111659927)</f>
        <v>9111659927</v>
      </c>
      <c r="H62" s="1" t="str">
        <f>IFERROR(__xludf.DUMMYFUNCTION("""COMPUTED_VALUE"""),"Combatente Condutor e Socorrista")</f>
        <v>Combatente Condutor e Socorrista</v>
      </c>
      <c r="I62" s="1" t="str">
        <f>IFERROR(__xludf.DUMMYFUNCTION("""COMPUTED_VALUE"""),"Bombeiro Civil, SBV e Condutor de Veiculo de Emergencia")</f>
        <v>Bombeiro Civil, SBV e Condutor de Veiculo de Emergencia</v>
      </c>
      <c r="J62" s="1" t="str">
        <f>IFERROR(__xludf.DUMMYFUNCTION("""COMPUTED_VALUE"""),"Não")</f>
        <v>Não</v>
      </c>
      <c r="K62" s="1" t="str">
        <f>IFERROR(__xludf.DUMMYFUNCTION("""COMPUTED_VALUE"""),"Não")</f>
        <v>Não</v>
      </c>
      <c r="L62" s="1" t="str">
        <f>IFERROR(__xludf.DUMMYFUNCTION("""COMPUTED_VALUE"""),"O+")</f>
        <v>O+</v>
      </c>
      <c r="M62" s="1" t="str">
        <f>IFERROR(__xludf.DUMMYFUNCTION("""COMPUTED_VALUE"""),"RODRIGUES")</f>
        <v>RODRIGUES</v>
      </c>
      <c r="N62" s="120">
        <f>IFERROR(__xludf.DUMMYFUNCTION("""COMPUTED_VALUE"""),34885)</f>
        <v>34885</v>
      </c>
      <c r="O62" s="1" t="str">
        <f>IFERROR(__xludf.DUMMYFUNCTION("""COMPUTED_VALUE"""),"Masculino")</f>
        <v>Masculino</v>
      </c>
      <c r="P62" s="1" t="str">
        <f>IFERROR(__xludf.DUMMYFUNCTION("""COMPUTED_VALUE"""),"Parda")</f>
        <v>Parda</v>
      </c>
      <c r="Q62" s="1" t="str">
        <f>IFERROR(__xludf.DUMMYFUNCTION("""COMPUTED_VALUE"""),"Ensino Médio")</f>
        <v>Ensino Médio</v>
      </c>
      <c r="R62" s="123" t="str">
        <f>IFERROR(__xludf.DUMMYFUNCTION("""COMPUTED_VALUE"""),"gr057083@gmail.com")</f>
        <v>gr057083@gmail.com</v>
      </c>
      <c r="S62" s="1">
        <f>IFERROR(__xludf.DUMMYFUNCTION("""COMPUTED_VALUE"""),70)</f>
        <v>70</v>
      </c>
      <c r="T62" s="1" t="str">
        <f>IFERROR(__xludf.DUMMYFUNCTION("""COMPUTED_VALUE"""),"Entre 1,71m e 1,75m")</f>
        <v>Entre 1,71m e 1,75m</v>
      </c>
      <c r="U62" s="1"/>
      <c r="V62" s="1" t="str">
        <f>IFERROR(__xludf.DUMMYFUNCTION("""COMPUTED_VALUE"""),"51 - 999856240")</f>
        <v>51 - 999856240</v>
      </c>
      <c r="W62" s="1" t="str">
        <f>IFERROR(__xludf.DUMMYFUNCTION("""COMPUTED_VALUE"""),"51 - 999254061")</f>
        <v>51 - 999254061</v>
      </c>
      <c r="X62" s="1" t="str">
        <f>IFERROR(__xludf.DUMMYFUNCTION("""COMPUTED_VALUE"""),"RS")</f>
        <v>RS</v>
      </c>
      <c r="Y62" s="1" t="str">
        <f>IFERROR(__xludf.DUMMYFUNCTION("""COMPUTED_VALUE"""),"IVOTI")</f>
        <v>IVOTI</v>
      </c>
      <c r="Z62" s="1">
        <f>IFERROR(__xludf.DUMMYFUNCTION("""COMPUTED_VALUE"""),93900000)</f>
        <v>93900000</v>
      </c>
      <c r="AA62" s="1" t="str">
        <f>IFERROR(__xludf.DUMMYFUNCTION("""COMPUTED_VALUE"""),"RUA PARANÁ 112")</f>
        <v>RUA PARANÁ 112</v>
      </c>
      <c r="AB62" s="1" t="str">
        <f>IFERROR(__xludf.DUMMYFUNCTION("""COMPUTED_VALUE"""),"CIDADE NOVA")</f>
        <v>CIDADE NOVA</v>
      </c>
      <c r="AC62" s="1" t="str">
        <f>IFERROR(__xludf.DUMMYFUNCTION("""COMPUTED_VALUE"""),"P")</f>
        <v>P</v>
      </c>
      <c r="AD62" s="1" t="str">
        <f>IFERROR(__xludf.DUMMYFUNCTION("""COMPUTED_VALUE"""),"M")</f>
        <v>M</v>
      </c>
      <c r="AE62" s="1" t="str">
        <f>IFERROR(__xludf.DUMMYFUNCTION("""COMPUTED_VALUE"""),"P")</f>
        <v>P</v>
      </c>
      <c r="AF62" s="1" t="str">
        <f>IFERROR(__xludf.DUMMYFUNCTION("""COMPUTED_VALUE"""),"P")</f>
        <v>P</v>
      </c>
      <c r="AG62" s="1" t="str">
        <f>IFERROR(__xludf.DUMMYFUNCTION("""COMPUTED_VALUE"""),"P")</f>
        <v>P</v>
      </c>
      <c r="AH62" s="1">
        <f>IFERROR(__xludf.DUMMYFUNCTION("""COMPUTED_VALUE"""),39)</f>
        <v>39</v>
      </c>
      <c r="AI62" s="1">
        <f>IFERROR(__xludf.DUMMYFUNCTION("""COMPUTED_VALUE"""),39)</f>
        <v>39</v>
      </c>
      <c r="AJ62" s="1">
        <f>IFERROR(__xludf.DUMMYFUNCTION("""COMPUTED_VALUE"""),39)</f>
        <v>39</v>
      </c>
      <c r="AK62" s="1">
        <f>IFERROR(__xludf.DUMMYFUNCTION("""COMPUTED_VALUE"""),39)</f>
        <v>39</v>
      </c>
      <c r="AL62" s="1" t="str">
        <f>IFERROR(__xludf.DUMMYFUNCTION("""COMPUTED_VALUE"""),"M")</f>
        <v>M</v>
      </c>
      <c r="AM62" s="1" t="str">
        <f>IFERROR(__xludf.DUMMYFUNCTION("""COMPUTED_VALUE"""),"M")</f>
        <v>M</v>
      </c>
      <c r="AN62" s="1" t="str">
        <f>IFERROR(__xludf.DUMMYFUNCTION("""COMPUTED_VALUE"""),"UNIVERSAL")</f>
        <v>UNIVERSAL</v>
      </c>
    </row>
    <row r="63" customHeight="1" spans="1:40">
      <c r="A63" s="1" t="str">
        <f>IFERROR(__xludf.DUMMYFUNCTION("""COMPUTED_VALUE"""),"02° BBM")</f>
        <v>02° BBM</v>
      </c>
      <c r="B63" s="1" t="str">
        <f>IFERROR(__xludf.DUMMYFUNCTION("""COMPUTED_VALUE"""),"Dois Irmãos")</f>
        <v>Dois Irmãos</v>
      </c>
      <c r="C63" s="119" t="str">
        <f>IFERROR(__xludf.DUMMYFUNCTION("""COMPUTED_VALUE"""),"Comunitario")</f>
        <v>Comunitario</v>
      </c>
      <c r="D63" s="119" t="str">
        <f>IFERROR(__xludf.DUMMYFUNCTION("""COMPUTED_VALUE"""),"HARRY JOSE KUNRATH")</f>
        <v>HARRY JOSE KUNRATH</v>
      </c>
      <c r="E63" s="119" t="str">
        <f>IFERROR(__xludf.DUMMYFUNCTION("""COMPUTED_VALUE"""),"")</f>
        <v/>
      </c>
      <c r="F63" s="1" t="str">
        <f>IFERROR(__xludf.DUMMYFUNCTION("""COMPUTED_VALUE"""),"039.969.370-08")</f>
        <v>039.969.370-08</v>
      </c>
      <c r="G63" s="1">
        <f>IFERROR(__xludf.DUMMYFUNCTION("""COMPUTED_VALUE"""),4114878277)</f>
        <v>4114878277</v>
      </c>
      <c r="H63" s="1" t="str">
        <f>IFERROR(__xludf.DUMMYFUNCTION("""COMPUTED_VALUE"""),"Combatente e Socorrista")</f>
        <v>Combatente e Socorrista</v>
      </c>
      <c r="I63" s="1" t="str">
        <f>IFERROR(__xludf.DUMMYFUNCTION("""COMPUTED_VALUE"""),"Bombeiro Voluntario")</f>
        <v>Bombeiro Voluntario</v>
      </c>
      <c r="J63" s="1" t="str">
        <f>IFERROR(__xludf.DUMMYFUNCTION("""COMPUTED_VALUE"""),"Sim")</f>
        <v>Sim</v>
      </c>
      <c r="K63" s="1" t="str">
        <f>IFERROR(__xludf.DUMMYFUNCTION("""COMPUTED_VALUE"""),"Sim")</f>
        <v>Sim</v>
      </c>
      <c r="L63" s="1" t="str">
        <f>IFERROR(__xludf.DUMMYFUNCTION("""COMPUTED_VALUE"""),"AB+")</f>
        <v>AB+</v>
      </c>
      <c r="M63" s="1" t="str">
        <f>IFERROR(__xludf.DUMMYFUNCTION("""COMPUTED_VALUE"""),"HARRY")</f>
        <v>HARRY</v>
      </c>
      <c r="N63" s="120">
        <f>IFERROR(__xludf.DUMMYFUNCTION("""COMPUTED_VALUE"""),35134)</f>
        <v>35134</v>
      </c>
      <c r="O63" s="1" t="str">
        <f>IFERROR(__xludf.DUMMYFUNCTION("""COMPUTED_VALUE"""),"Masculino")</f>
        <v>Masculino</v>
      </c>
      <c r="P63" s="1" t="str">
        <f>IFERROR(__xludf.DUMMYFUNCTION("""COMPUTED_VALUE"""),"Branca")</f>
        <v>Branca</v>
      </c>
      <c r="Q63" s="1" t="str">
        <f>IFERROR(__xludf.DUMMYFUNCTION("""COMPUTED_VALUE"""),"Ensino Médio")</f>
        <v>Ensino Médio</v>
      </c>
      <c r="R63" s="1" t="str">
        <f>IFERROR(__xludf.DUMMYFUNCTION("""COMPUTED_VALUE"""),"harryberlitz@icloud.com")</f>
        <v>harryberlitz@icloud.com</v>
      </c>
      <c r="S63" s="1">
        <f>IFERROR(__xludf.DUMMYFUNCTION("""COMPUTED_VALUE"""),120)</f>
        <v>120</v>
      </c>
      <c r="T63" s="1" t="str">
        <f>IFERROR(__xludf.DUMMYFUNCTION("""COMPUTED_VALUE"""),"Entre 1,81m e 1,85m")</f>
        <v>Entre 1,81m e 1,85m</v>
      </c>
      <c r="U63" s="1"/>
      <c r="V63" s="1" t="str">
        <f>IFERROR(__xludf.DUMMYFUNCTION("""COMPUTED_VALUE"""),"(51) 998486428")</f>
        <v>(51) 998486428</v>
      </c>
      <c r="W63" s="1"/>
      <c r="X63" s="1" t="str">
        <f>IFERROR(__xludf.DUMMYFUNCTION("""COMPUTED_VALUE"""),"RS")</f>
        <v>RS</v>
      </c>
      <c r="Y63" s="1" t="str">
        <f>IFERROR(__xludf.DUMMYFUNCTION("""COMPUTED_VALUE"""),"Dois Irmãos")</f>
        <v>Dois Irmãos</v>
      </c>
      <c r="Z63" s="1" t="str">
        <f>IFERROR(__xludf.DUMMYFUNCTION("""COMPUTED_VALUE"""),"93950-000")</f>
        <v>93950-000</v>
      </c>
      <c r="AA63" s="1" t="str">
        <f>IFERROR(__xludf.DUMMYFUNCTION("""COMPUTED_VALUE"""),"Av vinte e cinco de julho, 831 ap 31")</f>
        <v>Av vinte e cinco de julho, 831 ap 31</v>
      </c>
      <c r="AB63" s="1" t="str">
        <f>IFERROR(__xludf.DUMMYFUNCTION("""COMPUTED_VALUE"""),"Centro")</f>
        <v>Centro</v>
      </c>
      <c r="AC63" s="1" t="str">
        <f>IFERROR(__xludf.DUMMYFUNCTION("""COMPUTED_VALUE"""),"GG")</f>
        <v>GG</v>
      </c>
      <c r="AD63" s="1" t="str">
        <f>IFERROR(__xludf.DUMMYFUNCTION("""COMPUTED_VALUE"""),"GG")</f>
        <v>GG</v>
      </c>
      <c r="AE63" s="1" t="str">
        <f>IFERROR(__xludf.DUMMYFUNCTION("""COMPUTED_VALUE"""),"GG")</f>
        <v>GG</v>
      </c>
      <c r="AF63" s="1" t="str">
        <f>IFERROR(__xludf.DUMMYFUNCTION("""COMPUTED_VALUE"""),"EXG")</f>
        <v>EXG</v>
      </c>
      <c r="AG63" s="1" t="str">
        <f>IFERROR(__xludf.DUMMYFUNCTION("""COMPUTED_VALUE"""),"GG")</f>
        <v>GG</v>
      </c>
      <c r="AH63" s="1">
        <f>IFERROR(__xludf.DUMMYFUNCTION("""COMPUTED_VALUE"""),42)</f>
        <v>42</v>
      </c>
      <c r="AI63" s="1">
        <f>IFERROR(__xludf.DUMMYFUNCTION("""COMPUTED_VALUE"""),42)</f>
        <v>42</v>
      </c>
      <c r="AJ63" s="1">
        <f>IFERROR(__xludf.DUMMYFUNCTION("""COMPUTED_VALUE"""),42)</f>
        <v>42</v>
      </c>
      <c r="AK63" s="1">
        <f>IFERROR(__xludf.DUMMYFUNCTION("""COMPUTED_VALUE"""),42)</f>
        <v>42</v>
      </c>
      <c r="AL63" s="1" t="str">
        <f>IFERROR(__xludf.DUMMYFUNCTION("""COMPUTED_VALUE"""),"GG")</f>
        <v>GG</v>
      </c>
      <c r="AM63" s="1" t="str">
        <f>IFERROR(__xludf.DUMMYFUNCTION("""COMPUTED_VALUE"""),"GG")</f>
        <v>GG</v>
      </c>
      <c r="AN63" s="1" t="str">
        <f>IFERROR(__xludf.DUMMYFUNCTION("""COMPUTED_VALUE"""),"GG")</f>
        <v>GG</v>
      </c>
    </row>
    <row r="64" customHeight="1" spans="1:40">
      <c r="A64" s="1" t="str">
        <f>IFERROR(__xludf.DUMMYFUNCTION("""COMPUTED_VALUE"""),"02° BBM")</f>
        <v>02° BBM</v>
      </c>
      <c r="B64" s="1" t="str">
        <f>IFERROR(__xludf.DUMMYFUNCTION("""COMPUTED_VALUE"""),"Araricá")</f>
        <v>Araricá</v>
      </c>
      <c r="C64" s="119" t="str">
        <f>IFERROR(__xludf.DUMMYFUNCTION("""COMPUTED_VALUE"""),"CAB")</f>
        <v>CAB</v>
      </c>
      <c r="D64" s="119" t="str">
        <f>IFERROR(__xludf.DUMMYFUNCTION("""COMPUTED_VALUE"""),"IAGO COSTA DUARTE")</f>
        <v>IAGO COSTA DUARTE</v>
      </c>
      <c r="E64" s="119" t="str">
        <f>IFERROR(__xludf.DUMMYFUNCTION("""COMPUTED_VALUE"""),"Curso CAB operador concluído")</f>
        <v>Curso CAB operador concluído</v>
      </c>
      <c r="F64" s="1" t="str">
        <f>IFERROR(__xludf.DUMMYFUNCTION("""COMPUTED_VALUE"""),"033.502.790-31")</f>
        <v>033.502.790-31</v>
      </c>
      <c r="G64" s="1">
        <f>IFERROR(__xludf.DUMMYFUNCTION("""COMPUTED_VALUE"""),5087870746)</f>
        <v>5087870746</v>
      </c>
      <c r="H64" s="1" t="str">
        <f>IFERROR(__xludf.DUMMYFUNCTION("""COMPUTED_VALUE"""),"Combatente/Socorrista/ Condutor")</f>
        <v>Combatente/Socorrista/ Condutor</v>
      </c>
      <c r="I64" s="1" t="str">
        <f>IFERROR(__xludf.DUMMYFUNCTION("""COMPUTED_VALUE"""),"Bombeiro Voluntario/Bombeiro Civil, APH E BLS, Curso de resgate veicular, Combate à incêndio, produtos perigosos")</f>
        <v>Bombeiro Voluntario/Bombeiro Civil, APH E BLS, Curso de resgate veicular, Combate à incêndio, produtos perigosos</v>
      </c>
      <c r="J64" s="1" t="str">
        <f>IFERROR(__xludf.DUMMYFUNCTION("""COMPUTED_VALUE"""),"Sim")</f>
        <v>Sim</v>
      </c>
      <c r="K64" s="1" t="str">
        <f>IFERROR(__xludf.DUMMYFUNCTION("""COMPUTED_VALUE"""),"Não")</f>
        <v>Não</v>
      </c>
      <c r="L64" s="1" t="str">
        <f>IFERROR(__xludf.DUMMYFUNCTION("""COMPUTED_VALUE"""),"O+")</f>
        <v>O+</v>
      </c>
      <c r="M64" s="1" t="str">
        <f>IFERROR(__xludf.DUMMYFUNCTION("""COMPUTED_VALUE"""),"COSTA")</f>
        <v>COSTA</v>
      </c>
      <c r="N64" s="120">
        <f>IFERROR(__xludf.DUMMYFUNCTION("""COMPUTED_VALUE"""),34821)</f>
        <v>34821</v>
      </c>
      <c r="O64" s="1" t="str">
        <f>IFERROR(__xludf.DUMMYFUNCTION("""COMPUTED_VALUE"""),"Masculino")</f>
        <v>Masculino</v>
      </c>
      <c r="P64" s="1" t="str">
        <f>IFERROR(__xludf.DUMMYFUNCTION("""COMPUTED_VALUE"""),"Morena")</f>
        <v>Morena</v>
      </c>
      <c r="Q64" s="1" t="str">
        <f>IFERROR(__xludf.DUMMYFUNCTION("""COMPUTED_VALUE"""),"Ensino Médio")</f>
        <v>Ensino Médio</v>
      </c>
      <c r="R64" s="1" t="str">
        <f>IFERROR(__xludf.DUMMYFUNCTION("""COMPUTED_VALUE"""),"costaiago154@gmail.com")</f>
        <v>costaiago154@gmail.com</v>
      </c>
      <c r="S64" s="1">
        <f>IFERROR(__xludf.DUMMYFUNCTION("""COMPUTED_VALUE"""),76)</f>
        <v>76</v>
      </c>
      <c r="T64" s="1" t="str">
        <f>IFERROR(__xludf.DUMMYFUNCTION("""COMPUTED_VALUE"""),"Entre 1,66m e 1,70m")</f>
        <v>Entre 1,66m e 1,70m</v>
      </c>
      <c r="U64" s="1"/>
      <c r="V64" s="1">
        <f>IFERROR(__xludf.DUMMYFUNCTION("""COMPUTED_VALUE"""),51993301582)</f>
        <v>51993301582</v>
      </c>
      <c r="W64" s="1">
        <f>IFERROR(__xludf.DUMMYFUNCTION("""COMPUTED_VALUE"""),519932301582)</f>
        <v>519932301582</v>
      </c>
      <c r="X64" s="1" t="str">
        <f>IFERROR(__xludf.DUMMYFUNCTION("""COMPUTED_VALUE"""),"RS")</f>
        <v>RS</v>
      </c>
      <c r="Y64" s="1" t="str">
        <f>IFERROR(__xludf.DUMMYFUNCTION("""COMPUTED_VALUE"""),"Nova Hartz")</f>
        <v>Nova Hartz</v>
      </c>
      <c r="Z64" s="1" t="str">
        <f>IFERROR(__xludf.DUMMYFUNCTION("""COMPUTED_VALUE"""),"93890-000")</f>
        <v>93890-000</v>
      </c>
      <c r="AA64" s="1" t="str">
        <f>IFERROR(__xludf.DUMMYFUNCTION("""COMPUTED_VALUE"""),"rua amazonas, 1501")</f>
        <v>rua amazonas, 1501</v>
      </c>
      <c r="AB64" s="1" t="str">
        <f>IFERROR(__xludf.DUMMYFUNCTION("""COMPUTED_VALUE"""),"arroio da bica")</f>
        <v>arroio da bica</v>
      </c>
      <c r="AC64" s="1" t="str">
        <f>IFERROR(__xludf.DUMMYFUNCTION("""COMPUTED_VALUE"""),"G")</f>
        <v>G</v>
      </c>
      <c r="AD64" s="1" t="str">
        <f>IFERROR(__xludf.DUMMYFUNCTION("""COMPUTED_VALUE"""),"M")</f>
        <v>M</v>
      </c>
      <c r="AE64" s="1" t="str">
        <f>IFERROR(__xludf.DUMMYFUNCTION("""COMPUTED_VALUE"""),"G")</f>
        <v>G</v>
      </c>
      <c r="AF64" s="1" t="str">
        <f>IFERROR(__xludf.DUMMYFUNCTION("""COMPUTED_VALUE"""),"G")</f>
        <v>G</v>
      </c>
      <c r="AG64" s="1" t="str">
        <f>IFERROR(__xludf.DUMMYFUNCTION("""COMPUTED_VALUE"""),"M")</f>
        <v>M</v>
      </c>
      <c r="AH64" s="1">
        <f>IFERROR(__xludf.DUMMYFUNCTION("""COMPUTED_VALUE"""),40)</f>
        <v>40</v>
      </c>
      <c r="AI64" s="1">
        <f>IFERROR(__xludf.DUMMYFUNCTION("""COMPUTED_VALUE"""),40)</f>
        <v>40</v>
      </c>
      <c r="AJ64" s="1">
        <f>IFERROR(__xludf.DUMMYFUNCTION("""COMPUTED_VALUE"""),40)</f>
        <v>40</v>
      </c>
      <c r="AK64" s="1">
        <f>IFERROR(__xludf.DUMMYFUNCTION("""COMPUTED_VALUE"""),40)</f>
        <v>40</v>
      </c>
      <c r="AL64" s="1" t="str">
        <f>IFERROR(__xludf.DUMMYFUNCTION("""COMPUTED_VALUE"""),"G")</f>
        <v>G</v>
      </c>
      <c r="AM64" s="1" t="str">
        <f>IFERROR(__xludf.DUMMYFUNCTION("""COMPUTED_VALUE"""),"G")</f>
        <v>G</v>
      </c>
      <c r="AN64" s="1" t="str">
        <f>IFERROR(__xludf.DUMMYFUNCTION("""COMPUTED_VALUE"""),"M")</f>
        <v>M</v>
      </c>
    </row>
    <row r="65" customHeight="1" spans="1:40">
      <c r="A65" s="1" t="str">
        <f>IFERROR(__xludf.DUMMYFUNCTION("""COMPUTED_VALUE"""),"02° BBM")</f>
        <v>02° BBM</v>
      </c>
      <c r="B65" s="1" t="str">
        <f>IFERROR(__xludf.DUMMYFUNCTION("""COMPUTED_VALUE"""),"Estância Velha")</f>
        <v>Estância Velha</v>
      </c>
      <c r="C65" s="119" t="str">
        <f>IFERROR(__xludf.DUMMYFUNCTION("""COMPUTED_VALUE"""),"Comunitario")</f>
        <v>Comunitario</v>
      </c>
      <c r="D65" s="119" t="str">
        <f>IFERROR(__xludf.DUMMYFUNCTION("""COMPUTED_VALUE"""),"ILTON DIEGO DA SILVEIRA")</f>
        <v>ILTON DIEGO DA SILVEIRA</v>
      </c>
      <c r="E65" s="119" t="str">
        <f>IFERROR(__xludf.DUMMYFUNCTION("""COMPUTED_VALUE"""),"Curso CAB operador concluído")</f>
        <v>Curso CAB operador concluído</v>
      </c>
      <c r="F65" s="1" t="str">
        <f>IFERROR(__xludf.DUMMYFUNCTION("""COMPUTED_VALUE"""),"027.397.960-48")</f>
        <v>027.397.960-48</v>
      </c>
      <c r="G65" s="1">
        <f>IFERROR(__xludf.DUMMYFUNCTION("""COMPUTED_VALUE"""),3102922436)</f>
        <v>3102922436</v>
      </c>
      <c r="H65" s="1" t="str">
        <f>IFERROR(__xludf.DUMMYFUNCTION("""COMPUTED_VALUE"""),"Combatente e Socorrista")</f>
        <v>Combatente e Socorrista</v>
      </c>
      <c r="I65" s="1" t="str">
        <f>IFERROR(__xludf.DUMMYFUNCTION("""COMPUTED_VALUE"""),"Bombeiro Voluntario")</f>
        <v>Bombeiro Voluntario</v>
      </c>
      <c r="J65" s="1" t="str">
        <f>IFERROR(__xludf.DUMMYFUNCTION("""COMPUTED_VALUE"""),"Sim")</f>
        <v>Sim</v>
      </c>
      <c r="K65" s="1" t="str">
        <f>IFERROR(__xludf.DUMMYFUNCTION("""COMPUTED_VALUE"""),"Sim")</f>
        <v>Sim</v>
      </c>
      <c r="L65" s="1" t="str">
        <f>IFERROR(__xludf.DUMMYFUNCTION("""COMPUTED_VALUE"""),"A+")</f>
        <v>A+</v>
      </c>
      <c r="M65" s="1" t="str">
        <f>IFERROR(__xludf.DUMMYFUNCTION("""COMPUTED_VALUE"""),"SANTOS")</f>
        <v>SANTOS</v>
      </c>
      <c r="N65" s="120">
        <f>IFERROR(__xludf.DUMMYFUNCTION("""COMPUTED_VALUE"""),33813)</f>
        <v>33813</v>
      </c>
      <c r="O65" s="1" t="str">
        <f>IFERROR(__xludf.DUMMYFUNCTION("""COMPUTED_VALUE"""),"Masculino")</f>
        <v>Masculino</v>
      </c>
      <c r="P65" s="1" t="str">
        <f>IFERROR(__xludf.DUMMYFUNCTION("""COMPUTED_VALUE"""),"Branca")</f>
        <v>Branca</v>
      </c>
      <c r="Q65" s="1" t="str">
        <f>IFERROR(__xludf.DUMMYFUNCTION("""COMPUTED_VALUE"""),"Ensino Médio")</f>
        <v>Ensino Médio</v>
      </c>
      <c r="R65" s="1" t="str">
        <f>IFERROR(__xludf.DUMMYFUNCTION("""COMPUTED_VALUE"""),"jef.dossantos193@gmail.com")</f>
        <v>jef.dossantos193@gmail.com</v>
      </c>
      <c r="S65" s="1" t="str">
        <f>IFERROR(__xludf.DUMMYFUNCTION("""COMPUTED_VALUE"""),"89 kg")</f>
        <v>89 kg</v>
      </c>
      <c r="T65" s="1" t="str">
        <f>IFERROR(__xludf.DUMMYFUNCTION("""COMPUTED_VALUE"""),"Entre 1,76m e 1,80m")</f>
        <v>Entre 1,76m e 1,80m</v>
      </c>
      <c r="U65" s="1"/>
      <c r="V65" s="1" t="str">
        <f>IFERROR(__xludf.DUMMYFUNCTION("""COMPUTED_VALUE"""),"51 997586742")</f>
        <v>51 997586742</v>
      </c>
      <c r="W65" s="1" t="str">
        <f>IFERROR(__xludf.DUMMYFUNCTION("""COMPUTED_VALUE"""),"51 998530285")</f>
        <v>51 998530285</v>
      </c>
      <c r="X65" s="1" t="str">
        <f>IFERROR(__xludf.DUMMYFUNCTION("""COMPUTED_VALUE"""),"RS")</f>
        <v>RS</v>
      </c>
      <c r="Y65" s="1" t="str">
        <f>IFERROR(__xludf.DUMMYFUNCTION("""COMPUTED_VALUE"""),"Estância Velha")</f>
        <v>Estância Velha</v>
      </c>
      <c r="Z65" s="1">
        <f>IFERROR(__xludf.DUMMYFUNCTION("""COMPUTED_VALUE"""),93608860)</f>
        <v>93608860</v>
      </c>
      <c r="AA65" s="1" t="str">
        <f>IFERROR(__xludf.DUMMYFUNCTION("""COMPUTED_VALUE"""),"Rua lorena bittencurt da silva n:82")</f>
        <v>Rua lorena bittencurt da silva n:82</v>
      </c>
      <c r="AB65" s="1" t="str">
        <f>IFERROR(__xludf.DUMMYFUNCTION("""COMPUTED_VALUE"""),"Rincao dos ilheus")</f>
        <v>Rincao dos ilheus</v>
      </c>
      <c r="AC65" s="1" t="str">
        <f>IFERROR(__xludf.DUMMYFUNCTION("""COMPUTED_VALUE"""),"GG")</f>
        <v>GG</v>
      </c>
      <c r="AD65" s="1" t="str">
        <f>IFERROR(__xludf.DUMMYFUNCTION("""COMPUTED_VALUE"""),"GG")</f>
        <v>GG</v>
      </c>
      <c r="AE65" s="1" t="str">
        <f>IFERROR(__xludf.DUMMYFUNCTION("""COMPUTED_VALUE"""),"GG")</f>
        <v>GG</v>
      </c>
      <c r="AF65" s="1" t="str">
        <f>IFERROR(__xludf.DUMMYFUNCTION("""COMPUTED_VALUE"""),"GG")</f>
        <v>GG</v>
      </c>
      <c r="AG65" s="1" t="str">
        <f>IFERROR(__xludf.DUMMYFUNCTION("""COMPUTED_VALUE"""),"GG")</f>
        <v>GG</v>
      </c>
      <c r="AH65" s="1">
        <f>IFERROR(__xludf.DUMMYFUNCTION("""COMPUTED_VALUE"""),42)</f>
        <v>42</v>
      </c>
      <c r="AI65" s="1">
        <f>IFERROR(__xludf.DUMMYFUNCTION("""COMPUTED_VALUE"""),42)</f>
        <v>42</v>
      </c>
      <c r="AJ65" s="1">
        <f>IFERROR(__xludf.DUMMYFUNCTION("""COMPUTED_VALUE"""),42)</f>
        <v>42</v>
      </c>
      <c r="AK65" s="1">
        <f>IFERROR(__xludf.DUMMYFUNCTION("""COMPUTED_VALUE"""),42)</f>
        <v>42</v>
      </c>
      <c r="AL65" s="1" t="str">
        <f>IFERROR(__xludf.DUMMYFUNCTION("""COMPUTED_VALUE"""),"GG")</f>
        <v>GG</v>
      </c>
      <c r="AM65" s="1" t="str">
        <f>IFERROR(__xludf.DUMMYFUNCTION("""COMPUTED_VALUE"""),"GG")</f>
        <v>GG</v>
      </c>
      <c r="AN65" s="1" t="str">
        <f>IFERROR(__xludf.DUMMYFUNCTION("""COMPUTED_VALUE"""),"G")</f>
        <v>G</v>
      </c>
    </row>
    <row r="66" customHeight="1" spans="1:40">
      <c r="A66" s="1" t="str">
        <f>IFERROR(__xludf.DUMMYFUNCTION("""COMPUTED_VALUE"""),"02° BBM")</f>
        <v>02° BBM</v>
      </c>
      <c r="B66" s="1" t="str">
        <f>IFERROR(__xludf.DUMMYFUNCTION("""COMPUTED_VALUE"""),"Sapiranga")</f>
        <v>Sapiranga</v>
      </c>
      <c r="C66" s="119" t="str">
        <f>IFERROR(__xludf.DUMMYFUNCTION("""COMPUTED_VALUE"""),"Comunitario")</f>
        <v>Comunitario</v>
      </c>
      <c r="D66" s="119" t="str">
        <f>IFERROR(__xludf.DUMMYFUNCTION("""COMPUTED_VALUE"""),"ILTON DIEGO DA SILVEIRA")</f>
        <v>ILTON DIEGO DA SILVEIRA</v>
      </c>
      <c r="E66" s="119" t="str">
        <f>IFERROR(__xludf.DUMMYFUNCTION("""COMPUTED_VALUE"""),"")</f>
        <v/>
      </c>
      <c r="F66" s="1" t="str">
        <f>IFERROR(__xludf.DUMMYFUNCTION("""COMPUTED_VALUE"""),"003.158.830-14")</f>
        <v>003.158.830-14</v>
      </c>
      <c r="G66" s="1">
        <f>IFERROR(__xludf.DUMMYFUNCTION("""COMPUTED_VALUE"""),8084871394)</f>
        <v>8084871394</v>
      </c>
      <c r="H66" s="1" t="str">
        <f>IFERROR(__xludf.DUMMYFUNCTION("""COMPUTED_VALUE"""),"Combatente e Socorrista")</f>
        <v>Combatente e Socorrista</v>
      </c>
      <c r="I66" s="1" t="str">
        <f>IFERROR(__xludf.DUMMYFUNCTION("""COMPUTED_VALUE"""),"Bombeiro Voluntário/Técnico em enfermagem")</f>
        <v>Bombeiro Voluntário/Técnico em enfermagem</v>
      </c>
      <c r="J66" s="1" t="str">
        <f>IFERROR(__xludf.DUMMYFUNCTION("""COMPUTED_VALUE"""),"Sim")</f>
        <v>Sim</v>
      </c>
      <c r="K66" s="1" t="str">
        <f>IFERROR(__xludf.DUMMYFUNCTION("""COMPUTED_VALUE"""),"Sim")</f>
        <v>Sim</v>
      </c>
      <c r="L66" s="1" t="str">
        <f>IFERROR(__xludf.DUMMYFUNCTION("""COMPUTED_VALUE"""),"A+")</f>
        <v>A+</v>
      </c>
      <c r="M66" s="1" t="str">
        <f>IFERROR(__xludf.DUMMYFUNCTION("""COMPUTED_VALUE"""),"Diego")</f>
        <v>Diego</v>
      </c>
      <c r="N66" s="120">
        <f>IFERROR(__xludf.DUMMYFUNCTION("""COMPUTED_VALUE"""),30757)</f>
        <v>30757</v>
      </c>
      <c r="O66" s="1" t="str">
        <f>IFERROR(__xludf.DUMMYFUNCTION("""COMPUTED_VALUE"""),"Masculino")</f>
        <v>Masculino</v>
      </c>
      <c r="P66" s="1" t="str">
        <f>IFERROR(__xludf.DUMMYFUNCTION("""COMPUTED_VALUE"""),"Branca")</f>
        <v>Branca</v>
      </c>
      <c r="Q66" s="1" t="str">
        <f>IFERROR(__xludf.DUMMYFUNCTION("""COMPUTED_VALUE"""),"Ensino Médio")</f>
        <v>Ensino Médio</v>
      </c>
      <c r="R66" s="1" t="str">
        <f>IFERROR(__xludf.DUMMYFUNCTION("""COMPUTED_VALUE"""),"iltondiegodasilveirasilveira@gmail.com")</f>
        <v>iltondiegodasilveirasilveira@gmail.com</v>
      </c>
      <c r="S66" s="1">
        <f>IFERROR(__xludf.DUMMYFUNCTION("""COMPUTED_VALUE"""),88)</f>
        <v>88</v>
      </c>
      <c r="T66" s="1" t="str">
        <f>IFERROR(__xludf.DUMMYFUNCTION("""COMPUTED_VALUE"""),"Entre 1,76m e 1,80m")</f>
        <v>Entre 1,76m e 1,80m</v>
      </c>
      <c r="U66" s="1"/>
      <c r="V66" s="1">
        <f>IFERROR(__xludf.DUMMYFUNCTION("""COMPUTED_VALUE"""),51996112703)</f>
        <v>51996112703</v>
      </c>
      <c r="W66" s="1" t="str">
        <f>IFERROR(__xludf.DUMMYFUNCTION("""COMPUTED_VALUE"""),"51 984145118")</f>
        <v>51 984145118</v>
      </c>
      <c r="X66" s="1" t="str">
        <f>IFERROR(__xludf.DUMMYFUNCTION("""COMPUTED_VALUE"""),"RS")</f>
        <v>RS</v>
      </c>
      <c r="Y66" s="1" t="str">
        <f>IFERROR(__xludf.DUMMYFUNCTION("""COMPUTED_VALUE"""),"Sapiranga")</f>
        <v>Sapiranga</v>
      </c>
      <c r="Z66" s="1">
        <f>IFERROR(__xludf.DUMMYFUNCTION("""COMPUTED_VALUE"""),93819248)</f>
        <v>93819248</v>
      </c>
      <c r="AA66" s="1" t="str">
        <f>IFERROR(__xludf.DUMMYFUNCTION("""COMPUTED_VALUE"""),"Rua Tupi 115 apto 23")</f>
        <v>Rua Tupi 115 apto 23</v>
      </c>
      <c r="AB66" s="1" t="str">
        <f>IFERROR(__xludf.DUMMYFUNCTION("""COMPUTED_VALUE"""),"Sete de Setembro ")</f>
        <v>Sete de Setembro </v>
      </c>
      <c r="AC66" s="1" t="str">
        <f>IFERROR(__xludf.DUMMYFUNCTION("""COMPUTED_VALUE"""),"G")</f>
        <v>G</v>
      </c>
      <c r="AD66" s="1" t="str">
        <f>IFERROR(__xludf.DUMMYFUNCTION("""COMPUTED_VALUE"""),"G")</f>
        <v>G</v>
      </c>
      <c r="AE66" s="1" t="str">
        <f>IFERROR(__xludf.DUMMYFUNCTION("""COMPUTED_VALUE"""),"G")</f>
        <v>G</v>
      </c>
      <c r="AF66" s="1" t="str">
        <f>IFERROR(__xludf.DUMMYFUNCTION("""COMPUTED_VALUE"""),"G")</f>
        <v>G</v>
      </c>
      <c r="AG66" s="1" t="str">
        <f>IFERROR(__xludf.DUMMYFUNCTION("""COMPUTED_VALUE"""),"G")</f>
        <v>G</v>
      </c>
      <c r="AH66" s="1">
        <f>IFERROR(__xludf.DUMMYFUNCTION("""COMPUTED_VALUE"""),40)</f>
        <v>40</v>
      </c>
      <c r="AI66" s="1">
        <f>IFERROR(__xludf.DUMMYFUNCTION("""COMPUTED_VALUE"""),40)</f>
        <v>40</v>
      </c>
      <c r="AJ66" s="1">
        <f>IFERROR(__xludf.DUMMYFUNCTION("""COMPUTED_VALUE"""),40)</f>
        <v>40</v>
      </c>
      <c r="AK66" s="1">
        <f>IFERROR(__xludf.DUMMYFUNCTION("""COMPUTED_VALUE"""),40)</f>
        <v>40</v>
      </c>
      <c r="AL66" s="1" t="str">
        <f>IFERROR(__xludf.DUMMYFUNCTION("""COMPUTED_VALUE"""),"G")</f>
        <v>G</v>
      </c>
      <c r="AM66" s="1" t="str">
        <f>IFERROR(__xludf.DUMMYFUNCTION("""COMPUTED_VALUE"""),"G")</f>
        <v>G</v>
      </c>
      <c r="AN66" s="1" t="str">
        <f>IFERROR(__xludf.DUMMYFUNCTION("""COMPUTED_VALUE"""),"G")</f>
        <v>G</v>
      </c>
    </row>
    <row r="67" customHeight="1" spans="1:40">
      <c r="A67" s="1"/>
      <c r="B67" s="1"/>
      <c r="C67" s="119"/>
      <c r="D67" s="119" t="str">
        <f>IFERROR(__xludf.DUMMYFUNCTION("""COMPUTED_VALUE"""),"ITACIR FRANCISCO RIBEIRO")</f>
        <v>ITACIR FRANCISCO RIBEIRO</v>
      </c>
      <c r="E67" s="119" t="str">
        <f>IFERROR(__xludf.DUMMYFUNCTION("""COMPUTED_VALUE"""),"Curso CAB operador concluído")</f>
        <v>Curso CAB operador concluído</v>
      </c>
      <c r="F67" s="1" t="str">
        <f>IFERROR(__xludf.DUMMYFUNCTION("""COMPUTED_VALUE"""),"905.858.950-15")</f>
        <v>905.858.950-15</v>
      </c>
      <c r="G67" s="1"/>
      <c r="H67" s="1"/>
      <c r="I67" s="1"/>
      <c r="J67" s="1"/>
      <c r="K67" s="1"/>
      <c r="L67" s="1"/>
      <c r="M67" s="1"/>
      <c r="N67" s="120"/>
      <c r="O67" s="1"/>
      <c r="P67" s="1"/>
      <c r="Q67" s="1"/>
      <c r="R67" s="1"/>
      <c r="S67" s="1"/>
      <c r="T67" s="1"/>
      <c r="U67" s="1"/>
      <c r="V67" s="1"/>
      <c r="W67" s="1"/>
      <c r="X67" s="1"/>
      <c r="Y67" s="1"/>
      <c r="Z67" s="1"/>
      <c r="AA67" s="1"/>
      <c r="AB67" s="1"/>
      <c r="AC67" s="1"/>
      <c r="AD67" s="1"/>
      <c r="AE67" s="1"/>
      <c r="AF67" s="1"/>
      <c r="AG67" s="1"/>
      <c r="AH67" s="1"/>
      <c r="AI67" s="1"/>
      <c r="AJ67" s="1"/>
      <c r="AK67" s="1"/>
      <c r="AL67" s="1"/>
      <c r="AM67" s="1"/>
      <c r="AN67" s="1"/>
    </row>
    <row r="68" customHeight="1" spans="1:40">
      <c r="A68" s="1" t="str">
        <f>IFERROR(__xludf.DUMMYFUNCTION("""COMPUTED_VALUE"""),"02° BBM")</f>
        <v>02° BBM</v>
      </c>
      <c r="B68" s="1" t="str">
        <f>IFERROR(__xludf.DUMMYFUNCTION("""COMPUTED_VALUE"""),"Ivoti")</f>
        <v>Ivoti</v>
      </c>
      <c r="C68" s="119" t="str">
        <f>IFERROR(__xludf.DUMMYFUNCTION("""COMPUTED_VALUE"""),"Comunitario")</f>
        <v>Comunitario</v>
      </c>
      <c r="D68" s="119" t="str">
        <f>IFERROR(__xludf.DUMMYFUNCTION("""COMPUTED_VALUE"""),"JAIR BANACHOKI")</f>
        <v>JAIR BANACHOKI</v>
      </c>
      <c r="E68" s="119" t="str">
        <f>IFERROR(__xludf.DUMMYFUNCTION("""COMPUTED_VALUE"""),"Módulo 1 concluído")</f>
        <v>Módulo 1 concluído</v>
      </c>
      <c r="F68" s="1" t="str">
        <f>IFERROR(__xludf.DUMMYFUNCTION("""COMPUTED_VALUE"""),"984.487.490-49")</f>
        <v>984.487.490-49</v>
      </c>
      <c r="G68" s="1">
        <f>IFERROR(__xludf.DUMMYFUNCTION("""COMPUTED_VALUE"""),1061944706)</f>
        <v>1061944706</v>
      </c>
      <c r="H68" s="1" t="str">
        <f>IFERROR(__xludf.DUMMYFUNCTION("""COMPUTED_VALUE"""),"Combatente")</f>
        <v>Combatente</v>
      </c>
      <c r="I68" s="1" t="str">
        <f>IFERROR(__xludf.DUMMYFUNCTION("""COMPUTED_VALUE"""),"Bombeiro Municipal")</f>
        <v>Bombeiro Municipal</v>
      </c>
      <c r="J68" s="1" t="str">
        <f>IFERROR(__xludf.DUMMYFUNCTION("""COMPUTED_VALUE"""),"Sim")</f>
        <v>Sim</v>
      </c>
      <c r="K68" s="1" t="str">
        <f>IFERROR(__xludf.DUMMYFUNCTION("""COMPUTED_VALUE"""),"Não")</f>
        <v>Não</v>
      </c>
      <c r="L68" s="1" t="str">
        <f>IFERROR(__xludf.DUMMYFUNCTION("""COMPUTED_VALUE"""),"A+")</f>
        <v>A+</v>
      </c>
      <c r="M68" s="1" t="str">
        <f>IFERROR(__xludf.DUMMYFUNCTION("""COMPUTED_VALUE"""),"BANACHOKI")</f>
        <v>BANACHOKI</v>
      </c>
      <c r="N68" s="120">
        <f>IFERROR(__xludf.DUMMYFUNCTION("""COMPUTED_VALUE"""),29454)</f>
        <v>29454</v>
      </c>
      <c r="O68" s="1" t="str">
        <f>IFERROR(__xludf.DUMMYFUNCTION("""COMPUTED_VALUE"""),"Masculino")</f>
        <v>Masculino</v>
      </c>
      <c r="P68" s="1" t="str">
        <f>IFERROR(__xludf.DUMMYFUNCTION("""COMPUTED_VALUE"""),"Branca")</f>
        <v>Branca</v>
      </c>
      <c r="Q68" s="1" t="str">
        <f>IFERROR(__xludf.DUMMYFUNCTION("""COMPUTED_VALUE"""),"Ensino Médio")</f>
        <v>Ensino Médio</v>
      </c>
      <c r="R68" s="1" t="str">
        <f>IFERROR(__xludf.DUMMYFUNCTION("""COMPUTED_VALUE"""),"jairbanachoki@hotmail.com")</f>
        <v>jairbanachoki@hotmail.com</v>
      </c>
      <c r="S68" s="1" t="str">
        <f>IFERROR(__xludf.DUMMYFUNCTION("""COMPUTED_VALUE"""),"90kg")</f>
        <v>90kg</v>
      </c>
      <c r="T68" s="1" t="str">
        <f>IFERROR(__xludf.DUMMYFUNCTION("""COMPUTED_VALUE"""),"Entre 1,76m e 1,80m")</f>
        <v>Entre 1,76m e 1,80m</v>
      </c>
      <c r="U68" s="1"/>
      <c r="V68" s="1" t="str">
        <f>IFERROR(__xludf.DUMMYFUNCTION("""COMPUTED_VALUE"""),"(51)99686-7204")</f>
        <v>(51)99686-7204</v>
      </c>
      <c r="W68" s="1"/>
      <c r="X68" s="1" t="str">
        <f>IFERROR(__xludf.DUMMYFUNCTION("""COMPUTED_VALUE"""),"RS")</f>
        <v>RS</v>
      </c>
      <c r="Y68" s="1" t="str">
        <f>IFERROR(__xludf.DUMMYFUNCTION("""COMPUTED_VALUE"""),"Ivoti")</f>
        <v>Ivoti</v>
      </c>
      <c r="Z68" s="1" t="str">
        <f>IFERROR(__xludf.DUMMYFUNCTION("""COMPUTED_VALUE"""),"93900-000 ")</f>
        <v>93900-000 </v>
      </c>
      <c r="AA68" s="1" t="str">
        <f>IFERROR(__xludf.DUMMYFUNCTION("""COMPUTED_VALUE"""),"Rua Novo Hamburgo ")</f>
        <v>Rua Novo Hamburgo </v>
      </c>
      <c r="AB68" s="1" t="str">
        <f>IFERROR(__xludf.DUMMYFUNCTION("""COMPUTED_VALUE"""),"Jardim Buhler")</f>
        <v>Jardim Buhler</v>
      </c>
      <c r="AC68" s="1" t="str">
        <f>IFERROR(__xludf.DUMMYFUNCTION("""COMPUTED_VALUE"""),"GG")</f>
        <v>GG</v>
      </c>
      <c r="AD68" s="1" t="str">
        <f>IFERROR(__xludf.DUMMYFUNCTION("""COMPUTED_VALUE"""),"GG")</f>
        <v>GG</v>
      </c>
      <c r="AE68" s="1" t="str">
        <f>IFERROR(__xludf.DUMMYFUNCTION("""COMPUTED_VALUE"""),"GG")</f>
        <v>GG</v>
      </c>
      <c r="AF68" s="1" t="str">
        <f>IFERROR(__xludf.DUMMYFUNCTION("""COMPUTED_VALUE"""),"GG")</f>
        <v>GG</v>
      </c>
      <c r="AG68" s="1" t="str">
        <f>IFERROR(__xludf.DUMMYFUNCTION("""COMPUTED_VALUE"""),"GG")</f>
        <v>GG</v>
      </c>
      <c r="AH68" s="1">
        <f>IFERROR(__xludf.DUMMYFUNCTION("""COMPUTED_VALUE"""),42)</f>
        <v>42</v>
      </c>
      <c r="AI68" s="1">
        <f>IFERROR(__xludf.DUMMYFUNCTION("""COMPUTED_VALUE"""),42)</f>
        <v>42</v>
      </c>
      <c r="AJ68" s="1">
        <f>IFERROR(__xludf.DUMMYFUNCTION("""COMPUTED_VALUE"""),42)</f>
        <v>42</v>
      </c>
      <c r="AK68" s="1">
        <f>IFERROR(__xludf.DUMMYFUNCTION("""COMPUTED_VALUE"""),42)</f>
        <v>42</v>
      </c>
      <c r="AL68" s="1" t="str">
        <f>IFERROR(__xludf.DUMMYFUNCTION("""COMPUTED_VALUE"""),"GG")</f>
        <v>GG</v>
      </c>
      <c r="AM68" s="1" t="str">
        <f>IFERROR(__xludf.DUMMYFUNCTION("""COMPUTED_VALUE"""),"GG")</f>
        <v>GG</v>
      </c>
      <c r="AN68" s="1" t="str">
        <f>IFERROR(__xludf.DUMMYFUNCTION("""COMPUTED_VALUE"""),"GG")</f>
        <v>GG</v>
      </c>
    </row>
    <row r="69" customHeight="1" spans="1:40">
      <c r="A69" s="1" t="str">
        <f>IFERROR(__xludf.DUMMYFUNCTION("""COMPUTED_VALUE"""),"02° BBM")</f>
        <v>02° BBM</v>
      </c>
      <c r="B69" s="1" t="str">
        <f>IFERROR(__xludf.DUMMYFUNCTION("""COMPUTED_VALUE"""),"Araricá")</f>
        <v>Araricá</v>
      </c>
      <c r="C69" s="119" t="str">
        <f>IFERROR(__xludf.DUMMYFUNCTION("""COMPUTED_VALUE"""),"CAB")</f>
        <v>CAB</v>
      </c>
      <c r="D69" s="119" t="str">
        <f>IFERROR(__xludf.DUMMYFUNCTION("""COMPUTED_VALUE"""),"JANÍLSON RIEGEL CRISTINO")</f>
        <v>JANÍLSON RIEGEL CRISTINO</v>
      </c>
      <c r="E69" s="119" t="str">
        <f>IFERROR(__xludf.DUMMYFUNCTION("""COMPUTED_VALUE"""),"Curso CAB operador concluído")</f>
        <v>Curso CAB operador concluído</v>
      </c>
      <c r="F69" s="1" t="str">
        <f>IFERROR(__xludf.DUMMYFUNCTION("""COMPUTED_VALUE"""),"007.297.220-31")</f>
        <v>007.297.220-31</v>
      </c>
      <c r="G69" s="1">
        <f>IFERROR(__xludf.DUMMYFUNCTION("""COMPUTED_VALUE"""),2086078901)</f>
        <v>2086078901</v>
      </c>
      <c r="H69" s="1" t="str">
        <f>IFERROR(__xludf.DUMMYFUNCTION("""COMPUTED_VALUE"""),"Combatente, Socorrista, Resgatista e Condutor")</f>
        <v>Combatente, Socorrista, Resgatista e Condutor</v>
      </c>
      <c r="I69" s="1" t="str">
        <f>IFERROR(__xludf.DUMMYFUNCTION("""COMPUTED_VALUE"""),"Bombeiro Voluntario/Bombeiro civil, resgate em áreas de difícil acesso, resgate em altura, resgate veicular, APH, BLS,combate a incêndio")</f>
        <v>Bombeiro Voluntario/Bombeiro civil, resgate em áreas de difícil acesso, resgate em altura, resgate veicular, APH, BLS,combate a incêndio</v>
      </c>
      <c r="J69" s="1" t="str">
        <f>IFERROR(__xludf.DUMMYFUNCTION("""COMPUTED_VALUE"""),"Sim")</f>
        <v>Sim</v>
      </c>
      <c r="K69" s="1" t="str">
        <f>IFERROR(__xludf.DUMMYFUNCTION("""COMPUTED_VALUE"""),"Não")</f>
        <v>Não</v>
      </c>
      <c r="L69" s="1" t="str">
        <f>IFERROR(__xludf.DUMMYFUNCTION("""COMPUTED_VALUE"""),"O+")</f>
        <v>O+</v>
      </c>
      <c r="M69" s="1" t="str">
        <f>IFERROR(__xludf.DUMMYFUNCTION("""COMPUTED_VALUE"""),"RIEGEL")</f>
        <v>RIEGEL</v>
      </c>
      <c r="N69" s="120">
        <f>IFERROR(__xludf.DUMMYFUNCTION("""COMPUTED_VALUE"""),31137)</f>
        <v>31137</v>
      </c>
      <c r="O69" s="1" t="str">
        <f>IFERROR(__xludf.DUMMYFUNCTION("""COMPUTED_VALUE"""),"Masculino")</f>
        <v>Masculino</v>
      </c>
      <c r="P69" s="1" t="str">
        <f>IFERROR(__xludf.DUMMYFUNCTION("""COMPUTED_VALUE"""),"Morena")</f>
        <v>Morena</v>
      </c>
      <c r="Q69" s="1" t="str">
        <f>IFERROR(__xludf.DUMMYFUNCTION("""COMPUTED_VALUE"""),"Ensino Superior Incompleto")</f>
        <v>Ensino Superior Incompleto</v>
      </c>
      <c r="R69" s="1" t="str">
        <f>IFERROR(__xludf.DUMMYFUNCTION("""COMPUTED_VALUE"""),"janilson.riegel@gmail.com")</f>
        <v>janilson.riegel@gmail.com</v>
      </c>
      <c r="S69" s="1">
        <f>IFERROR(__xludf.DUMMYFUNCTION("""COMPUTED_VALUE"""),90)</f>
        <v>90</v>
      </c>
      <c r="T69" s="1" t="str">
        <f>IFERROR(__xludf.DUMMYFUNCTION("""COMPUTED_VALUE"""),"Entre 1,76m e 1,80m")</f>
        <v>Entre 1,76m e 1,80m</v>
      </c>
      <c r="U69" s="1"/>
      <c r="V69" s="1">
        <f>IFERROR(__xludf.DUMMYFUNCTION("""COMPUTED_VALUE"""),51995140919)</f>
        <v>51995140919</v>
      </c>
      <c r="W69" s="1">
        <f>IFERROR(__xludf.DUMMYFUNCTION("""COMPUTED_VALUE"""),51995140919)</f>
        <v>51995140919</v>
      </c>
      <c r="X69" s="1" t="str">
        <f>IFERROR(__xludf.DUMMYFUNCTION("""COMPUTED_VALUE"""),"RS")</f>
        <v>RS</v>
      </c>
      <c r="Y69" s="1" t="str">
        <f>IFERROR(__xludf.DUMMYFUNCTION("""COMPUTED_VALUE"""),"Araricá")</f>
        <v>Araricá</v>
      </c>
      <c r="Z69" s="1" t="str">
        <f>IFERROR(__xludf.DUMMYFUNCTION("""COMPUTED_VALUE"""),"93880-000")</f>
        <v>93880-000</v>
      </c>
      <c r="AA69" s="1" t="str">
        <f>IFERROR(__xludf.DUMMYFUNCTION("""COMPUTED_VALUE"""),"rua serraria ferrabráz, 990")</f>
        <v>rua serraria ferrabráz, 990</v>
      </c>
      <c r="AB69" s="1" t="str">
        <f>IFERROR(__xludf.DUMMYFUNCTION("""COMPUTED_VALUE"""),"campo da  brasina")</f>
        <v>campo da  brasina</v>
      </c>
      <c r="AC69" s="1" t="str">
        <f>IFERROR(__xludf.DUMMYFUNCTION("""COMPUTED_VALUE"""),"G")</f>
        <v>G</v>
      </c>
      <c r="AD69" s="1" t="str">
        <f>IFERROR(__xludf.DUMMYFUNCTION("""COMPUTED_VALUE"""),"G")</f>
        <v>G</v>
      </c>
      <c r="AE69" s="1" t="str">
        <f>IFERROR(__xludf.DUMMYFUNCTION("""COMPUTED_VALUE"""),"G")</f>
        <v>G</v>
      </c>
      <c r="AF69" s="1" t="str">
        <f>IFERROR(__xludf.DUMMYFUNCTION("""COMPUTED_VALUE"""),"G")</f>
        <v>G</v>
      </c>
      <c r="AG69" s="1" t="str">
        <f>IFERROR(__xludf.DUMMYFUNCTION("""COMPUTED_VALUE"""),"G")</f>
        <v>G</v>
      </c>
      <c r="AH69" s="1">
        <f>IFERROR(__xludf.DUMMYFUNCTION("""COMPUTED_VALUE"""),42)</f>
        <v>42</v>
      </c>
      <c r="AI69" s="1">
        <f>IFERROR(__xludf.DUMMYFUNCTION("""COMPUTED_VALUE"""),42)</f>
        <v>42</v>
      </c>
      <c r="AJ69" s="1">
        <f>IFERROR(__xludf.DUMMYFUNCTION("""COMPUTED_VALUE"""),42)</f>
        <v>42</v>
      </c>
      <c r="AK69" s="1">
        <f>IFERROR(__xludf.DUMMYFUNCTION("""COMPUTED_VALUE"""),42)</f>
        <v>42</v>
      </c>
      <c r="AL69" s="1" t="str">
        <f>IFERROR(__xludf.DUMMYFUNCTION("""COMPUTED_VALUE"""),"G")</f>
        <v>G</v>
      </c>
      <c r="AM69" s="1" t="str">
        <f>IFERROR(__xludf.DUMMYFUNCTION("""COMPUTED_VALUE"""),"G")</f>
        <v>G</v>
      </c>
      <c r="AN69" s="1" t="str">
        <f>IFERROR(__xludf.DUMMYFUNCTION("""COMPUTED_VALUE"""),"G")</f>
        <v>G</v>
      </c>
    </row>
    <row r="70" customHeight="1" spans="1:40">
      <c r="A70" s="1" t="str">
        <f>IFERROR(__xludf.DUMMYFUNCTION("""COMPUTED_VALUE"""),"02° BBM")</f>
        <v>02° BBM</v>
      </c>
      <c r="B70" s="1" t="str">
        <f>IFERROR(__xludf.DUMMYFUNCTION("""COMPUTED_VALUE"""),"Novo Hamburgo")</f>
        <v>Novo Hamburgo</v>
      </c>
      <c r="C70" s="119" t="str">
        <f>IFERROR(__xludf.DUMMYFUNCTION("""COMPUTED_VALUE"""),"Comunitario")</f>
        <v>Comunitario</v>
      </c>
      <c r="D70" s="119" t="str">
        <f>IFERROR(__xludf.DUMMYFUNCTION("""COMPUTED_VALUE"""),"JESSICA ALESSANDRA BENDER")</f>
        <v>JESSICA ALESSANDRA BENDER</v>
      </c>
      <c r="E70" s="119" t="str">
        <f>IFERROR(__xludf.DUMMYFUNCTION("""COMPUTED_VALUE"""),"")</f>
        <v/>
      </c>
      <c r="F70" s="1" t="str">
        <f>IFERROR(__xludf.DUMMYFUNCTION("""COMPUTED_VALUE"""),"024.438.100-38")</f>
        <v>024.438.100-38</v>
      </c>
      <c r="G70" s="1">
        <f>IFERROR(__xludf.DUMMYFUNCTION("""COMPUTED_VALUE"""),9081245889)</f>
        <v>9081245889</v>
      </c>
      <c r="H70" s="1" t="str">
        <f>IFERROR(__xludf.DUMMYFUNCTION("""COMPUTED_VALUE"""),"Combatente")</f>
        <v>Combatente</v>
      </c>
      <c r="I70" s="1" t="str">
        <f>IFERROR(__xludf.DUMMYFUNCTION("""COMPUTED_VALUE"""),"Bombeiro Voluntário")</f>
        <v>Bombeiro Voluntário</v>
      </c>
      <c r="J70" s="1" t="str">
        <f>IFERROR(__xludf.DUMMYFUNCTION("""COMPUTED_VALUE"""),"Não")</f>
        <v>Não</v>
      </c>
      <c r="K70" s="1" t="str">
        <f>IFERROR(__xludf.DUMMYFUNCTION("""COMPUTED_VALUE"""),"Sim")</f>
        <v>Sim</v>
      </c>
      <c r="L70" s="1" t="str">
        <f>IFERROR(__xludf.DUMMYFUNCTION("""COMPUTED_VALUE"""),"O+")</f>
        <v>O+</v>
      </c>
      <c r="M70" s="1" t="str">
        <f>IFERROR(__xludf.DUMMYFUNCTION("""COMPUTED_VALUE"""),"BENDER")</f>
        <v>BENDER</v>
      </c>
      <c r="N70" s="120">
        <f>IFERROR(__xludf.DUMMYFUNCTION("""COMPUTED_VALUE"""),35105)</f>
        <v>35105</v>
      </c>
      <c r="O70" s="1" t="str">
        <f>IFERROR(__xludf.DUMMYFUNCTION("""COMPUTED_VALUE"""),"Feminino")</f>
        <v>Feminino</v>
      </c>
      <c r="P70" s="1" t="str">
        <f>IFERROR(__xludf.DUMMYFUNCTION("""COMPUTED_VALUE"""),"Branca")</f>
        <v>Branca</v>
      </c>
      <c r="Q70" s="1" t="str">
        <f>IFERROR(__xludf.DUMMYFUNCTION("""COMPUTED_VALUE"""),"Ensino Médio")</f>
        <v>Ensino Médio</v>
      </c>
      <c r="R70" s="1" t="str">
        <f>IFERROR(__xludf.DUMMYFUNCTION("""COMPUTED_VALUE"""),"jessicabender565@gmail.com")</f>
        <v>jessicabender565@gmail.com</v>
      </c>
      <c r="S70" s="1">
        <f>IFERROR(__xludf.DUMMYFUNCTION("""COMPUTED_VALUE"""),90)</f>
        <v>90</v>
      </c>
      <c r="T70" s="1" t="str">
        <f>IFERROR(__xludf.DUMMYFUNCTION("""COMPUTED_VALUE"""),"Entre 1,76m e 1,80m")</f>
        <v>Entre 1,76m e 1,80m</v>
      </c>
      <c r="U70" s="1"/>
      <c r="V70" s="1" t="str">
        <f>IFERROR(__xludf.DUMMYFUNCTION("""COMPUTED_VALUE"""),"(51) 996776997")</f>
        <v>(51) 996776997</v>
      </c>
      <c r="W70" s="1" t="str">
        <f>IFERROR(__xludf.DUMMYFUNCTION("""COMPUTED_VALUE"""),"(51) 996917603")</f>
        <v>(51) 996917603</v>
      </c>
      <c r="X70" s="1" t="str">
        <f>IFERROR(__xludf.DUMMYFUNCTION("""COMPUTED_VALUE"""),"RS")</f>
        <v>RS</v>
      </c>
      <c r="Y70" s="1" t="str">
        <f>IFERROR(__xludf.DUMMYFUNCTION("""COMPUTED_VALUE"""),"Canoas")</f>
        <v>Canoas</v>
      </c>
      <c r="Z70" s="1" t="str">
        <f>IFERROR(__xludf.DUMMYFUNCTION("""COMPUTED_VALUE"""),"92035-190")</f>
        <v>92035-190</v>
      </c>
      <c r="AA70" s="1" t="str">
        <f>IFERROR(__xludf.DUMMYFUNCTION("""COMPUTED_VALUE"""),"Rua Gildo de Freitas,1601")</f>
        <v>Rua Gildo de Freitas,1601</v>
      </c>
      <c r="AB70" s="1" t="str">
        <f>IFERROR(__xludf.DUMMYFUNCTION("""COMPUTED_VALUE"""),"Olaria")</f>
        <v>Olaria</v>
      </c>
      <c r="AC70" s="1" t="str">
        <f>IFERROR(__xludf.DUMMYFUNCTION("""COMPUTED_VALUE"""),"GG")</f>
        <v>GG</v>
      </c>
      <c r="AD70" s="1" t="str">
        <f>IFERROR(__xludf.DUMMYFUNCTION("""COMPUTED_VALUE"""),"GG")</f>
        <v>GG</v>
      </c>
      <c r="AE70" s="1" t="str">
        <f>IFERROR(__xludf.DUMMYFUNCTION("""COMPUTED_VALUE"""),"M")</f>
        <v>M</v>
      </c>
      <c r="AF70" s="1" t="str">
        <f>IFERROR(__xludf.DUMMYFUNCTION("""COMPUTED_VALUE"""),"G")</f>
        <v>G</v>
      </c>
      <c r="AG70" s="1" t="str">
        <f>IFERROR(__xludf.DUMMYFUNCTION("""COMPUTED_VALUE"""),"GG")</f>
        <v>GG</v>
      </c>
      <c r="AH70" s="1">
        <f>IFERROR(__xludf.DUMMYFUNCTION("""COMPUTED_VALUE"""),37)</f>
        <v>37</v>
      </c>
      <c r="AI70" s="1">
        <f>IFERROR(__xludf.DUMMYFUNCTION("""COMPUTED_VALUE"""),37)</f>
        <v>37</v>
      </c>
      <c r="AJ70" s="1">
        <f>IFERROR(__xludf.DUMMYFUNCTION("""COMPUTED_VALUE"""),37)</f>
        <v>37</v>
      </c>
      <c r="AK70" s="1">
        <f>IFERROR(__xludf.DUMMYFUNCTION("""COMPUTED_VALUE"""),37)</f>
        <v>37</v>
      </c>
      <c r="AL70" s="1" t="str">
        <f>IFERROR(__xludf.DUMMYFUNCTION("""COMPUTED_VALUE"""),"G")</f>
        <v>G</v>
      </c>
      <c r="AM70" s="1" t="str">
        <f>IFERROR(__xludf.DUMMYFUNCTION("""COMPUTED_VALUE"""),"M")</f>
        <v>M</v>
      </c>
      <c r="AN70" s="1" t="str">
        <f>IFERROR(__xludf.DUMMYFUNCTION("""COMPUTED_VALUE"""),"M")</f>
        <v>M</v>
      </c>
    </row>
    <row r="71" customHeight="1" spans="1:40">
      <c r="A71" s="1" t="str">
        <f>IFERROR(__xludf.DUMMYFUNCTION("""COMPUTED_VALUE"""),"02° BBM")</f>
        <v>02° BBM</v>
      </c>
      <c r="B71" s="1" t="str">
        <f>IFERROR(__xludf.DUMMYFUNCTION("""COMPUTED_VALUE"""),"Estância Velha")</f>
        <v>Estância Velha</v>
      </c>
      <c r="C71" s="119" t="str">
        <f>IFERROR(__xludf.DUMMYFUNCTION("""COMPUTED_VALUE"""),"Comunitario")</f>
        <v>Comunitario</v>
      </c>
      <c r="D71" s="119" t="str">
        <f>IFERROR(__xludf.DUMMYFUNCTION("""COMPUTED_VALUE"""),"JESSICA BARRACA PEREIRA OK")</f>
        <v>JESSICA BARRACA PEREIRA OK</v>
      </c>
      <c r="E71" s="119" t="str">
        <f>IFERROR(__xludf.DUMMYFUNCTION("""COMPUTED_VALUE"""),"Curso CAB operador concluído")</f>
        <v>Curso CAB operador concluído</v>
      </c>
      <c r="F71" s="1" t="str">
        <f>IFERROR(__xludf.DUMMYFUNCTION("""COMPUTED_VALUE"""),"022.920.460-08")</f>
        <v>022.920.460-08</v>
      </c>
      <c r="G71" s="1">
        <f>IFERROR(__xludf.DUMMYFUNCTION("""COMPUTED_VALUE"""),8098764718)</f>
        <v>8098764718</v>
      </c>
      <c r="H71" s="1" t="str">
        <f>IFERROR(__xludf.DUMMYFUNCTION("""COMPUTED_VALUE"""),"Combatente e Socorrista")</f>
        <v>Combatente e Socorrista</v>
      </c>
      <c r="I71" s="1" t="str">
        <f>IFERROR(__xludf.DUMMYFUNCTION("""COMPUTED_VALUE"""),"Bombeiro Voluntario, Tecnica em enfermagem")</f>
        <v>Bombeiro Voluntario, Tecnica em enfermagem</v>
      </c>
      <c r="J71" s="1" t="str">
        <f>IFERROR(__xludf.DUMMYFUNCTION("""COMPUTED_VALUE"""),"Sim")</f>
        <v>Sim</v>
      </c>
      <c r="K71" s="1" t="str">
        <f>IFERROR(__xludf.DUMMYFUNCTION("""COMPUTED_VALUE"""),"Sim")</f>
        <v>Sim</v>
      </c>
      <c r="L71" s="1" t="str">
        <f>IFERROR(__xludf.DUMMYFUNCTION("""COMPUTED_VALUE"""),"A-")</f>
        <v>A-</v>
      </c>
      <c r="M71" s="1" t="str">
        <f>IFERROR(__xludf.DUMMYFUNCTION("""COMPUTED_VALUE"""),"Jéssica")</f>
        <v>Jéssica</v>
      </c>
      <c r="N71" s="120">
        <f>IFERROR(__xludf.DUMMYFUNCTION("""COMPUTED_VALUE"""),33477)</f>
        <v>33477</v>
      </c>
      <c r="O71" s="1" t="str">
        <f>IFERROR(__xludf.DUMMYFUNCTION("""COMPUTED_VALUE"""),"Feminino")</f>
        <v>Feminino</v>
      </c>
      <c r="P71" s="1" t="str">
        <f>IFERROR(__xludf.DUMMYFUNCTION("""COMPUTED_VALUE"""),"Branca")</f>
        <v>Branca</v>
      </c>
      <c r="Q71" s="1" t="str">
        <f>IFERROR(__xludf.DUMMYFUNCTION("""COMPUTED_VALUE"""),"Ensino Superior Incompleto")</f>
        <v>Ensino Superior Incompleto</v>
      </c>
      <c r="R71" s="1" t="str">
        <f>IFERROR(__xludf.DUMMYFUNCTION("""COMPUTED_VALUE"""),"jessica.barraca@gmail.com")</f>
        <v>jessica.barraca@gmail.com</v>
      </c>
      <c r="S71" s="1" t="str">
        <f>IFERROR(__xludf.DUMMYFUNCTION("""COMPUTED_VALUE"""),"90 kg")</f>
        <v>90 kg</v>
      </c>
      <c r="T71" s="1" t="str">
        <f>IFERROR(__xludf.DUMMYFUNCTION("""COMPUTED_VALUE"""),"Entre 1,71m e 1,75m")</f>
        <v>Entre 1,71m e 1,75m</v>
      </c>
      <c r="U71" s="1"/>
      <c r="V71" s="1" t="str">
        <f>IFERROR(__xludf.DUMMYFUNCTION("""COMPUTED_VALUE"""),"51 999615764")</f>
        <v>51 999615764</v>
      </c>
      <c r="W71" s="1">
        <f>IFERROR(__xludf.DUMMYFUNCTION("""COMPUTED_VALUE"""),51981016962)</f>
        <v>51981016962</v>
      </c>
      <c r="X71" s="1" t="str">
        <f>IFERROR(__xludf.DUMMYFUNCTION("""COMPUTED_VALUE"""),"RS")</f>
        <v>RS</v>
      </c>
      <c r="Y71" s="1" t="str">
        <f>IFERROR(__xludf.DUMMYFUNCTION("""COMPUTED_VALUE"""),"Dois Irmãos")</f>
        <v>Dois Irmãos</v>
      </c>
      <c r="Z71" s="1" t="str">
        <f>IFERROR(__xludf.DUMMYFUNCTION("""COMPUTED_VALUE"""),"93950-000")</f>
        <v>93950-000</v>
      </c>
      <c r="AA71" s="1" t="str">
        <f>IFERROR(__xludf.DUMMYFUNCTION("""COMPUTED_VALUE"""),"Rua Guilherme Engelmann n 601")</f>
        <v>Rua Guilherme Engelmann n 601</v>
      </c>
      <c r="AB71" s="1" t="str">
        <f>IFERROR(__xludf.DUMMYFUNCTION("""COMPUTED_VALUE"""),"União")</f>
        <v>União</v>
      </c>
      <c r="AC71" s="1" t="str">
        <f>IFERROR(__xludf.DUMMYFUNCTION("""COMPUTED_VALUE"""),"GG")</f>
        <v>GG</v>
      </c>
      <c r="AD71" s="1" t="str">
        <f>IFERROR(__xludf.DUMMYFUNCTION("""COMPUTED_VALUE"""),"GG")</f>
        <v>GG</v>
      </c>
      <c r="AE71" s="1" t="str">
        <f>IFERROR(__xludf.DUMMYFUNCTION("""COMPUTED_VALUE"""),"GG")</f>
        <v>GG</v>
      </c>
      <c r="AF71" s="1" t="str">
        <f>IFERROR(__xludf.DUMMYFUNCTION("""COMPUTED_VALUE"""),"G")</f>
        <v>G</v>
      </c>
      <c r="AG71" s="1" t="str">
        <f>IFERROR(__xludf.DUMMYFUNCTION("""COMPUTED_VALUE"""),"EXG")</f>
        <v>EXG</v>
      </c>
      <c r="AH71" s="1">
        <f>IFERROR(__xludf.DUMMYFUNCTION("""COMPUTED_VALUE"""),36)</f>
        <v>36</v>
      </c>
      <c r="AI71" s="1">
        <f>IFERROR(__xludf.DUMMYFUNCTION("""COMPUTED_VALUE"""),36)</f>
        <v>36</v>
      </c>
      <c r="AJ71" s="1">
        <f>IFERROR(__xludf.DUMMYFUNCTION("""COMPUTED_VALUE"""),37)</f>
        <v>37</v>
      </c>
      <c r="AK71" s="1">
        <f>IFERROR(__xludf.DUMMYFUNCTION("""COMPUTED_VALUE"""),37)</f>
        <v>37</v>
      </c>
      <c r="AL71" s="1" t="str">
        <f>IFERROR(__xludf.DUMMYFUNCTION("""COMPUTED_VALUE"""),"GG")</f>
        <v>GG</v>
      </c>
      <c r="AM71" s="1" t="str">
        <f>IFERROR(__xludf.DUMMYFUNCTION("""COMPUTED_VALUE"""),"EXG")</f>
        <v>EXG</v>
      </c>
      <c r="AN71" s="1" t="str">
        <f>IFERROR(__xludf.DUMMYFUNCTION("""COMPUTED_VALUE"""),"GG")</f>
        <v>GG</v>
      </c>
    </row>
    <row r="72" customHeight="1" spans="1:40">
      <c r="A72" s="1"/>
      <c r="B72" s="1"/>
      <c r="C72" s="119"/>
      <c r="D72" s="119" t="str">
        <f>IFERROR(__xludf.DUMMYFUNCTION("""COMPUTED_VALUE"""),"JOÃO BATISTA KIRCH")</f>
        <v>JOÃO BATISTA KIRCH</v>
      </c>
      <c r="E72" s="119" t="str">
        <f>IFERROR(__xludf.DUMMYFUNCTION("""COMPUTED_VALUE"""),"Curso CAB operador concluído")</f>
        <v>Curso CAB operador concluído</v>
      </c>
      <c r="F72" s="1" t="str">
        <f>IFERROR(__xludf.DUMMYFUNCTION("""COMPUTED_VALUE"""),"935.714.880-91")</f>
        <v>935.714.880-91</v>
      </c>
      <c r="G72" s="1"/>
      <c r="H72" s="1"/>
      <c r="I72" s="1"/>
      <c r="J72" s="1"/>
      <c r="K72" s="1"/>
      <c r="L72" s="1"/>
      <c r="M72" s="1"/>
      <c r="N72" s="120"/>
      <c r="O72" s="1"/>
      <c r="P72" s="1"/>
      <c r="Q72" s="1"/>
      <c r="R72" s="1"/>
      <c r="S72" s="1"/>
      <c r="T72" s="1"/>
      <c r="U72" s="1"/>
      <c r="V72" s="1"/>
      <c r="W72" s="1"/>
      <c r="X72" s="1"/>
      <c r="Y72" s="1"/>
      <c r="Z72" s="1"/>
      <c r="AA72" s="1"/>
      <c r="AB72" s="1"/>
      <c r="AC72" s="1"/>
      <c r="AD72" s="1"/>
      <c r="AE72" s="1"/>
      <c r="AF72" s="1"/>
      <c r="AG72" s="1"/>
      <c r="AH72" s="1"/>
      <c r="AI72" s="1"/>
      <c r="AJ72" s="1"/>
      <c r="AK72" s="1"/>
      <c r="AL72" s="1"/>
      <c r="AM72" s="1"/>
      <c r="AN72" s="1"/>
    </row>
    <row r="73" customHeight="1" spans="1:40">
      <c r="A73" s="1" t="str">
        <f>IFERROR(__xludf.DUMMYFUNCTION("""COMPUTED_VALUE"""),"02° BBM")</f>
        <v>02° BBM</v>
      </c>
      <c r="B73" s="1" t="str">
        <f>IFERROR(__xludf.DUMMYFUNCTION("""COMPUTED_VALUE"""),"Araricá")</f>
        <v>Araricá</v>
      </c>
      <c r="C73" s="119" t="str">
        <f>IFERROR(__xludf.DUMMYFUNCTION("""COMPUTED_VALUE"""),"CAB")</f>
        <v>CAB</v>
      </c>
      <c r="D73" s="119" t="str">
        <f>IFERROR(__xludf.DUMMYFUNCTION("""COMPUTED_VALUE"""),"JOÃO LEANDRO GEBERT JÚNIOR ")</f>
        <v>JOÃO LEANDRO GEBERT JÚNIOR </v>
      </c>
      <c r="E73" s="119" t="str">
        <f>IFERROR(__xludf.DUMMYFUNCTION("""COMPUTED_VALUE"""),"Módulo 2 e 3 concluído")</f>
        <v>Módulo 2 e 3 concluído</v>
      </c>
      <c r="F73" s="1" t="str">
        <f>IFERROR(__xludf.DUMMYFUNCTION("""COMPUTED_VALUE"""),"022.748.980-22")</f>
        <v>022.748.980-22</v>
      </c>
      <c r="G73" s="1">
        <f>IFERROR(__xludf.DUMMYFUNCTION("""COMPUTED_VALUE"""),8077788753)</f>
        <v>8077788753</v>
      </c>
      <c r="H73" s="1" t="str">
        <f>IFERROR(__xludf.DUMMYFUNCTION("""COMPUTED_VALUE"""),"Combatente/Socorrista/ condutor")</f>
        <v>Combatente/Socorrista/ condutor</v>
      </c>
      <c r="I73" s="1" t="str">
        <f>IFERROR(__xludf.DUMMYFUNCTION("""COMPUTED_VALUE"""),"Bombeiro Voluntario/Primeiros Socorros/APH/ bombeiro civil")</f>
        <v>Bombeiro Voluntario/Primeiros Socorros/APH/ bombeiro civil</v>
      </c>
      <c r="J73" s="1" t="str">
        <f>IFERROR(__xludf.DUMMYFUNCTION("""COMPUTED_VALUE"""),"Sim")</f>
        <v>Sim</v>
      </c>
      <c r="K73" s="1" t="str">
        <f>IFERROR(__xludf.DUMMYFUNCTION("""COMPUTED_VALUE"""),"Não")</f>
        <v>Não</v>
      </c>
      <c r="L73" s="1" t="str">
        <f>IFERROR(__xludf.DUMMYFUNCTION("""COMPUTED_VALUE"""),"O+")</f>
        <v>O+</v>
      </c>
      <c r="M73" s="1" t="str">
        <f>IFERROR(__xludf.DUMMYFUNCTION("""COMPUTED_VALUE"""),"GEBERT")</f>
        <v>GEBERT</v>
      </c>
      <c r="N73" s="120">
        <f>IFERROR(__xludf.DUMMYFUNCTION("""COMPUTED_VALUE"""),31229)</f>
        <v>31229</v>
      </c>
      <c r="O73" s="1" t="str">
        <f>IFERROR(__xludf.DUMMYFUNCTION("""COMPUTED_VALUE"""),"Masculino")</f>
        <v>Masculino</v>
      </c>
      <c r="P73" s="1" t="str">
        <f>IFERROR(__xludf.DUMMYFUNCTION("""COMPUTED_VALUE"""),"Branca")</f>
        <v>Branca</v>
      </c>
      <c r="Q73" s="1" t="str">
        <f>IFERROR(__xludf.DUMMYFUNCTION("""COMPUTED_VALUE"""),"Ensino Fundamental")</f>
        <v>Ensino Fundamental</v>
      </c>
      <c r="R73" s="1" t="str">
        <f>IFERROR(__xludf.DUMMYFUNCTION("""COMPUTED_VALUE"""),"joaoleandro8792@gmail.com")</f>
        <v>joaoleandro8792@gmail.com</v>
      </c>
      <c r="S73" s="1">
        <f>IFERROR(__xludf.DUMMYFUNCTION("""COMPUTED_VALUE"""),110)</f>
        <v>110</v>
      </c>
      <c r="T73" s="1" t="str">
        <f>IFERROR(__xludf.DUMMYFUNCTION("""COMPUTED_VALUE"""),"Mais de 1,96m")</f>
        <v>Mais de 1,96m</v>
      </c>
      <c r="U73" s="1"/>
      <c r="V73" s="1">
        <f>IFERROR(__xludf.DUMMYFUNCTION("""COMPUTED_VALUE"""),54996544529)</f>
        <v>54996544529</v>
      </c>
      <c r="W73" s="1">
        <f>IFERROR(__xludf.DUMMYFUNCTION("""COMPUTED_VALUE"""),54996544529)</f>
        <v>54996544529</v>
      </c>
      <c r="X73" s="1" t="str">
        <f>IFERROR(__xludf.DUMMYFUNCTION("""COMPUTED_VALUE"""),"RS")</f>
        <v>RS</v>
      </c>
      <c r="Y73" s="1" t="str">
        <f>IFERROR(__xludf.DUMMYFUNCTION("""COMPUTED_VALUE"""),"Canela")</f>
        <v>Canela</v>
      </c>
      <c r="Z73" s="1">
        <f>IFERROR(__xludf.DUMMYFUNCTION("""COMPUTED_VALUE"""),95686544)</f>
        <v>95686544</v>
      </c>
      <c r="AA73" s="1" t="str">
        <f>IFERROR(__xludf.DUMMYFUNCTION("""COMPUTED_VALUE"""),"hermann otto becker 233")</f>
        <v>hermann otto becker 233</v>
      </c>
      <c r="AB73" s="1" t="str">
        <f>IFERROR(__xludf.DUMMYFUNCTION("""COMPUTED_VALUE"""),"são rafael")</f>
        <v>são rafael</v>
      </c>
      <c r="AC73" s="1" t="str">
        <f>IFERROR(__xludf.DUMMYFUNCTION("""COMPUTED_VALUE"""),"GG")</f>
        <v>GG</v>
      </c>
      <c r="AD73" s="1" t="str">
        <f>IFERROR(__xludf.DUMMYFUNCTION("""COMPUTED_VALUE"""),"GG")</f>
        <v>GG</v>
      </c>
      <c r="AE73" s="1" t="str">
        <f>IFERROR(__xludf.DUMMYFUNCTION("""COMPUTED_VALUE"""),"GG")</f>
        <v>GG</v>
      </c>
      <c r="AF73" s="1" t="str">
        <f>IFERROR(__xludf.DUMMYFUNCTION("""COMPUTED_VALUE"""),"GG")</f>
        <v>GG</v>
      </c>
      <c r="AG73" s="1" t="str">
        <f>IFERROR(__xludf.DUMMYFUNCTION("""COMPUTED_VALUE"""),"GG")</f>
        <v>GG</v>
      </c>
      <c r="AH73" s="1">
        <f>IFERROR(__xludf.DUMMYFUNCTION("""COMPUTED_VALUE"""),44)</f>
        <v>44</v>
      </c>
      <c r="AI73" s="1">
        <f>IFERROR(__xludf.DUMMYFUNCTION("""COMPUTED_VALUE"""),44)</f>
        <v>44</v>
      </c>
      <c r="AJ73" s="1">
        <f>IFERROR(__xludf.DUMMYFUNCTION("""COMPUTED_VALUE"""),44)</f>
        <v>44</v>
      </c>
      <c r="AK73" s="1">
        <f>IFERROR(__xludf.DUMMYFUNCTION("""COMPUTED_VALUE"""),44)</f>
        <v>44</v>
      </c>
      <c r="AL73" s="1" t="str">
        <f>IFERROR(__xludf.DUMMYFUNCTION("""COMPUTED_VALUE"""),"GG")</f>
        <v>GG</v>
      </c>
      <c r="AM73" s="1" t="str">
        <f>IFERROR(__xludf.DUMMYFUNCTION("""COMPUTED_VALUE"""),"GG")</f>
        <v>GG</v>
      </c>
      <c r="AN73" s="1" t="str">
        <f>IFERROR(__xludf.DUMMYFUNCTION("""COMPUTED_VALUE"""),"GG")</f>
        <v>GG</v>
      </c>
    </row>
    <row r="74" customHeight="1" spans="1:40">
      <c r="A74" s="1" t="str">
        <f>IFERROR(__xludf.DUMMYFUNCTION("""COMPUTED_VALUE"""),"02° BBM")</f>
        <v>02° BBM</v>
      </c>
      <c r="B74" s="1" t="str">
        <f>IFERROR(__xludf.DUMMYFUNCTION("""COMPUTED_VALUE"""),"Ivoti")</f>
        <v>Ivoti</v>
      </c>
      <c r="C74" s="119" t="str">
        <f>IFERROR(__xludf.DUMMYFUNCTION("""COMPUTED_VALUE"""),"Comunitario")</f>
        <v>Comunitario</v>
      </c>
      <c r="D74" s="119" t="str">
        <f>IFERROR(__xludf.DUMMYFUNCTION("""COMPUTED_VALUE"""),"JOÃO MANOEL MATTOS DE MELO")</f>
        <v>JOÃO MANOEL MATTOS DE MELO</v>
      </c>
      <c r="E74" s="119" t="str">
        <f>IFERROR(__xludf.DUMMYFUNCTION("""COMPUTED_VALUE"""),"Curso CAB operador concluído")</f>
        <v>Curso CAB operador concluído</v>
      </c>
      <c r="F74" s="1" t="str">
        <f>IFERROR(__xludf.DUMMYFUNCTION("""COMPUTED_VALUE"""),"592.631.640-53")</f>
        <v>592.631.640-53</v>
      </c>
      <c r="G74" s="1">
        <f>IFERROR(__xludf.DUMMYFUNCTION("""COMPUTED_VALUE"""),9072971451)</f>
        <v>9072971451</v>
      </c>
      <c r="H74" s="1" t="str">
        <f>IFERROR(__xludf.DUMMYFUNCTION("""COMPUTED_VALUE"""),"Combatente e Socorrista")</f>
        <v>Combatente e Socorrista</v>
      </c>
      <c r="I74" s="1" t="str">
        <f>IFERROR(__xludf.DUMMYFUNCTION("""COMPUTED_VALUE"""),"Bombeiro Voluntário")</f>
        <v>Bombeiro Voluntário</v>
      </c>
      <c r="J74" s="1" t="str">
        <f>IFERROR(__xludf.DUMMYFUNCTION("""COMPUTED_VALUE"""),"Sim")</f>
        <v>Sim</v>
      </c>
      <c r="K74" s="1" t="str">
        <f>IFERROR(__xludf.DUMMYFUNCTION("""COMPUTED_VALUE"""),"Sim")</f>
        <v>Sim</v>
      </c>
      <c r="L74" s="1" t="str">
        <f>IFERROR(__xludf.DUMMYFUNCTION("""COMPUTED_VALUE"""),"A+")</f>
        <v>A+</v>
      </c>
      <c r="M74" s="1" t="str">
        <f>IFERROR(__xludf.DUMMYFUNCTION("""COMPUTED_VALUE"""),"MATTOS")</f>
        <v>MATTOS</v>
      </c>
      <c r="N74" s="120">
        <f>IFERROR(__xludf.DUMMYFUNCTION("""COMPUTED_VALUE"""),25727)</f>
        <v>25727</v>
      </c>
      <c r="O74" s="1" t="str">
        <f>IFERROR(__xludf.DUMMYFUNCTION("""COMPUTED_VALUE"""),"Masculino")</f>
        <v>Masculino</v>
      </c>
      <c r="P74" s="1" t="str">
        <f>IFERROR(__xludf.DUMMYFUNCTION("""COMPUTED_VALUE"""),"Branca")</f>
        <v>Branca</v>
      </c>
      <c r="Q74" s="1" t="str">
        <f>IFERROR(__xludf.DUMMYFUNCTION("""COMPUTED_VALUE"""),"Ensino Médio")</f>
        <v>Ensino Médio</v>
      </c>
      <c r="R74" s="1" t="str">
        <f>IFERROR(__xludf.DUMMYFUNCTION("""COMPUTED_VALUE"""),"joaohaubert@hotmail.com")</f>
        <v>joaohaubert@hotmail.com</v>
      </c>
      <c r="S74" s="1" t="str">
        <f>IFERROR(__xludf.DUMMYFUNCTION("""COMPUTED_VALUE"""),"89kg")</f>
        <v>89kg</v>
      </c>
      <c r="T74" s="1" t="str">
        <f>IFERROR(__xludf.DUMMYFUNCTION("""COMPUTED_VALUE"""),"Entre 1,76m e 1,80m")</f>
        <v>Entre 1,76m e 1,80m</v>
      </c>
      <c r="U74" s="1" t="str">
        <f>IFERROR(__xludf.DUMMYFUNCTION("""COMPUTED_VALUE"""),"Não ")</f>
        <v>Não </v>
      </c>
      <c r="V74" s="1" t="str">
        <f>IFERROR(__xludf.DUMMYFUNCTION("""COMPUTED_VALUE"""),"(51)99942-9082")</f>
        <v>(51)99942-9082</v>
      </c>
      <c r="W74" s="1" t="str">
        <f>IFERROR(__xludf.DUMMYFUNCTION("""COMPUTED_VALUE"""),"(51)98613-0670")</f>
        <v>(51)98613-0670</v>
      </c>
      <c r="X74" s="1" t="str">
        <f>IFERROR(__xludf.DUMMYFUNCTION("""COMPUTED_VALUE"""),"RS")</f>
        <v>RS</v>
      </c>
      <c r="Y74" s="1" t="str">
        <f>IFERROR(__xludf.DUMMYFUNCTION("""COMPUTED_VALUE"""),"Ivoti")</f>
        <v>Ivoti</v>
      </c>
      <c r="Z74" s="1" t="str">
        <f>IFERROR(__xludf.DUMMYFUNCTION("""COMPUTED_VALUE"""),"93900-000 ")</f>
        <v>93900-000 </v>
      </c>
      <c r="AA74" s="1" t="str">
        <f>IFERROR(__xludf.DUMMYFUNCTION("""COMPUTED_VALUE"""),"Av Presidente Lucena 2514")</f>
        <v>Av Presidente Lucena 2514</v>
      </c>
      <c r="AB74" s="1" t="str">
        <f>IFERROR(__xludf.DUMMYFUNCTION("""COMPUTED_VALUE"""),"Brasília ")</f>
        <v>Brasília </v>
      </c>
      <c r="AC74" s="1" t="str">
        <f>IFERROR(__xludf.DUMMYFUNCTION("""COMPUTED_VALUE"""),"G")</f>
        <v>G</v>
      </c>
      <c r="AD74" s="1" t="str">
        <f>IFERROR(__xludf.DUMMYFUNCTION("""COMPUTED_VALUE"""),"GG")</f>
        <v>GG</v>
      </c>
      <c r="AE74" s="1" t="str">
        <f>IFERROR(__xludf.DUMMYFUNCTION("""COMPUTED_VALUE"""),"GG")</f>
        <v>GG</v>
      </c>
      <c r="AF74" s="1" t="str">
        <f>IFERROR(__xludf.DUMMYFUNCTION("""COMPUTED_VALUE"""),"G")</f>
        <v>G</v>
      </c>
      <c r="AG74" s="1" t="str">
        <f>IFERROR(__xludf.DUMMYFUNCTION("""COMPUTED_VALUE"""),"G")</f>
        <v>G</v>
      </c>
      <c r="AH74" s="1">
        <f>IFERROR(__xludf.DUMMYFUNCTION("""COMPUTED_VALUE"""),40)</f>
        <v>40</v>
      </c>
      <c r="AI74" s="1">
        <f>IFERROR(__xludf.DUMMYFUNCTION("""COMPUTED_VALUE"""),39)</f>
        <v>39</v>
      </c>
      <c r="AJ74" s="1">
        <f>IFERROR(__xludf.DUMMYFUNCTION("""COMPUTED_VALUE"""),39)</f>
        <v>39</v>
      </c>
      <c r="AK74" s="1">
        <f>IFERROR(__xludf.DUMMYFUNCTION("""COMPUTED_VALUE"""),39)</f>
        <v>39</v>
      </c>
      <c r="AL74" s="1" t="str">
        <f>IFERROR(__xludf.DUMMYFUNCTION("""COMPUTED_VALUE"""),"G")</f>
        <v>G</v>
      </c>
      <c r="AM74" s="1" t="str">
        <f>IFERROR(__xludf.DUMMYFUNCTION("""COMPUTED_VALUE"""),"GG")</f>
        <v>GG</v>
      </c>
      <c r="AN74" s="1" t="str">
        <f>IFERROR(__xludf.DUMMYFUNCTION("""COMPUTED_VALUE"""),"G")</f>
        <v>G</v>
      </c>
    </row>
    <row r="75" customHeight="1" spans="1:40">
      <c r="A75" s="1" t="str">
        <f>IFERROR(__xludf.DUMMYFUNCTION("""COMPUTED_VALUE"""),"02° BBM")</f>
        <v>02° BBM</v>
      </c>
      <c r="B75" s="1" t="str">
        <f>IFERROR(__xludf.DUMMYFUNCTION("""COMPUTED_VALUE"""),"Novo Hamburgo")</f>
        <v>Novo Hamburgo</v>
      </c>
      <c r="C75" s="119" t="str">
        <f>IFERROR(__xludf.DUMMYFUNCTION("""COMPUTED_VALUE"""),"Comunitario")</f>
        <v>Comunitario</v>
      </c>
      <c r="D75" s="119" t="str">
        <f>IFERROR(__xludf.DUMMYFUNCTION("""COMPUTED_VALUE"""),"JOÃO ONEIDE DE NATIVIDADE FLORES")</f>
        <v>JOÃO ONEIDE DE NATIVIDADE FLORES</v>
      </c>
      <c r="E75" s="119" t="str">
        <f>IFERROR(__xludf.DUMMYFUNCTION("""COMPUTED_VALUE"""),"Módulo 1 concluído")</f>
        <v>Módulo 1 concluído</v>
      </c>
      <c r="F75" s="1" t="str">
        <f>IFERROR(__xludf.DUMMYFUNCTION("""COMPUTED_VALUE"""),"988.588.150-68")</f>
        <v>988.588.150-68</v>
      </c>
      <c r="G75" s="1">
        <f>IFERROR(__xludf.DUMMYFUNCTION("""COMPUTED_VALUE"""),1082542885)</f>
        <v>1082542885</v>
      </c>
      <c r="H75" s="1" t="str">
        <f>IFERROR(__xludf.DUMMYFUNCTION("""COMPUTED_VALUE"""),"Combatente")</f>
        <v>Combatente</v>
      </c>
      <c r="I75" s="1" t="str">
        <f>IFERROR(__xludf.DUMMYFUNCTION("""COMPUTED_VALUE"""),"Bombeiro Voluntário, Combate a Incêndio, APH, NR 35, Técnico de Segurança do Trabalho.")</f>
        <v>Bombeiro Voluntário, Combate a Incêndio, APH, NR 35, Técnico de Segurança do Trabalho.</v>
      </c>
      <c r="J75" s="1" t="str">
        <f>IFERROR(__xludf.DUMMYFUNCTION("""COMPUTED_VALUE"""),"Sim")</f>
        <v>Sim</v>
      </c>
      <c r="K75" s="1" t="str">
        <f>IFERROR(__xludf.DUMMYFUNCTION("""COMPUTED_VALUE"""),"Não")</f>
        <v>Não</v>
      </c>
      <c r="L75" s="1" t="str">
        <f>IFERROR(__xludf.DUMMYFUNCTION("""COMPUTED_VALUE"""),"O+")</f>
        <v>O+</v>
      </c>
      <c r="M75" s="1" t="str">
        <f>IFERROR(__xludf.DUMMYFUNCTION("""COMPUTED_VALUE"""),"JOÃO")</f>
        <v>JOÃO</v>
      </c>
      <c r="N75" s="120">
        <f>IFERROR(__xludf.DUMMYFUNCTION("""COMPUTED_VALUE"""),30376)</f>
        <v>30376</v>
      </c>
      <c r="O75" s="1" t="str">
        <f>IFERROR(__xludf.DUMMYFUNCTION("""COMPUTED_VALUE"""),"Masculino")</f>
        <v>Masculino</v>
      </c>
      <c r="P75" s="1" t="str">
        <f>IFERROR(__xludf.DUMMYFUNCTION("""COMPUTED_VALUE"""),"Branca")</f>
        <v>Branca</v>
      </c>
      <c r="Q75" s="1" t="str">
        <f>IFERROR(__xludf.DUMMYFUNCTION("""COMPUTED_VALUE"""),"Ensino Superior Completo")</f>
        <v>Ensino Superior Completo</v>
      </c>
      <c r="R75" s="1" t="str">
        <f>IFERROR(__xludf.DUMMYFUNCTION("""COMPUTED_VALUE"""),"joaooneide@hotmail.com")</f>
        <v>joaooneide@hotmail.com</v>
      </c>
      <c r="S75" s="1">
        <f>IFERROR(__xludf.DUMMYFUNCTION("""COMPUTED_VALUE"""),84)</f>
        <v>84</v>
      </c>
      <c r="T75" s="1" t="str">
        <f>IFERROR(__xludf.DUMMYFUNCTION("""COMPUTED_VALUE"""),"Entre 1,71m e 1,75m")</f>
        <v>Entre 1,71m e 1,75m</v>
      </c>
      <c r="U75" s="1"/>
      <c r="V75" s="1" t="str">
        <f>IFERROR(__xludf.DUMMYFUNCTION("""COMPUTED_VALUE"""),"(51) 996932878")</f>
        <v>(51) 996932878</v>
      </c>
      <c r="W75" s="1" t="str">
        <f>IFERROR(__xludf.DUMMYFUNCTION("""COMPUTED_VALUE"""),"(51) 984313682")</f>
        <v>(51) 984313682</v>
      </c>
      <c r="X75" s="1" t="str">
        <f>IFERROR(__xludf.DUMMYFUNCTION("""COMPUTED_VALUE"""),"RS")</f>
        <v>RS</v>
      </c>
      <c r="Y75" s="1" t="str">
        <f>IFERROR(__xludf.DUMMYFUNCTION("""COMPUTED_VALUE"""),"Campo Bom")</f>
        <v>Campo Bom</v>
      </c>
      <c r="Z75" s="1" t="str">
        <f>IFERROR(__xludf.DUMMYFUNCTION("""COMPUTED_VALUE"""),"93700-000")</f>
        <v>93700-000</v>
      </c>
      <c r="AA75" s="1" t="str">
        <f>IFERROR(__xludf.DUMMYFUNCTION("""COMPUTED_VALUE"""),"Rua Santa Cruz, 525")</f>
        <v>Rua Santa Cruz, 525</v>
      </c>
      <c r="AB75" s="1" t="str">
        <f>IFERROR(__xludf.DUMMYFUNCTION("""COMPUTED_VALUE"""),"Imigrante Norte")</f>
        <v>Imigrante Norte</v>
      </c>
      <c r="AC75" s="1" t="str">
        <f>IFERROR(__xludf.DUMMYFUNCTION("""COMPUTED_VALUE"""),"M")</f>
        <v>M</v>
      </c>
      <c r="AD75" s="1" t="str">
        <f>IFERROR(__xludf.DUMMYFUNCTION("""COMPUTED_VALUE"""),"M")</f>
        <v>M</v>
      </c>
      <c r="AE75" s="1" t="str">
        <f>IFERROR(__xludf.DUMMYFUNCTION("""COMPUTED_VALUE"""),"M")</f>
        <v>M</v>
      </c>
      <c r="AF75" s="1" t="str">
        <f>IFERROR(__xludf.DUMMYFUNCTION("""COMPUTED_VALUE"""),"M")</f>
        <v>M</v>
      </c>
      <c r="AG75" s="1" t="str">
        <f>IFERROR(__xludf.DUMMYFUNCTION("""COMPUTED_VALUE"""),"M")</f>
        <v>M</v>
      </c>
      <c r="AH75" s="1">
        <f>IFERROR(__xludf.DUMMYFUNCTION("""COMPUTED_VALUE"""),39)</f>
        <v>39</v>
      </c>
      <c r="AI75" s="1">
        <f>IFERROR(__xludf.DUMMYFUNCTION("""COMPUTED_VALUE"""),39)</f>
        <v>39</v>
      </c>
      <c r="AJ75" s="1">
        <f>IFERROR(__xludf.DUMMYFUNCTION("""COMPUTED_VALUE"""),39)</f>
        <v>39</v>
      </c>
      <c r="AK75" s="1">
        <f>IFERROR(__xludf.DUMMYFUNCTION("""COMPUTED_VALUE"""),39)</f>
        <v>39</v>
      </c>
      <c r="AL75" s="1" t="str">
        <f>IFERROR(__xludf.DUMMYFUNCTION("""COMPUTED_VALUE"""),"M")</f>
        <v>M</v>
      </c>
      <c r="AM75" s="1" t="str">
        <f>IFERROR(__xludf.DUMMYFUNCTION("""COMPUTED_VALUE"""),"M")</f>
        <v>M</v>
      </c>
      <c r="AN75" s="1" t="str">
        <f>IFERROR(__xludf.DUMMYFUNCTION("""COMPUTED_VALUE"""),"M")</f>
        <v>M</v>
      </c>
    </row>
    <row r="76" customHeight="1" spans="1:40">
      <c r="A76" s="1" t="str">
        <f>IFERROR(__xludf.DUMMYFUNCTION("""COMPUTED_VALUE"""),"02° BBM")</f>
        <v>02° BBM</v>
      </c>
      <c r="B76" s="1" t="str">
        <f>IFERROR(__xludf.DUMMYFUNCTION("""COMPUTED_VALUE"""),"Estância Velha")</f>
        <v>Estância Velha</v>
      </c>
      <c r="C76" s="119" t="str">
        <f>IFERROR(__xludf.DUMMYFUNCTION("""COMPUTED_VALUE"""),"Comunitario")</f>
        <v>Comunitario</v>
      </c>
      <c r="D76" s="119" t="str">
        <f>IFERROR(__xludf.DUMMYFUNCTION("""COMPUTED_VALUE"""),"JOÁS CAMPOS DA SILVA")</f>
        <v>JOÁS CAMPOS DA SILVA</v>
      </c>
      <c r="E76" s="119" t="str">
        <f>IFERROR(__xludf.DUMMYFUNCTION("""COMPUTED_VALUE"""),"")</f>
        <v/>
      </c>
      <c r="F76" s="1" t="str">
        <f>IFERROR(__xludf.DUMMYFUNCTION("""COMPUTED_VALUE"""),"047.288.830-78")</f>
        <v>047.288.830-78</v>
      </c>
      <c r="G76" s="1">
        <f>IFERROR(__xludf.DUMMYFUNCTION("""COMPUTED_VALUE"""),2121482182)</f>
        <v>2121482182</v>
      </c>
      <c r="H76" s="1" t="str">
        <f>IFERROR(__xludf.DUMMYFUNCTION("""COMPUTED_VALUE"""),"Combatente e Socorrista")</f>
        <v>Combatente e Socorrista</v>
      </c>
      <c r="I76" s="1" t="str">
        <f>IFERROR(__xludf.DUMMYFUNCTION("""COMPUTED_VALUE"""),"Bombeiro Voluntario, Extricação veicular, aph, combate a incêndio ")</f>
        <v>Bombeiro Voluntario, Extricação veicular, aph, combate a incêndio </v>
      </c>
      <c r="J76" s="1" t="str">
        <f>IFERROR(__xludf.DUMMYFUNCTION("""COMPUTED_VALUE"""),"Sim")</f>
        <v>Sim</v>
      </c>
      <c r="K76" s="1" t="str">
        <f>IFERROR(__xludf.DUMMYFUNCTION("""COMPUTED_VALUE"""),"Sim")</f>
        <v>Sim</v>
      </c>
      <c r="L76" s="1" t="str">
        <f>IFERROR(__xludf.DUMMYFUNCTION("""COMPUTED_VALUE"""),"A+")</f>
        <v>A+</v>
      </c>
      <c r="M76" s="1" t="str">
        <f>IFERROR(__xludf.DUMMYFUNCTION("""COMPUTED_VALUE"""),"Joás")</f>
        <v>Joás</v>
      </c>
      <c r="N76" s="120">
        <f>IFERROR(__xludf.DUMMYFUNCTION("""COMPUTED_VALUE"""),36344)</f>
        <v>36344</v>
      </c>
      <c r="O76" s="1" t="str">
        <f>IFERROR(__xludf.DUMMYFUNCTION("""COMPUTED_VALUE"""),"Masculino")</f>
        <v>Masculino</v>
      </c>
      <c r="P76" s="1" t="str">
        <f>IFERROR(__xludf.DUMMYFUNCTION("""COMPUTED_VALUE"""),"Branca")</f>
        <v>Branca</v>
      </c>
      <c r="Q76" s="1" t="str">
        <f>IFERROR(__xludf.DUMMYFUNCTION("""COMPUTED_VALUE"""),"Ensino Médio")</f>
        <v>Ensino Médio</v>
      </c>
      <c r="R76" s="1" t="str">
        <f>IFERROR(__xludf.DUMMYFUNCTION("""COMPUTED_VALUE"""),"joascampos2020@gmail.com")</f>
        <v>joascampos2020@gmail.com</v>
      </c>
      <c r="S76" s="1" t="str">
        <f>IFERROR(__xludf.DUMMYFUNCTION("""COMPUTED_VALUE"""),"72kg")</f>
        <v>72kg</v>
      </c>
      <c r="T76" s="1" t="str">
        <f>IFERROR(__xludf.DUMMYFUNCTION("""COMPUTED_VALUE"""),"Entre 1,81m e 1,85m")</f>
        <v>Entre 1,81m e 1,85m</v>
      </c>
      <c r="U76" s="1">
        <f>IFERROR(__xludf.DUMMYFUNCTION("""COMPUTED_VALUE"""),51992986502)</f>
        <v>51992986502</v>
      </c>
      <c r="V76" s="1">
        <f>IFERROR(__xludf.DUMMYFUNCTION("""COMPUTED_VALUE"""),51992159216)</f>
        <v>51992159216</v>
      </c>
      <c r="W76" s="1">
        <f>IFERROR(__xludf.DUMMYFUNCTION("""COMPUTED_VALUE"""),51991627181)</f>
        <v>51991627181</v>
      </c>
      <c r="X76" s="1" t="str">
        <f>IFERROR(__xludf.DUMMYFUNCTION("""COMPUTED_VALUE"""),"RS")</f>
        <v>RS</v>
      </c>
      <c r="Y76" s="1" t="str">
        <f>IFERROR(__xludf.DUMMYFUNCTION("""COMPUTED_VALUE"""),"Estância Velha")</f>
        <v>Estância Velha</v>
      </c>
      <c r="Z76" s="1" t="str">
        <f>IFERROR(__xludf.DUMMYFUNCTION("""COMPUTED_VALUE"""),"93612-640")</f>
        <v>93612-640</v>
      </c>
      <c r="AA76" s="1" t="str">
        <f>IFERROR(__xludf.DUMMYFUNCTION("""COMPUTED_VALUE"""),"RUA FRANÇA 466")</f>
        <v>RUA FRANÇA 466</v>
      </c>
      <c r="AB76" s="1" t="str">
        <f>IFERROR(__xludf.DUMMYFUNCTION("""COMPUTED_VALUE"""),"LAGO AZUL")</f>
        <v>LAGO AZUL</v>
      </c>
      <c r="AC76" s="1" t="str">
        <f>IFERROR(__xludf.DUMMYFUNCTION("""COMPUTED_VALUE"""),"G")</f>
        <v>G</v>
      </c>
      <c r="AD76" s="1" t="str">
        <f>IFERROR(__xludf.DUMMYFUNCTION("""COMPUTED_VALUE"""),"G")</f>
        <v>G</v>
      </c>
      <c r="AE76" s="1" t="str">
        <f>IFERROR(__xludf.DUMMYFUNCTION("""COMPUTED_VALUE"""),"G")</f>
        <v>G</v>
      </c>
      <c r="AF76" s="1" t="str">
        <f>IFERROR(__xludf.DUMMYFUNCTION("""COMPUTED_VALUE"""),"M")</f>
        <v>M</v>
      </c>
      <c r="AG76" s="1" t="str">
        <f>IFERROR(__xludf.DUMMYFUNCTION("""COMPUTED_VALUE"""),"G")</f>
        <v>G</v>
      </c>
      <c r="AH76" s="1">
        <f>IFERROR(__xludf.DUMMYFUNCTION("""COMPUTED_VALUE"""),41)</f>
        <v>41</v>
      </c>
      <c r="AI76" s="1">
        <f>IFERROR(__xludf.DUMMYFUNCTION("""COMPUTED_VALUE"""),41)</f>
        <v>41</v>
      </c>
      <c r="AJ76" s="1">
        <f>IFERROR(__xludf.DUMMYFUNCTION("""COMPUTED_VALUE"""),41)</f>
        <v>41</v>
      </c>
      <c r="AK76" s="1">
        <f>IFERROR(__xludf.DUMMYFUNCTION("""COMPUTED_VALUE"""),41)</f>
        <v>41</v>
      </c>
      <c r="AL76" s="1" t="str">
        <f>IFERROR(__xludf.DUMMYFUNCTION("""COMPUTED_VALUE"""),"G")</f>
        <v>G</v>
      </c>
      <c r="AM76" s="1" t="str">
        <f>IFERROR(__xludf.DUMMYFUNCTION("""COMPUTED_VALUE"""),"G")</f>
        <v>G</v>
      </c>
      <c r="AN76" s="1" t="str">
        <f>IFERROR(__xludf.DUMMYFUNCTION("""COMPUTED_VALUE"""),"G")</f>
        <v>G</v>
      </c>
    </row>
    <row r="77" customHeight="1" spans="1:40">
      <c r="A77" s="1" t="str">
        <f>IFERROR(__xludf.DUMMYFUNCTION("""COMPUTED_VALUE"""),"02° BBM")</f>
        <v>02° BBM</v>
      </c>
      <c r="B77" s="1" t="str">
        <f>IFERROR(__xludf.DUMMYFUNCTION("""COMPUTED_VALUE"""),"Novo Hamburgo")</f>
        <v>Novo Hamburgo</v>
      </c>
      <c r="C77" s="119" t="str">
        <f>IFERROR(__xludf.DUMMYFUNCTION("""COMPUTED_VALUE"""),"Comunitario")</f>
        <v>Comunitario</v>
      </c>
      <c r="D77" s="119" t="str">
        <f>IFERROR(__xludf.DUMMYFUNCTION("""COMPUTED_VALUE"""),"JORGE HENRIQUE MORAES")</f>
        <v>JORGE HENRIQUE MORAES</v>
      </c>
      <c r="E77" s="119" t="str">
        <f>IFERROR(__xludf.DUMMYFUNCTION("""COMPUTED_VALUE"""),"")</f>
        <v/>
      </c>
      <c r="F77" s="1" t="str">
        <f>IFERROR(__xludf.DUMMYFUNCTION("""COMPUTED_VALUE"""),"019.604.330-16")</f>
        <v>019.604.330-16</v>
      </c>
      <c r="G77" s="1">
        <f>IFERROR(__xludf.DUMMYFUNCTION("""COMPUTED_VALUE"""),9100512061)</f>
        <v>9100512061</v>
      </c>
      <c r="H77" s="1" t="str">
        <f>IFERROR(__xludf.DUMMYFUNCTION("""COMPUTED_VALUE"""),"Combatente")</f>
        <v>Combatente</v>
      </c>
      <c r="I77" s="1" t="str">
        <f>IFERROR(__xludf.DUMMYFUNCTION("""COMPUTED_VALUE"""),"Bombeiro Voluntário, BREC")</f>
        <v>Bombeiro Voluntário, BREC</v>
      </c>
      <c r="J77" s="1" t="str">
        <f>IFERROR(__xludf.DUMMYFUNCTION("""COMPUTED_VALUE"""),"Sim")</f>
        <v>Sim</v>
      </c>
      <c r="K77" s="1" t="str">
        <f>IFERROR(__xludf.DUMMYFUNCTION("""COMPUTED_VALUE"""),"Sim")</f>
        <v>Sim</v>
      </c>
      <c r="L77" s="1" t="str">
        <f>IFERROR(__xludf.DUMMYFUNCTION("""COMPUTED_VALUE"""),"A+")</f>
        <v>A+</v>
      </c>
      <c r="M77" s="1" t="str">
        <f>IFERROR(__xludf.DUMMYFUNCTION("""COMPUTED_VALUE"""),"JORGE")</f>
        <v>JORGE</v>
      </c>
      <c r="N77" s="120">
        <f>IFERROR(__xludf.DUMMYFUNCTION("""COMPUTED_VALUE"""),33911)</f>
        <v>33911</v>
      </c>
      <c r="O77" s="1" t="str">
        <f>IFERROR(__xludf.DUMMYFUNCTION("""COMPUTED_VALUE"""),"Masculino")</f>
        <v>Masculino</v>
      </c>
      <c r="P77" s="1" t="str">
        <f>IFERROR(__xludf.DUMMYFUNCTION("""COMPUTED_VALUE"""),"Branca")</f>
        <v>Branca</v>
      </c>
      <c r="Q77" s="1" t="str">
        <f>IFERROR(__xludf.DUMMYFUNCTION("""COMPUTED_VALUE"""),"Ensino Superior Completo")</f>
        <v>Ensino Superior Completo</v>
      </c>
      <c r="R77" s="1" t="str">
        <f>IFERROR(__xludf.DUMMYFUNCTION("""COMPUTED_VALUE"""),"jorgemoraes92@yahoo.com")</f>
        <v>jorgemoraes92@yahoo.com</v>
      </c>
      <c r="S77" s="1">
        <f>IFERROR(__xludf.DUMMYFUNCTION("""COMPUTED_VALUE"""),90)</f>
        <v>90</v>
      </c>
      <c r="T77" s="1" t="str">
        <f>IFERROR(__xludf.DUMMYFUNCTION("""COMPUTED_VALUE"""),"Entre 1,76m e 1,80m")</f>
        <v>Entre 1,76m e 1,80m</v>
      </c>
      <c r="U77" s="1"/>
      <c r="V77" s="1" t="str">
        <f>IFERROR(__xludf.DUMMYFUNCTION("""COMPUTED_VALUE"""),"(51) 995257463")</f>
        <v>(51) 995257463</v>
      </c>
      <c r="W77" s="1" t="str">
        <f>IFERROR(__xludf.DUMMYFUNCTION("""COMPUTED_VALUE"""),"(51) 999998555")</f>
        <v>(51) 999998555</v>
      </c>
      <c r="X77" s="1" t="str">
        <f>IFERROR(__xludf.DUMMYFUNCTION("""COMPUTED_VALUE"""),"RS")</f>
        <v>RS</v>
      </c>
      <c r="Y77" s="1" t="str">
        <f>IFERROR(__xludf.DUMMYFUNCTION("""COMPUTED_VALUE"""),"Campo Bom")</f>
        <v>Campo Bom</v>
      </c>
      <c r="Z77" s="1" t="str">
        <f>IFERROR(__xludf.DUMMYFUNCTION("""COMPUTED_VALUE"""),"93700-000")</f>
        <v>93700-000</v>
      </c>
      <c r="AA77" s="1" t="str">
        <f>IFERROR(__xludf.DUMMYFUNCTION("""COMPUTED_VALUE"""),"Av. Pernambuvo, 545")</f>
        <v>Av. Pernambuvo, 545</v>
      </c>
      <c r="AB77" s="1" t="str">
        <f>IFERROR(__xludf.DUMMYFUNCTION("""COMPUTED_VALUE"""),"Imigrante Norte")</f>
        <v>Imigrante Norte</v>
      </c>
      <c r="AC77" s="1" t="str">
        <f>IFERROR(__xludf.DUMMYFUNCTION("""COMPUTED_VALUE"""),"G")</f>
        <v>G</v>
      </c>
      <c r="AD77" s="1" t="str">
        <f>IFERROR(__xludf.DUMMYFUNCTION("""COMPUTED_VALUE"""),"G")</f>
        <v>G</v>
      </c>
      <c r="AE77" s="1" t="str">
        <f>IFERROR(__xludf.DUMMYFUNCTION("""COMPUTED_VALUE"""),"G")</f>
        <v>G</v>
      </c>
      <c r="AF77" s="1" t="str">
        <f>IFERROR(__xludf.DUMMYFUNCTION("""COMPUTED_VALUE"""),"G")</f>
        <v>G</v>
      </c>
      <c r="AG77" s="1" t="str">
        <f>IFERROR(__xludf.DUMMYFUNCTION("""COMPUTED_VALUE"""),"GG")</f>
        <v>GG</v>
      </c>
      <c r="AH77" s="1">
        <f>IFERROR(__xludf.DUMMYFUNCTION("""COMPUTED_VALUE"""),42)</f>
        <v>42</v>
      </c>
      <c r="AI77" s="1">
        <f>IFERROR(__xludf.DUMMYFUNCTION("""COMPUTED_VALUE"""),42)</f>
        <v>42</v>
      </c>
      <c r="AJ77" s="1">
        <f>IFERROR(__xludf.DUMMYFUNCTION("""COMPUTED_VALUE"""),42)</f>
        <v>42</v>
      </c>
      <c r="AK77" s="1">
        <f>IFERROR(__xludf.DUMMYFUNCTION("""COMPUTED_VALUE"""),42)</f>
        <v>42</v>
      </c>
      <c r="AL77" s="1" t="str">
        <f>IFERROR(__xludf.DUMMYFUNCTION("""COMPUTED_VALUE"""),"G")</f>
        <v>G</v>
      </c>
      <c r="AM77" s="1" t="str">
        <f>IFERROR(__xludf.DUMMYFUNCTION("""COMPUTED_VALUE"""),"G")</f>
        <v>G</v>
      </c>
      <c r="AN77" s="1" t="str">
        <f>IFERROR(__xludf.DUMMYFUNCTION("""COMPUTED_VALUE"""),"M")</f>
        <v>M</v>
      </c>
    </row>
    <row r="78" customHeight="1" spans="1:40">
      <c r="A78" s="1" t="str">
        <f>IFERROR(__xludf.DUMMYFUNCTION("""COMPUTED_VALUE"""),"02° BBM")</f>
        <v>02° BBM</v>
      </c>
      <c r="B78" s="1" t="str">
        <f>IFERROR(__xludf.DUMMYFUNCTION("""COMPUTED_VALUE"""),"Parobé")</f>
        <v>Parobé</v>
      </c>
      <c r="C78" s="119" t="str">
        <f>IFERROR(__xludf.DUMMYFUNCTION("""COMPUTED_VALUE"""),"Comunitario")</f>
        <v>Comunitario</v>
      </c>
      <c r="D78" s="119" t="str">
        <f>IFERROR(__xludf.DUMMYFUNCTION("""COMPUTED_VALUE"""),"JOSÉ AUGUSTO MAAS KNOPF")</f>
        <v>JOSÉ AUGUSTO MAAS KNOPF</v>
      </c>
      <c r="E78" s="119" t="str">
        <f>IFERROR(__xludf.DUMMYFUNCTION("""COMPUTED_VALUE"""),"Curso CAB operador concluído")</f>
        <v>Curso CAB operador concluído</v>
      </c>
      <c r="F78" s="1" t="str">
        <f>IFERROR(__xludf.DUMMYFUNCTION("""COMPUTED_VALUE"""),"018.921.870-35")</f>
        <v>018.921.870-35</v>
      </c>
      <c r="G78" s="1">
        <f>IFERROR(__xludf.DUMMYFUNCTION("""COMPUTED_VALUE"""),2109021507)</f>
        <v>2109021507</v>
      </c>
      <c r="H78" s="1" t="str">
        <f>IFERROR(__xludf.DUMMYFUNCTION("""COMPUTED_VALUE"""),"Combatente e Socorrista")</f>
        <v>Combatente e Socorrista</v>
      </c>
      <c r="I78" s="1" t="str">
        <f>IFERROR(__xludf.DUMMYFUNCTION("""COMPUTED_VALUE"""),"NR 11, NR 12 Anexo V, NR 20, NR 23, NR 35, SBV, APH, BLS, Stop the Bleed, BREC, Resgate Veicular, RTI - Resgate Técnico Indutrial Líder, Bombeiro Voluntário SCAB")</f>
        <v>NR 11, NR 12 Anexo V, NR 20, NR 23, NR 35, SBV, APH, BLS, Stop the Bleed, BREC, Resgate Veicular, RTI - Resgate Técnico Indutrial Líder, Bombeiro Voluntário SCAB</v>
      </c>
      <c r="J78" s="1" t="str">
        <f>IFERROR(__xludf.DUMMYFUNCTION("""COMPUTED_VALUE"""),"Não")</f>
        <v>Não</v>
      </c>
      <c r="K78" s="1" t="str">
        <f>IFERROR(__xludf.DUMMYFUNCTION("""COMPUTED_VALUE"""),"Não")</f>
        <v>Não</v>
      </c>
      <c r="L78" s="1" t="str">
        <f>IFERROR(__xludf.DUMMYFUNCTION("""COMPUTED_VALUE"""),"A-")</f>
        <v>A-</v>
      </c>
      <c r="M78" s="1" t="str">
        <f>IFERROR(__xludf.DUMMYFUNCTION("""COMPUTED_VALUE"""),"AUGUSTO")</f>
        <v>AUGUSTO</v>
      </c>
      <c r="N78" s="121">
        <f>IFERROR(__xludf.DUMMYFUNCTION("""COMPUTED_VALUE"""),32350)</f>
        <v>32350</v>
      </c>
      <c r="O78" s="1" t="str">
        <f>IFERROR(__xludf.DUMMYFUNCTION("""COMPUTED_VALUE"""),"Masculino")</f>
        <v>Masculino</v>
      </c>
      <c r="P78" s="1" t="str">
        <f>IFERROR(__xludf.DUMMYFUNCTION("""COMPUTED_VALUE"""),"Branca")</f>
        <v>Branca</v>
      </c>
      <c r="Q78" s="1" t="str">
        <f>IFERROR(__xludf.DUMMYFUNCTION("""COMPUTED_VALUE"""),"Ensino Médio")</f>
        <v>Ensino Médio</v>
      </c>
      <c r="R78" s="1" t="str">
        <f>IFERROR(__xludf.DUMMYFUNCTION("""COMPUTED_VALUE"""),"Gutomk@hotmail.com")</f>
        <v>Gutomk@hotmail.com</v>
      </c>
      <c r="S78" s="1">
        <f>IFERROR(__xludf.DUMMYFUNCTION("""COMPUTED_VALUE"""),85)</f>
        <v>85</v>
      </c>
      <c r="T78" s="1" t="str">
        <f>IFERROR(__xludf.DUMMYFUNCTION("""COMPUTED_VALUE"""),"Entre 1,71m e 1,75m")</f>
        <v>Entre 1,71m e 1,75m</v>
      </c>
      <c r="U78" s="1"/>
      <c r="V78" s="1" t="str">
        <f>IFERROR(__xludf.DUMMYFUNCTION("""COMPUTED_VALUE"""),"(51) 999000313")</f>
        <v>(51) 999000313</v>
      </c>
      <c r="W78" s="1" t="str">
        <f>IFERROR(__xludf.DUMMYFUNCTION("""COMPUTED_VALUE"""),"(51) 98170-1202")</f>
        <v>(51) 98170-1202</v>
      </c>
      <c r="X78" s="1" t="str">
        <f>IFERROR(__xludf.DUMMYFUNCTION("""COMPUTED_VALUE"""),"RS")</f>
        <v>RS</v>
      </c>
      <c r="Y78" s="1" t="str">
        <f>IFERROR(__xludf.DUMMYFUNCTION("""COMPUTED_VALUE"""),"Parobé")</f>
        <v>Parobé</v>
      </c>
      <c r="Z78" s="1" t="str">
        <f>IFERROR(__xludf.DUMMYFUNCTION("""COMPUTED_VALUE"""),"95630-000")</f>
        <v>95630-000</v>
      </c>
      <c r="AA78" s="1" t="str">
        <f>IFERROR(__xludf.DUMMYFUNCTION("""COMPUTED_VALUE"""),"Arduíno Haack, 370")</f>
        <v>Arduíno Haack, 370</v>
      </c>
      <c r="AB78" s="1" t="str">
        <f>IFERROR(__xludf.DUMMYFUNCTION("""COMPUTED_VALUE"""),"Alexandria")</f>
        <v>Alexandria</v>
      </c>
      <c r="AC78" s="1" t="str">
        <f>IFERROR(__xludf.DUMMYFUNCTION("""COMPUTED_VALUE"""),"G")</f>
        <v>G</v>
      </c>
      <c r="AD78" s="1" t="str">
        <f>IFERROR(__xludf.DUMMYFUNCTION("""COMPUTED_VALUE"""),"G")</f>
        <v>G</v>
      </c>
      <c r="AE78" s="1" t="str">
        <f>IFERROR(__xludf.DUMMYFUNCTION("""COMPUTED_VALUE"""),"G")</f>
        <v>G</v>
      </c>
      <c r="AF78" s="1" t="str">
        <f>IFERROR(__xludf.DUMMYFUNCTION("""COMPUTED_VALUE"""),"G")</f>
        <v>G</v>
      </c>
      <c r="AG78" s="1" t="str">
        <f>IFERROR(__xludf.DUMMYFUNCTION("""COMPUTED_VALUE"""),"G")</f>
        <v>G</v>
      </c>
      <c r="AH78" s="1">
        <f>IFERROR(__xludf.DUMMYFUNCTION("""COMPUTED_VALUE"""),40)</f>
        <v>40</v>
      </c>
      <c r="AI78" s="1">
        <f>IFERROR(__xludf.DUMMYFUNCTION("""COMPUTED_VALUE"""),40)</f>
        <v>40</v>
      </c>
      <c r="AJ78" s="1">
        <f>IFERROR(__xludf.DUMMYFUNCTION("""COMPUTED_VALUE"""),40)</f>
        <v>40</v>
      </c>
      <c r="AK78" s="1">
        <f>IFERROR(__xludf.DUMMYFUNCTION("""COMPUTED_VALUE"""),40)</f>
        <v>40</v>
      </c>
      <c r="AL78" s="1" t="str">
        <f>IFERROR(__xludf.DUMMYFUNCTION("""COMPUTED_VALUE"""),"M")</f>
        <v>M</v>
      </c>
      <c r="AM78" s="1" t="str">
        <f>IFERROR(__xludf.DUMMYFUNCTION("""COMPUTED_VALUE"""),"M")</f>
        <v>M</v>
      </c>
      <c r="AN78" s="1" t="str">
        <f>IFERROR(__xludf.DUMMYFUNCTION("""COMPUTED_VALUE"""),"G")</f>
        <v>G</v>
      </c>
    </row>
    <row r="79" customHeight="1" spans="1:40">
      <c r="A79" s="1"/>
      <c r="B79" s="1"/>
      <c r="C79" s="119"/>
      <c r="D79" s="119" t="str">
        <f>IFERROR(__xludf.DUMMYFUNCTION("""COMPUTED_VALUE"""),"JOSÉ SANDRO DA LUZ PEREIRA")</f>
        <v>JOSÉ SANDRO DA LUZ PEREIRA</v>
      </c>
      <c r="E79" s="119" t="str">
        <f>IFERROR(__xludf.DUMMYFUNCTION("""COMPUTED_VALUE"""),"Curso CAB operador concluído")</f>
        <v>Curso CAB operador concluído</v>
      </c>
      <c r="F79" s="1" t="str">
        <f>IFERROR(__xludf.DUMMYFUNCTION("""COMPUTED_VALUE"""),"000.603.010-66")</f>
        <v>000.603.010-66</v>
      </c>
      <c r="G79" s="1"/>
      <c r="H79" s="1"/>
      <c r="I79" s="1"/>
      <c r="J79" s="1"/>
      <c r="K79" s="1"/>
      <c r="L79" s="1"/>
      <c r="M79" s="1"/>
      <c r="N79" s="120"/>
      <c r="O79" s="1"/>
      <c r="P79" s="1"/>
      <c r="Q79" s="1"/>
      <c r="R79" s="1"/>
      <c r="S79" s="1"/>
      <c r="T79" s="1"/>
      <c r="U79" s="1"/>
      <c r="V79" s="1"/>
      <c r="W79" s="1"/>
      <c r="X79" s="1"/>
      <c r="Y79" s="1"/>
      <c r="Z79" s="1"/>
      <c r="AA79" s="1"/>
      <c r="AB79" s="1"/>
      <c r="AC79" s="1"/>
      <c r="AD79" s="1"/>
      <c r="AE79" s="1"/>
      <c r="AF79" s="1"/>
      <c r="AG79" s="1"/>
      <c r="AH79" s="1"/>
      <c r="AI79" s="1"/>
      <c r="AJ79" s="1"/>
      <c r="AK79" s="1"/>
      <c r="AL79" s="1"/>
      <c r="AM79" s="1"/>
      <c r="AN79" s="1"/>
    </row>
    <row r="80" customHeight="1" spans="1:40">
      <c r="A80" s="1" t="str">
        <f>IFERROR(__xludf.DUMMYFUNCTION("""COMPUTED_VALUE"""),"02° BBM")</f>
        <v>02° BBM</v>
      </c>
      <c r="B80" s="1" t="str">
        <f>IFERROR(__xludf.DUMMYFUNCTION("""COMPUTED_VALUE"""),"Araricá")</f>
        <v>Araricá</v>
      </c>
      <c r="C80" s="119" t="str">
        <f>IFERROR(__xludf.DUMMYFUNCTION("""COMPUTED_VALUE"""),"CAB")</f>
        <v>CAB</v>
      </c>
      <c r="D80" s="119" t="str">
        <f>IFERROR(__xludf.DUMMYFUNCTION("""COMPUTED_VALUE"""),"JOSELITO PULZ LUCIANO DA ROSA")</f>
        <v>JOSELITO PULZ LUCIANO DA ROSA</v>
      </c>
      <c r="E80" s="119" t="str">
        <f>IFERROR(__xludf.DUMMYFUNCTION("""COMPUTED_VALUE"""),"Curso CAB operador concluído")</f>
        <v>Curso CAB operador concluído</v>
      </c>
      <c r="F80" s="1" t="str">
        <f>IFERROR(__xludf.DUMMYFUNCTION("""COMPUTED_VALUE"""),"831.949.080-49")</f>
        <v>831.949.080-49</v>
      </c>
      <c r="G80" s="1">
        <f>IFERROR(__xludf.DUMMYFUNCTION("""COMPUTED_VALUE"""),1091939338)</f>
        <v>1091939338</v>
      </c>
      <c r="H80" s="1" t="str">
        <f>IFERROR(__xludf.DUMMYFUNCTION("""COMPUTED_VALUE"""),"Combatente/Socorrista/ Condutor")</f>
        <v>Combatente/Socorrista/ Condutor</v>
      </c>
      <c r="I80" s="1" t="str">
        <f>IFERROR(__xludf.DUMMYFUNCTION("""COMPUTED_VALUE"""),"Bombeiro Voluntario/APH, resgate  veicular, combate incêndio , condutor,  bombeiro civil classe 3 em andamento.")</f>
        <v>Bombeiro Voluntario/APH, resgate  veicular, combate incêndio , condutor,  bombeiro civil classe 3 em andamento.</v>
      </c>
      <c r="J80" s="1" t="str">
        <f>IFERROR(__xludf.DUMMYFUNCTION("""COMPUTED_VALUE"""),"Sim")</f>
        <v>Sim</v>
      </c>
      <c r="K80" s="1" t="str">
        <f>IFERROR(__xludf.DUMMYFUNCTION("""COMPUTED_VALUE"""),"Não")</f>
        <v>Não</v>
      </c>
      <c r="L80" s="1" t="str">
        <f>IFERROR(__xludf.DUMMYFUNCTION("""COMPUTED_VALUE"""),"A+")</f>
        <v>A+</v>
      </c>
      <c r="M80" s="1" t="str">
        <f>IFERROR(__xludf.DUMMYFUNCTION("""COMPUTED_VALUE"""),"JOSELITO")</f>
        <v>JOSELITO</v>
      </c>
      <c r="N80" s="120">
        <f>IFERROR(__xludf.DUMMYFUNCTION("""COMPUTED_VALUE"""),31147)</f>
        <v>31147</v>
      </c>
      <c r="O80" s="1" t="str">
        <f>IFERROR(__xludf.DUMMYFUNCTION("""COMPUTED_VALUE"""),"Masculino")</f>
        <v>Masculino</v>
      </c>
      <c r="P80" s="1" t="str">
        <f>IFERROR(__xludf.DUMMYFUNCTION("""COMPUTED_VALUE"""),"Branca")</f>
        <v>Branca</v>
      </c>
      <c r="Q80" s="1" t="str">
        <f>IFERROR(__xludf.DUMMYFUNCTION("""COMPUTED_VALUE"""),"Ensino Médio")</f>
        <v>Ensino Médio</v>
      </c>
      <c r="R80" s="1" t="str">
        <f>IFERROR(__xludf.DUMMYFUNCTION("""COMPUTED_VALUE"""),"joselito.mbcv@gmail.com")</f>
        <v>joselito.mbcv@gmail.com</v>
      </c>
      <c r="S80" s="1">
        <f>IFERROR(__xludf.DUMMYFUNCTION("""COMPUTED_VALUE"""),90)</f>
        <v>90</v>
      </c>
      <c r="T80" s="1" t="str">
        <f>IFERROR(__xludf.DUMMYFUNCTION("""COMPUTED_VALUE"""),"Entre 1,66m e 1,70m")</f>
        <v>Entre 1,66m e 1,70m</v>
      </c>
      <c r="U80" s="1"/>
      <c r="V80" s="1">
        <f>IFERROR(__xludf.DUMMYFUNCTION("""COMPUTED_VALUE"""),51999909393)</f>
        <v>51999909393</v>
      </c>
      <c r="W80" s="1">
        <f>IFERROR(__xludf.DUMMYFUNCTION("""COMPUTED_VALUE"""),51999909393)</f>
        <v>51999909393</v>
      </c>
      <c r="X80" s="1" t="str">
        <f>IFERROR(__xludf.DUMMYFUNCTION("""COMPUTED_VALUE"""),"RS")</f>
        <v>RS</v>
      </c>
      <c r="Y80" s="1" t="str">
        <f>IFERROR(__xludf.DUMMYFUNCTION("""COMPUTED_VALUE"""),"Novo Hamburgo")</f>
        <v>Novo Hamburgo</v>
      </c>
      <c r="Z80" s="1" t="str">
        <f>IFERROR(__xludf.DUMMYFUNCTION("""COMPUTED_VALUE"""),"93537-270")</f>
        <v>93537-270</v>
      </c>
      <c r="AA80" s="1" t="str">
        <f>IFERROR(__xludf.DUMMYFUNCTION("""COMPUTED_VALUE"""),"rua Marquês de Abrantes")</f>
        <v>rua Marquês de Abrantes</v>
      </c>
      <c r="AB80" s="1" t="str">
        <f>IFERROR(__xludf.DUMMYFUNCTION("""COMPUTED_VALUE"""),"São Jorge")</f>
        <v>São Jorge</v>
      </c>
      <c r="AC80" s="1" t="str">
        <f>IFERROR(__xludf.DUMMYFUNCTION("""COMPUTED_VALUE"""),"M")</f>
        <v>M</v>
      </c>
      <c r="AD80" s="1" t="str">
        <f>IFERROR(__xludf.DUMMYFUNCTION("""COMPUTED_VALUE"""),"G")</f>
        <v>G</v>
      </c>
      <c r="AE80" s="1" t="str">
        <f>IFERROR(__xludf.DUMMYFUNCTION("""COMPUTED_VALUE"""),"G")</f>
        <v>G</v>
      </c>
      <c r="AF80" s="1" t="str">
        <f>IFERROR(__xludf.DUMMYFUNCTION("""COMPUTED_VALUE"""),"G")</f>
        <v>G</v>
      </c>
      <c r="AG80" s="1" t="str">
        <f>IFERROR(__xludf.DUMMYFUNCTION("""COMPUTED_VALUE"""),"M")</f>
        <v>M</v>
      </c>
      <c r="AH80" s="1">
        <f>IFERROR(__xludf.DUMMYFUNCTION("""COMPUTED_VALUE"""),41)</f>
        <v>41</v>
      </c>
      <c r="AI80" s="1">
        <f>IFERROR(__xludf.DUMMYFUNCTION("""COMPUTED_VALUE"""),41)</f>
        <v>41</v>
      </c>
      <c r="AJ80" s="1">
        <f>IFERROR(__xludf.DUMMYFUNCTION("""COMPUTED_VALUE"""),41)</f>
        <v>41</v>
      </c>
      <c r="AK80" s="1">
        <f>IFERROR(__xludf.DUMMYFUNCTION("""COMPUTED_VALUE"""),41)</f>
        <v>41</v>
      </c>
      <c r="AL80" s="1" t="str">
        <f>IFERROR(__xludf.DUMMYFUNCTION("""COMPUTED_VALUE"""),"G")</f>
        <v>G</v>
      </c>
      <c r="AM80" s="1" t="str">
        <f>IFERROR(__xludf.DUMMYFUNCTION("""COMPUTED_VALUE"""),"G")</f>
        <v>G</v>
      </c>
      <c r="AN80" s="1" t="str">
        <f>IFERROR(__xludf.DUMMYFUNCTION("""COMPUTED_VALUE"""),"G")</f>
        <v>G</v>
      </c>
    </row>
    <row r="81" customHeight="1" spans="1:40">
      <c r="A81" s="1" t="str">
        <f>IFERROR(__xludf.DUMMYFUNCTION("""COMPUTED_VALUE"""),"02° BBM")</f>
        <v>02° BBM</v>
      </c>
      <c r="B81" s="1" t="str">
        <f>IFERROR(__xludf.DUMMYFUNCTION("""COMPUTED_VALUE"""),"Parobé")</f>
        <v>Parobé</v>
      </c>
      <c r="C81" s="119" t="str">
        <f>IFERROR(__xludf.DUMMYFUNCTION("""COMPUTED_VALUE"""),"Comunitario")</f>
        <v>Comunitario</v>
      </c>
      <c r="D81" s="119" t="str">
        <f>IFERROR(__xludf.DUMMYFUNCTION("""COMPUTED_VALUE"""),"JULIANA HOFFMANN DOS SANTOS")</f>
        <v>JULIANA HOFFMANN DOS SANTOS</v>
      </c>
      <c r="E81" s="119" t="str">
        <f>IFERROR(__xludf.DUMMYFUNCTION("""COMPUTED_VALUE"""),"Curso CAB operador concluído")</f>
        <v>Curso CAB operador concluído</v>
      </c>
      <c r="F81" s="1" t="str">
        <f>IFERROR(__xludf.DUMMYFUNCTION("""COMPUTED_VALUE"""),"82.932.840.15")</f>
        <v>82.932.840.15</v>
      </c>
      <c r="G81" s="1">
        <f>IFERROR(__xludf.DUMMYFUNCTION("""COMPUTED_VALUE"""),6087261993)</f>
        <v>6087261993</v>
      </c>
      <c r="H81" s="1" t="str">
        <f>IFERROR(__xludf.DUMMYFUNCTION("""COMPUTED_VALUE"""),"Combatente e Socorrista")</f>
        <v>Combatente e Socorrista</v>
      </c>
      <c r="I81" s="1" t="str">
        <f>IFERROR(__xludf.DUMMYFUNCTION("""COMPUTED_VALUE"""),"Técnica em Enfermagem, APH &amp; BLS")</f>
        <v>Técnica em Enfermagem, APH &amp; BLS</v>
      </c>
      <c r="J81" s="1" t="str">
        <f>IFERROR(__xludf.DUMMYFUNCTION("""COMPUTED_VALUE"""),"Sim")</f>
        <v>Sim</v>
      </c>
      <c r="K81" s="1" t="str">
        <f>IFERROR(__xludf.DUMMYFUNCTION("""COMPUTED_VALUE"""),"Não")</f>
        <v>Não</v>
      </c>
      <c r="L81" s="1" t="str">
        <f>IFERROR(__xludf.DUMMYFUNCTION("""COMPUTED_VALUE"""),"A+")</f>
        <v>A+</v>
      </c>
      <c r="M81" s="1" t="str">
        <f>IFERROR(__xludf.DUMMYFUNCTION("""COMPUTED_VALUE"""),"HOFFMANN")</f>
        <v>HOFFMANN</v>
      </c>
      <c r="N81" s="120">
        <f>IFERROR(__xludf.DUMMYFUNCTION("""COMPUTED_VALUE"""),30773)</f>
        <v>30773</v>
      </c>
      <c r="O81" s="1" t="str">
        <f>IFERROR(__xludf.DUMMYFUNCTION("""COMPUTED_VALUE"""),"Feminino")</f>
        <v>Feminino</v>
      </c>
      <c r="P81" s="1" t="str">
        <f>IFERROR(__xludf.DUMMYFUNCTION("""COMPUTED_VALUE"""),"Branca")</f>
        <v>Branca</v>
      </c>
      <c r="Q81" s="1" t="str">
        <f>IFERROR(__xludf.DUMMYFUNCTION("""COMPUTED_VALUE"""),"Ensino Superior Incompleto")</f>
        <v>Ensino Superior Incompleto</v>
      </c>
      <c r="R81" s="1" t="str">
        <f>IFERROR(__xludf.DUMMYFUNCTION("""COMPUTED_VALUE"""),"010484juhoffmann@gmail.com")</f>
        <v>010484juhoffmann@gmail.com</v>
      </c>
      <c r="S81" s="1">
        <f>IFERROR(__xludf.DUMMYFUNCTION("""COMPUTED_VALUE"""),66)</f>
        <v>66</v>
      </c>
      <c r="T81" s="1" t="str">
        <f>IFERROR(__xludf.DUMMYFUNCTION("""COMPUTED_VALUE"""),"Entre 1,61m e 1,65m")</f>
        <v>Entre 1,61m e 1,65m</v>
      </c>
      <c r="U81" s="1" t="str">
        <f>IFERROR(__xludf.DUMMYFUNCTION("""COMPUTED_VALUE"""),"Não ")</f>
        <v>Não </v>
      </c>
      <c r="V81" s="1" t="str">
        <f>IFERROR(__xludf.DUMMYFUNCTION("""COMPUTED_VALUE"""),"(51)980239978")</f>
        <v>(51)980239978</v>
      </c>
      <c r="W81" s="1" t="str">
        <f>IFERROR(__xludf.DUMMYFUNCTION("""COMPUTED_VALUE"""),"(51)981470395")</f>
        <v>(51)981470395</v>
      </c>
      <c r="X81" s="1" t="str">
        <f>IFERROR(__xludf.DUMMYFUNCTION("""COMPUTED_VALUE"""),"RS")</f>
        <v>RS</v>
      </c>
      <c r="Y81" s="1" t="str">
        <f>IFERROR(__xludf.DUMMYFUNCTION("""COMPUTED_VALUE"""),"Parobé")</f>
        <v>Parobé</v>
      </c>
      <c r="Z81" s="1" t="str">
        <f>IFERROR(__xludf.DUMMYFUNCTION("""COMPUTED_VALUE"""),"95630-000")</f>
        <v>95630-000</v>
      </c>
      <c r="AA81" s="1" t="str">
        <f>IFERROR(__xludf.DUMMYFUNCTION("""COMPUTED_VALUE"""),"Luiz Raymundo, 341")</f>
        <v>Luiz Raymundo, 341</v>
      </c>
      <c r="AB81" s="1" t="str">
        <f>IFERROR(__xludf.DUMMYFUNCTION("""COMPUTED_VALUE"""),"Alexandria")</f>
        <v>Alexandria</v>
      </c>
      <c r="AC81" s="1" t="str">
        <f>IFERROR(__xludf.DUMMYFUNCTION("""COMPUTED_VALUE"""),"M")</f>
        <v>M</v>
      </c>
      <c r="AD81" s="1" t="str">
        <f>IFERROR(__xludf.DUMMYFUNCTION("""COMPUTED_VALUE"""),"M")</f>
        <v>M</v>
      </c>
      <c r="AE81" s="1" t="str">
        <f>IFERROR(__xludf.DUMMYFUNCTION("""COMPUTED_VALUE"""),"M")</f>
        <v>M</v>
      </c>
      <c r="AF81" s="1" t="str">
        <f>IFERROR(__xludf.DUMMYFUNCTION("""COMPUTED_VALUE"""),"M")</f>
        <v>M</v>
      </c>
      <c r="AG81" s="1" t="str">
        <f>IFERROR(__xludf.DUMMYFUNCTION("""COMPUTED_VALUE"""),"M")</f>
        <v>M</v>
      </c>
      <c r="AH81" s="1">
        <f>IFERROR(__xludf.DUMMYFUNCTION("""COMPUTED_VALUE"""),38)</f>
        <v>38</v>
      </c>
      <c r="AI81" s="1">
        <f>IFERROR(__xludf.DUMMYFUNCTION("""COMPUTED_VALUE"""),38)</f>
        <v>38</v>
      </c>
      <c r="AJ81" s="1">
        <f>IFERROR(__xludf.DUMMYFUNCTION("""COMPUTED_VALUE"""),38)</f>
        <v>38</v>
      </c>
      <c r="AK81" s="1">
        <f>IFERROR(__xludf.DUMMYFUNCTION("""COMPUTED_VALUE"""),38)</f>
        <v>38</v>
      </c>
      <c r="AL81" s="1" t="str">
        <f>IFERROR(__xludf.DUMMYFUNCTION("""COMPUTED_VALUE"""),"M")</f>
        <v>M</v>
      </c>
      <c r="AM81" s="1" t="str">
        <f>IFERROR(__xludf.DUMMYFUNCTION("""COMPUTED_VALUE"""),"M")</f>
        <v>M</v>
      </c>
      <c r="AN81" s="1" t="str">
        <f>IFERROR(__xludf.DUMMYFUNCTION("""COMPUTED_VALUE"""),"P")</f>
        <v>P</v>
      </c>
    </row>
    <row r="82" customHeight="1" spans="1:40">
      <c r="A82" s="1" t="str">
        <f>IFERROR(__xludf.DUMMYFUNCTION("""COMPUTED_VALUE"""),"02° BBM")</f>
        <v>02° BBM</v>
      </c>
      <c r="B82" s="1" t="str">
        <f>IFERROR(__xludf.DUMMYFUNCTION("""COMPUTED_VALUE"""),"Dois Irmãos")</f>
        <v>Dois Irmãos</v>
      </c>
      <c r="C82" s="119" t="str">
        <f>IFERROR(__xludf.DUMMYFUNCTION("""COMPUTED_VALUE"""),"Comunitario")</f>
        <v>Comunitario</v>
      </c>
      <c r="D82" s="119" t="str">
        <f>IFERROR(__xludf.DUMMYFUNCTION("""COMPUTED_VALUE"""),"JULIANO DE SOUZA BORGES")</f>
        <v>JULIANO DE SOUZA BORGES</v>
      </c>
      <c r="E82" s="119" t="str">
        <f>IFERROR(__xludf.DUMMYFUNCTION("""COMPUTED_VALUE"""),"")</f>
        <v/>
      </c>
      <c r="F82" s="1" t="str">
        <f>IFERROR(__xludf.DUMMYFUNCTION("""COMPUTED_VALUE"""),"005.206.790-40")</f>
        <v>005.206.790-40</v>
      </c>
      <c r="G82" s="1">
        <f>IFERROR(__xludf.DUMMYFUNCTION("""COMPUTED_VALUE"""),2085319891)</f>
        <v>2085319891</v>
      </c>
      <c r="H82" s="1" t="str">
        <f>IFERROR(__xludf.DUMMYFUNCTION("""COMPUTED_VALUE"""),"Combatente e Socorrista")</f>
        <v>Combatente e Socorrista</v>
      </c>
      <c r="I82" s="1" t="str">
        <f>IFERROR(__xludf.DUMMYFUNCTION("""COMPUTED_VALUE"""),"Bombeiro Voluntário")</f>
        <v>Bombeiro Voluntário</v>
      </c>
      <c r="J82" s="1" t="str">
        <f>IFERROR(__xludf.DUMMYFUNCTION("""COMPUTED_VALUE"""),"Sim")</f>
        <v>Sim</v>
      </c>
      <c r="K82" s="1" t="str">
        <f>IFERROR(__xludf.DUMMYFUNCTION("""COMPUTED_VALUE"""),"Sim")</f>
        <v>Sim</v>
      </c>
      <c r="L82" s="1" t="str">
        <f>IFERROR(__xludf.DUMMYFUNCTION("""COMPUTED_VALUE"""),"O+")</f>
        <v>O+</v>
      </c>
      <c r="M82" s="1" t="str">
        <f>IFERROR(__xludf.DUMMYFUNCTION("""COMPUTED_VALUE"""),"JULIANO")</f>
        <v>JULIANO</v>
      </c>
      <c r="N82" s="120">
        <f>IFERROR(__xludf.DUMMYFUNCTION("""COMPUTED_VALUE"""),30456)</f>
        <v>30456</v>
      </c>
      <c r="O82" s="1" t="str">
        <f>IFERROR(__xludf.DUMMYFUNCTION("""COMPUTED_VALUE"""),"Masculino")</f>
        <v>Masculino</v>
      </c>
      <c r="P82" s="1" t="str">
        <f>IFERROR(__xludf.DUMMYFUNCTION("""COMPUTED_VALUE"""),"Parda")</f>
        <v>Parda</v>
      </c>
      <c r="Q82" s="1" t="str">
        <f>IFERROR(__xludf.DUMMYFUNCTION("""COMPUTED_VALUE"""),"Ensino Médio")</f>
        <v>Ensino Médio</v>
      </c>
      <c r="R82" s="1" t="str">
        <f>IFERROR(__xludf.DUMMYFUNCTION("""COMPUTED_VALUE"""),"Juliano.tatu193@gmail.com")</f>
        <v>Juliano.tatu193@gmail.com</v>
      </c>
      <c r="S82" s="1"/>
      <c r="T82" s="1" t="str">
        <f>IFERROR(__xludf.DUMMYFUNCTION("""COMPUTED_VALUE"""),"Entre 1,61m e 1,65m")</f>
        <v>Entre 1,61m e 1,65m</v>
      </c>
      <c r="U82" s="1"/>
      <c r="V82" s="1" t="str">
        <f>IFERROR(__xludf.DUMMYFUNCTION("""COMPUTED_VALUE"""),"(51) 981519196")</f>
        <v>(51) 981519196</v>
      </c>
      <c r="W82" s="1"/>
      <c r="X82" s="1" t="str">
        <f>IFERROR(__xludf.DUMMYFUNCTION("""COMPUTED_VALUE"""),"RS")</f>
        <v>RS</v>
      </c>
      <c r="Y82" s="1" t="str">
        <f>IFERROR(__xludf.DUMMYFUNCTION("""COMPUTED_VALUE"""),"Dois Irmãos")</f>
        <v>Dois Irmãos</v>
      </c>
      <c r="Z82" s="1" t="str">
        <f>IFERROR(__xludf.DUMMYFUNCTION("""COMPUTED_VALUE"""),"93950-000")</f>
        <v>93950-000</v>
      </c>
      <c r="AA82" s="1" t="str">
        <f>IFERROR(__xludf.DUMMYFUNCTION("""COMPUTED_VALUE"""),"Rua Da Republica, 398")</f>
        <v>Rua Da Republica, 398</v>
      </c>
      <c r="AB82" s="1" t="str">
        <f>IFERROR(__xludf.DUMMYFUNCTION("""COMPUTED_VALUE"""),"Floresta")</f>
        <v>Floresta</v>
      </c>
      <c r="AC82" s="1" t="str">
        <f>IFERROR(__xludf.DUMMYFUNCTION("""COMPUTED_VALUE"""),"G")</f>
        <v>G</v>
      </c>
      <c r="AD82" s="1" t="str">
        <f>IFERROR(__xludf.DUMMYFUNCTION("""COMPUTED_VALUE"""),"G")</f>
        <v>G</v>
      </c>
      <c r="AE82" s="1" t="str">
        <f>IFERROR(__xludf.DUMMYFUNCTION("""COMPUTED_VALUE"""),"G")</f>
        <v>G</v>
      </c>
      <c r="AF82" s="1" t="str">
        <f>IFERROR(__xludf.DUMMYFUNCTION("""COMPUTED_VALUE"""),"G")</f>
        <v>G</v>
      </c>
      <c r="AG82" s="1" t="str">
        <f>IFERROR(__xludf.DUMMYFUNCTION("""COMPUTED_VALUE"""),"G")</f>
        <v>G</v>
      </c>
      <c r="AH82" s="1">
        <f>IFERROR(__xludf.DUMMYFUNCTION("""COMPUTED_VALUE"""),38)</f>
        <v>38</v>
      </c>
      <c r="AI82" s="1">
        <f>IFERROR(__xludf.DUMMYFUNCTION("""COMPUTED_VALUE"""),38)</f>
        <v>38</v>
      </c>
      <c r="AJ82" s="1">
        <f>IFERROR(__xludf.DUMMYFUNCTION("""COMPUTED_VALUE"""),38)</f>
        <v>38</v>
      </c>
      <c r="AK82" s="1">
        <f>IFERROR(__xludf.DUMMYFUNCTION("""COMPUTED_VALUE"""),38)</f>
        <v>38</v>
      </c>
      <c r="AL82" s="1" t="str">
        <f>IFERROR(__xludf.DUMMYFUNCTION("""COMPUTED_VALUE"""),"G")</f>
        <v>G</v>
      </c>
      <c r="AM82" s="1" t="str">
        <f>IFERROR(__xludf.DUMMYFUNCTION("""COMPUTED_VALUE"""),"G")</f>
        <v>G</v>
      </c>
      <c r="AN82" s="1" t="str">
        <f>IFERROR(__xludf.DUMMYFUNCTION("""COMPUTED_VALUE"""),"G")</f>
        <v>G</v>
      </c>
    </row>
    <row r="83" customHeight="1" spans="1:40">
      <c r="A83" s="1" t="str">
        <f>IFERROR(__xludf.DUMMYFUNCTION("""COMPUTED_VALUE"""),"02° BBM")</f>
        <v>02° BBM</v>
      </c>
      <c r="B83" s="1" t="str">
        <f>IFERROR(__xludf.DUMMYFUNCTION("""COMPUTED_VALUE"""),"Araricá")</f>
        <v>Araricá</v>
      </c>
      <c r="C83" s="119" t="str">
        <f>IFERROR(__xludf.DUMMYFUNCTION("""COMPUTED_VALUE"""),"CAB")</f>
        <v>CAB</v>
      </c>
      <c r="D83" s="119" t="str">
        <f>IFERROR(__xludf.DUMMYFUNCTION("""COMPUTED_VALUE"""),"LAÍS NAJARA GOMES")</f>
        <v>LAÍS NAJARA GOMES</v>
      </c>
      <c r="E83" s="119" t="str">
        <f>IFERROR(__xludf.DUMMYFUNCTION("""COMPUTED_VALUE"""),"")</f>
        <v/>
      </c>
      <c r="F83" s="1" t="str">
        <f>IFERROR(__xludf.DUMMYFUNCTION("""COMPUTED_VALUE"""),"015.128.530-62")</f>
        <v>015.128.530-62</v>
      </c>
      <c r="G83" s="1">
        <f>IFERROR(__xludf.DUMMYFUNCTION("""COMPUTED_VALUE"""),2101357412)</f>
        <v>2101357412</v>
      </c>
      <c r="H83" s="1" t="str">
        <f>IFERROR(__xludf.DUMMYFUNCTION("""COMPUTED_VALUE"""),"Combatente e Socorrista")</f>
        <v>Combatente e Socorrista</v>
      </c>
      <c r="I83" s="1" t="str">
        <f>IFERROR(__xludf.DUMMYFUNCTION("""COMPUTED_VALUE"""),"Bombeiro Voluntario/Cursando Técnico em enfermagem/APH/BLS")</f>
        <v>Bombeiro Voluntario/Cursando Técnico em enfermagem/APH/BLS</v>
      </c>
      <c r="J83" s="1" t="str">
        <f>IFERROR(__xludf.DUMMYFUNCTION("""COMPUTED_VALUE"""),"Não")</f>
        <v>Não</v>
      </c>
      <c r="K83" s="1" t="str">
        <f>IFERROR(__xludf.DUMMYFUNCTION("""COMPUTED_VALUE"""),"Não")</f>
        <v>Não</v>
      </c>
      <c r="L83" s="1" t="str">
        <f>IFERROR(__xludf.DUMMYFUNCTION("""COMPUTED_VALUE"""),"O+")</f>
        <v>O+</v>
      </c>
      <c r="M83" s="1" t="str">
        <f>IFERROR(__xludf.DUMMYFUNCTION("""COMPUTED_VALUE"""),"LAÍS")</f>
        <v>LAÍS</v>
      </c>
      <c r="N83" s="120">
        <f>IFERROR(__xludf.DUMMYFUNCTION("""COMPUTED_VALUE"""),32922)</f>
        <v>32922</v>
      </c>
      <c r="O83" s="1" t="str">
        <f>IFERROR(__xludf.DUMMYFUNCTION("""COMPUTED_VALUE"""),"Feminino")</f>
        <v>Feminino</v>
      </c>
      <c r="P83" s="1" t="str">
        <f>IFERROR(__xludf.DUMMYFUNCTION("""COMPUTED_VALUE"""),"Branca")</f>
        <v>Branca</v>
      </c>
      <c r="Q83" s="1" t="str">
        <f>IFERROR(__xludf.DUMMYFUNCTION("""COMPUTED_VALUE"""),"Ensino Médio")</f>
        <v>Ensino Médio</v>
      </c>
      <c r="R83" s="1" t="str">
        <f>IFERROR(__xludf.DUMMYFUNCTION("""COMPUTED_VALUE"""),"laisnajaragomes@gmail.com")</f>
        <v>laisnajaragomes@gmail.com</v>
      </c>
      <c r="S83" s="1">
        <f>IFERROR(__xludf.DUMMYFUNCTION("""COMPUTED_VALUE"""),74)</f>
        <v>74</v>
      </c>
      <c r="T83" s="1" t="str">
        <f>IFERROR(__xludf.DUMMYFUNCTION("""COMPUTED_VALUE"""),"Entre 1,81m e 1,85m")</f>
        <v>Entre 1,81m e 1,85m</v>
      </c>
      <c r="U83" s="1"/>
      <c r="V83" s="1">
        <f>IFERROR(__xludf.DUMMYFUNCTION("""COMPUTED_VALUE"""),51994508731)</f>
        <v>51994508731</v>
      </c>
      <c r="W83" s="1">
        <f>IFERROR(__xludf.DUMMYFUNCTION("""COMPUTED_VALUE"""),51994508731)</f>
        <v>51994508731</v>
      </c>
      <c r="X83" s="1" t="str">
        <f>IFERROR(__xludf.DUMMYFUNCTION("""COMPUTED_VALUE"""),"RS")</f>
        <v>RS</v>
      </c>
      <c r="Y83" s="1" t="str">
        <f>IFERROR(__xludf.DUMMYFUNCTION("""COMPUTED_VALUE"""),"Araricá")</f>
        <v>Araricá</v>
      </c>
      <c r="Z83" s="1" t="str">
        <f>IFERROR(__xludf.DUMMYFUNCTION("""COMPUTED_VALUE"""),"93880-000")</f>
        <v>93880-000</v>
      </c>
      <c r="AA83" s="1" t="str">
        <f>IFERROR(__xludf.DUMMYFUNCTION("""COMPUTED_VALUE"""),"Rua Antônio do Amaral, 230")</f>
        <v>Rua Antônio do Amaral, 230</v>
      </c>
      <c r="AB83" s="1" t="str">
        <f>IFERROR(__xludf.DUMMYFUNCTION("""COMPUTED_VALUE"""),"Imperatriz")</f>
        <v>Imperatriz</v>
      </c>
      <c r="AC83" s="1" t="str">
        <f>IFERROR(__xludf.DUMMYFUNCTION("""COMPUTED_VALUE"""),"M")</f>
        <v>M</v>
      </c>
      <c r="AD83" s="1" t="str">
        <f>IFERROR(__xludf.DUMMYFUNCTION("""COMPUTED_VALUE"""),"G")</f>
        <v>G</v>
      </c>
      <c r="AE83" s="1" t="str">
        <f>IFERROR(__xludf.DUMMYFUNCTION("""COMPUTED_VALUE"""),"G")</f>
        <v>G</v>
      </c>
      <c r="AF83" s="1" t="str">
        <f>IFERROR(__xludf.DUMMYFUNCTION("""COMPUTED_VALUE"""),"G")</f>
        <v>G</v>
      </c>
      <c r="AG83" s="1" t="str">
        <f>IFERROR(__xludf.DUMMYFUNCTION("""COMPUTED_VALUE"""),"G")</f>
        <v>G</v>
      </c>
      <c r="AH83" s="1">
        <f>IFERROR(__xludf.DUMMYFUNCTION("""COMPUTED_VALUE"""),42)</f>
        <v>42</v>
      </c>
      <c r="AI83" s="1">
        <f>IFERROR(__xludf.DUMMYFUNCTION("""COMPUTED_VALUE"""),42)</f>
        <v>42</v>
      </c>
      <c r="AJ83" s="1">
        <f>IFERROR(__xludf.DUMMYFUNCTION("""COMPUTED_VALUE"""),42)</f>
        <v>42</v>
      </c>
      <c r="AK83" s="1">
        <f>IFERROR(__xludf.DUMMYFUNCTION("""COMPUTED_VALUE"""),42)</f>
        <v>42</v>
      </c>
      <c r="AL83" s="1" t="str">
        <f>IFERROR(__xludf.DUMMYFUNCTION("""COMPUTED_VALUE"""),"G")</f>
        <v>G</v>
      </c>
      <c r="AM83" s="1" t="str">
        <f>IFERROR(__xludf.DUMMYFUNCTION("""COMPUTED_VALUE"""),"M")</f>
        <v>M</v>
      </c>
      <c r="AN83" s="1" t="str">
        <f>IFERROR(__xludf.DUMMYFUNCTION("""COMPUTED_VALUE"""),"M")</f>
        <v>M</v>
      </c>
    </row>
    <row r="84" customHeight="1" spans="1:40">
      <c r="A84" s="1"/>
      <c r="B84" s="1"/>
      <c r="C84" s="119"/>
      <c r="D84" s="119" t="str">
        <f>IFERROR(__xludf.DUMMYFUNCTION("""COMPUTED_VALUE"""),"LEONARDO MARTINS")</f>
        <v>LEONARDO MARTINS</v>
      </c>
      <c r="E84" s="119" t="str">
        <f>IFERROR(__xludf.DUMMYFUNCTION("""COMPUTED_VALUE"""),"Curso CAB operador concluído")</f>
        <v>Curso CAB operador concluído</v>
      </c>
      <c r="F84" s="1" t="str">
        <f>IFERROR(__xludf.DUMMYFUNCTION("""COMPUTED_VALUE"""),"033.050.610-22")</f>
        <v>033.050.610-22</v>
      </c>
      <c r="G84" s="1"/>
      <c r="H84" s="1"/>
      <c r="I84" s="1"/>
      <c r="J84" s="1"/>
      <c r="K84" s="1"/>
      <c r="L84" s="1"/>
      <c r="M84" s="1"/>
      <c r="N84" s="120"/>
      <c r="O84" s="1"/>
      <c r="P84" s="1"/>
      <c r="Q84" s="1"/>
      <c r="R84" s="1"/>
      <c r="S84" s="1"/>
      <c r="T84" s="1"/>
      <c r="U84" s="1"/>
      <c r="V84" s="1"/>
      <c r="W84" s="1"/>
      <c r="X84" s="1"/>
      <c r="Y84" s="1"/>
      <c r="Z84" s="1"/>
      <c r="AA84" s="1"/>
      <c r="AB84" s="1"/>
      <c r="AC84" s="1"/>
      <c r="AD84" s="1"/>
      <c r="AE84" s="1"/>
      <c r="AF84" s="1"/>
      <c r="AG84" s="1"/>
      <c r="AH84" s="1"/>
      <c r="AI84" s="1"/>
      <c r="AJ84" s="1"/>
      <c r="AK84" s="1"/>
      <c r="AL84" s="1"/>
      <c r="AM84" s="1"/>
      <c r="AN84" s="1"/>
    </row>
    <row r="85" customHeight="1" spans="1:40">
      <c r="A85" s="1" t="str">
        <f>IFERROR(__xludf.DUMMYFUNCTION("""COMPUTED_VALUE"""),"02° BBM")</f>
        <v>02° BBM</v>
      </c>
      <c r="B85" s="1" t="str">
        <f>IFERROR(__xludf.DUMMYFUNCTION("""COMPUTED_VALUE"""),"Triunfo")</f>
        <v>Triunfo</v>
      </c>
      <c r="C85" s="119" t="str">
        <f>IFERROR(__xludf.DUMMYFUNCTION("""COMPUTED_VALUE"""),"Comunitario")</f>
        <v>Comunitario</v>
      </c>
      <c r="D85" s="119" t="str">
        <f>IFERROR(__xludf.DUMMYFUNCTION("""COMPUTED_VALUE"""),"LEONARDO REUS DA SILVA")</f>
        <v>LEONARDO REUS DA SILVA</v>
      </c>
      <c r="E85" s="119" t="str">
        <f>IFERROR(__xludf.DUMMYFUNCTION("""COMPUTED_VALUE"""),"")</f>
        <v/>
      </c>
      <c r="F85" s="1" t="str">
        <f>IFERROR(__xludf.DUMMYFUNCTION("""COMPUTED_VALUE"""),"000.610.840-77")</f>
        <v>000.610.840-77</v>
      </c>
      <c r="G85" s="124" t="str">
        <f>IFERROR(__xludf.DUMMYFUNCTION("""COMPUTED_VALUE"""),"00061084077")</f>
        <v>00061084077</v>
      </c>
      <c r="H85" s="1" t="str">
        <f>IFERROR(__xludf.DUMMYFUNCTION("""COMPUTED_VALUE"""),"Condutor e Operador de Viatura")</f>
        <v>Condutor e Operador de Viatura</v>
      </c>
      <c r="I85" s="1" t="str">
        <f>IFERROR(__xludf.DUMMYFUNCTION("""COMPUTED_VALUE"""),"Condutor de Veículo de Emergência")</f>
        <v>Condutor de Veículo de Emergência</v>
      </c>
      <c r="J85" s="1" t="str">
        <f>IFERROR(__xludf.DUMMYFUNCTION("""COMPUTED_VALUE"""),"Não")</f>
        <v>Não</v>
      </c>
      <c r="K85" s="1" t="str">
        <f>IFERROR(__xludf.DUMMYFUNCTION("""COMPUTED_VALUE"""),"Não")</f>
        <v>Não</v>
      </c>
      <c r="L85" s="1" t="str">
        <f>IFERROR(__xludf.DUMMYFUNCTION("""COMPUTED_VALUE"""),"A+")</f>
        <v>A+</v>
      </c>
      <c r="M85" s="1" t="str">
        <f>IFERROR(__xludf.DUMMYFUNCTION("""COMPUTED_VALUE"""),"Leonardo")</f>
        <v>Leonardo</v>
      </c>
      <c r="N85" s="120">
        <f>IFERROR(__xludf.DUMMYFUNCTION("""COMPUTED_VALUE"""),30487)</f>
        <v>30487</v>
      </c>
      <c r="O85" s="1" t="str">
        <f>IFERROR(__xludf.DUMMYFUNCTION("""COMPUTED_VALUE"""),"Masculino")</f>
        <v>Masculino</v>
      </c>
      <c r="P85" s="1" t="str">
        <f>IFERROR(__xludf.DUMMYFUNCTION("""COMPUTED_VALUE"""),"Branca")</f>
        <v>Branca</v>
      </c>
      <c r="Q85" s="1" t="str">
        <f>IFERROR(__xludf.DUMMYFUNCTION("""COMPUTED_VALUE"""),"Ensino Superior Incompleto")</f>
        <v>Ensino Superior Incompleto</v>
      </c>
      <c r="R85" s="123" t="str">
        <f>IFERROR(__xludf.DUMMYFUNCTION("""COMPUTED_VALUE"""),"leonardoreusd@gmail.com")</f>
        <v>leonardoreusd@gmail.com</v>
      </c>
      <c r="S85" s="1">
        <f>IFERROR(__xludf.DUMMYFUNCTION("""COMPUTED_VALUE"""),84)</f>
        <v>84</v>
      </c>
      <c r="T85" s="1" t="str">
        <f>IFERROR(__xludf.DUMMYFUNCTION("""COMPUTED_VALUE"""),"Entre 1,76m e 1,80m")</f>
        <v>Entre 1,76m e 1,80m</v>
      </c>
      <c r="U85" s="1"/>
      <c r="V85" s="1" t="str">
        <f>IFERROR(__xludf.DUMMYFUNCTION("""COMPUTED_VALUE"""),"51 - 991101856")</f>
        <v>51 - 991101856</v>
      </c>
      <c r="W85" s="1" t="str">
        <f>IFERROR(__xludf.DUMMYFUNCTION("""COMPUTED_VALUE"""),"51 - 996912635")</f>
        <v>51 - 996912635</v>
      </c>
      <c r="X85" s="1" t="str">
        <f>IFERROR(__xludf.DUMMYFUNCTION("""COMPUTED_VALUE"""),"RS")</f>
        <v>RS</v>
      </c>
      <c r="Y85" s="1" t="str">
        <f>IFERROR(__xludf.DUMMYFUNCTION("""COMPUTED_VALUE"""),"Triunfo")</f>
        <v>Triunfo</v>
      </c>
      <c r="Z85" s="1" t="str">
        <f>IFERROR(__xludf.DUMMYFUNCTION("""COMPUTED_VALUE"""),"95840-000")</f>
        <v>95840-000</v>
      </c>
      <c r="AA85" s="1" t="str">
        <f>IFERROR(__xludf.DUMMYFUNCTION("""COMPUTED_VALUE"""),"RUA CEL. JOÃO ALVES DE BORBA 55")</f>
        <v>RUA CEL. JOÃO ALVES DE BORBA 55</v>
      </c>
      <c r="AB85" s="1" t="str">
        <f>IFERROR(__xludf.DUMMYFUNCTION("""COMPUTED_VALUE"""),"OLARIA")</f>
        <v>OLARIA</v>
      </c>
      <c r="AC85" s="1" t="str">
        <f>IFERROR(__xludf.DUMMYFUNCTION("""COMPUTED_VALUE"""),"G")</f>
        <v>G</v>
      </c>
      <c r="AD85" s="1" t="str">
        <f>IFERROR(__xludf.DUMMYFUNCTION("""COMPUTED_VALUE"""),"G")</f>
        <v>G</v>
      </c>
      <c r="AE85" s="1" t="str">
        <f>IFERROR(__xludf.DUMMYFUNCTION("""COMPUTED_VALUE"""),"G")</f>
        <v>G</v>
      </c>
      <c r="AF85" s="1" t="str">
        <f>IFERROR(__xludf.DUMMYFUNCTION("""COMPUTED_VALUE"""),"G")</f>
        <v>G</v>
      </c>
      <c r="AG85" s="1" t="str">
        <f>IFERROR(__xludf.DUMMYFUNCTION("""COMPUTED_VALUE"""),"G")</f>
        <v>G</v>
      </c>
      <c r="AH85" s="1">
        <f>IFERROR(__xludf.DUMMYFUNCTION("""COMPUTED_VALUE"""),41)</f>
        <v>41</v>
      </c>
      <c r="AI85" s="1">
        <f>IFERROR(__xludf.DUMMYFUNCTION("""COMPUTED_VALUE"""),41)</f>
        <v>41</v>
      </c>
      <c r="AJ85" s="1">
        <f>IFERROR(__xludf.DUMMYFUNCTION("""COMPUTED_VALUE"""),41)</f>
        <v>41</v>
      </c>
      <c r="AK85" s="1">
        <f>IFERROR(__xludf.DUMMYFUNCTION("""COMPUTED_VALUE"""),41)</f>
        <v>41</v>
      </c>
      <c r="AL85" s="1" t="str">
        <f>IFERROR(__xludf.DUMMYFUNCTION("""COMPUTED_VALUE"""),"G")</f>
        <v>G</v>
      </c>
      <c r="AM85" s="1" t="str">
        <f>IFERROR(__xludf.DUMMYFUNCTION("""COMPUTED_VALUE"""),"G")</f>
        <v>G</v>
      </c>
      <c r="AN85" s="1" t="str">
        <f>IFERROR(__xludf.DUMMYFUNCTION("""COMPUTED_VALUE"""),"G")</f>
        <v>G</v>
      </c>
    </row>
    <row r="86" customHeight="1" spans="1:40">
      <c r="A86" s="1" t="str">
        <f>IFERROR(__xludf.DUMMYFUNCTION("""COMPUTED_VALUE"""),"02° BBM")</f>
        <v>02° BBM</v>
      </c>
      <c r="B86" s="1" t="str">
        <f>IFERROR(__xludf.DUMMYFUNCTION("""COMPUTED_VALUE"""),"Araricá")</f>
        <v>Araricá</v>
      </c>
      <c r="C86" s="119" t="str">
        <f>IFERROR(__xludf.DUMMYFUNCTION("""COMPUTED_VALUE"""),"CAB")</f>
        <v>CAB</v>
      </c>
      <c r="D86" s="119" t="str">
        <f>IFERROR(__xludf.DUMMYFUNCTION("""COMPUTED_VALUE"""),"LEONARDO SPANIOL")</f>
        <v>LEONARDO SPANIOL</v>
      </c>
      <c r="E86" s="119" t="str">
        <f>IFERROR(__xludf.DUMMYFUNCTION("""COMPUTED_VALUE"""),"Curso CAB operador concluído")</f>
        <v>Curso CAB operador concluído</v>
      </c>
      <c r="F86" s="1" t="str">
        <f>IFERROR(__xludf.DUMMYFUNCTION("""COMPUTED_VALUE"""),"036.637.890-20")</f>
        <v>036.637.890-20</v>
      </c>
      <c r="G86" s="1">
        <f>IFERROR(__xludf.DUMMYFUNCTION("""COMPUTED_VALUE"""),8119195454)</f>
        <v>8119195454</v>
      </c>
      <c r="H86" s="1" t="str">
        <f>IFERROR(__xludf.DUMMYFUNCTION("""COMPUTED_VALUE"""),"Combatente e Socorrista")</f>
        <v>Combatente e Socorrista</v>
      </c>
      <c r="I86" s="1" t="str">
        <f>IFERROR(__xludf.DUMMYFUNCTION("""COMPUTED_VALUE"""),"Bombeiro Voluntario/APH,BLS, Bombeiro Civil")</f>
        <v>Bombeiro Voluntario/APH,BLS, Bombeiro Civil</v>
      </c>
      <c r="J86" s="1" t="str">
        <f>IFERROR(__xludf.DUMMYFUNCTION("""COMPUTED_VALUE"""),"Não")</f>
        <v>Não</v>
      </c>
      <c r="K86" s="1" t="str">
        <f>IFERROR(__xludf.DUMMYFUNCTION("""COMPUTED_VALUE"""),"Não")</f>
        <v>Não</v>
      </c>
      <c r="L86" s="1" t="str">
        <f>IFERROR(__xludf.DUMMYFUNCTION("""COMPUTED_VALUE"""),"B+")</f>
        <v>B+</v>
      </c>
      <c r="M86" s="1" t="str">
        <f>IFERROR(__xludf.DUMMYFUNCTION("""COMPUTED_VALUE"""),"SPANIOL")</f>
        <v>SPANIOL</v>
      </c>
      <c r="N86" s="121">
        <f>IFERROR(__xludf.DUMMYFUNCTION("""COMPUTED_VALUE"""),34108)</f>
        <v>34108</v>
      </c>
      <c r="O86" s="1" t="str">
        <f>IFERROR(__xludf.DUMMYFUNCTION("""COMPUTED_VALUE"""),"Masculino")</f>
        <v>Masculino</v>
      </c>
      <c r="P86" s="1" t="str">
        <f>IFERROR(__xludf.DUMMYFUNCTION("""COMPUTED_VALUE"""),"Branca")</f>
        <v>Branca</v>
      </c>
      <c r="Q86" s="1" t="str">
        <f>IFERROR(__xludf.DUMMYFUNCTION("""COMPUTED_VALUE"""),"Ensino Médio")</f>
        <v>Ensino Médio</v>
      </c>
      <c r="R86" s="1" t="str">
        <f>IFERROR(__xludf.DUMMYFUNCTION("""COMPUTED_VALUE"""),"leo22spaniol@gmail.com")</f>
        <v>leo22spaniol@gmail.com</v>
      </c>
      <c r="S86" s="1">
        <f>IFERROR(__xludf.DUMMYFUNCTION("""COMPUTED_VALUE"""),73)</f>
        <v>73</v>
      </c>
      <c r="T86" s="1" t="str">
        <f>IFERROR(__xludf.DUMMYFUNCTION("""COMPUTED_VALUE"""),"Entre 1,66m e 1,70m")</f>
        <v>Entre 1,66m e 1,70m</v>
      </c>
      <c r="U86" s="1"/>
      <c r="V86" s="1">
        <f>IFERROR(__xludf.DUMMYFUNCTION("""COMPUTED_VALUE"""),51995817907)</f>
        <v>51995817907</v>
      </c>
      <c r="W86" s="1">
        <f>IFERROR(__xludf.DUMMYFUNCTION("""COMPUTED_VALUE"""),51995817907)</f>
        <v>51995817907</v>
      </c>
      <c r="X86" s="1" t="str">
        <f>IFERROR(__xludf.DUMMYFUNCTION("""COMPUTED_VALUE"""),"RS")</f>
        <v>RS</v>
      </c>
      <c r="Y86" s="1" t="str">
        <f>IFERROR(__xludf.DUMMYFUNCTION("""COMPUTED_VALUE"""),"Sapiranga")</f>
        <v>Sapiranga</v>
      </c>
      <c r="Z86" s="1">
        <f>IFERROR(__xludf.DUMMYFUNCTION("""COMPUTED_VALUE"""),93806572)</f>
        <v>93806572</v>
      </c>
      <c r="AA86" s="1" t="str">
        <f>IFERROR(__xludf.DUMMYFUNCTION("""COMPUTED_VALUE"""),"guilhermina klein, 50")</f>
        <v>guilhermina klein, 50</v>
      </c>
      <c r="AB86" s="1" t="str">
        <f>IFERROR(__xludf.DUMMYFUNCTION("""COMPUTED_VALUE"""),"São Luiz")</f>
        <v>São Luiz</v>
      </c>
      <c r="AC86" s="1" t="str">
        <f>IFERROR(__xludf.DUMMYFUNCTION("""COMPUTED_VALUE"""),"M")</f>
        <v>M</v>
      </c>
      <c r="AD86" s="1" t="str">
        <f>IFERROR(__xludf.DUMMYFUNCTION("""COMPUTED_VALUE"""),"M")</f>
        <v>M</v>
      </c>
      <c r="AE86" s="1" t="str">
        <f>IFERROR(__xludf.DUMMYFUNCTION("""COMPUTED_VALUE"""),"M")</f>
        <v>M</v>
      </c>
      <c r="AF86" s="1" t="str">
        <f>IFERROR(__xludf.DUMMYFUNCTION("""COMPUTED_VALUE"""),"M")</f>
        <v>M</v>
      </c>
      <c r="AG86" s="1" t="str">
        <f>IFERROR(__xludf.DUMMYFUNCTION("""COMPUTED_VALUE"""),"M")</f>
        <v>M</v>
      </c>
      <c r="AH86" s="1">
        <f>IFERROR(__xludf.DUMMYFUNCTION("""COMPUTED_VALUE"""),42)</f>
        <v>42</v>
      </c>
      <c r="AI86" s="1">
        <f>IFERROR(__xludf.DUMMYFUNCTION("""COMPUTED_VALUE"""),42)</f>
        <v>42</v>
      </c>
      <c r="AJ86" s="1">
        <f>IFERROR(__xludf.DUMMYFUNCTION("""COMPUTED_VALUE"""),42)</f>
        <v>42</v>
      </c>
      <c r="AK86" s="1">
        <f>IFERROR(__xludf.DUMMYFUNCTION("""COMPUTED_VALUE"""),42)</f>
        <v>42</v>
      </c>
      <c r="AL86" s="1" t="str">
        <f>IFERROR(__xludf.DUMMYFUNCTION("""COMPUTED_VALUE"""),"M")</f>
        <v>M</v>
      </c>
      <c r="AM86" s="1" t="str">
        <f>IFERROR(__xludf.DUMMYFUNCTION("""COMPUTED_VALUE"""),"M")</f>
        <v>M</v>
      </c>
      <c r="AN86" s="1" t="str">
        <f>IFERROR(__xludf.DUMMYFUNCTION("""COMPUTED_VALUE"""),"M")</f>
        <v>M</v>
      </c>
    </row>
    <row r="87" customHeight="1" spans="1:40">
      <c r="A87" s="1" t="str">
        <f>IFERROR(__xludf.DUMMYFUNCTION("""COMPUTED_VALUE"""),"02° BBM")</f>
        <v>02° BBM</v>
      </c>
      <c r="B87" s="1" t="str">
        <f>IFERROR(__xludf.DUMMYFUNCTION("""COMPUTED_VALUE"""),"Novo Hamburgo")</f>
        <v>Novo Hamburgo</v>
      </c>
      <c r="C87" s="119" t="str">
        <f>IFERROR(__xludf.DUMMYFUNCTION("""COMPUTED_VALUE"""),"Comunitario")</f>
        <v>Comunitario</v>
      </c>
      <c r="D87" s="119" t="str">
        <f>IFERROR(__xludf.DUMMYFUNCTION("""COMPUTED_VALUE"""),"LOURIVAL MULLER DA COSTA")</f>
        <v>LOURIVAL MULLER DA COSTA</v>
      </c>
      <c r="E87" s="119" t="str">
        <f>IFERROR(__xludf.DUMMYFUNCTION("""COMPUTED_VALUE"""),"")</f>
        <v/>
      </c>
      <c r="F87" s="1" t="str">
        <f>IFERROR(__xludf.DUMMYFUNCTION("""COMPUTED_VALUE"""),"007.943.360-00")</f>
        <v>007.943.360-00</v>
      </c>
      <c r="G87" s="1">
        <f>IFERROR(__xludf.DUMMYFUNCTION("""COMPUTED_VALUE"""),1089619256)</f>
        <v>1089619256</v>
      </c>
      <c r="H87" s="1" t="str">
        <f>IFERROR(__xludf.DUMMYFUNCTION("""COMPUTED_VALUE"""),"Combatente")</f>
        <v>Combatente</v>
      </c>
      <c r="I87" s="1" t="str">
        <f>IFERROR(__xludf.DUMMYFUNCTION("""COMPUTED_VALUE"""),"Bombeiro Voluntário")</f>
        <v>Bombeiro Voluntário</v>
      </c>
      <c r="J87" s="1" t="str">
        <f>IFERROR(__xludf.DUMMYFUNCTION("""COMPUTED_VALUE"""),"Sim")</f>
        <v>Sim</v>
      </c>
      <c r="K87" s="1" t="str">
        <f>IFERROR(__xludf.DUMMYFUNCTION("""COMPUTED_VALUE"""),"Sim")</f>
        <v>Sim</v>
      </c>
      <c r="L87" s="1" t="str">
        <f>IFERROR(__xludf.DUMMYFUNCTION("""COMPUTED_VALUE"""),"O-")</f>
        <v>O-</v>
      </c>
      <c r="M87" s="1" t="str">
        <f>IFERROR(__xludf.DUMMYFUNCTION("""COMPUTED_VALUE"""),"LOURIVAL")</f>
        <v>LOURIVAL</v>
      </c>
      <c r="N87" s="120">
        <f>IFERROR(__xludf.DUMMYFUNCTION("""COMPUTED_VALUE"""),31473)</f>
        <v>31473</v>
      </c>
      <c r="O87" s="1" t="str">
        <f>IFERROR(__xludf.DUMMYFUNCTION("""COMPUTED_VALUE"""),"Masculino")</f>
        <v>Masculino</v>
      </c>
      <c r="P87" s="1" t="str">
        <f>IFERROR(__xludf.DUMMYFUNCTION("""COMPUTED_VALUE"""),"Branca")</f>
        <v>Branca</v>
      </c>
      <c r="Q87" s="1" t="str">
        <f>IFERROR(__xludf.DUMMYFUNCTION("""COMPUTED_VALUE"""),"Ensino Médio")</f>
        <v>Ensino Médio</v>
      </c>
      <c r="R87" s="1" t="str">
        <f>IFERROR(__xludf.DUMMYFUNCTION("""COMPUTED_VALUE"""),"convertmoveis@gmail.com")</f>
        <v>convertmoveis@gmail.com</v>
      </c>
      <c r="S87" s="1">
        <f>IFERROR(__xludf.DUMMYFUNCTION("""COMPUTED_VALUE"""),98)</f>
        <v>98</v>
      </c>
      <c r="T87" s="1">
        <f>IFERROR(__xludf.DUMMYFUNCTION("""COMPUTED_VALUE"""),1.85)</f>
        <v>1.85</v>
      </c>
      <c r="U87" s="1"/>
      <c r="V87" s="1" t="str">
        <f>IFERROR(__xludf.DUMMYFUNCTION("""COMPUTED_VALUE"""),"(51)981195980")</f>
        <v>(51)981195980</v>
      </c>
      <c r="W87" s="1" t="str">
        <f>IFERROR(__xludf.DUMMYFUNCTION("""COMPUTED_VALUE"""),"(51)991154262")</f>
        <v>(51)991154262</v>
      </c>
      <c r="X87" s="1" t="str">
        <f>IFERROR(__xludf.DUMMYFUNCTION("""COMPUTED_VALUE"""),"RS")</f>
        <v>RS</v>
      </c>
      <c r="Y87" s="1" t="str">
        <f>IFERROR(__xludf.DUMMYFUNCTION("""COMPUTED_VALUE"""),"Novo Hamburgo")</f>
        <v>Novo Hamburgo</v>
      </c>
      <c r="Z87" s="1" t="str">
        <f>IFERROR(__xludf.DUMMYFUNCTION("""COMPUTED_VALUE"""),"93346-210")</f>
        <v>93346-210</v>
      </c>
      <c r="AA87" s="1" t="str">
        <f>IFERROR(__xludf.DUMMYFUNCTION("""COMPUTED_VALUE"""),"Dr. Miguel Vieira Ferreira, 132")</f>
        <v>Dr. Miguel Vieira Ferreira, 132</v>
      </c>
      <c r="AB87" s="1" t="str">
        <f>IFERROR(__xludf.DUMMYFUNCTION("""COMPUTED_VALUE"""),"Petrópolis")</f>
        <v>Petrópolis</v>
      </c>
      <c r="AC87" s="1" t="str">
        <f>IFERROR(__xludf.DUMMYFUNCTION("""COMPUTED_VALUE"""),"G")</f>
        <v>G</v>
      </c>
      <c r="AD87" s="1" t="str">
        <f>IFERROR(__xludf.DUMMYFUNCTION("""COMPUTED_VALUE"""),"G")</f>
        <v>G</v>
      </c>
      <c r="AE87" s="1" t="str">
        <f>IFERROR(__xludf.DUMMYFUNCTION("""COMPUTED_VALUE"""),"G")</f>
        <v>G</v>
      </c>
      <c r="AF87" s="1" t="str">
        <f>IFERROR(__xludf.DUMMYFUNCTION("""COMPUTED_VALUE"""),"G")</f>
        <v>G</v>
      </c>
      <c r="AG87" s="1" t="str">
        <f>IFERROR(__xludf.DUMMYFUNCTION("""COMPUTED_VALUE"""),"G")</f>
        <v>G</v>
      </c>
      <c r="AH87" s="1">
        <f>IFERROR(__xludf.DUMMYFUNCTION("""COMPUTED_VALUE"""),44)</f>
        <v>44</v>
      </c>
      <c r="AI87" s="1">
        <f>IFERROR(__xludf.DUMMYFUNCTION("""COMPUTED_VALUE"""),44)</f>
        <v>44</v>
      </c>
      <c r="AJ87" s="1">
        <f>IFERROR(__xludf.DUMMYFUNCTION("""COMPUTED_VALUE"""),44)</f>
        <v>44</v>
      </c>
      <c r="AK87" s="1">
        <f>IFERROR(__xludf.DUMMYFUNCTION("""COMPUTED_VALUE"""),44)</f>
        <v>44</v>
      </c>
      <c r="AL87" s="1" t="str">
        <f>IFERROR(__xludf.DUMMYFUNCTION("""COMPUTED_VALUE"""),"G")</f>
        <v>G</v>
      </c>
      <c r="AM87" s="1" t="str">
        <f>IFERROR(__xludf.DUMMYFUNCTION("""COMPUTED_VALUE"""),"G")</f>
        <v>G</v>
      </c>
      <c r="AN87" s="1" t="str">
        <f>IFERROR(__xludf.DUMMYFUNCTION("""COMPUTED_VALUE"""),"G")</f>
        <v>G</v>
      </c>
    </row>
    <row r="88" customHeight="1" spans="1:40">
      <c r="A88" s="1" t="str">
        <f>IFERROR(__xludf.DUMMYFUNCTION("""COMPUTED_VALUE"""),"02° BBM")</f>
        <v>02° BBM</v>
      </c>
      <c r="B88" s="1" t="str">
        <f>IFERROR(__xludf.DUMMYFUNCTION("""COMPUTED_VALUE"""),"Novo Hamburgo")</f>
        <v>Novo Hamburgo</v>
      </c>
      <c r="C88" s="119" t="str">
        <f>IFERROR(__xludf.DUMMYFUNCTION("""COMPUTED_VALUE"""),"Comunitario")</f>
        <v>Comunitario</v>
      </c>
      <c r="D88" s="119" t="str">
        <f>IFERROR(__xludf.DUMMYFUNCTION("""COMPUTED_VALUE"""),"LUCAS HENRIQUE PEREIRA NUNES")</f>
        <v>LUCAS HENRIQUE PEREIRA NUNES</v>
      </c>
      <c r="E88" s="119" t="str">
        <f>IFERROR(__xludf.DUMMYFUNCTION("""COMPUTED_VALUE"""),"Módulo 2 e 3 concluído")</f>
        <v>Módulo 2 e 3 concluído</v>
      </c>
      <c r="F88" s="1" t="str">
        <f>IFERROR(__xludf.DUMMYFUNCTION("""COMPUTED_VALUE"""),"026.835.360-38")</f>
        <v>026.835.360-38</v>
      </c>
      <c r="G88" s="1">
        <f>IFERROR(__xludf.DUMMYFUNCTION("""COMPUTED_VALUE"""),5112576342)</f>
        <v>5112576342</v>
      </c>
      <c r="H88" s="1" t="str">
        <f>IFERROR(__xludf.DUMMYFUNCTION("""COMPUTED_VALUE"""),"Combatente")</f>
        <v>Combatente</v>
      </c>
      <c r="I88" s="1" t="str">
        <f>IFERROR(__xludf.DUMMYFUNCTION("""COMPUTED_VALUE"""),"Bombeiro Voluntário")</f>
        <v>Bombeiro Voluntário</v>
      </c>
      <c r="J88" s="1" t="str">
        <f>IFERROR(__xludf.DUMMYFUNCTION("""COMPUTED_VALUE"""),"Sim")</f>
        <v>Sim</v>
      </c>
      <c r="K88" s="1" t="str">
        <f>IFERROR(__xludf.DUMMYFUNCTION("""COMPUTED_VALUE"""),"Sim")</f>
        <v>Sim</v>
      </c>
      <c r="L88" s="1" t="str">
        <f>IFERROR(__xludf.DUMMYFUNCTION("""COMPUTED_VALUE"""),"A+")</f>
        <v>A+</v>
      </c>
      <c r="M88" s="1" t="str">
        <f>IFERROR(__xludf.DUMMYFUNCTION("""COMPUTED_VALUE"""),"HENRIQUE ")</f>
        <v>HENRIQUE </v>
      </c>
      <c r="N88" s="121">
        <f>IFERROR(__xludf.DUMMYFUNCTION("""COMPUTED_VALUE"""),33525)</f>
        <v>33525</v>
      </c>
      <c r="O88" s="1" t="str">
        <f>IFERROR(__xludf.DUMMYFUNCTION("""COMPUTED_VALUE"""),"Masculino")</f>
        <v>Masculino</v>
      </c>
      <c r="P88" s="1" t="str">
        <f>IFERROR(__xludf.DUMMYFUNCTION("""COMPUTED_VALUE"""),"Branca")</f>
        <v>Branca</v>
      </c>
      <c r="Q88" s="1" t="str">
        <f>IFERROR(__xludf.DUMMYFUNCTION("""COMPUTED_VALUE"""),"Ensino Médio")</f>
        <v>Ensino Médio</v>
      </c>
      <c r="R88" s="1" t="str">
        <f>IFERROR(__xludf.DUMMYFUNCTION("""COMPUTED_VALUE"""),"lucas.henrique.nunes@hotmail.com")</f>
        <v>lucas.henrique.nunes@hotmail.com</v>
      </c>
      <c r="S88" s="1">
        <f>IFERROR(__xludf.DUMMYFUNCTION("""COMPUTED_VALUE"""),100)</f>
        <v>100</v>
      </c>
      <c r="T88" s="1" t="str">
        <f>IFERROR(__xludf.DUMMYFUNCTION("""COMPUTED_VALUE"""),"Entre 1,71m e 1,75m")</f>
        <v>Entre 1,71m e 1,75m</v>
      </c>
      <c r="U88" s="1"/>
      <c r="V88" s="1" t="str">
        <f>IFERROR(__xludf.DUMMYFUNCTION("""COMPUTED_VALUE"""),"(51) 992016616")</f>
        <v>(51) 992016616</v>
      </c>
      <c r="W88" s="1" t="str">
        <f>IFERROR(__xludf.DUMMYFUNCTION("""COMPUTED_VALUE"""),"(51) 992016616")</f>
        <v>(51) 992016616</v>
      </c>
      <c r="X88" s="1" t="str">
        <f>IFERROR(__xludf.DUMMYFUNCTION("""COMPUTED_VALUE"""),"RS")</f>
        <v>RS</v>
      </c>
      <c r="Y88" s="1" t="str">
        <f>IFERROR(__xludf.DUMMYFUNCTION("""COMPUTED_VALUE"""),"Novo Hamburgo")</f>
        <v>Novo Hamburgo</v>
      </c>
      <c r="Z88" s="1" t="str">
        <f>IFERROR(__xludf.DUMMYFUNCTION("""COMPUTED_VALUE"""),"93520-030")</f>
        <v>93520-030</v>
      </c>
      <c r="AA88" s="1" t="str">
        <f>IFERROR(__xludf.DUMMYFUNCTION("""COMPUTED_VALUE"""),"Rua São Fernando, 234 ")</f>
        <v>Rua São Fernando, 234 </v>
      </c>
      <c r="AB88" s="1" t="str">
        <f>IFERROR(__xludf.DUMMYFUNCTION("""COMPUTED_VALUE"""),"Guarani ")</f>
        <v>Guarani </v>
      </c>
      <c r="AC88" s="1" t="str">
        <f>IFERROR(__xludf.DUMMYFUNCTION("""COMPUTED_VALUE"""),"G")</f>
        <v>G</v>
      </c>
      <c r="AD88" s="1" t="str">
        <f>IFERROR(__xludf.DUMMYFUNCTION("""COMPUTED_VALUE"""),"G")</f>
        <v>G</v>
      </c>
      <c r="AE88" s="1" t="str">
        <f>IFERROR(__xludf.DUMMYFUNCTION("""COMPUTED_VALUE"""),"G")</f>
        <v>G</v>
      </c>
      <c r="AF88" s="1" t="str">
        <f>IFERROR(__xludf.DUMMYFUNCTION("""COMPUTED_VALUE"""),"G")</f>
        <v>G</v>
      </c>
      <c r="AG88" s="1" t="str">
        <f>IFERROR(__xludf.DUMMYFUNCTION("""COMPUTED_VALUE"""),"GG")</f>
        <v>GG</v>
      </c>
      <c r="AH88" s="1">
        <f>IFERROR(__xludf.DUMMYFUNCTION("""COMPUTED_VALUE"""),42)</f>
        <v>42</v>
      </c>
      <c r="AI88" s="1">
        <f>IFERROR(__xludf.DUMMYFUNCTION("""COMPUTED_VALUE"""),42)</f>
        <v>42</v>
      </c>
      <c r="AJ88" s="1">
        <f>IFERROR(__xludf.DUMMYFUNCTION("""COMPUTED_VALUE"""),42)</f>
        <v>42</v>
      </c>
      <c r="AK88" s="1">
        <f>IFERROR(__xludf.DUMMYFUNCTION("""COMPUTED_VALUE"""),42)</f>
        <v>42</v>
      </c>
      <c r="AL88" s="1" t="str">
        <f>IFERROR(__xludf.DUMMYFUNCTION("""COMPUTED_VALUE"""),"G")</f>
        <v>G</v>
      </c>
      <c r="AM88" s="1" t="str">
        <f>IFERROR(__xludf.DUMMYFUNCTION("""COMPUTED_VALUE"""),"G")</f>
        <v>G</v>
      </c>
      <c r="AN88" s="1" t="str">
        <f>IFERROR(__xludf.DUMMYFUNCTION("""COMPUTED_VALUE"""),"M")</f>
        <v>M</v>
      </c>
    </row>
    <row r="89" customHeight="1" spans="1:40">
      <c r="A89" s="1" t="str">
        <f>IFERROR(__xludf.DUMMYFUNCTION("""COMPUTED_VALUE"""),"02° BBM")</f>
        <v>02° BBM</v>
      </c>
      <c r="B89" s="1" t="str">
        <f>IFERROR(__xludf.DUMMYFUNCTION("""COMPUTED_VALUE"""),"Ivoti")</f>
        <v>Ivoti</v>
      </c>
      <c r="C89" s="119" t="str">
        <f>IFERROR(__xludf.DUMMYFUNCTION("""COMPUTED_VALUE"""),"Comunitario")</f>
        <v>Comunitario</v>
      </c>
      <c r="D89" s="119" t="str">
        <f>IFERROR(__xludf.DUMMYFUNCTION("""COMPUTED_VALUE"""),"LUCAS MARCEL NUNES")</f>
        <v>LUCAS MARCEL NUNES</v>
      </c>
      <c r="E89" s="119" t="str">
        <f>IFERROR(__xludf.DUMMYFUNCTION("""COMPUTED_VALUE"""),"Módulo 1 concluído")</f>
        <v>Módulo 1 concluído</v>
      </c>
      <c r="F89" s="1" t="str">
        <f>IFERROR(__xludf.DUMMYFUNCTION("""COMPUTED_VALUE"""),"993.235.320-53")</f>
        <v>993.235.320-53</v>
      </c>
      <c r="G89" s="1">
        <f>IFERROR(__xludf.DUMMYFUNCTION("""COMPUTED_VALUE"""),1085336582)</f>
        <v>1085336582</v>
      </c>
      <c r="H89" s="1" t="str">
        <f>IFERROR(__xludf.DUMMYFUNCTION("""COMPUTED_VALUE"""),"Combatente")</f>
        <v>Combatente</v>
      </c>
      <c r="I89" s="1" t="str">
        <f>IFERROR(__xludf.DUMMYFUNCTION("""COMPUTED_VALUE"""),"Bombeiro Voluntário")</f>
        <v>Bombeiro Voluntário</v>
      </c>
      <c r="J89" s="1" t="str">
        <f>IFERROR(__xludf.DUMMYFUNCTION("""COMPUTED_VALUE"""),"Sim")</f>
        <v>Sim</v>
      </c>
      <c r="K89" s="1" t="str">
        <f>IFERROR(__xludf.DUMMYFUNCTION("""COMPUTED_VALUE"""),"Não")</f>
        <v>Não</v>
      </c>
      <c r="L89" s="1" t="str">
        <f>IFERROR(__xludf.DUMMYFUNCTION("""COMPUTED_VALUE"""),"A+")</f>
        <v>A+</v>
      </c>
      <c r="M89" s="1" t="str">
        <f>IFERROR(__xludf.DUMMYFUNCTION("""COMPUTED_VALUE"""),"LUCAS")</f>
        <v>LUCAS</v>
      </c>
      <c r="N89" s="120">
        <f>IFERROR(__xludf.DUMMYFUNCTION("""COMPUTED_VALUE"""),29926)</f>
        <v>29926</v>
      </c>
      <c r="O89" s="1" t="str">
        <f>IFERROR(__xludf.DUMMYFUNCTION("""COMPUTED_VALUE"""),"Masculino")</f>
        <v>Masculino</v>
      </c>
      <c r="P89" s="1" t="str">
        <f>IFERROR(__xludf.DUMMYFUNCTION("""COMPUTED_VALUE"""),"Branca")</f>
        <v>Branca</v>
      </c>
      <c r="Q89" s="1" t="str">
        <f>IFERROR(__xludf.DUMMYFUNCTION("""COMPUTED_VALUE"""),"Ensino Superior Incompleto")</f>
        <v>Ensino Superior Incompleto</v>
      </c>
      <c r="R89" s="1" t="str">
        <f>IFERROR(__xludf.DUMMYFUNCTION("""COMPUTED_VALUE"""),"lucasnunesnh@hotmail.com")</f>
        <v>lucasnunesnh@hotmail.com</v>
      </c>
      <c r="S89" s="1" t="str">
        <f>IFERROR(__xludf.DUMMYFUNCTION("""COMPUTED_VALUE"""),"86kg")</f>
        <v>86kg</v>
      </c>
      <c r="T89" s="1" t="str">
        <f>IFERROR(__xludf.DUMMYFUNCTION("""COMPUTED_VALUE"""),"Entre 1,81m e 1,85m")</f>
        <v>Entre 1,81m e 1,85m</v>
      </c>
      <c r="U89" s="1"/>
      <c r="V89" s="1" t="str">
        <f>IFERROR(__xludf.DUMMYFUNCTION("""COMPUTED_VALUE"""),"(51)99362-0497")</f>
        <v>(51)99362-0497</v>
      </c>
      <c r="W89" s="1" t="str">
        <f>IFERROR(__xludf.DUMMYFUNCTION("""COMPUTED_VALUE"""),"(51)99291-9078")</f>
        <v>(51)99291-9078</v>
      </c>
      <c r="X89" s="1" t="str">
        <f>IFERROR(__xludf.DUMMYFUNCTION("""COMPUTED_VALUE"""),"RS")</f>
        <v>RS</v>
      </c>
      <c r="Y89" s="1" t="str">
        <f>IFERROR(__xludf.DUMMYFUNCTION("""COMPUTED_VALUE"""),"Estância Velha")</f>
        <v>Estância Velha</v>
      </c>
      <c r="Z89" s="1">
        <f>IFERROR(__xludf.DUMMYFUNCTION("""COMPUTED_VALUE"""),93610210)</f>
        <v>93610210</v>
      </c>
      <c r="AA89" s="1"/>
      <c r="AB89" s="1"/>
      <c r="AC89" s="1" t="str">
        <f>IFERROR(__xludf.DUMMYFUNCTION("""COMPUTED_VALUE"""),"G")</f>
        <v>G</v>
      </c>
      <c r="AD89" s="1" t="str">
        <f>IFERROR(__xludf.DUMMYFUNCTION("""COMPUTED_VALUE"""),"G")</f>
        <v>G</v>
      </c>
      <c r="AE89" s="1" t="str">
        <f>IFERROR(__xludf.DUMMYFUNCTION("""COMPUTED_VALUE"""),"G")</f>
        <v>G</v>
      </c>
      <c r="AF89" s="1" t="str">
        <f>IFERROR(__xludf.DUMMYFUNCTION("""COMPUTED_VALUE"""),"G")</f>
        <v>G</v>
      </c>
      <c r="AG89" s="1" t="str">
        <f>IFERROR(__xludf.DUMMYFUNCTION("""COMPUTED_VALUE"""),"G")</f>
        <v>G</v>
      </c>
      <c r="AH89" s="1">
        <f>IFERROR(__xludf.DUMMYFUNCTION("""COMPUTED_VALUE"""),40)</f>
        <v>40</v>
      </c>
      <c r="AI89" s="1">
        <f>IFERROR(__xludf.DUMMYFUNCTION("""COMPUTED_VALUE"""),40)</f>
        <v>40</v>
      </c>
      <c r="AJ89" s="1">
        <f>IFERROR(__xludf.DUMMYFUNCTION("""COMPUTED_VALUE"""),40)</f>
        <v>40</v>
      </c>
      <c r="AK89" s="1">
        <f>IFERROR(__xludf.DUMMYFUNCTION("""COMPUTED_VALUE"""),40)</f>
        <v>40</v>
      </c>
      <c r="AL89" s="1" t="str">
        <f>IFERROR(__xludf.DUMMYFUNCTION("""COMPUTED_VALUE"""),"G")</f>
        <v>G</v>
      </c>
      <c r="AM89" s="1" t="str">
        <f>IFERROR(__xludf.DUMMYFUNCTION("""COMPUTED_VALUE"""),"G")</f>
        <v>G</v>
      </c>
      <c r="AN89" s="1" t="str">
        <f>IFERROR(__xludf.DUMMYFUNCTION("""COMPUTED_VALUE"""),"G")</f>
        <v>G</v>
      </c>
    </row>
    <row r="90" customHeight="1" spans="1:40">
      <c r="A90" s="1" t="str">
        <f>IFERROR(__xludf.DUMMYFUNCTION("""COMPUTED_VALUE"""),"02° BBM")</f>
        <v>02° BBM</v>
      </c>
      <c r="B90" s="1" t="str">
        <f>IFERROR(__xludf.DUMMYFUNCTION("""COMPUTED_VALUE"""),"Araricá")</f>
        <v>Araricá</v>
      </c>
      <c r="C90" s="119" t="str">
        <f>IFERROR(__xludf.DUMMYFUNCTION("""COMPUTED_VALUE"""),"CAB")</f>
        <v>CAB</v>
      </c>
      <c r="D90" s="119" t="str">
        <f>IFERROR(__xludf.DUMMYFUNCTION("""COMPUTED_VALUE"""),"LUÍS DAVI DA SILVA")</f>
        <v>LUÍS DAVI DA SILVA</v>
      </c>
      <c r="E90" s="119" t="str">
        <f>IFERROR(__xludf.DUMMYFUNCTION("""COMPUTED_VALUE"""),"Curso CAB operador concluído")</f>
        <v>Curso CAB operador concluído</v>
      </c>
      <c r="F90" s="1" t="str">
        <f>IFERROR(__xludf.DUMMYFUNCTION("""COMPUTED_VALUE"""),"016.737.080-48")</f>
        <v>016.737.080-48</v>
      </c>
      <c r="G90" s="1">
        <f>IFERROR(__xludf.DUMMYFUNCTION("""COMPUTED_VALUE"""),9125940263)</f>
        <v>9125940263</v>
      </c>
      <c r="H90" s="1" t="str">
        <f>IFERROR(__xludf.DUMMYFUNCTION("""COMPUTED_VALUE"""),"Combatente/Socorrista/ Condutor")</f>
        <v>Combatente/Socorrista/ Condutor</v>
      </c>
      <c r="I90" s="1" t="str">
        <f>IFERROR(__xludf.DUMMYFUNCTION("""COMPUTED_VALUE"""),"Bombeiro Voluntario/Bombeiro Civil; APH/BLS I; APH/BLS II, Resgate veicular, Combate a incêndio, Produtos perigosos, Condutor")</f>
        <v>Bombeiro Voluntario/Bombeiro Civil; APH/BLS I; APH/BLS II, Resgate veicular, Combate a incêndio, Produtos perigosos, Condutor</v>
      </c>
      <c r="J90" s="1" t="str">
        <f>IFERROR(__xludf.DUMMYFUNCTION("""COMPUTED_VALUE"""),"Sim")</f>
        <v>Sim</v>
      </c>
      <c r="K90" s="1" t="str">
        <f>IFERROR(__xludf.DUMMYFUNCTION("""COMPUTED_VALUE"""),"Não")</f>
        <v>Não</v>
      </c>
      <c r="L90" s="1" t="str">
        <f>IFERROR(__xludf.DUMMYFUNCTION("""COMPUTED_VALUE"""),"O+")</f>
        <v>O+</v>
      </c>
      <c r="M90" s="1" t="str">
        <f>IFERROR(__xludf.DUMMYFUNCTION("""COMPUTED_VALUE"""),"DA SILVA")</f>
        <v>DA SILVA</v>
      </c>
      <c r="N90" s="121">
        <f>IFERROR(__xludf.DUMMYFUNCTION("""COMPUTED_VALUE"""),36825)</f>
        <v>36825</v>
      </c>
      <c r="O90" s="1" t="str">
        <f>IFERROR(__xludf.DUMMYFUNCTION("""COMPUTED_VALUE"""),"Masculino")</f>
        <v>Masculino</v>
      </c>
      <c r="P90" s="1" t="str">
        <f>IFERROR(__xludf.DUMMYFUNCTION("""COMPUTED_VALUE"""),"Morena")</f>
        <v>Morena</v>
      </c>
      <c r="Q90" s="1" t="str">
        <f>IFERROR(__xludf.DUMMYFUNCTION("""COMPUTED_VALUE"""),"Ensino Médio")</f>
        <v>Ensino Médio</v>
      </c>
      <c r="R90" s="1" t="str">
        <f>IFERROR(__xludf.DUMMYFUNCTION("""COMPUTED_VALUE"""),"luisdavi369@gmail.com")</f>
        <v>luisdavi369@gmail.com</v>
      </c>
      <c r="S90" s="1">
        <f>IFERROR(__xludf.DUMMYFUNCTION("""COMPUTED_VALUE"""),80)</f>
        <v>80</v>
      </c>
      <c r="T90" s="1" t="str">
        <f>IFERROR(__xludf.DUMMYFUNCTION("""COMPUTED_VALUE"""),"Entre 1,71m e 1,75m")</f>
        <v>Entre 1,71m e 1,75m</v>
      </c>
      <c r="U90" s="1"/>
      <c r="V90" s="1">
        <f>IFERROR(__xludf.DUMMYFUNCTION("""COMPUTED_VALUE"""),51992203909)</f>
        <v>51992203909</v>
      </c>
      <c r="W90" s="1">
        <f>IFERROR(__xludf.DUMMYFUNCTION("""COMPUTED_VALUE"""),51992203909)</f>
        <v>51992203909</v>
      </c>
      <c r="X90" s="1" t="str">
        <f>IFERROR(__xludf.DUMMYFUNCTION("""COMPUTED_VALUE"""),"RS")</f>
        <v>RS</v>
      </c>
      <c r="Y90" s="1" t="str">
        <f>IFERROR(__xludf.DUMMYFUNCTION("""COMPUTED_VALUE"""),"Sapiranga")</f>
        <v>Sapiranga</v>
      </c>
      <c r="Z90" s="1" t="str">
        <f>IFERROR(__xludf.DUMMYFUNCTION("""COMPUTED_VALUE"""),"93800-264")</f>
        <v>93800-264</v>
      </c>
      <c r="AA90" s="1" t="str">
        <f>IFERROR(__xludf.DUMMYFUNCTION("""COMPUTED_VALUE"""),"Rua Alberto Schimidt, 55")</f>
        <v>Rua Alberto Schimidt, 55</v>
      </c>
      <c r="AB90" s="1" t="str">
        <f>IFERROR(__xludf.DUMMYFUNCTION("""COMPUTED_VALUE"""),"centro")</f>
        <v>centro</v>
      </c>
      <c r="AC90" s="1" t="str">
        <f>IFERROR(__xludf.DUMMYFUNCTION("""COMPUTED_VALUE"""),"G")</f>
        <v>G</v>
      </c>
      <c r="AD90" s="1" t="str">
        <f>IFERROR(__xludf.DUMMYFUNCTION("""COMPUTED_VALUE"""),"G")</f>
        <v>G</v>
      </c>
      <c r="AE90" s="1" t="str">
        <f>IFERROR(__xludf.DUMMYFUNCTION("""COMPUTED_VALUE"""),"G")</f>
        <v>G</v>
      </c>
      <c r="AF90" s="1" t="str">
        <f>IFERROR(__xludf.DUMMYFUNCTION("""COMPUTED_VALUE"""),"G")</f>
        <v>G</v>
      </c>
      <c r="AG90" s="1" t="str">
        <f>IFERROR(__xludf.DUMMYFUNCTION("""COMPUTED_VALUE"""),"G")</f>
        <v>G</v>
      </c>
      <c r="AH90" s="1">
        <f>IFERROR(__xludf.DUMMYFUNCTION("""COMPUTED_VALUE"""),42)</f>
        <v>42</v>
      </c>
      <c r="AI90" s="1">
        <f>IFERROR(__xludf.DUMMYFUNCTION("""COMPUTED_VALUE"""),42)</f>
        <v>42</v>
      </c>
      <c r="AJ90" s="1">
        <f>IFERROR(__xludf.DUMMYFUNCTION("""COMPUTED_VALUE"""),42)</f>
        <v>42</v>
      </c>
      <c r="AK90" s="1">
        <f>IFERROR(__xludf.DUMMYFUNCTION("""COMPUTED_VALUE"""),42)</f>
        <v>42</v>
      </c>
      <c r="AL90" s="1" t="str">
        <f>IFERROR(__xludf.DUMMYFUNCTION("""COMPUTED_VALUE"""),"M")</f>
        <v>M</v>
      </c>
      <c r="AM90" s="1" t="str">
        <f>IFERROR(__xludf.DUMMYFUNCTION("""COMPUTED_VALUE"""),"M")</f>
        <v>M</v>
      </c>
      <c r="AN90" s="1" t="str">
        <f>IFERROR(__xludf.DUMMYFUNCTION("""COMPUTED_VALUE"""),"M")</f>
        <v>M</v>
      </c>
    </row>
    <row r="91" customHeight="1" spans="1:40">
      <c r="A91" s="1" t="str">
        <f>IFERROR(__xludf.DUMMYFUNCTION("""COMPUTED_VALUE"""),"02° BBM")</f>
        <v>02° BBM</v>
      </c>
      <c r="B91" s="1" t="str">
        <f>IFERROR(__xludf.DUMMYFUNCTION("""COMPUTED_VALUE"""),"Triunfo")</f>
        <v>Triunfo</v>
      </c>
      <c r="C91" s="119" t="str">
        <f>IFERROR(__xludf.DUMMYFUNCTION("""COMPUTED_VALUE"""),"Comunitario")</f>
        <v>Comunitario</v>
      </c>
      <c r="D91" s="119" t="str">
        <f>IFERROR(__xludf.DUMMYFUNCTION("""COMPUTED_VALUE"""),"LUIS FELIPE FARIAS DE AZEVEDO")</f>
        <v>LUIS FELIPE FARIAS DE AZEVEDO</v>
      </c>
      <c r="E91" s="119" t="str">
        <f>IFERROR(__xludf.DUMMYFUNCTION("""COMPUTED_VALUE"""),"")</f>
        <v/>
      </c>
      <c r="F91" s="1" t="str">
        <f>IFERROR(__xludf.DUMMYFUNCTION("""COMPUTED_VALUE"""),"033.234.380-43")</f>
        <v>033.234.380-43</v>
      </c>
      <c r="G91" s="1">
        <f>IFERROR(__xludf.DUMMYFUNCTION("""COMPUTED_VALUE"""),1106512179)</f>
        <v>1106512179</v>
      </c>
      <c r="H91" s="1" t="str">
        <f>IFERROR(__xludf.DUMMYFUNCTION("""COMPUTED_VALUE"""),"Condutor e Operador de Viatura")</f>
        <v>Condutor e Operador de Viatura</v>
      </c>
      <c r="I91" s="1" t="str">
        <f>IFERROR(__xludf.DUMMYFUNCTION("""COMPUTED_VALUE"""),"Tecnica e Tatica de Combate a Incendio Nivel I e Condutor de Veículo de Emergência")</f>
        <v>Tecnica e Tatica de Combate a Incendio Nivel I e Condutor de Veículo de Emergência</v>
      </c>
      <c r="J91" s="1" t="str">
        <f>IFERROR(__xludf.DUMMYFUNCTION("""COMPUTED_VALUE"""),"Sim")</f>
        <v>Sim</v>
      </c>
      <c r="K91" s="1" t="str">
        <f>IFERROR(__xludf.DUMMYFUNCTION("""COMPUTED_VALUE"""),"Não")</f>
        <v>Não</v>
      </c>
      <c r="L91" s="1" t="str">
        <f>IFERROR(__xludf.DUMMYFUNCTION("""COMPUTED_VALUE"""),"O-")</f>
        <v>O-</v>
      </c>
      <c r="M91" s="1" t="str">
        <f>IFERROR(__xludf.DUMMYFUNCTION("""COMPUTED_VALUE"""),"Felipe")</f>
        <v>Felipe</v>
      </c>
      <c r="N91" s="120">
        <f>IFERROR(__xludf.DUMMYFUNCTION("""COMPUTED_VALUE"""),34494)</f>
        <v>34494</v>
      </c>
      <c r="O91" s="1" t="str">
        <f>IFERROR(__xludf.DUMMYFUNCTION("""COMPUTED_VALUE"""),"Masculino")</f>
        <v>Masculino</v>
      </c>
      <c r="P91" s="1" t="str">
        <f>IFERROR(__xludf.DUMMYFUNCTION("""COMPUTED_VALUE"""),"Branca")</f>
        <v>Branca</v>
      </c>
      <c r="Q91" s="1" t="str">
        <f>IFERROR(__xludf.DUMMYFUNCTION("""COMPUTED_VALUE"""),"Ensino Superior Incompleto")</f>
        <v>Ensino Superior Incompleto</v>
      </c>
      <c r="R91" s="123" t="str">
        <f>IFERROR(__xludf.DUMMYFUNCTION("""COMPUTED_VALUE"""),"felipe.azevedo.tk@gmail.com")</f>
        <v>felipe.azevedo.tk@gmail.com</v>
      </c>
      <c r="S91" s="1">
        <f>IFERROR(__xludf.DUMMYFUNCTION("""COMPUTED_VALUE"""),125)</f>
        <v>125</v>
      </c>
      <c r="T91" s="1" t="str">
        <f>IFERROR(__xludf.DUMMYFUNCTION("""COMPUTED_VALUE"""),"Entre 1,86m e 1,90m")</f>
        <v>Entre 1,86m e 1,90m</v>
      </c>
      <c r="U91" s="1"/>
      <c r="V91" s="1" t="str">
        <f>IFERROR(__xludf.DUMMYFUNCTION("""COMPUTED_VALUE"""),"51 - 996664032")</f>
        <v>51 - 996664032</v>
      </c>
      <c r="W91" s="1" t="str">
        <f>IFERROR(__xludf.DUMMYFUNCTION("""COMPUTED_VALUE"""),"51 - 993662939")</f>
        <v>51 - 993662939</v>
      </c>
      <c r="X91" s="1" t="str">
        <f>IFERROR(__xludf.DUMMYFUNCTION("""COMPUTED_VALUE"""),"RS")</f>
        <v>RS</v>
      </c>
      <c r="Y91" s="1" t="str">
        <f>IFERROR(__xludf.DUMMYFUNCTION("""COMPUTED_VALUE"""),"Taquari")</f>
        <v>Taquari</v>
      </c>
      <c r="Z91" s="1" t="str">
        <f>IFERROR(__xludf.DUMMYFUNCTION("""COMPUTED_VALUE"""),"95840-000")</f>
        <v>95840-000</v>
      </c>
      <c r="AA91" s="1" t="str">
        <f>IFERROR(__xludf.DUMMYFUNCTION("""COMPUTED_VALUE"""),"AVENIDA TRIUNFO 04")</f>
        <v>AVENIDA TRIUNFO 04</v>
      </c>
      <c r="AB91" s="1" t="str">
        <f>IFERROR(__xludf.DUMMYFUNCTION("""COMPUTED_VALUE"""),"ESTALEIRO")</f>
        <v>ESTALEIRO</v>
      </c>
      <c r="AC91" s="1" t="str">
        <f>IFERROR(__xludf.DUMMYFUNCTION("""COMPUTED_VALUE"""),"GG")</f>
        <v>GG</v>
      </c>
      <c r="AD91" s="1" t="str">
        <f>IFERROR(__xludf.DUMMYFUNCTION("""COMPUTED_VALUE"""),"EXG")</f>
        <v>EXG</v>
      </c>
      <c r="AE91" s="1" t="str">
        <f>IFERROR(__xludf.DUMMYFUNCTION("""COMPUTED_VALUE"""),"GG")</f>
        <v>GG</v>
      </c>
      <c r="AF91" s="1" t="str">
        <f>IFERROR(__xludf.DUMMYFUNCTION("""COMPUTED_VALUE"""),"EXG")</f>
        <v>EXG</v>
      </c>
      <c r="AG91" s="1" t="str">
        <f>IFERROR(__xludf.DUMMYFUNCTION("""COMPUTED_VALUE"""),"EXG")</f>
        <v>EXG</v>
      </c>
      <c r="AH91" s="1">
        <f>IFERROR(__xludf.DUMMYFUNCTION("""COMPUTED_VALUE"""),44)</f>
        <v>44</v>
      </c>
      <c r="AI91" s="1">
        <f>IFERROR(__xludf.DUMMYFUNCTION("""COMPUTED_VALUE"""),44)</f>
        <v>44</v>
      </c>
      <c r="AJ91" s="1">
        <f>IFERROR(__xludf.DUMMYFUNCTION("""COMPUTED_VALUE"""),44)</f>
        <v>44</v>
      </c>
      <c r="AK91" s="1">
        <f>IFERROR(__xludf.DUMMYFUNCTION("""COMPUTED_VALUE"""),44)</f>
        <v>44</v>
      </c>
      <c r="AL91" s="1" t="str">
        <f>IFERROR(__xludf.DUMMYFUNCTION("""COMPUTED_VALUE"""),"EXG")</f>
        <v>EXG</v>
      </c>
      <c r="AM91" s="1" t="str">
        <f>IFERROR(__xludf.DUMMYFUNCTION("""COMPUTED_VALUE"""),"EXG")</f>
        <v>EXG</v>
      </c>
      <c r="AN91" s="1" t="str">
        <f>IFERROR(__xludf.DUMMYFUNCTION("""COMPUTED_VALUE"""),"G")</f>
        <v>G</v>
      </c>
    </row>
    <row r="92" customHeight="1" spans="1:40">
      <c r="A92" s="1" t="str">
        <f>IFERROR(__xludf.DUMMYFUNCTION("""COMPUTED_VALUE"""),"02° BBM")</f>
        <v>02° BBM</v>
      </c>
      <c r="B92" s="1" t="str">
        <f>IFERROR(__xludf.DUMMYFUNCTION("""COMPUTED_VALUE"""),"Dois Irmãos")</f>
        <v>Dois Irmãos</v>
      </c>
      <c r="C92" s="119" t="str">
        <f>IFERROR(__xludf.DUMMYFUNCTION("""COMPUTED_VALUE"""),"Comunitario")</f>
        <v>Comunitario</v>
      </c>
      <c r="D92" s="119" t="str">
        <f>IFERROR(__xludf.DUMMYFUNCTION("""COMPUTED_VALUE"""),"LUIZ ANTONIO FORNECK DE OLIVEIRA")</f>
        <v>LUIZ ANTONIO FORNECK DE OLIVEIRA</v>
      </c>
      <c r="E92" s="119" t="str">
        <f>IFERROR(__xludf.DUMMYFUNCTION("""COMPUTED_VALUE"""),"Curso CAB operador concluído")</f>
        <v>Curso CAB operador concluído</v>
      </c>
      <c r="F92" s="1" t="str">
        <f>IFERROR(__xludf.DUMMYFUNCTION("""COMPUTED_VALUE"""),"055.117.300-92")</f>
        <v>055.117.300-92</v>
      </c>
      <c r="G92" s="1">
        <f>IFERROR(__xludf.DUMMYFUNCTION("""COMPUTED_VALUE"""),7134975635)</f>
        <v>7134975635</v>
      </c>
      <c r="H92" s="1" t="str">
        <f>IFERROR(__xludf.DUMMYFUNCTION("""COMPUTED_VALUE"""),"Combatente e Socorrista")</f>
        <v>Combatente e Socorrista</v>
      </c>
      <c r="I92" s="1" t="str">
        <f>IFERROR(__xludf.DUMMYFUNCTION("""COMPUTED_VALUE"""),"Bombeiro Voluntário, BOMBEIRO CIVIL")</f>
        <v>Bombeiro Voluntário, BOMBEIRO CIVIL</v>
      </c>
      <c r="J92" s="1" t="str">
        <f>IFERROR(__xludf.DUMMYFUNCTION("""COMPUTED_VALUE"""),"Sim")</f>
        <v>Sim</v>
      </c>
      <c r="K92" s="1" t="str">
        <f>IFERROR(__xludf.DUMMYFUNCTION("""COMPUTED_VALUE"""),"Sim")</f>
        <v>Sim</v>
      </c>
      <c r="L92" s="1" t="str">
        <f>IFERROR(__xludf.DUMMYFUNCTION("""COMPUTED_VALUE"""),"A+")</f>
        <v>A+</v>
      </c>
      <c r="M92" s="1" t="str">
        <f>IFERROR(__xludf.DUMMYFUNCTION("""COMPUTED_VALUE"""),"LUIZ")</f>
        <v>LUIZ</v>
      </c>
      <c r="N92" s="121">
        <f>IFERROR(__xludf.DUMMYFUNCTION("""COMPUTED_VALUE"""),38392)</f>
        <v>38392</v>
      </c>
      <c r="O92" s="1" t="str">
        <f>IFERROR(__xludf.DUMMYFUNCTION("""COMPUTED_VALUE"""),"Masculino")</f>
        <v>Masculino</v>
      </c>
      <c r="P92" s="1" t="str">
        <f>IFERROR(__xludf.DUMMYFUNCTION("""COMPUTED_VALUE"""),"Branca")</f>
        <v>Branca</v>
      </c>
      <c r="Q92" s="1" t="str">
        <f>IFERROR(__xludf.DUMMYFUNCTION("""COMPUTED_VALUE"""),"Ensino Médio")</f>
        <v>Ensino Médio</v>
      </c>
      <c r="R92" s="1" t="str">
        <f>IFERROR(__xludf.DUMMYFUNCTION("""COMPUTED_VALUE"""),"luizforneck9822@gmail.com ")</f>
        <v>luizforneck9822@gmail.com </v>
      </c>
      <c r="S92" s="1">
        <f>IFERROR(__xludf.DUMMYFUNCTION("""COMPUTED_VALUE"""),81)</f>
        <v>81</v>
      </c>
      <c r="T92" s="1" t="str">
        <f>IFERROR(__xludf.DUMMYFUNCTION("""COMPUTED_VALUE"""),"Entre 1,76m e 1,80m")</f>
        <v>Entre 1,76m e 1,80m</v>
      </c>
      <c r="U92" s="1"/>
      <c r="V92" s="1" t="str">
        <f>IFERROR(__xludf.DUMMYFUNCTION("""COMPUTED_VALUE"""),"(51) 999304164")</f>
        <v>(51) 999304164</v>
      </c>
      <c r="W92" s="1"/>
      <c r="X92" s="1" t="str">
        <f>IFERROR(__xludf.DUMMYFUNCTION("""COMPUTED_VALUE"""),"RS")</f>
        <v>RS</v>
      </c>
      <c r="Y92" s="1" t="str">
        <f>IFERROR(__xludf.DUMMYFUNCTION("""COMPUTED_VALUE"""),"Dois Irmãos")</f>
        <v>Dois Irmãos</v>
      </c>
      <c r="Z92" s="1" t="str">
        <f>IFERROR(__xludf.DUMMYFUNCTION("""COMPUTED_VALUE"""),"93950-000")</f>
        <v>93950-000</v>
      </c>
      <c r="AA92" s="1" t="str">
        <f>IFERROR(__xludf.DUMMYFUNCTION("""COMPUTED_VALUE"""),"Rua erico verissimo, 230")</f>
        <v>Rua erico verissimo, 230</v>
      </c>
      <c r="AB92" s="1" t="str">
        <f>IFERROR(__xludf.DUMMYFUNCTION("""COMPUTED_VALUE"""),"Moinho velho")</f>
        <v>Moinho velho</v>
      </c>
      <c r="AC92" s="1" t="str">
        <f>IFERROR(__xludf.DUMMYFUNCTION("""COMPUTED_VALUE"""),"M")</f>
        <v>M</v>
      </c>
      <c r="AD92" s="1" t="str">
        <f>IFERROR(__xludf.DUMMYFUNCTION("""COMPUTED_VALUE"""),"M")</f>
        <v>M</v>
      </c>
      <c r="AE92" s="1" t="str">
        <f>IFERROR(__xludf.DUMMYFUNCTION("""COMPUTED_VALUE"""),"M")</f>
        <v>M</v>
      </c>
      <c r="AF92" s="1" t="str">
        <f>IFERROR(__xludf.DUMMYFUNCTION("""COMPUTED_VALUE"""),"G")</f>
        <v>G</v>
      </c>
      <c r="AG92" s="1" t="str">
        <f>IFERROR(__xludf.DUMMYFUNCTION("""COMPUTED_VALUE"""),"M")</f>
        <v>M</v>
      </c>
      <c r="AH92" s="1">
        <f>IFERROR(__xludf.DUMMYFUNCTION("""COMPUTED_VALUE"""),41)</f>
        <v>41</v>
      </c>
      <c r="AI92" s="1">
        <f>IFERROR(__xludf.DUMMYFUNCTION("""COMPUTED_VALUE"""),41)</f>
        <v>41</v>
      </c>
      <c r="AJ92" s="1">
        <f>IFERROR(__xludf.DUMMYFUNCTION("""COMPUTED_VALUE"""),41)</f>
        <v>41</v>
      </c>
      <c r="AK92" s="1">
        <f>IFERROR(__xludf.DUMMYFUNCTION("""COMPUTED_VALUE"""),41)</f>
        <v>41</v>
      </c>
      <c r="AL92" s="1" t="str">
        <f>IFERROR(__xludf.DUMMYFUNCTION("""COMPUTED_VALUE"""),"M")</f>
        <v>M</v>
      </c>
      <c r="AM92" s="1" t="str">
        <f>IFERROR(__xludf.DUMMYFUNCTION("""COMPUTED_VALUE"""),"M")</f>
        <v>M</v>
      </c>
      <c r="AN92" s="1" t="str">
        <f>IFERROR(__xludf.DUMMYFUNCTION("""COMPUTED_VALUE"""),"M")</f>
        <v>M</v>
      </c>
    </row>
    <row r="93" customHeight="1" spans="1:40">
      <c r="A93" s="1" t="str">
        <f>IFERROR(__xludf.DUMMYFUNCTION("""COMPUTED_VALUE"""),"02° BBM")</f>
        <v>02° BBM</v>
      </c>
      <c r="B93" s="1" t="str">
        <f>IFERROR(__xludf.DUMMYFUNCTION("""COMPUTED_VALUE"""),"Parobé")</f>
        <v>Parobé</v>
      </c>
      <c r="C93" s="119" t="str">
        <f>IFERROR(__xludf.DUMMYFUNCTION("""COMPUTED_VALUE"""),"Comunitario")</f>
        <v>Comunitario</v>
      </c>
      <c r="D93" s="119" t="str">
        <f>IFERROR(__xludf.DUMMYFUNCTION("""COMPUTED_VALUE"""),"LUIZ MIGUEL DA CONCEIÇÃO SILVA")</f>
        <v>LUIZ MIGUEL DA CONCEIÇÃO SILVA</v>
      </c>
      <c r="E93" s="119" t="str">
        <f>IFERROR(__xludf.DUMMYFUNCTION("""COMPUTED_VALUE"""),"Curso CAB operador concluído")</f>
        <v>Curso CAB operador concluído</v>
      </c>
      <c r="F93" s="1" t="str">
        <f>IFERROR(__xludf.DUMMYFUNCTION("""COMPUTED_VALUE"""),"024.711.880-01")</f>
        <v>024.711.880-01</v>
      </c>
      <c r="G93" s="1">
        <f>IFERROR(__xludf.DUMMYFUNCTION("""COMPUTED_VALUE"""),6104073058)</f>
        <v>6104073058</v>
      </c>
      <c r="H93" s="1" t="str">
        <f>IFERROR(__xludf.DUMMYFUNCTION("""COMPUTED_VALUE"""),"Combatente e Socorrista")</f>
        <v>Combatente e Socorrista</v>
      </c>
      <c r="I93" s="1" t="str">
        <f>IFERROR(__xludf.DUMMYFUNCTION("""COMPUTED_VALUE"""),"Condutor de Emergência ")</f>
        <v>Condutor de Emergência </v>
      </c>
      <c r="J93" s="1" t="str">
        <f>IFERROR(__xludf.DUMMYFUNCTION("""COMPUTED_VALUE"""),"Sim")</f>
        <v>Sim</v>
      </c>
      <c r="K93" s="1" t="str">
        <f>IFERROR(__xludf.DUMMYFUNCTION("""COMPUTED_VALUE"""),"Sim")</f>
        <v>Sim</v>
      </c>
      <c r="L93" s="1" t="str">
        <f>IFERROR(__xludf.DUMMYFUNCTION("""COMPUTED_VALUE"""),"A+")</f>
        <v>A+</v>
      </c>
      <c r="M93" s="1" t="str">
        <f>IFERROR(__xludf.DUMMYFUNCTION("""COMPUTED_VALUE"""),"MIGUEL")</f>
        <v>MIGUEL</v>
      </c>
      <c r="N93" s="120"/>
      <c r="O93" s="1"/>
      <c r="P93" s="1" t="str">
        <f>IFERROR(__xludf.DUMMYFUNCTION("""COMPUTED_VALUE"""),"Branca")</f>
        <v>Branca</v>
      </c>
      <c r="Q93" s="1"/>
      <c r="R93" s="1" t="str">
        <f>IFERROR(__xludf.DUMMYFUNCTION("""COMPUTED_VALUE"""),"luizmiguelcs@gmail.com")</f>
        <v>luizmiguelcs@gmail.com</v>
      </c>
      <c r="S93" s="1">
        <f>IFERROR(__xludf.DUMMYFUNCTION("""COMPUTED_VALUE"""),130)</f>
        <v>130</v>
      </c>
      <c r="T93" s="1" t="str">
        <f>IFERROR(__xludf.DUMMYFUNCTION("""COMPUTED_VALUE"""),"Entre 1,81m e 1,85m")</f>
        <v>Entre 1,81m e 1,85m</v>
      </c>
      <c r="U93" s="1"/>
      <c r="V93" s="1" t="str">
        <f>IFERROR(__xludf.DUMMYFUNCTION("""COMPUTED_VALUE"""),"(51) 995552517")</f>
        <v>(51) 995552517</v>
      </c>
      <c r="W93" s="1" t="str">
        <f>IFERROR(__xludf.DUMMYFUNCTION("""COMPUTED_VALUE"""),"(51)99583-6327")</f>
        <v>(51)99583-6327</v>
      </c>
      <c r="X93" s="1" t="str">
        <f>IFERROR(__xludf.DUMMYFUNCTION("""COMPUTED_VALUE"""),"RS")</f>
        <v>RS</v>
      </c>
      <c r="Y93" s="1" t="str">
        <f>IFERROR(__xludf.DUMMYFUNCTION("""COMPUTED_VALUE"""),"Parobé")</f>
        <v>Parobé</v>
      </c>
      <c r="Z93" s="1" t="str">
        <f>IFERROR(__xludf.DUMMYFUNCTION("""COMPUTED_VALUE"""),"95630-000")</f>
        <v>95630-000</v>
      </c>
      <c r="AA93" s="1" t="str">
        <f>IFERROR(__xludf.DUMMYFUNCTION("""COMPUTED_VALUE"""),"General Camara, 195")</f>
        <v>General Camara, 195</v>
      </c>
      <c r="AB93" s="1" t="str">
        <f>IFERROR(__xludf.DUMMYFUNCTION("""COMPUTED_VALUE"""),"Panoramico")</f>
        <v>Panoramico</v>
      </c>
      <c r="AC93" s="1" t="str">
        <f>IFERROR(__xludf.DUMMYFUNCTION("""COMPUTED_VALUE"""),"EXG")</f>
        <v>EXG</v>
      </c>
      <c r="AD93" s="1" t="str">
        <f>IFERROR(__xludf.DUMMYFUNCTION("""COMPUTED_VALUE"""),"GG")</f>
        <v>GG</v>
      </c>
      <c r="AE93" s="1" t="str">
        <f>IFERROR(__xludf.DUMMYFUNCTION("""COMPUTED_VALUE"""),"GG")</f>
        <v>GG</v>
      </c>
      <c r="AF93" s="1" t="str">
        <f>IFERROR(__xludf.DUMMYFUNCTION("""COMPUTED_VALUE"""),"GG")</f>
        <v>GG</v>
      </c>
      <c r="AG93" s="1" t="str">
        <f>IFERROR(__xludf.DUMMYFUNCTION("""COMPUTED_VALUE"""),"EXG")</f>
        <v>EXG</v>
      </c>
      <c r="AH93" s="1">
        <f>IFERROR(__xludf.DUMMYFUNCTION("""COMPUTED_VALUE"""),43)</f>
        <v>43</v>
      </c>
      <c r="AI93" s="1">
        <f>IFERROR(__xludf.DUMMYFUNCTION("""COMPUTED_VALUE"""),43)</f>
        <v>43</v>
      </c>
      <c r="AJ93" s="1">
        <f>IFERROR(__xludf.DUMMYFUNCTION("""COMPUTED_VALUE"""),43)</f>
        <v>43</v>
      </c>
      <c r="AK93" s="1">
        <f>IFERROR(__xludf.DUMMYFUNCTION("""COMPUTED_VALUE"""),43)</f>
        <v>43</v>
      </c>
      <c r="AL93" s="1" t="str">
        <f>IFERROR(__xludf.DUMMYFUNCTION("""COMPUTED_VALUE"""),"GG")</f>
        <v>GG</v>
      </c>
      <c r="AM93" s="1" t="str">
        <f>IFERROR(__xludf.DUMMYFUNCTION("""COMPUTED_VALUE"""),"GG")</f>
        <v>GG</v>
      </c>
      <c r="AN93" s="1" t="str">
        <f>IFERROR(__xludf.DUMMYFUNCTION("""COMPUTED_VALUE"""),"GG")</f>
        <v>GG</v>
      </c>
    </row>
    <row r="94" customHeight="1" spans="1:40">
      <c r="A94" s="1" t="str">
        <f>IFERROR(__xludf.DUMMYFUNCTION("""COMPUTED_VALUE"""),"02° BBM")</f>
        <v>02° BBM</v>
      </c>
      <c r="B94" s="1" t="str">
        <f>IFERROR(__xludf.DUMMYFUNCTION("""COMPUTED_VALUE"""),"Campo Bom")</f>
        <v>Campo Bom</v>
      </c>
      <c r="C94" s="119" t="str">
        <f>IFERROR(__xludf.DUMMYFUNCTION("""COMPUTED_VALUE"""),"Comunitario")</f>
        <v>Comunitario</v>
      </c>
      <c r="D94" s="119" t="str">
        <f>IFERROR(__xludf.DUMMYFUNCTION("""COMPUTED_VALUE"""),"LUIZ RANGEL JAEGER")</f>
        <v>LUIZ RANGEL JAEGER</v>
      </c>
      <c r="E94" s="119" t="str">
        <f>IFERROR(__xludf.DUMMYFUNCTION("""COMPUTED_VALUE"""),"")</f>
        <v/>
      </c>
      <c r="F94" s="1" t="str">
        <f>IFERROR(__xludf.DUMMYFUNCTION("""COMPUTED_VALUE"""),"594.261.600-00")</f>
        <v>594.261.600-00</v>
      </c>
      <c r="G94" s="1">
        <f>IFERROR(__xludf.DUMMYFUNCTION("""COMPUTED_VALUE"""),1052307319)</f>
        <v>1052307319</v>
      </c>
      <c r="H94" s="1" t="str">
        <f>IFERROR(__xludf.DUMMYFUNCTION("""COMPUTED_VALUE"""),"Combatente")</f>
        <v>Combatente</v>
      </c>
      <c r="I94" s="1" t="str">
        <f>IFERROR(__xludf.DUMMYFUNCTION("""COMPUTED_VALUE"""),"Bombeiro Voluntário")</f>
        <v>Bombeiro Voluntário</v>
      </c>
      <c r="J94" s="1" t="str">
        <f>IFERROR(__xludf.DUMMYFUNCTION("""COMPUTED_VALUE"""),"Sim")</f>
        <v>Sim</v>
      </c>
      <c r="K94" s="1" t="str">
        <f>IFERROR(__xludf.DUMMYFUNCTION("""COMPUTED_VALUE"""),"Sim")</f>
        <v>Sim</v>
      </c>
      <c r="L94" s="1"/>
      <c r="M94" s="1" t="str">
        <f>IFERROR(__xludf.DUMMYFUNCTION("""COMPUTED_VALUE"""),"JAEGER")</f>
        <v>JAEGER</v>
      </c>
      <c r="N94" s="120">
        <f>IFERROR(__xludf.DUMMYFUNCTION("""COMPUTED_VALUE"""),27035)</f>
        <v>27035</v>
      </c>
      <c r="O94" s="1" t="str">
        <f>IFERROR(__xludf.DUMMYFUNCTION("""COMPUTED_VALUE"""),"Masculino")</f>
        <v>Masculino</v>
      </c>
      <c r="P94" s="1" t="str">
        <f>IFERROR(__xludf.DUMMYFUNCTION("""COMPUTED_VALUE"""),"Branca")</f>
        <v>Branca</v>
      </c>
      <c r="Q94" s="1" t="str">
        <f>IFERROR(__xludf.DUMMYFUNCTION("""COMPUTED_VALUE"""),"Ensino Médio")</f>
        <v>Ensino Médio</v>
      </c>
      <c r="R94" s="1" t="str">
        <f>IFERROR(__xludf.DUMMYFUNCTION("""COMPUTED_VALUE"""),"luiz-jaeger@hotmail.com")</f>
        <v>luiz-jaeger@hotmail.com</v>
      </c>
      <c r="S94" s="1">
        <f>IFERROR(__xludf.DUMMYFUNCTION("""COMPUTED_VALUE"""),84)</f>
        <v>84</v>
      </c>
      <c r="T94" s="1" t="str">
        <f>IFERROR(__xludf.DUMMYFUNCTION("""COMPUTED_VALUE"""),"Entre 1,76m e 1,80m")</f>
        <v>Entre 1,76m e 1,80m</v>
      </c>
      <c r="U94" s="1"/>
      <c r="V94" s="1" t="str">
        <f>IFERROR(__xludf.DUMMYFUNCTION("""COMPUTED_VALUE"""),"(51)991914201")</f>
        <v>(51)991914201</v>
      </c>
      <c r="W94" s="1" t="str">
        <f>IFERROR(__xludf.DUMMYFUNCTION("""COMPUTED_VALUE"""),"(51)991914201")</f>
        <v>(51)991914201</v>
      </c>
      <c r="X94" s="1" t="str">
        <f>IFERROR(__xludf.DUMMYFUNCTION("""COMPUTED_VALUE"""),"RS")</f>
        <v>RS</v>
      </c>
      <c r="Y94" s="1" t="str">
        <f>IFERROR(__xludf.DUMMYFUNCTION("""COMPUTED_VALUE"""),"Campo Bom")</f>
        <v>Campo Bom</v>
      </c>
      <c r="Z94" s="1" t="str">
        <f>IFERROR(__xludf.DUMMYFUNCTION("""COMPUTED_VALUE"""),"93700-000")</f>
        <v>93700-000</v>
      </c>
      <c r="AA94" s="1" t="str">
        <f>IFERROR(__xludf.DUMMYFUNCTION("""COMPUTED_VALUE"""),"Rua 7 de Setembro nº 420")</f>
        <v>Rua 7 de Setembro nº 420</v>
      </c>
      <c r="AB94" s="1" t="str">
        <f>IFERROR(__xludf.DUMMYFUNCTION("""COMPUTED_VALUE"""),"Centro")</f>
        <v>Centro</v>
      </c>
      <c r="AC94" s="1" t="str">
        <f>IFERROR(__xludf.DUMMYFUNCTION("""COMPUTED_VALUE"""),"G")</f>
        <v>G</v>
      </c>
      <c r="AD94" s="1" t="str">
        <f>IFERROR(__xludf.DUMMYFUNCTION("""COMPUTED_VALUE"""),"G")</f>
        <v>G</v>
      </c>
      <c r="AE94" s="1" t="str">
        <f>IFERROR(__xludf.DUMMYFUNCTION("""COMPUTED_VALUE"""),"G")</f>
        <v>G</v>
      </c>
      <c r="AF94" s="1" t="str">
        <f>IFERROR(__xludf.DUMMYFUNCTION("""COMPUTED_VALUE"""),"G")</f>
        <v>G</v>
      </c>
      <c r="AG94" s="1" t="str">
        <f>IFERROR(__xludf.DUMMYFUNCTION("""COMPUTED_VALUE"""),"G")</f>
        <v>G</v>
      </c>
      <c r="AH94" s="1">
        <f>IFERROR(__xludf.DUMMYFUNCTION("""COMPUTED_VALUE"""),40)</f>
        <v>40</v>
      </c>
      <c r="AI94" s="1">
        <f>IFERROR(__xludf.DUMMYFUNCTION("""COMPUTED_VALUE"""),40)</f>
        <v>40</v>
      </c>
      <c r="AJ94" s="1">
        <f>IFERROR(__xludf.DUMMYFUNCTION("""COMPUTED_VALUE"""),40)</f>
        <v>40</v>
      </c>
      <c r="AK94" s="1">
        <f>IFERROR(__xludf.DUMMYFUNCTION("""COMPUTED_VALUE"""),40)</f>
        <v>40</v>
      </c>
      <c r="AL94" s="1" t="str">
        <f>IFERROR(__xludf.DUMMYFUNCTION("""COMPUTED_VALUE"""),"G")</f>
        <v>G</v>
      </c>
      <c r="AM94" s="1" t="str">
        <f>IFERROR(__xludf.DUMMYFUNCTION("""COMPUTED_VALUE"""),"G")</f>
        <v>G</v>
      </c>
      <c r="AN94" s="1" t="str">
        <f>IFERROR(__xludf.DUMMYFUNCTION("""COMPUTED_VALUE"""),"G")</f>
        <v>G</v>
      </c>
    </row>
    <row r="95" customHeight="1" spans="1:40">
      <c r="A95" s="1" t="str">
        <f>IFERROR(__xludf.DUMMYFUNCTION("""COMPUTED_VALUE"""),"02° BBM")</f>
        <v>02° BBM</v>
      </c>
      <c r="B95" s="1" t="str">
        <f>IFERROR(__xludf.DUMMYFUNCTION("""COMPUTED_VALUE"""),"Marata")</f>
        <v>Marata</v>
      </c>
      <c r="C95" s="119" t="str">
        <f>IFERROR(__xludf.DUMMYFUNCTION("""COMPUTED_VALUE"""),"CAB")</f>
        <v>CAB</v>
      </c>
      <c r="D95" s="119" t="str">
        <f>IFERROR(__xludf.DUMMYFUNCTION("""COMPUTED_VALUE"""),"MAGNO LUIZ ALVES")</f>
        <v>MAGNO LUIZ ALVES</v>
      </c>
      <c r="E95" s="119" t="str">
        <f>IFERROR(__xludf.DUMMYFUNCTION("""COMPUTED_VALUE"""),"")</f>
        <v/>
      </c>
      <c r="F95" s="1" t="str">
        <f>IFERROR(__xludf.DUMMYFUNCTION("""COMPUTED_VALUE"""),"717.274.500-00")</f>
        <v>717.274.500-00</v>
      </c>
      <c r="G95" s="1">
        <f>IFERROR(__xludf.DUMMYFUNCTION("""COMPUTED_VALUE"""),8067126411)</f>
        <v>8067126411</v>
      </c>
      <c r="H95" s="1" t="str">
        <f>IFERROR(__xludf.DUMMYFUNCTION("""COMPUTED_VALUE"""),"Combatente Condutor e Socorrista")</f>
        <v>Combatente Condutor e Socorrista</v>
      </c>
      <c r="I95" s="1" t="str">
        <f>IFERROR(__xludf.DUMMYFUNCTION("""COMPUTED_VALUE"""),"Bombeiro Civil, SBV e Condutor de Veiculo de Emergencia")</f>
        <v>Bombeiro Civil, SBV e Condutor de Veiculo de Emergencia</v>
      </c>
      <c r="J95" s="1" t="str">
        <f>IFERROR(__xludf.DUMMYFUNCTION("""COMPUTED_VALUE"""),"Sim")</f>
        <v>Sim</v>
      </c>
      <c r="K95" s="1" t="str">
        <f>IFERROR(__xludf.DUMMYFUNCTION("""COMPUTED_VALUE"""),"Não")</f>
        <v>Não</v>
      </c>
      <c r="L95" s="1" t="str">
        <f>IFERROR(__xludf.DUMMYFUNCTION("""COMPUTED_VALUE"""),"O+")</f>
        <v>O+</v>
      </c>
      <c r="M95" s="1" t="str">
        <f>IFERROR(__xludf.DUMMYFUNCTION("""COMPUTED_VALUE"""),"MAGNO")</f>
        <v>MAGNO</v>
      </c>
      <c r="N95" s="120">
        <f>IFERROR(__xludf.DUMMYFUNCTION("""COMPUTED_VALUE"""),28282)</f>
        <v>28282</v>
      </c>
      <c r="O95" s="1" t="str">
        <f>IFERROR(__xludf.DUMMYFUNCTION("""COMPUTED_VALUE"""),"Masculino")</f>
        <v>Masculino</v>
      </c>
      <c r="P95" s="1" t="str">
        <f>IFERROR(__xludf.DUMMYFUNCTION("""COMPUTED_VALUE"""),"Branca")</f>
        <v>Branca</v>
      </c>
      <c r="Q95" s="1" t="str">
        <f>IFERROR(__xludf.DUMMYFUNCTION("""COMPUTED_VALUE"""),"Ensino Fundamental")</f>
        <v>Ensino Fundamental</v>
      </c>
      <c r="R95" s="1" t="str">
        <f>IFERROR(__xludf.DUMMYFUNCTION("""COMPUTED_VALUE"""),"magno1.alves@hotmail.com")</f>
        <v>magno1.alves@hotmail.com</v>
      </c>
      <c r="S95" s="1">
        <f>IFERROR(__xludf.DUMMYFUNCTION("""COMPUTED_VALUE"""),77)</f>
        <v>77</v>
      </c>
      <c r="T95" s="1" t="str">
        <f>IFERROR(__xludf.DUMMYFUNCTION("""COMPUTED_VALUE"""),"Entre 1,71m e 1,75m")</f>
        <v>Entre 1,71m e 1,75m</v>
      </c>
      <c r="U95" s="1"/>
      <c r="V95" s="1" t="str">
        <f>IFERROR(__xludf.DUMMYFUNCTION("""COMPUTED_VALUE"""),"51- 999481781")</f>
        <v>51- 999481781</v>
      </c>
      <c r="W95" s="1" t="str">
        <f>IFERROR(__xludf.DUMMYFUNCTION("""COMPUTED_VALUE"""),"51 996135990")</f>
        <v>51 996135990</v>
      </c>
      <c r="X95" s="1" t="str">
        <f>IFERROR(__xludf.DUMMYFUNCTION("""COMPUTED_VALUE"""),"RS")</f>
        <v>RS</v>
      </c>
      <c r="Y95" s="1" t="str">
        <f>IFERROR(__xludf.DUMMYFUNCTION("""COMPUTED_VALUE"""),"Campo Bom")</f>
        <v>Campo Bom</v>
      </c>
      <c r="Z95" s="1">
        <f>IFERROR(__xludf.DUMMYFUNCTION("""COMPUTED_VALUE"""),93700000)</f>
        <v>93700000</v>
      </c>
      <c r="AA95" s="1" t="str">
        <f>IFERROR(__xludf.DUMMYFUNCTION("""COMPUTED_VALUE"""),"RUA CRISTIANO SPINDLER 190")</f>
        <v>RUA CRISTIANO SPINDLER 190</v>
      </c>
      <c r="AB95" s="1" t="str">
        <f>IFERROR(__xludf.DUMMYFUNCTION("""COMPUTED_VALUE"""),"PAULISTA")</f>
        <v>PAULISTA</v>
      </c>
      <c r="AC95" s="1" t="str">
        <f>IFERROR(__xludf.DUMMYFUNCTION("""COMPUTED_VALUE"""),"G")</f>
        <v>G</v>
      </c>
      <c r="AD95" s="1" t="str">
        <f>IFERROR(__xludf.DUMMYFUNCTION("""COMPUTED_VALUE"""),"G")</f>
        <v>G</v>
      </c>
      <c r="AE95" s="1" t="str">
        <f>IFERROR(__xludf.DUMMYFUNCTION("""COMPUTED_VALUE"""),"G")</f>
        <v>G</v>
      </c>
      <c r="AF95" s="1" t="str">
        <f>IFERROR(__xludf.DUMMYFUNCTION("""COMPUTED_VALUE"""),"G")</f>
        <v>G</v>
      </c>
      <c r="AG95" s="1" t="str">
        <f>IFERROR(__xludf.DUMMYFUNCTION("""COMPUTED_VALUE"""),"G")</f>
        <v>G</v>
      </c>
      <c r="AH95" s="1">
        <f>IFERROR(__xludf.DUMMYFUNCTION("""COMPUTED_VALUE"""),40)</f>
        <v>40</v>
      </c>
      <c r="AI95" s="1">
        <f>IFERROR(__xludf.DUMMYFUNCTION("""COMPUTED_VALUE"""),40)</f>
        <v>40</v>
      </c>
      <c r="AJ95" s="1">
        <f>IFERROR(__xludf.DUMMYFUNCTION("""COMPUTED_VALUE"""),40)</f>
        <v>40</v>
      </c>
      <c r="AK95" s="1">
        <f>IFERROR(__xludf.DUMMYFUNCTION("""COMPUTED_VALUE"""),40)</f>
        <v>40</v>
      </c>
      <c r="AL95" s="1" t="str">
        <f>IFERROR(__xludf.DUMMYFUNCTION("""COMPUTED_VALUE"""),"G")</f>
        <v>G</v>
      </c>
      <c r="AM95" s="1" t="str">
        <f>IFERROR(__xludf.DUMMYFUNCTION("""COMPUTED_VALUE"""),"G")</f>
        <v>G</v>
      </c>
      <c r="AN95" s="1" t="str">
        <f>IFERROR(__xludf.DUMMYFUNCTION("""COMPUTED_VALUE"""),"G")</f>
        <v>G</v>
      </c>
    </row>
    <row r="96" customHeight="1" spans="1:40">
      <c r="A96" s="1" t="str">
        <f>IFERROR(__xludf.DUMMYFUNCTION("""COMPUTED_VALUE"""),"02° BBM")</f>
        <v>02° BBM</v>
      </c>
      <c r="B96" s="1" t="str">
        <f>IFERROR(__xludf.DUMMYFUNCTION("""COMPUTED_VALUE"""),"Parobé")</f>
        <v>Parobé</v>
      </c>
      <c r="C96" s="119" t="str">
        <f>IFERROR(__xludf.DUMMYFUNCTION("""COMPUTED_VALUE"""),"Comunitario")</f>
        <v>Comunitario</v>
      </c>
      <c r="D96" s="119" t="str">
        <f>IFERROR(__xludf.DUMMYFUNCTION("""COMPUTED_VALUE"""),"MAIQUIARA LOCH RIBEIRO")</f>
        <v>MAIQUIARA LOCH RIBEIRO</v>
      </c>
      <c r="E96" s="119" t="str">
        <f>IFERROR(__xludf.DUMMYFUNCTION("""COMPUTED_VALUE"""),"Curso CAB operador concluído")</f>
        <v>Curso CAB operador concluído</v>
      </c>
      <c r="F96" s="1" t="str">
        <f>IFERROR(__xludf.DUMMYFUNCTION("""COMPUTED_VALUE"""),"874.481.810-68")</f>
        <v>874.481.810-68</v>
      </c>
      <c r="G96" s="1">
        <f>IFERROR(__xludf.DUMMYFUNCTION("""COMPUTED_VALUE"""),1127041406)</f>
        <v>1127041406</v>
      </c>
      <c r="H96" s="1" t="str">
        <f>IFERROR(__xludf.DUMMYFUNCTION("""COMPUTED_VALUE"""),"Combatente e Socorrista")</f>
        <v>Combatente e Socorrista</v>
      </c>
      <c r="I96" s="1" t="str">
        <f>IFERROR(__xludf.DUMMYFUNCTION("""COMPUTED_VALUE"""),"Bombeiro Voluntário")</f>
        <v>Bombeiro Voluntário</v>
      </c>
      <c r="J96" s="1" t="str">
        <f>IFERROR(__xludf.DUMMYFUNCTION("""COMPUTED_VALUE"""),"sim")</f>
        <v>sim</v>
      </c>
      <c r="K96" s="1" t="str">
        <f>IFERROR(__xludf.DUMMYFUNCTION("""COMPUTED_VALUE"""),"NÃO")</f>
        <v>NÃO</v>
      </c>
      <c r="L96" s="1" t="str">
        <f>IFERROR(__xludf.DUMMYFUNCTION("""COMPUTED_VALUE"""),"O+")</f>
        <v>O+</v>
      </c>
      <c r="M96" s="1" t="str">
        <f>IFERROR(__xludf.DUMMYFUNCTION("""COMPUTED_VALUE"""),"RIBEIRO")</f>
        <v>RIBEIRO</v>
      </c>
      <c r="N96" s="120">
        <f>IFERROR(__xludf.DUMMYFUNCTION("""COMPUTED_VALUE"""),35905)</f>
        <v>35905</v>
      </c>
      <c r="O96" s="1" t="str">
        <f>IFERROR(__xludf.DUMMYFUNCTION("""COMPUTED_VALUE"""),"Feminino")</f>
        <v>Feminino</v>
      </c>
      <c r="P96" s="1" t="str">
        <f>IFERROR(__xludf.DUMMYFUNCTION("""COMPUTED_VALUE"""),"Branca")</f>
        <v>Branca</v>
      </c>
      <c r="Q96" s="1" t="str">
        <f>IFERROR(__xludf.DUMMYFUNCTION("""COMPUTED_VALUE"""),"Ensino Médio")</f>
        <v>Ensino Médio</v>
      </c>
      <c r="R96" s="1" t="str">
        <f>IFERROR(__xludf.DUMMYFUNCTION("""COMPUTED_VALUE"""),"c.maiquiara19@gmail.com")</f>
        <v>c.maiquiara19@gmail.com</v>
      </c>
      <c r="S96" s="1">
        <f>IFERROR(__xludf.DUMMYFUNCTION("""COMPUTED_VALUE"""),120)</f>
        <v>120</v>
      </c>
      <c r="T96" s="1" t="str">
        <f>IFERROR(__xludf.DUMMYFUNCTION("""COMPUTED_VALUE"""),"Entre 1,61m e 1,65m")</f>
        <v>Entre 1,61m e 1,65m</v>
      </c>
      <c r="U96" s="1"/>
      <c r="V96" s="1" t="str">
        <f>IFERROR(__xludf.DUMMYFUNCTION("""COMPUTED_VALUE"""),"(51)997103318")</f>
        <v>(51)997103318</v>
      </c>
      <c r="W96" s="1" t="str">
        <f>IFERROR(__xludf.DUMMYFUNCTION("""COMPUTED_VALUE"""),"(51)998493981")</f>
        <v>(51)998493981</v>
      </c>
      <c r="X96" s="1" t="str">
        <f>IFERROR(__xludf.DUMMYFUNCTION("""COMPUTED_VALUE"""),"RS")</f>
        <v>RS</v>
      </c>
      <c r="Y96" s="1" t="str">
        <f>IFERROR(__xludf.DUMMYFUNCTION("""COMPUTED_VALUE"""),"Parobé")</f>
        <v>Parobé</v>
      </c>
      <c r="Z96" s="1" t="str">
        <f>IFERROR(__xludf.DUMMYFUNCTION("""COMPUTED_VALUE"""),"95630-000")</f>
        <v>95630-000</v>
      </c>
      <c r="AA96" s="1" t="str">
        <f>IFERROR(__xludf.DUMMYFUNCTION("""COMPUTED_VALUE"""),"Rua Santos Dumont")</f>
        <v>Rua Santos Dumont</v>
      </c>
      <c r="AB96" s="1" t="str">
        <f>IFERROR(__xludf.DUMMYFUNCTION("""COMPUTED_VALUE"""),"Guarujá ")</f>
        <v>Guarujá </v>
      </c>
      <c r="AC96" s="1" t="str">
        <f>IFERROR(__xludf.DUMMYFUNCTION("""COMPUTED_VALUE"""),"EXG")</f>
        <v>EXG</v>
      </c>
      <c r="AD96" s="1" t="str">
        <f>IFERROR(__xludf.DUMMYFUNCTION("""COMPUTED_VALUE"""),"EXG")</f>
        <v>EXG</v>
      </c>
      <c r="AE96" s="1" t="str">
        <f>IFERROR(__xludf.DUMMYFUNCTION("""COMPUTED_VALUE"""),"G")</f>
        <v>G</v>
      </c>
      <c r="AF96" s="1" t="str">
        <f>IFERROR(__xludf.DUMMYFUNCTION("""COMPUTED_VALUE"""),"GG")</f>
        <v>GG</v>
      </c>
      <c r="AG96" s="1" t="str">
        <f>IFERROR(__xludf.DUMMYFUNCTION("""COMPUTED_VALUE"""),"EXG")</f>
        <v>EXG</v>
      </c>
      <c r="AH96" s="1">
        <f>IFERROR(__xludf.DUMMYFUNCTION("""COMPUTED_VALUE"""),39)</f>
        <v>39</v>
      </c>
      <c r="AI96" s="1">
        <f>IFERROR(__xludf.DUMMYFUNCTION("""COMPUTED_VALUE"""),38)</f>
        <v>38</v>
      </c>
      <c r="AJ96" s="1">
        <f>IFERROR(__xludf.DUMMYFUNCTION("""COMPUTED_VALUE"""),38)</f>
        <v>38</v>
      </c>
      <c r="AK96" s="1">
        <f>IFERROR(__xludf.DUMMYFUNCTION("""COMPUTED_VALUE"""),38)</f>
        <v>38</v>
      </c>
      <c r="AL96" s="1" t="str">
        <f>IFERROR(__xludf.DUMMYFUNCTION("""COMPUTED_VALUE"""),"G")</f>
        <v>G</v>
      </c>
      <c r="AM96" s="1" t="str">
        <f>IFERROR(__xludf.DUMMYFUNCTION("""COMPUTED_VALUE"""),"GG")</f>
        <v>GG</v>
      </c>
      <c r="AN96" s="1"/>
    </row>
    <row r="97" customHeight="1" spans="1:40">
      <c r="A97" s="1" t="str">
        <f>IFERROR(__xludf.DUMMYFUNCTION("""COMPUTED_VALUE"""),"02° BBM")</f>
        <v>02° BBM</v>
      </c>
      <c r="B97" s="1" t="str">
        <f>IFERROR(__xludf.DUMMYFUNCTION("""COMPUTED_VALUE"""),"Dois Irmãos")</f>
        <v>Dois Irmãos</v>
      </c>
      <c r="C97" s="119" t="str">
        <f>IFERROR(__xludf.DUMMYFUNCTION("""COMPUTED_VALUE"""),"Comunitario")</f>
        <v>Comunitario</v>
      </c>
      <c r="D97" s="119" t="str">
        <f>IFERROR(__xludf.DUMMYFUNCTION("""COMPUTED_VALUE"""),"MARCELO OLIVEIRA DE SOUZA")</f>
        <v>MARCELO OLIVEIRA DE SOUZA</v>
      </c>
      <c r="E97" s="119" t="str">
        <f>IFERROR(__xludf.DUMMYFUNCTION("""COMPUTED_VALUE"""),"")</f>
        <v/>
      </c>
      <c r="F97" s="1" t="str">
        <f>IFERROR(__xludf.DUMMYFUNCTION("""COMPUTED_VALUE"""),"005.894.560-16")</f>
        <v>005.894.560-16</v>
      </c>
      <c r="G97" s="1">
        <f>IFERROR(__xludf.DUMMYFUNCTION("""COMPUTED_VALUE"""),4089450953)</f>
        <v>4089450953</v>
      </c>
      <c r="H97" s="1" t="str">
        <f>IFERROR(__xludf.DUMMYFUNCTION("""COMPUTED_VALUE"""),"Combatente e Socorrista, APH, Combate a incêndio, NR35, NR33, SBV Veicular, Suporte básico de vida e trauma, NR5.")</f>
        <v>Combatente e Socorrista, APH, Combate a incêndio, NR35, NR33, SBV Veicular, Suporte básico de vida e trauma, NR5.</v>
      </c>
      <c r="I97" s="1" t="str">
        <f>IFERROR(__xludf.DUMMYFUNCTION("""COMPUTED_VALUE"""),"Bombeiro Voluntário, NR33, NR35, Combate a incêndio, suporte básico vida e  trauma, curso atendimento pré hospitalar ")</f>
        <v>Bombeiro Voluntário, NR33, NR35, Combate a incêndio, suporte básico vida e  trauma, curso atendimento pré hospitalar </v>
      </c>
      <c r="J97" s="1" t="str">
        <f>IFERROR(__xludf.DUMMYFUNCTION("""COMPUTED_VALUE"""),"Sim")</f>
        <v>Sim</v>
      </c>
      <c r="K97" s="1" t="str">
        <f>IFERROR(__xludf.DUMMYFUNCTION("""COMPUTED_VALUE"""),"Sim")</f>
        <v>Sim</v>
      </c>
      <c r="L97" s="1" t="str">
        <f>IFERROR(__xludf.DUMMYFUNCTION("""COMPUTED_VALUE"""),"A+")</f>
        <v>A+</v>
      </c>
      <c r="M97" s="1" t="str">
        <f>IFERROR(__xludf.DUMMYFUNCTION("""COMPUTED_VALUE"""),"SOUZA")</f>
        <v>SOUZA</v>
      </c>
      <c r="N97" s="120">
        <f>IFERROR(__xludf.DUMMYFUNCTION("""COMPUTED_VALUE"""),30808)</f>
        <v>30808</v>
      </c>
      <c r="O97" s="1" t="str">
        <f>IFERROR(__xludf.DUMMYFUNCTION("""COMPUTED_VALUE"""),"Masculino")</f>
        <v>Masculino</v>
      </c>
      <c r="P97" s="1" t="str">
        <f>IFERROR(__xludf.DUMMYFUNCTION("""COMPUTED_VALUE"""),"Preta")</f>
        <v>Preta</v>
      </c>
      <c r="Q97" s="1" t="str">
        <f>IFERROR(__xludf.DUMMYFUNCTION("""COMPUTED_VALUE"""),"Ensino Médio")</f>
        <v>Ensino Médio</v>
      </c>
      <c r="R97" s="1" t="str">
        <f>IFERROR(__xludf.DUMMYFUNCTION("""COMPUTED_VALUE"""),"marcelosouza28912@gmail.com")</f>
        <v>marcelosouza28912@gmail.com</v>
      </c>
      <c r="S97" s="1">
        <f>IFERROR(__xludf.DUMMYFUNCTION("""COMPUTED_VALUE"""),76)</f>
        <v>76</v>
      </c>
      <c r="T97" s="1" t="str">
        <f>IFERROR(__xludf.DUMMYFUNCTION("""COMPUTED_VALUE"""),"Entre 1,76m e 1,80m")</f>
        <v>Entre 1,76m e 1,80m</v>
      </c>
      <c r="U97" s="1"/>
      <c r="V97" s="1" t="str">
        <f>IFERROR(__xludf.DUMMYFUNCTION("""COMPUTED_VALUE"""),"(51) 992087459")</f>
        <v>(51) 992087459</v>
      </c>
      <c r="W97" s="1"/>
      <c r="X97" s="1" t="str">
        <f>IFERROR(__xludf.DUMMYFUNCTION("""COMPUTED_VALUE"""),"RS")</f>
        <v>RS</v>
      </c>
      <c r="Y97" s="1" t="str">
        <f>IFERROR(__xludf.DUMMYFUNCTION("""COMPUTED_VALUE"""),"Sapucaia do Sul")</f>
        <v>Sapucaia do Sul</v>
      </c>
      <c r="Z97" s="1" t="str">
        <f>IFERROR(__xludf.DUMMYFUNCTION("""COMPUTED_VALUE"""),"93224-490")</f>
        <v>93224-490</v>
      </c>
      <c r="AA97" s="1" t="str">
        <f>IFERROR(__xludf.DUMMYFUNCTION("""COMPUTED_VALUE"""),"Leopoldo Johann, 366")</f>
        <v>Leopoldo Johann, 366</v>
      </c>
      <c r="AB97" s="1" t="str">
        <f>IFERROR(__xludf.DUMMYFUNCTION("""COMPUTED_VALUE"""),"Pasqualine")</f>
        <v>Pasqualine</v>
      </c>
      <c r="AC97" s="1" t="str">
        <f>IFERROR(__xludf.DUMMYFUNCTION("""COMPUTED_VALUE"""),"G")</f>
        <v>G</v>
      </c>
      <c r="AD97" s="1" t="str">
        <f>IFERROR(__xludf.DUMMYFUNCTION("""COMPUTED_VALUE"""),"G")</f>
        <v>G</v>
      </c>
      <c r="AE97" s="1" t="str">
        <f>IFERROR(__xludf.DUMMYFUNCTION("""COMPUTED_VALUE"""),"G")</f>
        <v>G</v>
      </c>
      <c r="AF97" s="1" t="str">
        <f>IFERROR(__xludf.DUMMYFUNCTION("""COMPUTED_VALUE"""),"G")</f>
        <v>G</v>
      </c>
      <c r="AG97" s="1" t="str">
        <f>IFERROR(__xludf.DUMMYFUNCTION("""COMPUTED_VALUE"""),"G")</f>
        <v>G</v>
      </c>
      <c r="AH97" s="1">
        <f>IFERROR(__xludf.DUMMYFUNCTION("""COMPUTED_VALUE"""),42)</f>
        <v>42</v>
      </c>
      <c r="AI97" s="1">
        <f>IFERROR(__xludf.DUMMYFUNCTION("""COMPUTED_VALUE"""),42)</f>
        <v>42</v>
      </c>
      <c r="AJ97" s="1">
        <f>IFERROR(__xludf.DUMMYFUNCTION("""COMPUTED_VALUE"""),42)</f>
        <v>42</v>
      </c>
      <c r="AK97" s="1">
        <f>IFERROR(__xludf.DUMMYFUNCTION("""COMPUTED_VALUE"""),42)</f>
        <v>42</v>
      </c>
      <c r="AL97" s="1" t="str">
        <f>IFERROR(__xludf.DUMMYFUNCTION("""COMPUTED_VALUE"""),"G")</f>
        <v>G</v>
      </c>
      <c r="AM97" s="1" t="str">
        <f>IFERROR(__xludf.DUMMYFUNCTION("""COMPUTED_VALUE"""),"G")</f>
        <v>G</v>
      </c>
      <c r="AN97" s="1" t="str">
        <f>IFERROR(__xludf.DUMMYFUNCTION("""COMPUTED_VALUE"""),"G")</f>
        <v>G</v>
      </c>
    </row>
    <row r="98" customHeight="1" spans="1:40">
      <c r="A98" s="1" t="str">
        <f>IFERROR(__xludf.DUMMYFUNCTION("""COMPUTED_VALUE"""),"02° BBM")</f>
        <v>02° BBM</v>
      </c>
      <c r="B98" s="1" t="str">
        <f>IFERROR(__xludf.DUMMYFUNCTION("""COMPUTED_VALUE"""),"Novo Hamburgo")</f>
        <v>Novo Hamburgo</v>
      </c>
      <c r="C98" s="119" t="str">
        <f>IFERROR(__xludf.DUMMYFUNCTION("""COMPUTED_VALUE"""),"Comunitario")</f>
        <v>Comunitario</v>
      </c>
      <c r="D98" s="119" t="str">
        <f>IFERROR(__xludf.DUMMYFUNCTION("""COMPUTED_VALUE"""),"MARCELO RODRIGO DA SILVA")</f>
        <v>MARCELO RODRIGO DA SILVA</v>
      </c>
      <c r="E98" s="119" t="str">
        <f>IFERROR(__xludf.DUMMYFUNCTION("""COMPUTED_VALUE"""),"")</f>
        <v/>
      </c>
      <c r="F98" s="1" t="str">
        <f>IFERROR(__xludf.DUMMYFUNCTION("""COMPUTED_VALUE"""),"810.069.260-20")</f>
        <v>810.069.260-20</v>
      </c>
      <c r="G98" s="1">
        <f>IFERROR(__xludf.DUMMYFUNCTION("""COMPUTED_VALUE"""),1075265312)</f>
        <v>1075265312</v>
      </c>
      <c r="H98" s="1" t="str">
        <f>IFERROR(__xludf.DUMMYFUNCTION("""COMPUTED_VALUE"""),"combatente")</f>
        <v>combatente</v>
      </c>
      <c r="I98" s="1" t="str">
        <f>IFERROR(__xludf.DUMMYFUNCTION("""COMPUTED_VALUE"""),"Bombeiro Voluntário, combata a incêndio e NR 35")</f>
        <v>Bombeiro Voluntário, combata a incêndio e NR 35</v>
      </c>
      <c r="J98" s="1" t="str">
        <f>IFERROR(__xludf.DUMMYFUNCTION("""COMPUTED_VALUE"""),"Sim")</f>
        <v>Sim</v>
      </c>
      <c r="K98" s="1" t="str">
        <f>IFERROR(__xludf.DUMMYFUNCTION("""COMPUTED_VALUE"""),"Sim")</f>
        <v>Sim</v>
      </c>
      <c r="L98" s="1" t="str">
        <f>IFERROR(__xludf.DUMMYFUNCTION("""COMPUTED_VALUE"""),"O+")</f>
        <v>O+</v>
      </c>
      <c r="M98" s="1" t="str">
        <f>IFERROR(__xludf.DUMMYFUNCTION("""COMPUTED_VALUE"""),"MARCELO")</f>
        <v>MARCELO</v>
      </c>
      <c r="N98" s="120">
        <f>IFERROR(__xludf.DUMMYFUNCTION("""COMPUTED_VALUE"""),29732)</f>
        <v>29732</v>
      </c>
      <c r="O98" s="1" t="str">
        <f>IFERROR(__xludf.DUMMYFUNCTION("""COMPUTED_VALUE"""),"Masculino")</f>
        <v>Masculino</v>
      </c>
      <c r="P98" s="1" t="str">
        <f>IFERROR(__xludf.DUMMYFUNCTION("""COMPUTED_VALUE"""),"Branca")</f>
        <v>Branca</v>
      </c>
      <c r="Q98" s="1" t="str">
        <f>IFERROR(__xludf.DUMMYFUNCTION("""COMPUTED_VALUE"""),"Ensino Médio")</f>
        <v>Ensino Médio</v>
      </c>
      <c r="R98" s="1" t="str">
        <f>IFERROR(__xludf.DUMMYFUNCTION("""COMPUTED_VALUE"""),"vinitecnh@gmail.com ")</f>
        <v>vinitecnh@gmail.com </v>
      </c>
      <c r="S98" s="1">
        <f>IFERROR(__xludf.DUMMYFUNCTION("""COMPUTED_VALUE"""),78)</f>
        <v>78</v>
      </c>
      <c r="T98" s="1" t="str">
        <f>IFERROR(__xludf.DUMMYFUNCTION("""COMPUTED_VALUE"""),"Entre 1,61m e 1,65m")</f>
        <v>Entre 1,61m e 1,65m</v>
      </c>
      <c r="U98" s="1"/>
      <c r="V98" s="1" t="str">
        <f>IFERROR(__xludf.DUMMYFUNCTION("""COMPUTED_VALUE"""),"(51) 991361022")</f>
        <v>(51) 991361022</v>
      </c>
      <c r="W98" s="1" t="str">
        <f>IFERROR(__xludf.DUMMYFUNCTION("""COMPUTED_VALUE"""),"(51) 989028991")</f>
        <v>(51) 989028991</v>
      </c>
      <c r="X98" s="1" t="str">
        <f>IFERROR(__xludf.DUMMYFUNCTION("""COMPUTED_VALUE"""),"RS")</f>
        <v>RS</v>
      </c>
      <c r="Y98" s="1" t="str">
        <f>IFERROR(__xludf.DUMMYFUNCTION("""COMPUTED_VALUE"""),"São Leopoldo")</f>
        <v>São Leopoldo</v>
      </c>
      <c r="Z98" s="119" t="str">
        <f>IFERROR(__xludf.DUMMYFUNCTION("""COMPUTED_VALUE"""),"93145-120")</f>
        <v>93145-120</v>
      </c>
      <c r="AA98" s="1" t="str">
        <f>IFERROR(__xludf.DUMMYFUNCTION("""COMPUTED_VALUE"""),"Travessa farroupilha,  60")</f>
        <v>Travessa farroupilha,  60</v>
      </c>
      <c r="AB98" s="1" t="str">
        <f>IFERROR(__xludf.DUMMYFUNCTION("""COMPUTED_VALUE"""),"Scharlau ")</f>
        <v>Scharlau </v>
      </c>
      <c r="AC98" s="1" t="str">
        <f>IFERROR(__xludf.DUMMYFUNCTION("""COMPUTED_VALUE"""),"GG")</f>
        <v>GG</v>
      </c>
      <c r="AD98" s="1" t="str">
        <f>IFERROR(__xludf.DUMMYFUNCTION("""COMPUTED_VALUE"""),"GG")</f>
        <v>GG</v>
      </c>
      <c r="AE98" s="1" t="str">
        <f>IFERROR(__xludf.DUMMYFUNCTION("""COMPUTED_VALUE"""),"G")</f>
        <v>G</v>
      </c>
      <c r="AF98" s="1" t="str">
        <f>IFERROR(__xludf.DUMMYFUNCTION("""COMPUTED_VALUE"""),"G")</f>
        <v>G</v>
      </c>
      <c r="AG98" s="1" t="str">
        <f>IFERROR(__xludf.DUMMYFUNCTION("""COMPUTED_VALUE"""),"G")</f>
        <v>G</v>
      </c>
      <c r="AH98" s="1">
        <f>IFERROR(__xludf.DUMMYFUNCTION("""COMPUTED_VALUE"""),39)</f>
        <v>39</v>
      </c>
      <c r="AI98" s="1">
        <f>IFERROR(__xludf.DUMMYFUNCTION("""COMPUTED_VALUE"""),39)</f>
        <v>39</v>
      </c>
      <c r="AJ98" s="1">
        <f>IFERROR(__xludf.DUMMYFUNCTION("""COMPUTED_VALUE"""),39)</f>
        <v>39</v>
      </c>
      <c r="AK98" s="1">
        <f>IFERROR(__xludf.DUMMYFUNCTION("""COMPUTED_VALUE"""),41)</f>
        <v>41</v>
      </c>
      <c r="AL98" s="1" t="str">
        <f>IFERROR(__xludf.DUMMYFUNCTION("""COMPUTED_VALUE"""),"G")</f>
        <v>G</v>
      </c>
      <c r="AM98" s="1" t="str">
        <f>IFERROR(__xludf.DUMMYFUNCTION("""COMPUTED_VALUE"""),"G")</f>
        <v>G</v>
      </c>
      <c r="AN98" s="1" t="str">
        <f>IFERROR(__xludf.DUMMYFUNCTION("""COMPUTED_VALUE"""),"G")</f>
        <v>G</v>
      </c>
    </row>
    <row r="99" customHeight="1" spans="1:40">
      <c r="A99" s="1" t="str">
        <f>IFERROR(__xludf.DUMMYFUNCTION("""COMPUTED_VALUE"""),"02° BBM")</f>
        <v>02° BBM</v>
      </c>
      <c r="B99" s="1" t="str">
        <f>IFERROR(__xludf.DUMMYFUNCTION("""COMPUTED_VALUE"""),"Parobé")</f>
        <v>Parobé</v>
      </c>
      <c r="C99" s="119" t="str">
        <f>IFERROR(__xludf.DUMMYFUNCTION("""COMPUTED_VALUE"""),"Comunitario")</f>
        <v>Comunitario</v>
      </c>
      <c r="D99" s="119" t="str">
        <f>IFERROR(__xludf.DUMMYFUNCTION("""COMPUTED_VALUE"""),"MARI GISELI MARTINS")</f>
        <v>MARI GISELI MARTINS</v>
      </c>
      <c r="E99" s="119" t="str">
        <f>IFERROR(__xludf.DUMMYFUNCTION("""COMPUTED_VALUE"""),"")</f>
        <v/>
      </c>
      <c r="F99" s="1" t="str">
        <f>IFERROR(__xludf.DUMMYFUNCTION("""COMPUTED_VALUE"""),"651.588.570-91")</f>
        <v>651.588.570-91</v>
      </c>
      <c r="G99" s="1">
        <f>IFERROR(__xludf.DUMMYFUNCTION("""COMPUTED_VALUE"""),8026586704)</f>
        <v>8026586704</v>
      </c>
      <c r="H99" s="1" t="str">
        <f>IFERROR(__xludf.DUMMYFUNCTION("""COMPUTED_VALUE"""),"Combatente e Socorrista")</f>
        <v>Combatente e Socorrista</v>
      </c>
      <c r="I99" s="1" t="str">
        <f>IFERROR(__xludf.DUMMYFUNCTION("""COMPUTED_VALUE"""),"Técnica e Tática de Combate a Incêndio - Nível 1")</f>
        <v>Técnica e Tática de Combate a Incêndio - Nível 1</v>
      </c>
      <c r="J99" s="1" t="str">
        <f>IFERROR(__xludf.DUMMYFUNCTION("""COMPUTED_VALUE"""),"Não")</f>
        <v>Não</v>
      </c>
      <c r="K99" s="1" t="str">
        <f>IFERROR(__xludf.DUMMYFUNCTION("""COMPUTED_VALUE"""),"Não")</f>
        <v>Não</v>
      </c>
      <c r="L99" s="1" t="str">
        <f>IFERROR(__xludf.DUMMYFUNCTION("""COMPUTED_VALUE"""),"A+")</f>
        <v>A+</v>
      </c>
      <c r="M99" s="1" t="str">
        <f>IFERROR(__xludf.DUMMYFUNCTION("""COMPUTED_VALUE"""),"GISA")</f>
        <v>GISA</v>
      </c>
      <c r="N99" s="120">
        <f>IFERROR(__xludf.DUMMYFUNCTION("""COMPUTED_VALUE"""),24599)</f>
        <v>24599</v>
      </c>
      <c r="O99" s="1" t="str">
        <f>IFERROR(__xludf.DUMMYFUNCTION("""COMPUTED_VALUE"""),"Feminino")</f>
        <v>Feminino</v>
      </c>
      <c r="P99" s="1" t="str">
        <f>IFERROR(__xludf.DUMMYFUNCTION("""COMPUTED_VALUE"""),"Preta")</f>
        <v>Preta</v>
      </c>
      <c r="Q99" s="1" t="str">
        <f>IFERROR(__xludf.DUMMYFUNCTION("""COMPUTED_VALUE"""),"Pós-graduação")</f>
        <v>Pós-graduação</v>
      </c>
      <c r="R99" s="1" t="str">
        <f>IFERROR(__xludf.DUMMYFUNCTION("""COMPUTED_VALUE"""),"martinsgisa09@gmail.com")</f>
        <v>martinsgisa09@gmail.com</v>
      </c>
      <c r="S99" s="1">
        <f>IFERROR(__xludf.DUMMYFUNCTION("""COMPUTED_VALUE"""),65)</f>
        <v>65</v>
      </c>
      <c r="T99" s="1" t="str">
        <f>IFERROR(__xludf.DUMMYFUNCTION("""COMPUTED_VALUE"""),"Entre 1,50m e 1,55m")</f>
        <v>Entre 1,50m e 1,55m</v>
      </c>
      <c r="U99" s="1"/>
      <c r="V99" s="1" t="str">
        <f>IFERROR(__xludf.DUMMYFUNCTION("""COMPUTED_VALUE"""),"(51) 99530-4037")</f>
        <v>(51) 99530-4037</v>
      </c>
      <c r="W99" s="1" t="str">
        <f>IFERROR(__xludf.DUMMYFUNCTION("""COMPUTED_VALUE"""),"(51) 99530-4037")</f>
        <v>(51) 99530-4037</v>
      </c>
      <c r="X99" s="1" t="str">
        <f>IFERROR(__xludf.DUMMYFUNCTION("""COMPUTED_VALUE"""),"RS")</f>
        <v>RS</v>
      </c>
      <c r="Y99" s="1" t="str">
        <f>IFERROR(__xludf.DUMMYFUNCTION("""COMPUTED_VALUE"""),"Parobé")</f>
        <v>Parobé</v>
      </c>
      <c r="Z99" s="1" t="str">
        <f>IFERROR(__xludf.DUMMYFUNCTION("""COMPUTED_VALUE"""),"95630-000")</f>
        <v>95630-000</v>
      </c>
      <c r="AA99" s="1" t="str">
        <f>IFERROR(__xludf.DUMMYFUNCTION("""COMPUTED_VALUE"""),"Alcides Ferreira, 140")</f>
        <v>Alcides Ferreira, 140</v>
      </c>
      <c r="AB99" s="1" t="str">
        <f>IFERROR(__xludf.DUMMYFUNCTION("""COMPUTED_VALUE"""),"Integração")</f>
        <v>Integração</v>
      </c>
      <c r="AC99" s="1" t="str">
        <f>IFERROR(__xludf.DUMMYFUNCTION("""COMPUTED_VALUE"""),"G")</f>
        <v>G</v>
      </c>
      <c r="AD99" s="1" t="str">
        <f>IFERROR(__xludf.DUMMYFUNCTION("""COMPUTED_VALUE"""),"G")</f>
        <v>G</v>
      </c>
      <c r="AE99" s="1" t="str">
        <f>IFERROR(__xludf.DUMMYFUNCTION("""COMPUTED_VALUE"""),"G")</f>
        <v>G</v>
      </c>
      <c r="AF99" s="1" t="str">
        <f>IFERROR(__xludf.DUMMYFUNCTION("""COMPUTED_VALUE"""),"G")</f>
        <v>G</v>
      </c>
      <c r="AG99" s="1" t="str">
        <f>IFERROR(__xludf.DUMMYFUNCTION("""COMPUTED_VALUE"""),"G")</f>
        <v>G</v>
      </c>
      <c r="AH99" s="1">
        <f>IFERROR(__xludf.DUMMYFUNCTION("""COMPUTED_VALUE"""),38)</f>
        <v>38</v>
      </c>
      <c r="AI99" s="1">
        <f>IFERROR(__xludf.DUMMYFUNCTION("""COMPUTED_VALUE"""),38)</f>
        <v>38</v>
      </c>
      <c r="AJ99" s="1">
        <f>IFERROR(__xludf.DUMMYFUNCTION("""COMPUTED_VALUE"""),38)</f>
        <v>38</v>
      </c>
      <c r="AK99" s="1">
        <f>IFERROR(__xludf.DUMMYFUNCTION("""COMPUTED_VALUE"""),38)</f>
        <v>38</v>
      </c>
      <c r="AL99" s="1" t="str">
        <f>IFERROR(__xludf.DUMMYFUNCTION("""COMPUTED_VALUE"""),"G")</f>
        <v>G</v>
      </c>
      <c r="AM99" s="1" t="str">
        <f>IFERROR(__xludf.DUMMYFUNCTION("""COMPUTED_VALUE"""),"M")</f>
        <v>M</v>
      </c>
      <c r="AN99" s="1" t="str">
        <f>IFERROR(__xludf.DUMMYFUNCTION("""COMPUTED_VALUE"""),"M")</f>
        <v>M</v>
      </c>
    </row>
    <row r="100" customHeight="1" spans="1:40">
      <c r="A100" s="1" t="str">
        <f>IFERROR(__xludf.DUMMYFUNCTION("""COMPUTED_VALUE"""),"02° BBM")</f>
        <v>02° BBM</v>
      </c>
      <c r="B100" s="1" t="str">
        <f>IFERROR(__xludf.DUMMYFUNCTION("""COMPUTED_VALUE"""),"Parobé")</f>
        <v>Parobé</v>
      </c>
      <c r="C100" s="119" t="str">
        <f>IFERROR(__xludf.DUMMYFUNCTION("""COMPUTED_VALUE"""),"Comunitario")</f>
        <v>Comunitario</v>
      </c>
      <c r="D100" s="119" t="str">
        <f>IFERROR(__xludf.DUMMYFUNCTION("""COMPUTED_VALUE"""),"MARIA SOLANGE APOLLO FERNANDES")</f>
        <v>MARIA SOLANGE APOLLO FERNANDES</v>
      </c>
      <c r="E100" s="119" t="str">
        <f>IFERROR(__xludf.DUMMYFUNCTION("""COMPUTED_VALUE"""),"")</f>
        <v/>
      </c>
      <c r="F100" s="1" t="str">
        <f>IFERROR(__xludf.DUMMYFUNCTION("""COMPUTED_VALUE"""),"002.311.820-23")</f>
        <v>002.311.820-23</v>
      </c>
      <c r="G100" s="1">
        <f>IFERROR(__xludf.DUMMYFUNCTION("""COMPUTED_VALUE"""),1089982993)</f>
        <v>1089982993</v>
      </c>
      <c r="H100" s="1" t="str">
        <f>IFERROR(__xludf.DUMMYFUNCTION("""COMPUTED_VALUE"""),"Combatente e Socorrista")</f>
        <v>Combatente e Socorrista</v>
      </c>
      <c r="I100" s="1" t="str">
        <f>IFERROR(__xludf.DUMMYFUNCTION("""COMPUTED_VALUE"""),"Bombeiro Voluntario")</f>
        <v>Bombeiro Voluntario</v>
      </c>
      <c r="J100" s="1" t="str">
        <f>IFERROR(__xludf.DUMMYFUNCTION("""COMPUTED_VALUE"""),"Não")</f>
        <v>Não</v>
      </c>
      <c r="K100" s="1" t="str">
        <f>IFERROR(__xludf.DUMMYFUNCTION("""COMPUTED_VALUE"""),"Não")</f>
        <v>Não</v>
      </c>
      <c r="L100" s="1" t="str">
        <f>IFERROR(__xludf.DUMMYFUNCTION("""COMPUTED_VALUE"""),"O+")</f>
        <v>O+</v>
      </c>
      <c r="M100" s="1" t="str">
        <f>IFERROR(__xludf.DUMMYFUNCTION("""COMPUTED_VALUE"""),"APOLO")</f>
        <v>APOLO</v>
      </c>
      <c r="N100" s="120">
        <f>IFERROR(__xludf.DUMMYFUNCTION("""COMPUTED_VALUE"""),28645)</f>
        <v>28645</v>
      </c>
      <c r="O100" s="1" t="str">
        <f>IFERROR(__xludf.DUMMYFUNCTION("""COMPUTED_VALUE"""),"Feminino")</f>
        <v>Feminino</v>
      </c>
      <c r="P100" s="1" t="str">
        <f>IFERROR(__xludf.DUMMYFUNCTION("""COMPUTED_VALUE"""),"Branca")</f>
        <v>Branca</v>
      </c>
      <c r="Q100" s="1" t="str">
        <f>IFERROR(__xludf.DUMMYFUNCTION("""COMPUTED_VALUE"""),"Ensino Médio")</f>
        <v>Ensino Médio</v>
      </c>
      <c r="R100" s="1" t="str">
        <f>IFERROR(__xludf.DUMMYFUNCTION("""COMPUTED_VALUE"""),"Solangeapolo1978@gmail.com")</f>
        <v>Solangeapolo1978@gmail.com</v>
      </c>
      <c r="S100" s="1">
        <f>IFERROR(__xludf.DUMMYFUNCTION("""COMPUTED_VALUE"""),79)</f>
        <v>79</v>
      </c>
      <c r="T100" s="1" t="str">
        <f>IFERROR(__xludf.DUMMYFUNCTION("""COMPUTED_VALUE"""),"Entre 1,50m e 1,55m")</f>
        <v>Entre 1,50m e 1,55m</v>
      </c>
      <c r="U100" s="1"/>
      <c r="V100" s="1" t="str">
        <f>IFERROR(__xludf.DUMMYFUNCTION("""COMPUTED_VALUE"""),"(51) 99955-3888")</f>
        <v>(51) 99955-3888</v>
      </c>
      <c r="W100" s="1" t="str">
        <f>IFERROR(__xludf.DUMMYFUNCTION("""COMPUTED_VALUE"""),"(51) 99815-5222")</f>
        <v>(51) 99815-5222</v>
      </c>
      <c r="X100" s="1" t="str">
        <f>IFERROR(__xludf.DUMMYFUNCTION("""COMPUTED_VALUE"""),"RS")</f>
        <v>RS</v>
      </c>
      <c r="Y100" s="1" t="str">
        <f>IFERROR(__xludf.DUMMYFUNCTION("""COMPUTED_VALUE"""),"Parobé")</f>
        <v>Parobé</v>
      </c>
      <c r="Z100" s="1" t="str">
        <f>IFERROR(__xludf.DUMMYFUNCTION("""COMPUTED_VALUE"""),"95630-000")</f>
        <v>95630-000</v>
      </c>
      <c r="AA100" s="1" t="str">
        <f>IFERROR(__xludf.DUMMYFUNCTION("""COMPUTED_VALUE"""),"Beco do Sossego, 1203")</f>
        <v>Beco do Sossego, 1203</v>
      </c>
      <c r="AB100" s="1" t="str">
        <f>IFERROR(__xludf.DUMMYFUNCTION("""COMPUTED_VALUE"""),"Poço Fundo")</f>
        <v>Poço Fundo</v>
      </c>
      <c r="AC100" s="1" t="str">
        <f>IFERROR(__xludf.DUMMYFUNCTION("""COMPUTED_VALUE"""),"G")</f>
        <v>G</v>
      </c>
      <c r="AD100" s="1" t="str">
        <f>IFERROR(__xludf.DUMMYFUNCTION("""COMPUTED_VALUE"""),"G")</f>
        <v>G</v>
      </c>
      <c r="AE100" s="1" t="str">
        <f>IFERROR(__xludf.DUMMYFUNCTION("""COMPUTED_VALUE"""),"M")</f>
        <v>M</v>
      </c>
      <c r="AF100" s="1" t="str">
        <f>IFERROR(__xludf.DUMMYFUNCTION("""COMPUTED_VALUE"""),"M")</f>
        <v>M</v>
      </c>
      <c r="AG100" s="1" t="str">
        <f>IFERROR(__xludf.DUMMYFUNCTION("""COMPUTED_VALUE"""),"G")</f>
        <v>G</v>
      </c>
      <c r="AH100" s="1">
        <f>IFERROR(__xludf.DUMMYFUNCTION("""COMPUTED_VALUE"""),38)</f>
        <v>38</v>
      </c>
      <c r="AI100" s="1">
        <f>IFERROR(__xludf.DUMMYFUNCTION("""COMPUTED_VALUE"""),38)</f>
        <v>38</v>
      </c>
      <c r="AJ100" s="1">
        <f>IFERROR(__xludf.DUMMYFUNCTION("""COMPUTED_VALUE"""),38)</f>
        <v>38</v>
      </c>
      <c r="AK100" s="1">
        <f>IFERROR(__xludf.DUMMYFUNCTION("""COMPUTED_VALUE"""),38)</f>
        <v>38</v>
      </c>
      <c r="AL100" s="1" t="str">
        <f>IFERROR(__xludf.DUMMYFUNCTION("""COMPUTED_VALUE"""),"M")</f>
        <v>M</v>
      </c>
      <c r="AM100" s="1" t="str">
        <f>IFERROR(__xludf.DUMMYFUNCTION("""COMPUTED_VALUE"""),"M")</f>
        <v>M</v>
      </c>
      <c r="AN100" s="1" t="str">
        <f>IFERROR(__xludf.DUMMYFUNCTION("""COMPUTED_VALUE"""),"M")</f>
        <v>M</v>
      </c>
    </row>
    <row r="101" customHeight="1" spans="1:40">
      <c r="A101" s="1" t="str">
        <f>IFERROR(__xludf.DUMMYFUNCTION("""COMPUTED_VALUE"""),"02° BBM")</f>
        <v>02° BBM</v>
      </c>
      <c r="B101" s="1" t="str">
        <f>IFERROR(__xludf.DUMMYFUNCTION("""COMPUTED_VALUE"""),"Estancia Velha ")</f>
        <v>Estancia Velha </v>
      </c>
      <c r="C101" s="119" t="str">
        <f>IFERROR(__xludf.DUMMYFUNCTION("""COMPUTED_VALUE"""),"Comunitário")</f>
        <v>Comunitário</v>
      </c>
      <c r="D101" s="119" t="str">
        <f>IFERROR(__xludf.DUMMYFUNCTION("""COMPUTED_VALUE"""),"MARIANA ZALESKI")</f>
        <v>MARIANA ZALESKI</v>
      </c>
      <c r="E101" s="119" t="str">
        <f>IFERROR(__xludf.DUMMYFUNCTION("""COMPUTED_VALUE"""),"Curso CAB operador concluído")</f>
        <v>Curso CAB operador concluído</v>
      </c>
      <c r="F101" s="1" t="str">
        <f>IFERROR(__xludf.DUMMYFUNCTION("""COMPUTED_VALUE"""),"035.987.040-62")</f>
        <v>035.987.040-62</v>
      </c>
      <c r="G101" s="1">
        <f>IFERROR(__xludf.DUMMYFUNCTION("""COMPUTED_VALUE"""),2121552794)</f>
        <v>2121552794</v>
      </c>
      <c r="H101" s="1" t="str">
        <f>IFERROR(__xludf.DUMMYFUNCTION("""COMPUTED_VALUE"""),"Combatente e socorrista ")</f>
        <v>Combatente e socorrista </v>
      </c>
      <c r="I101" s="1" t="str">
        <f>IFERROR(__xludf.DUMMYFUNCTION("""COMPUTED_VALUE"""),"Bombeiro voluntário, técnico de enfermagem")</f>
        <v>Bombeiro voluntário, técnico de enfermagem</v>
      </c>
      <c r="J101" s="1"/>
      <c r="K101" s="1"/>
      <c r="L101" s="1"/>
      <c r="M101" s="1"/>
      <c r="N101" s="120"/>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row>
    <row r="102" customHeight="1" spans="1:40">
      <c r="A102" s="1" t="str">
        <f>IFERROR(__xludf.DUMMYFUNCTION("""COMPUTED_VALUE"""),"02° BBM")</f>
        <v>02° BBM</v>
      </c>
      <c r="B102" s="1" t="str">
        <f>IFERROR(__xludf.DUMMYFUNCTION("""COMPUTED_VALUE"""),"Parobé")</f>
        <v>Parobé</v>
      </c>
      <c r="C102" s="119" t="str">
        <f>IFERROR(__xludf.DUMMYFUNCTION("""COMPUTED_VALUE"""),"Comunitario")</f>
        <v>Comunitario</v>
      </c>
      <c r="D102" s="119" t="str">
        <f>IFERROR(__xludf.DUMMYFUNCTION("""COMPUTED_VALUE"""),"MOISES INACIO SMANIOTTO")</f>
        <v>MOISES INACIO SMANIOTTO</v>
      </c>
      <c r="E102" s="119" t="str">
        <f>IFERROR(__xludf.DUMMYFUNCTION("""COMPUTED_VALUE"""),"")</f>
        <v/>
      </c>
      <c r="F102" s="1" t="str">
        <f>IFERROR(__xludf.DUMMYFUNCTION("""COMPUTED_VALUE"""),"567.527.170.87")</f>
        <v>567.527.170.87</v>
      </c>
      <c r="G102" s="1">
        <f>IFERROR(__xludf.DUMMYFUNCTION("""COMPUTED_VALUE"""),1044192721)</f>
        <v>1044192721</v>
      </c>
      <c r="H102" s="1" t="str">
        <f>IFERROR(__xludf.DUMMYFUNCTION("""COMPUTED_VALUE"""),"condutor")</f>
        <v>condutor</v>
      </c>
      <c r="I102" s="1" t="str">
        <f>IFERROR(__xludf.DUMMYFUNCTION("""COMPUTED_VALUE"""),"Bombeiro Comunitario Municipal")</f>
        <v>Bombeiro Comunitario Municipal</v>
      </c>
      <c r="J102" s="1" t="str">
        <f>IFERROR(__xludf.DUMMYFUNCTION("""COMPUTED_VALUE"""),"Não")</f>
        <v>Não</v>
      </c>
      <c r="K102" s="1" t="str">
        <f>IFERROR(__xludf.DUMMYFUNCTION("""COMPUTED_VALUE"""),"Não")</f>
        <v>Não</v>
      </c>
      <c r="L102" s="1" t="str">
        <f>IFERROR(__xludf.DUMMYFUNCTION("""COMPUTED_VALUE"""),"A+")</f>
        <v>A+</v>
      </c>
      <c r="M102" s="1" t="str">
        <f>IFERROR(__xludf.DUMMYFUNCTION("""COMPUTED_VALUE"""),"Moises")</f>
        <v>Moises</v>
      </c>
      <c r="N102" s="120">
        <f>IFERROR(__xludf.DUMMYFUNCTION("""COMPUTED_VALUE"""),24494)</f>
        <v>24494</v>
      </c>
      <c r="O102" s="1" t="str">
        <f>IFERROR(__xludf.DUMMYFUNCTION("""COMPUTED_VALUE"""),"Masculino")</f>
        <v>Masculino</v>
      </c>
      <c r="P102" s="1" t="str">
        <f>IFERROR(__xludf.DUMMYFUNCTION("""COMPUTED_VALUE"""),"Branca")</f>
        <v>Branca</v>
      </c>
      <c r="Q102" s="1" t="str">
        <f>IFERROR(__xludf.DUMMYFUNCTION("""COMPUTED_VALUE"""),"Ensino Médio")</f>
        <v>Ensino Médio</v>
      </c>
      <c r="R102" s="1" t="str">
        <f>IFERROR(__xludf.DUMMYFUNCTION("""COMPUTED_VALUE"""),"maisessmaniotto392@gmail.com")</f>
        <v>maisessmaniotto392@gmail.com</v>
      </c>
      <c r="S102" s="1">
        <f>IFERROR(__xludf.DUMMYFUNCTION("""COMPUTED_VALUE"""),98)</f>
        <v>98</v>
      </c>
      <c r="T102" s="1" t="str">
        <f>IFERROR(__xludf.DUMMYFUNCTION("""COMPUTED_VALUE"""),"Entre 1,76m e 1,80m")</f>
        <v>Entre 1,76m e 1,80m</v>
      </c>
      <c r="U102" s="1"/>
      <c r="V102" s="1" t="str">
        <f>IFERROR(__xludf.DUMMYFUNCTION("""COMPUTED_VALUE"""),"(51) 997892922")</f>
        <v>(51) 997892922</v>
      </c>
      <c r="W102" s="1" t="str">
        <f>IFERROR(__xludf.DUMMYFUNCTION("""COMPUTED_VALUE"""),"(51) 997892922")</f>
        <v>(51) 997892922</v>
      </c>
      <c r="X102" s="1" t="str">
        <f>IFERROR(__xludf.DUMMYFUNCTION("""COMPUTED_VALUE"""),"RS")</f>
        <v>RS</v>
      </c>
      <c r="Y102" s="1" t="str">
        <f>IFERROR(__xludf.DUMMYFUNCTION("""COMPUTED_VALUE"""),"Parobé")</f>
        <v>Parobé</v>
      </c>
      <c r="Z102" s="1">
        <f>IFERROR(__xludf.DUMMYFUNCTION("""COMPUTED_VALUE"""),95630000)</f>
        <v>95630000</v>
      </c>
      <c r="AA102" s="1" t="str">
        <f>IFERROR(__xludf.DUMMYFUNCTION("""COMPUTED_VALUE"""),"Rua Odorico Mosmann, 624")</f>
        <v>Rua Odorico Mosmann, 624</v>
      </c>
      <c r="AB102" s="1" t="str">
        <f>IFERROR(__xludf.DUMMYFUNCTION("""COMPUTED_VALUE"""),"Centro")</f>
        <v>Centro</v>
      </c>
      <c r="AC102" s="1" t="str">
        <f>IFERROR(__xludf.DUMMYFUNCTION("""COMPUTED_VALUE"""),"GG")</f>
        <v>GG</v>
      </c>
      <c r="AD102" s="1" t="str">
        <f>IFERROR(__xludf.DUMMYFUNCTION("""COMPUTED_VALUE"""),"GG")</f>
        <v>GG</v>
      </c>
      <c r="AE102" s="1" t="str">
        <f>IFERROR(__xludf.DUMMYFUNCTION("""COMPUTED_VALUE"""),"GG")</f>
        <v>GG</v>
      </c>
      <c r="AF102" s="1" t="str">
        <f>IFERROR(__xludf.DUMMYFUNCTION("""COMPUTED_VALUE"""),"GG")</f>
        <v>GG</v>
      </c>
      <c r="AG102" s="1" t="str">
        <f>IFERROR(__xludf.DUMMYFUNCTION("""COMPUTED_VALUE"""),"GG")</f>
        <v>GG</v>
      </c>
      <c r="AH102" s="1">
        <f>IFERROR(__xludf.DUMMYFUNCTION("""COMPUTED_VALUE"""),41)</f>
        <v>41</v>
      </c>
      <c r="AI102" s="1">
        <f>IFERROR(__xludf.DUMMYFUNCTION("""COMPUTED_VALUE"""),41)</f>
        <v>41</v>
      </c>
      <c r="AJ102" s="1">
        <f>IFERROR(__xludf.DUMMYFUNCTION("""COMPUTED_VALUE"""),41)</f>
        <v>41</v>
      </c>
      <c r="AK102" s="1">
        <f>IFERROR(__xludf.DUMMYFUNCTION("""COMPUTED_VALUE"""),41)</f>
        <v>41</v>
      </c>
      <c r="AL102" s="1" t="str">
        <f>IFERROR(__xludf.DUMMYFUNCTION("""COMPUTED_VALUE"""),"GG")</f>
        <v>GG</v>
      </c>
      <c r="AM102" s="1" t="str">
        <f>IFERROR(__xludf.DUMMYFUNCTION("""COMPUTED_VALUE"""),"GG")</f>
        <v>GG</v>
      </c>
      <c r="AN102" s="1" t="str">
        <f>IFERROR(__xludf.DUMMYFUNCTION("""COMPUTED_VALUE"""),"GG")</f>
        <v>GG</v>
      </c>
    </row>
    <row r="103" customHeight="1" spans="1:40">
      <c r="A103" s="1" t="str">
        <f>IFERROR(__xludf.DUMMYFUNCTION("""COMPUTED_VALUE"""),"02° BBM")</f>
        <v>02° BBM</v>
      </c>
      <c r="B103" s="1" t="str">
        <f>IFERROR(__xludf.DUMMYFUNCTION("""COMPUTED_VALUE"""),"Araricá")</f>
        <v>Araricá</v>
      </c>
      <c r="C103" s="119" t="str">
        <f>IFERROR(__xludf.DUMMYFUNCTION("""COMPUTED_VALUE"""),"CAB")</f>
        <v>CAB</v>
      </c>
      <c r="D103" s="119" t="str">
        <f>IFERROR(__xludf.DUMMYFUNCTION("""COMPUTED_VALUE"""),"NATALIA HAAS DE MELLO ")</f>
        <v>NATALIA HAAS DE MELLO </v>
      </c>
      <c r="E103" s="119" t="str">
        <f>IFERROR(__xludf.DUMMYFUNCTION("""COMPUTED_VALUE"""),"Curso CAB operador concluído")</f>
        <v>Curso CAB operador concluído</v>
      </c>
      <c r="F103" s="1" t="str">
        <f>IFERROR(__xludf.DUMMYFUNCTION("""COMPUTED_VALUE"""),"035.493.280-28")</f>
        <v>035.493.280-28</v>
      </c>
      <c r="G103" s="1">
        <f>IFERROR(__xludf.DUMMYFUNCTION("""COMPUTED_VALUE"""),1103719587)</f>
        <v>1103719587</v>
      </c>
      <c r="H103" s="1" t="str">
        <f>IFERROR(__xludf.DUMMYFUNCTION("""COMPUTED_VALUE"""),"Combatente e Socorrista")</f>
        <v>Combatente e Socorrista</v>
      </c>
      <c r="I103" s="1" t="str">
        <f>IFERROR(__xludf.DUMMYFUNCTION("""COMPUTED_VALUE"""),"Bombeiro Voluntario/APH/BLS/COMBATE INCÊNDIO ")</f>
        <v>Bombeiro Voluntario/APH/BLS/COMBATE INCÊNDIO </v>
      </c>
      <c r="J103" s="1" t="str">
        <f>IFERROR(__xludf.DUMMYFUNCTION("""COMPUTED_VALUE"""),"Sim")</f>
        <v>Sim</v>
      </c>
      <c r="K103" s="1" t="str">
        <f>IFERROR(__xludf.DUMMYFUNCTION("""COMPUTED_VALUE"""),"Não")</f>
        <v>Não</v>
      </c>
      <c r="L103" s="1" t="str">
        <f>IFERROR(__xludf.DUMMYFUNCTION("""COMPUTED_VALUE"""),"A+")</f>
        <v>A+</v>
      </c>
      <c r="M103" s="1" t="str">
        <f>IFERROR(__xludf.DUMMYFUNCTION("""COMPUTED_VALUE"""),"HAAS")</f>
        <v>HAAS</v>
      </c>
      <c r="N103" s="121">
        <f>IFERROR(__xludf.DUMMYFUNCTION("""COMPUTED_VALUE"""),35362)</f>
        <v>35362</v>
      </c>
      <c r="O103" s="1" t="str">
        <f>IFERROR(__xludf.DUMMYFUNCTION("""COMPUTED_VALUE"""),"Feminino")</f>
        <v>Feminino</v>
      </c>
      <c r="P103" s="1" t="str">
        <f>IFERROR(__xludf.DUMMYFUNCTION("""COMPUTED_VALUE"""),"Branca")</f>
        <v>Branca</v>
      </c>
      <c r="Q103" s="1" t="str">
        <f>IFERROR(__xludf.DUMMYFUNCTION("""COMPUTED_VALUE"""),"Ensino Superior Completo")</f>
        <v>Ensino Superior Completo</v>
      </c>
      <c r="R103" s="1" t="str">
        <f>IFERROR(__xludf.DUMMYFUNCTION("""COMPUTED_VALUE"""),"natalia_haas_mello@gmail.com")</f>
        <v>natalia_haas_mello@gmail.com</v>
      </c>
      <c r="S103" s="1">
        <f>IFERROR(__xludf.DUMMYFUNCTION("""COMPUTED_VALUE"""),55)</f>
        <v>55</v>
      </c>
      <c r="T103" s="1" t="str">
        <f>IFERROR(__xludf.DUMMYFUNCTION("""COMPUTED_VALUE"""),"Entre 1,56m e 1,60m")</f>
        <v>Entre 1,56m e 1,60m</v>
      </c>
      <c r="U103" s="1"/>
      <c r="V103" s="1">
        <f>IFERROR(__xludf.DUMMYFUNCTION("""COMPUTED_VALUE"""),51996489321)</f>
        <v>51996489321</v>
      </c>
      <c r="W103" s="1">
        <f>IFERROR(__xludf.DUMMYFUNCTION("""COMPUTED_VALUE"""),51996489321)</f>
        <v>51996489321</v>
      </c>
      <c r="X103" s="1" t="str">
        <f>IFERROR(__xludf.DUMMYFUNCTION("""COMPUTED_VALUE"""),"RS")</f>
        <v>RS</v>
      </c>
      <c r="Y103" s="1" t="str">
        <f>IFERROR(__xludf.DUMMYFUNCTION("""COMPUTED_VALUE"""),"Novo Hamburgo")</f>
        <v>Novo Hamburgo</v>
      </c>
      <c r="Z103" s="1">
        <f>IFERROR(__xludf.DUMMYFUNCTION("""COMPUTED_VALUE"""),93320244)</f>
        <v>93320244</v>
      </c>
      <c r="AA103" s="1" t="str">
        <f>IFERROR(__xludf.DUMMYFUNCTION("""COMPUTED_VALUE"""),"pedro adams filho 2594")</f>
        <v>pedro adams filho 2594</v>
      </c>
      <c r="AB103" s="1" t="str">
        <f>IFERROR(__xludf.DUMMYFUNCTION("""COMPUTED_VALUE"""),"centro")</f>
        <v>centro</v>
      </c>
      <c r="AC103" s="1" t="str">
        <f>IFERROR(__xludf.DUMMYFUNCTION("""COMPUTED_VALUE"""),"M")</f>
        <v>M</v>
      </c>
      <c r="AD103" s="1" t="str">
        <f>IFERROR(__xludf.DUMMYFUNCTION("""COMPUTED_VALUE"""),"M")</f>
        <v>M</v>
      </c>
      <c r="AE103" s="1" t="str">
        <f>IFERROR(__xludf.DUMMYFUNCTION("""COMPUTED_VALUE"""),"M")</f>
        <v>M</v>
      </c>
      <c r="AF103" s="1" t="str">
        <f>IFERROR(__xludf.DUMMYFUNCTION("""COMPUTED_VALUE"""),"M")</f>
        <v>M</v>
      </c>
      <c r="AG103" s="1" t="str">
        <f>IFERROR(__xludf.DUMMYFUNCTION("""COMPUTED_VALUE"""),"M")</f>
        <v>M</v>
      </c>
      <c r="AH103" s="1">
        <f>IFERROR(__xludf.DUMMYFUNCTION("""COMPUTED_VALUE"""),37)</f>
        <v>37</v>
      </c>
      <c r="AI103" s="1">
        <f>IFERROR(__xludf.DUMMYFUNCTION("""COMPUTED_VALUE"""),37)</f>
        <v>37</v>
      </c>
      <c r="AJ103" s="1">
        <f>IFERROR(__xludf.DUMMYFUNCTION("""COMPUTED_VALUE"""),37)</f>
        <v>37</v>
      </c>
      <c r="AK103" s="1">
        <f>IFERROR(__xludf.DUMMYFUNCTION("""COMPUTED_VALUE"""),37)</f>
        <v>37</v>
      </c>
      <c r="AL103" s="1" t="str">
        <f>IFERROR(__xludf.DUMMYFUNCTION("""COMPUTED_VALUE"""),"P")</f>
        <v>P</v>
      </c>
      <c r="AM103" s="1" t="str">
        <f>IFERROR(__xludf.DUMMYFUNCTION("""COMPUTED_VALUE"""),"P")</f>
        <v>P</v>
      </c>
      <c r="AN103" s="1" t="str">
        <f>IFERROR(__xludf.DUMMYFUNCTION("""COMPUTED_VALUE"""),"M")</f>
        <v>M</v>
      </c>
    </row>
    <row r="104" customHeight="1" spans="1:40">
      <c r="A104" s="1" t="str">
        <f>IFERROR(__xludf.DUMMYFUNCTION("""COMPUTED_VALUE"""),"02° BBM")</f>
        <v>02° BBM</v>
      </c>
      <c r="B104" s="1" t="str">
        <f>IFERROR(__xludf.DUMMYFUNCTION("""COMPUTED_VALUE"""),"Parobé")</f>
        <v>Parobé</v>
      </c>
      <c r="C104" s="119" t="str">
        <f>IFERROR(__xludf.DUMMYFUNCTION("""COMPUTED_VALUE"""),"Comunitario")</f>
        <v>Comunitario</v>
      </c>
      <c r="D104" s="119" t="str">
        <f>IFERROR(__xludf.DUMMYFUNCTION("""COMPUTED_VALUE"""),"NATAN KOSSMANN ")</f>
        <v>NATAN KOSSMANN </v>
      </c>
      <c r="E104" s="119" t="str">
        <f>IFERROR(__xludf.DUMMYFUNCTION("""COMPUTED_VALUE"""),"Curso CAB operador concluído")</f>
        <v>Curso CAB operador concluído</v>
      </c>
      <c r="F104" s="1" t="str">
        <f>IFERROR(__xludf.DUMMYFUNCTION("""COMPUTED_VALUE"""),"038.520.940-11")</f>
        <v>038.520.940-11</v>
      </c>
      <c r="G104" s="1">
        <f>IFERROR(__xludf.DUMMYFUNCTION("""COMPUTED_VALUE"""),1121612178)</f>
        <v>1121612178</v>
      </c>
      <c r="H104" s="1" t="str">
        <f>IFERROR(__xludf.DUMMYFUNCTION("""COMPUTED_VALUE"""),"Combatente e Socorrista")</f>
        <v>Combatente e Socorrista</v>
      </c>
      <c r="I104" s="1" t="str">
        <f>IFERROR(__xludf.DUMMYFUNCTION("""COMPUTED_VALUE"""),"Bombeiro Voluntário, APH, BLS e Stop the Bleed")</f>
        <v>Bombeiro Voluntário, APH, BLS e Stop the Bleed</v>
      </c>
      <c r="J104" s="1" t="str">
        <f>IFERROR(__xludf.DUMMYFUNCTION("""COMPUTED_VALUE"""),"Sim")</f>
        <v>Sim</v>
      </c>
      <c r="K104" s="1" t="str">
        <f>IFERROR(__xludf.DUMMYFUNCTION("""COMPUTED_VALUE"""),"Não")</f>
        <v>Não</v>
      </c>
      <c r="L104" s="1" t="str">
        <f>IFERROR(__xludf.DUMMYFUNCTION("""COMPUTED_VALUE"""),"O-")</f>
        <v>O-</v>
      </c>
      <c r="M104" s="1" t="str">
        <f>IFERROR(__xludf.DUMMYFUNCTION("""COMPUTED_VALUE"""),"NATAN")</f>
        <v>NATAN</v>
      </c>
      <c r="N104" s="120">
        <f>IFERROR(__xludf.DUMMYFUNCTION("""COMPUTED_VALUE"""),37975)</f>
        <v>37975</v>
      </c>
      <c r="O104" s="1" t="str">
        <f>IFERROR(__xludf.DUMMYFUNCTION("""COMPUTED_VALUE"""),"Masculino")</f>
        <v>Masculino</v>
      </c>
      <c r="P104" s="1" t="str">
        <f>IFERROR(__xludf.DUMMYFUNCTION("""COMPUTED_VALUE"""),"Branca")</f>
        <v>Branca</v>
      </c>
      <c r="Q104" s="1" t="str">
        <f>IFERROR(__xludf.DUMMYFUNCTION("""COMPUTED_VALUE"""),"Ensino Superior Incompleto")</f>
        <v>Ensino Superior Incompleto</v>
      </c>
      <c r="R104" s="1" t="str">
        <f>IFERROR(__xludf.DUMMYFUNCTION("""COMPUTED_VALUE"""),"natankossmann@gmail.com")</f>
        <v>natankossmann@gmail.com</v>
      </c>
      <c r="S104" s="1">
        <f>IFERROR(__xludf.DUMMYFUNCTION("""COMPUTED_VALUE"""),100)</f>
        <v>100</v>
      </c>
      <c r="T104" s="1" t="str">
        <f>IFERROR(__xludf.DUMMYFUNCTION("""COMPUTED_VALUE"""),"Entre 1,81m e 1,85m")</f>
        <v>Entre 1,81m e 1,85m</v>
      </c>
      <c r="U104" s="1"/>
      <c r="V104" s="1" t="str">
        <f>IFERROR(__xludf.DUMMYFUNCTION("""COMPUTED_VALUE"""),"(51) 99905‑9967‬")</f>
        <v>(51) 99905‑9967‬</v>
      </c>
      <c r="W104" s="1" t="str">
        <f>IFERROR(__xludf.DUMMYFUNCTION("""COMPUTED_VALUE"""),"(51) 99594-7010")</f>
        <v>(51) 99594-7010</v>
      </c>
      <c r="X104" s="1" t="str">
        <f>IFERROR(__xludf.DUMMYFUNCTION("""COMPUTED_VALUE"""),"RS")</f>
        <v>RS</v>
      </c>
      <c r="Y104" s="1" t="str">
        <f>IFERROR(__xludf.DUMMYFUNCTION("""COMPUTED_VALUE"""),"Parobé")</f>
        <v>Parobé</v>
      </c>
      <c r="Z104" s="1" t="str">
        <f>IFERROR(__xludf.DUMMYFUNCTION("""COMPUTED_VALUE"""),"95630-000")</f>
        <v>95630-000</v>
      </c>
      <c r="AA104" s="1" t="str">
        <f>IFERROR(__xludf.DUMMYFUNCTION("""COMPUTED_VALUE"""),"Vinícius de Morais, 191")</f>
        <v>Vinícius de Morais, 191</v>
      </c>
      <c r="AB104" s="1" t="str">
        <f>IFERROR(__xludf.DUMMYFUNCTION("""COMPUTED_VALUE"""),"Nova Guarujá")</f>
        <v>Nova Guarujá</v>
      </c>
      <c r="AC104" s="1" t="str">
        <f>IFERROR(__xludf.DUMMYFUNCTION("""COMPUTED_VALUE"""),"G")</f>
        <v>G</v>
      </c>
      <c r="AD104" s="1" t="str">
        <f>IFERROR(__xludf.DUMMYFUNCTION("""COMPUTED_VALUE"""),"G")</f>
        <v>G</v>
      </c>
      <c r="AE104" s="1" t="str">
        <f>IFERROR(__xludf.DUMMYFUNCTION("""COMPUTED_VALUE"""),"G")</f>
        <v>G</v>
      </c>
      <c r="AF104" s="1" t="str">
        <f>IFERROR(__xludf.DUMMYFUNCTION("""COMPUTED_VALUE"""),"G")</f>
        <v>G</v>
      </c>
      <c r="AG104" s="1" t="str">
        <f>IFERROR(__xludf.DUMMYFUNCTION("""COMPUTED_VALUE"""),"G")</f>
        <v>G</v>
      </c>
      <c r="AH104" s="1">
        <f>IFERROR(__xludf.DUMMYFUNCTION("""COMPUTED_VALUE"""),43)</f>
        <v>43</v>
      </c>
      <c r="AI104" s="1">
        <f>IFERROR(__xludf.DUMMYFUNCTION("""COMPUTED_VALUE"""),42)</f>
        <v>42</v>
      </c>
      <c r="AJ104" s="1">
        <f>IFERROR(__xludf.DUMMYFUNCTION("""COMPUTED_VALUE"""),42)</f>
        <v>42</v>
      </c>
      <c r="AK104" s="1">
        <f>IFERROR(__xludf.DUMMYFUNCTION("""COMPUTED_VALUE"""),42)</f>
        <v>42</v>
      </c>
      <c r="AL104" s="1" t="str">
        <f>IFERROR(__xludf.DUMMYFUNCTION("""COMPUTED_VALUE"""),"G")</f>
        <v>G</v>
      </c>
      <c r="AM104" s="1" t="str">
        <f>IFERROR(__xludf.DUMMYFUNCTION("""COMPUTED_VALUE"""),"G")</f>
        <v>G</v>
      </c>
      <c r="AN104" s="1" t="str">
        <f>IFERROR(__xludf.DUMMYFUNCTION("""COMPUTED_VALUE"""),"G")</f>
        <v>G</v>
      </c>
    </row>
    <row r="105" customHeight="1" spans="1:40">
      <c r="A105" s="1" t="str">
        <f>IFERROR(__xludf.DUMMYFUNCTION("""COMPUTED_VALUE"""),"02° BBM")</f>
        <v>02° BBM</v>
      </c>
      <c r="B105" s="1" t="str">
        <f>IFERROR(__xludf.DUMMYFUNCTION("""COMPUTED_VALUE"""),"Araricá")</f>
        <v>Araricá</v>
      </c>
      <c r="C105" s="119" t="str">
        <f>IFERROR(__xludf.DUMMYFUNCTION("""COMPUTED_VALUE"""),"CAB")</f>
        <v>CAB</v>
      </c>
      <c r="D105" s="119" t="str">
        <f>IFERROR(__xludf.DUMMYFUNCTION("""COMPUTED_VALUE"""),"NEUSA JUVELINA DOS SANTOS DA SILVA")</f>
        <v>NEUSA JUVELINA DOS SANTOS DA SILVA</v>
      </c>
      <c r="E105" s="119" t="str">
        <f>IFERROR(__xludf.DUMMYFUNCTION("""COMPUTED_VALUE"""),"Curso CAB operador concluído")</f>
        <v>Curso CAB operador concluído</v>
      </c>
      <c r="F105" s="1" t="str">
        <f>IFERROR(__xludf.DUMMYFUNCTION("""COMPUTED_VALUE"""),"014.967.880-01")</f>
        <v>014.967.880-01</v>
      </c>
      <c r="G105" s="1">
        <f>IFERROR(__xludf.DUMMYFUNCTION("""COMPUTED_VALUE"""),4102524636)</f>
        <v>4102524636</v>
      </c>
      <c r="H105" s="1" t="str">
        <f>IFERROR(__xludf.DUMMYFUNCTION("""COMPUTED_VALUE"""),"aluno ")</f>
        <v>aluno </v>
      </c>
      <c r="I105" s="1" t="str">
        <f>IFERROR(__xludf.DUMMYFUNCTION("""COMPUTED_VALUE"""),"Bombeiro Voluntario/APH/BLS, combate à incêndio")</f>
        <v>Bombeiro Voluntario/APH/BLS, combate à incêndio</v>
      </c>
      <c r="J105" s="1" t="str">
        <f>IFERROR(__xludf.DUMMYFUNCTION("""COMPUTED_VALUE"""),"Sim")</f>
        <v>Sim</v>
      </c>
      <c r="K105" s="1" t="str">
        <f>IFERROR(__xludf.DUMMYFUNCTION("""COMPUTED_VALUE"""),"Não")</f>
        <v>Não</v>
      </c>
      <c r="L105" s="1" t="str">
        <f>IFERROR(__xludf.DUMMYFUNCTION("""COMPUTED_VALUE"""),"A+")</f>
        <v>A+</v>
      </c>
      <c r="M105" s="1" t="str">
        <f>IFERROR(__xludf.DUMMYFUNCTION("""COMPUTED_VALUE"""),"NEUSA")</f>
        <v>NEUSA</v>
      </c>
      <c r="N105" s="121">
        <f>IFERROR(__xludf.DUMMYFUNCTION("""COMPUTED_VALUE"""),31697)</f>
        <v>31697</v>
      </c>
      <c r="O105" s="1" t="str">
        <f>IFERROR(__xludf.DUMMYFUNCTION("""COMPUTED_VALUE"""),"Feminino")</f>
        <v>Feminino</v>
      </c>
      <c r="P105" s="1" t="str">
        <f>IFERROR(__xludf.DUMMYFUNCTION("""COMPUTED_VALUE"""),"Branca")</f>
        <v>Branca</v>
      </c>
      <c r="Q105" s="1" t="str">
        <f>IFERROR(__xludf.DUMMYFUNCTION("""COMPUTED_VALUE"""),"Ensino Superior Incompleto")</f>
        <v>Ensino Superior Incompleto</v>
      </c>
      <c r="R105" s="1" t="str">
        <f>IFERROR(__xludf.DUMMYFUNCTION("""COMPUTED_VALUE"""),"juneusasantos@gmail.com")</f>
        <v>juneusasantos@gmail.com</v>
      </c>
      <c r="S105" s="1">
        <f>IFERROR(__xludf.DUMMYFUNCTION("""COMPUTED_VALUE"""),65)</f>
        <v>65</v>
      </c>
      <c r="T105" s="1" t="str">
        <f>IFERROR(__xludf.DUMMYFUNCTION("""COMPUTED_VALUE"""),"Entre 1,56m e 1,60m")</f>
        <v>Entre 1,56m e 1,60m</v>
      </c>
      <c r="U105" s="1"/>
      <c r="V105" s="1">
        <f>IFERROR(__xludf.DUMMYFUNCTION("""COMPUTED_VALUE"""),51995869229)</f>
        <v>51995869229</v>
      </c>
      <c r="W105" s="1">
        <f>IFERROR(__xludf.DUMMYFUNCTION("""COMPUTED_VALUE"""),51995869229)</f>
        <v>51995869229</v>
      </c>
      <c r="X105" s="1" t="str">
        <f>IFERROR(__xludf.DUMMYFUNCTION("""COMPUTED_VALUE"""),"RS")</f>
        <v>RS</v>
      </c>
      <c r="Y105" s="1" t="str">
        <f>IFERROR(__xludf.DUMMYFUNCTION("""COMPUTED_VALUE"""),"Sapiranga")</f>
        <v>Sapiranga</v>
      </c>
      <c r="Z105" s="1" t="str">
        <f>IFERROR(__xludf.DUMMYFUNCTION("""COMPUTED_VALUE"""),"93804-516")</f>
        <v>93804-516</v>
      </c>
      <c r="AA105" s="1" t="str">
        <f>IFERROR(__xludf.DUMMYFUNCTION("""COMPUTED_VALUE"""),"Rua Caruaru, 195")</f>
        <v>Rua Caruaru, 195</v>
      </c>
      <c r="AB105" s="1" t="str">
        <f>IFERROR(__xludf.DUMMYFUNCTION("""COMPUTED_VALUE"""),"Oeste")</f>
        <v>Oeste</v>
      </c>
      <c r="AC105" s="1" t="str">
        <f>IFERROR(__xludf.DUMMYFUNCTION("""COMPUTED_VALUE"""),"M")</f>
        <v>M</v>
      </c>
      <c r="AD105" s="1" t="str">
        <f>IFERROR(__xludf.DUMMYFUNCTION("""COMPUTED_VALUE"""),"M")</f>
        <v>M</v>
      </c>
      <c r="AE105" s="1" t="str">
        <f>IFERROR(__xludf.DUMMYFUNCTION("""COMPUTED_VALUE"""),"M")</f>
        <v>M</v>
      </c>
      <c r="AF105" s="1" t="str">
        <f>IFERROR(__xludf.DUMMYFUNCTION("""COMPUTED_VALUE"""),"M")</f>
        <v>M</v>
      </c>
      <c r="AG105" s="1" t="str">
        <f>IFERROR(__xludf.DUMMYFUNCTION("""COMPUTED_VALUE"""),"M")</f>
        <v>M</v>
      </c>
      <c r="AH105" s="1">
        <f>IFERROR(__xludf.DUMMYFUNCTION("""COMPUTED_VALUE"""),36)</f>
        <v>36</v>
      </c>
      <c r="AI105" s="1">
        <f>IFERROR(__xludf.DUMMYFUNCTION("""COMPUTED_VALUE"""),36)</f>
        <v>36</v>
      </c>
      <c r="AJ105" s="1">
        <f>IFERROR(__xludf.DUMMYFUNCTION("""COMPUTED_VALUE"""),36)</f>
        <v>36</v>
      </c>
      <c r="AK105" s="1">
        <f>IFERROR(__xludf.DUMMYFUNCTION("""COMPUTED_VALUE"""),36)</f>
        <v>36</v>
      </c>
      <c r="AL105" s="1" t="str">
        <f>IFERROR(__xludf.DUMMYFUNCTION("""COMPUTED_VALUE"""),"M")</f>
        <v>M</v>
      </c>
      <c r="AM105" s="1" t="str">
        <f>IFERROR(__xludf.DUMMYFUNCTION("""COMPUTED_VALUE"""),"M")</f>
        <v>M</v>
      </c>
      <c r="AN105" s="1" t="str">
        <f>IFERROR(__xludf.DUMMYFUNCTION("""COMPUTED_VALUE"""),"G")</f>
        <v>G</v>
      </c>
    </row>
    <row r="106" customHeight="1" spans="1:40">
      <c r="A106" s="1" t="str">
        <f>IFERROR(__xludf.DUMMYFUNCTION("""COMPUTED_VALUE"""),"02° BBM")</f>
        <v>02° BBM</v>
      </c>
      <c r="B106" s="1" t="str">
        <f>IFERROR(__xludf.DUMMYFUNCTION("""COMPUTED_VALUE"""),"Araricá")</f>
        <v>Araricá</v>
      </c>
      <c r="C106" s="119" t="str">
        <f>IFERROR(__xludf.DUMMYFUNCTION("""COMPUTED_VALUE"""),"CAB")</f>
        <v>CAB</v>
      </c>
      <c r="D106" s="119" t="str">
        <f>IFERROR(__xludf.DUMMYFUNCTION("""COMPUTED_VALUE"""),"OTAVIO NORONHA FERREIRA DA SILVA")</f>
        <v>OTAVIO NORONHA FERREIRA DA SILVA</v>
      </c>
      <c r="E106" s="119" t="str">
        <f>IFERROR(__xludf.DUMMYFUNCTION("""COMPUTED_VALUE"""),"Curso CAB operador concluído")</f>
        <v>Curso CAB operador concluído</v>
      </c>
      <c r="F106" s="1" t="str">
        <f>IFERROR(__xludf.DUMMYFUNCTION("""COMPUTED_VALUE"""),"033.401.092-65")</f>
        <v>033.401.092-65</v>
      </c>
      <c r="G106" s="1">
        <f>IFERROR(__xludf.DUMMYFUNCTION("""COMPUTED_VALUE"""),27399699)</f>
        <v>27399699</v>
      </c>
      <c r="H106" s="1" t="str">
        <f>IFERROR(__xludf.DUMMYFUNCTION("""COMPUTED_VALUE"""),"Combatente e Socorrista/Condutor")</f>
        <v>Combatente e Socorrista/Condutor</v>
      </c>
      <c r="I106" s="1" t="str">
        <f>IFERROR(__xludf.DUMMYFUNCTION("""COMPUTED_VALUE"""),"Bombeiro Voluntario/APH/ brigada de incêndio/ Combate /produtos perigosos / Socorrista/ Condutor")</f>
        <v>Bombeiro Voluntario/APH/ brigada de incêndio/ Combate /produtos perigosos / Socorrista/ Condutor</v>
      </c>
      <c r="J106" s="1" t="str">
        <f>IFERROR(__xludf.DUMMYFUNCTION("""COMPUTED_VALUE"""),"Sim")</f>
        <v>Sim</v>
      </c>
      <c r="K106" s="1" t="str">
        <f>IFERROR(__xludf.DUMMYFUNCTION("""COMPUTED_VALUE"""),"Não")</f>
        <v>Não</v>
      </c>
      <c r="L106" s="1" t="str">
        <f>IFERROR(__xludf.DUMMYFUNCTION("""COMPUTED_VALUE"""),"O+")</f>
        <v>O+</v>
      </c>
      <c r="M106" s="1" t="str">
        <f>IFERROR(__xludf.DUMMYFUNCTION("""COMPUTED_VALUE"""),"NORONHA")</f>
        <v>NORONHA</v>
      </c>
      <c r="N106" s="120">
        <f>IFERROR(__xludf.DUMMYFUNCTION("""COMPUTED_VALUE"""),35803)</f>
        <v>35803</v>
      </c>
      <c r="O106" s="1" t="str">
        <f>IFERROR(__xludf.DUMMYFUNCTION("""COMPUTED_VALUE"""),"Masculino")</f>
        <v>Masculino</v>
      </c>
      <c r="P106" s="1" t="str">
        <f>IFERROR(__xludf.DUMMYFUNCTION("""COMPUTED_VALUE"""),"Parda")</f>
        <v>Parda</v>
      </c>
      <c r="Q106" s="1" t="str">
        <f>IFERROR(__xludf.DUMMYFUNCTION("""COMPUTED_VALUE"""),"Ensino Médio")</f>
        <v>Ensino Médio</v>
      </c>
      <c r="R106" s="1" t="str">
        <f>IFERROR(__xludf.DUMMYFUNCTION("""COMPUTED_VALUE"""),"otavionoronha472@gmail.com")</f>
        <v>otavionoronha472@gmail.com</v>
      </c>
      <c r="S106" s="1">
        <f>IFERROR(__xludf.DUMMYFUNCTION("""COMPUTED_VALUE"""),75)</f>
        <v>75</v>
      </c>
      <c r="T106" s="1" t="str">
        <f>IFERROR(__xludf.DUMMYFUNCTION("""COMPUTED_VALUE"""),"Entre 1,66m e 1,70m")</f>
        <v>Entre 1,66m e 1,70m</v>
      </c>
      <c r="U106" s="1"/>
      <c r="V106" s="1">
        <f>IFERROR(__xludf.DUMMYFUNCTION("""COMPUTED_VALUE"""),51995581825)</f>
        <v>51995581825</v>
      </c>
      <c r="W106" s="1">
        <f>IFERROR(__xludf.DUMMYFUNCTION("""COMPUTED_VALUE"""),51995581825)</f>
        <v>51995581825</v>
      </c>
      <c r="X106" s="1" t="str">
        <f>IFERROR(__xludf.DUMMYFUNCTION("""COMPUTED_VALUE"""),"RS")</f>
        <v>RS</v>
      </c>
      <c r="Y106" s="1" t="str">
        <f>IFERROR(__xludf.DUMMYFUNCTION("""COMPUTED_VALUE"""),"Sapiranga")</f>
        <v>Sapiranga</v>
      </c>
      <c r="Z106" s="1" t="str">
        <f>IFERROR(__xludf.DUMMYFUNCTION("""COMPUTED_VALUE"""),"93808-038")</f>
        <v>93808-038</v>
      </c>
      <c r="AA106" s="1" t="str">
        <f>IFERROR(__xludf.DUMMYFUNCTION("""COMPUTED_VALUE"""),"Rua Nedy Kalibaba Spolaor, 168")</f>
        <v>Rua Nedy Kalibaba Spolaor, 168</v>
      </c>
      <c r="AB106" s="1" t="str">
        <f>IFERROR(__xludf.DUMMYFUNCTION("""COMPUTED_VALUE"""),"São Luis")</f>
        <v>São Luis</v>
      </c>
      <c r="AC106" s="1" t="str">
        <f>IFERROR(__xludf.DUMMYFUNCTION("""COMPUTED_VALUE"""),"M")</f>
        <v>M</v>
      </c>
      <c r="AD106" s="1" t="str">
        <f>IFERROR(__xludf.DUMMYFUNCTION("""COMPUTED_VALUE"""),"M")</f>
        <v>M</v>
      </c>
      <c r="AE106" s="1" t="str">
        <f>IFERROR(__xludf.DUMMYFUNCTION("""COMPUTED_VALUE"""),"M")</f>
        <v>M</v>
      </c>
      <c r="AF106" s="1" t="str">
        <f>IFERROR(__xludf.DUMMYFUNCTION("""COMPUTED_VALUE"""),"M")</f>
        <v>M</v>
      </c>
      <c r="AG106" s="1" t="str">
        <f>IFERROR(__xludf.DUMMYFUNCTION("""COMPUTED_VALUE"""),"M")</f>
        <v>M</v>
      </c>
      <c r="AH106" s="1">
        <f>IFERROR(__xludf.DUMMYFUNCTION("""COMPUTED_VALUE"""),40)</f>
        <v>40</v>
      </c>
      <c r="AI106" s="1">
        <f>IFERROR(__xludf.DUMMYFUNCTION("""COMPUTED_VALUE"""),40)</f>
        <v>40</v>
      </c>
      <c r="AJ106" s="1">
        <f>IFERROR(__xludf.DUMMYFUNCTION("""COMPUTED_VALUE"""),40)</f>
        <v>40</v>
      </c>
      <c r="AK106" s="1">
        <f>IFERROR(__xludf.DUMMYFUNCTION("""COMPUTED_VALUE"""),40)</f>
        <v>40</v>
      </c>
      <c r="AL106" s="1" t="str">
        <f>IFERROR(__xludf.DUMMYFUNCTION("""COMPUTED_VALUE"""),"G")</f>
        <v>G</v>
      </c>
      <c r="AM106" s="1" t="str">
        <f>IFERROR(__xludf.DUMMYFUNCTION("""COMPUTED_VALUE"""),"M")</f>
        <v>M</v>
      </c>
      <c r="AN106" s="1" t="str">
        <f>IFERROR(__xludf.DUMMYFUNCTION("""COMPUTED_VALUE"""),"G")</f>
        <v>G</v>
      </c>
    </row>
    <row r="107" customHeight="1" spans="1:40">
      <c r="A107" s="1" t="str">
        <f>IFERROR(__xludf.DUMMYFUNCTION("""COMPUTED_VALUE"""),"02° BBM")</f>
        <v>02° BBM</v>
      </c>
      <c r="B107" s="1" t="str">
        <f>IFERROR(__xludf.DUMMYFUNCTION("""COMPUTED_VALUE"""),"Estância Velha ")</f>
        <v>Estância Velha </v>
      </c>
      <c r="C107" s="119" t="str">
        <f>IFERROR(__xludf.DUMMYFUNCTION("""COMPUTED_VALUE"""),"Comunitario")</f>
        <v>Comunitario</v>
      </c>
      <c r="D107" s="119" t="str">
        <f>IFERROR(__xludf.DUMMYFUNCTION("""COMPUTED_VALUE"""),"PAULO ALEXANDRE DOS SANTOS PETRONA")</f>
        <v>PAULO ALEXANDRE DOS SANTOS PETRONA</v>
      </c>
      <c r="E107" s="119" t="str">
        <f>IFERROR(__xludf.DUMMYFUNCTION("""COMPUTED_VALUE"""),"")</f>
        <v/>
      </c>
      <c r="F107" s="1" t="str">
        <f>IFERROR(__xludf.DUMMYFUNCTION("""COMPUTED_VALUE"""),"026.749.140-92 ")</f>
        <v>026.749.140-92 </v>
      </c>
      <c r="G107" s="1">
        <f>IFERROR(__xludf.DUMMYFUNCTION("""COMPUTED_VALUE"""),1106562778)</f>
        <v>1106562778</v>
      </c>
      <c r="H107" s="1" t="str">
        <f>IFERROR(__xludf.DUMMYFUNCTION("""COMPUTED_VALUE"""),"Combatente e Socorrista ")</f>
        <v>Combatente e Socorrista </v>
      </c>
      <c r="I107" s="1" t="str">
        <f>IFERROR(__xludf.DUMMYFUNCTION("""COMPUTED_VALUE"""),"Bombeiro Voluntário, Bombeiro Civil III, Aph, Bls, Resgate veicular, Emergências Químicas, Resgate Técnico Operacional, N1 acesso por cordas, Supervisor e Resgate EC, Combate a incêndio, condutor VE.")</f>
        <v>Bombeiro Voluntário, Bombeiro Civil III, Aph, Bls, Resgate veicular, Emergências Químicas, Resgate Técnico Operacional, N1 acesso por cordas, Supervisor e Resgate EC, Combate a incêndio, condutor VE.</v>
      </c>
      <c r="J107" s="1" t="str">
        <f>IFERROR(__xludf.DUMMYFUNCTION("""COMPUTED_VALUE"""),"Não")</f>
        <v>Não</v>
      </c>
      <c r="K107" s="1" t="str">
        <f>IFERROR(__xludf.DUMMYFUNCTION("""COMPUTED_VALUE"""),"Sim")</f>
        <v>Sim</v>
      </c>
      <c r="L107" s="1" t="str">
        <f>IFERROR(__xludf.DUMMYFUNCTION("""COMPUTED_VALUE"""),"O+")</f>
        <v>O+</v>
      </c>
      <c r="M107" s="1" t="str">
        <f>IFERROR(__xludf.DUMMYFUNCTION("""COMPUTED_VALUE"""),"Petrona")</f>
        <v>Petrona</v>
      </c>
      <c r="N107" s="120">
        <f>IFERROR(__xludf.DUMMYFUNCTION("""COMPUTED_VALUE"""),33678)</f>
        <v>33678</v>
      </c>
      <c r="O107" s="1" t="str">
        <f>IFERROR(__xludf.DUMMYFUNCTION("""COMPUTED_VALUE"""),"Masculino")</f>
        <v>Masculino</v>
      </c>
      <c r="P107" s="1" t="str">
        <f>IFERROR(__xludf.DUMMYFUNCTION("""COMPUTED_VALUE"""),"Parda")</f>
        <v>Parda</v>
      </c>
      <c r="Q107" s="1" t="str">
        <f>IFERROR(__xludf.DUMMYFUNCTION("""COMPUTED_VALUE"""),"Ensino Superior Incompleto")</f>
        <v>Ensino Superior Incompleto</v>
      </c>
      <c r="R107" s="1" t="str">
        <f>IFERROR(__xludf.DUMMYFUNCTION("""COMPUTED_VALUE"""),"paulopetrona92@gmail.com")</f>
        <v>paulopetrona92@gmail.com</v>
      </c>
      <c r="S107" s="1" t="str">
        <f>IFERROR(__xludf.DUMMYFUNCTION("""COMPUTED_VALUE"""),"90kg")</f>
        <v>90kg</v>
      </c>
      <c r="T107" s="1" t="str">
        <f>IFERROR(__xludf.DUMMYFUNCTION("""COMPUTED_VALUE"""),"Entre 1,76m e 1,80m")</f>
        <v>Entre 1,76m e 1,80m</v>
      </c>
      <c r="U107" s="1"/>
      <c r="V107" s="1">
        <f>IFERROR(__xludf.DUMMYFUNCTION("""COMPUTED_VALUE"""),51995665771)</f>
        <v>51995665771</v>
      </c>
      <c r="W107" s="1"/>
      <c r="X107" s="1" t="str">
        <f>IFERROR(__xludf.DUMMYFUNCTION("""COMPUTED_VALUE"""),"RS")</f>
        <v>RS</v>
      </c>
      <c r="Y107" s="1" t="str">
        <f>IFERROR(__xludf.DUMMYFUNCTION("""COMPUTED_VALUE"""),"Parobé")</f>
        <v>Parobé</v>
      </c>
      <c r="Z107" s="1"/>
      <c r="AA107" s="1" t="str">
        <f>IFERROR(__xludf.DUMMYFUNCTION("""COMPUTED_VALUE"""),"Rua Joaquim Nunes ferreira, 19")</f>
        <v>Rua Joaquim Nunes ferreira, 19</v>
      </c>
      <c r="AB107" s="1" t="str">
        <f>IFERROR(__xludf.DUMMYFUNCTION("""COMPUTED_VALUE"""),"Alexandria")</f>
        <v>Alexandria</v>
      </c>
      <c r="AC107" s="1" t="str">
        <f>IFERROR(__xludf.DUMMYFUNCTION("""COMPUTED_VALUE"""),"G")</f>
        <v>G</v>
      </c>
      <c r="AD107" s="1" t="str">
        <f>IFERROR(__xludf.DUMMYFUNCTION("""COMPUTED_VALUE"""),"G")</f>
        <v>G</v>
      </c>
      <c r="AE107" s="1" t="str">
        <f>IFERROR(__xludf.DUMMYFUNCTION("""COMPUTED_VALUE"""),"G")</f>
        <v>G</v>
      </c>
      <c r="AF107" s="1" t="str">
        <f>IFERROR(__xludf.DUMMYFUNCTION("""COMPUTED_VALUE"""),"G")</f>
        <v>G</v>
      </c>
      <c r="AG107" s="1" t="str">
        <f>IFERROR(__xludf.DUMMYFUNCTION("""COMPUTED_VALUE"""),"G")</f>
        <v>G</v>
      </c>
      <c r="AH107" s="1">
        <f>IFERROR(__xludf.DUMMYFUNCTION("""COMPUTED_VALUE"""),41)</f>
        <v>41</v>
      </c>
      <c r="AI107" s="1">
        <f>IFERROR(__xludf.DUMMYFUNCTION("""COMPUTED_VALUE"""),41)</f>
        <v>41</v>
      </c>
      <c r="AJ107" s="1">
        <f>IFERROR(__xludf.DUMMYFUNCTION("""COMPUTED_VALUE"""),41)</f>
        <v>41</v>
      </c>
      <c r="AK107" s="1">
        <f>IFERROR(__xludf.DUMMYFUNCTION("""COMPUTED_VALUE"""),42)</f>
        <v>42</v>
      </c>
      <c r="AL107" s="1" t="str">
        <f>IFERROR(__xludf.DUMMYFUNCTION("""COMPUTED_VALUE"""),"G")</f>
        <v>G</v>
      </c>
      <c r="AM107" s="1" t="str">
        <f>IFERROR(__xludf.DUMMYFUNCTION("""COMPUTED_VALUE"""),"G")</f>
        <v>G</v>
      </c>
      <c r="AN107" s="1" t="str">
        <f>IFERROR(__xludf.DUMMYFUNCTION("""COMPUTED_VALUE"""),"G")</f>
        <v>G</v>
      </c>
    </row>
    <row r="108" customHeight="1" spans="1:40">
      <c r="A108" s="1" t="str">
        <f>IFERROR(__xludf.DUMMYFUNCTION("""COMPUTED_VALUE"""),"02° BBM")</f>
        <v>02° BBM</v>
      </c>
      <c r="B108" s="1" t="str">
        <f>IFERROR(__xludf.DUMMYFUNCTION("""COMPUTED_VALUE"""),"Araricá")</f>
        <v>Araricá</v>
      </c>
      <c r="C108" s="119" t="str">
        <f>IFERROR(__xludf.DUMMYFUNCTION("""COMPUTED_VALUE"""),"CAB")</f>
        <v>CAB</v>
      </c>
      <c r="D108" s="119" t="str">
        <f>IFERROR(__xludf.DUMMYFUNCTION("""COMPUTED_VALUE"""),"PEDRO VOLNEI DA SILVA")</f>
        <v>PEDRO VOLNEI DA SILVA</v>
      </c>
      <c r="E108" s="119" t="str">
        <f>IFERROR(__xludf.DUMMYFUNCTION("""COMPUTED_VALUE"""),"Curso CAB operador concluído")</f>
        <v>Curso CAB operador concluído</v>
      </c>
      <c r="F108" s="1" t="str">
        <f>IFERROR(__xludf.DUMMYFUNCTION("""COMPUTED_VALUE"""),"009.987.650-74")</f>
        <v>009.987.650-74</v>
      </c>
      <c r="G108" s="1">
        <f>IFERROR(__xludf.DUMMYFUNCTION("""COMPUTED_VALUE"""),2110748999)</f>
        <v>2110748999</v>
      </c>
      <c r="H108" s="1" t="str">
        <f>IFERROR(__xludf.DUMMYFUNCTION("""COMPUTED_VALUE"""),"aluno ")</f>
        <v>aluno </v>
      </c>
      <c r="I108" s="1" t="str">
        <f>IFERROR(__xludf.DUMMYFUNCTION("""COMPUTED_VALUE"""),"Bombeiro Voluntario/APH/BLS, combate à incêndio")</f>
        <v>Bombeiro Voluntario/APH/BLS, combate à incêndio</v>
      </c>
      <c r="J108" s="1" t="str">
        <f>IFERROR(__xludf.DUMMYFUNCTION("""COMPUTED_VALUE"""),"Sim")</f>
        <v>Sim</v>
      </c>
      <c r="K108" s="1" t="str">
        <f>IFERROR(__xludf.DUMMYFUNCTION("""COMPUTED_VALUE"""),"Não")</f>
        <v>Não</v>
      </c>
      <c r="L108" s="1" t="str">
        <f>IFERROR(__xludf.DUMMYFUNCTION("""COMPUTED_VALUE"""),"O+")</f>
        <v>O+</v>
      </c>
      <c r="M108" s="1" t="str">
        <f>IFERROR(__xludf.DUMMYFUNCTION("""COMPUTED_VALUE"""),"VOLNEI")</f>
        <v>VOLNEI</v>
      </c>
      <c r="N108" s="121">
        <f>IFERROR(__xludf.DUMMYFUNCTION("""COMPUTED_VALUE"""),30979)</f>
        <v>30979</v>
      </c>
      <c r="O108" s="1" t="str">
        <f>IFERROR(__xludf.DUMMYFUNCTION("""COMPUTED_VALUE"""),"Masculino")</f>
        <v>Masculino</v>
      </c>
      <c r="P108" s="1" t="str">
        <f>IFERROR(__xludf.DUMMYFUNCTION("""COMPUTED_VALUE"""),"Branca")</f>
        <v>Branca</v>
      </c>
      <c r="Q108" s="1" t="str">
        <f>IFERROR(__xludf.DUMMYFUNCTION("""COMPUTED_VALUE"""),"Ensino Médio")</f>
        <v>Ensino Médio</v>
      </c>
      <c r="R108" s="1" t="str">
        <f>IFERROR(__xludf.DUMMYFUNCTION("""COMPUTED_VALUE"""),"volnei89@gmail.com")</f>
        <v>volnei89@gmail.com</v>
      </c>
      <c r="S108" s="1">
        <f>IFERROR(__xludf.DUMMYFUNCTION("""COMPUTED_VALUE"""),130)</f>
        <v>130</v>
      </c>
      <c r="T108" s="1" t="str">
        <f>IFERROR(__xludf.DUMMYFUNCTION("""COMPUTED_VALUE"""),"Entre 1,66m e 1,70m")</f>
        <v>Entre 1,66m e 1,70m</v>
      </c>
      <c r="U108" s="1"/>
      <c r="V108" s="1">
        <f>IFERROR(__xludf.DUMMYFUNCTION("""COMPUTED_VALUE"""),51996400041)</f>
        <v>51996400041</v>
      </c>
      <c r="W108" s="1">
        <f>IFERROR(__xludf.DUMMYFUNCTION("""COMPUTED_VALUE"""),51996400041)</f>
        <v>51996400041</v>
      </c>
      <c r="X108" s="1" t="str">
        <f>IFERROR(__xludf.DUMMYFUNCTION("""COMPUTED_VALUE"""),"RS")</f>
        <v>RS</v>
      </c>
      <c r="Y108" s="1" t="str">
        <f>IFERROR(__xludf.DUMMYFUNCTION("""COMPUTED_VALUE"""),"Sapiranga")</f>
        <v>Sapiranga</v>
      </c>
      <c r="Z108" s="1" t="str">
        <f>IFERROR(__xludf.DUMMYFUNCTION("""COMPUTED_VALUE"""),"93804-516")</f>
        <v>93804-516</v>
      </c>
      <c r="AA108" s="1" t="str">
        <f>IFERROR(__xludf.DUMMYFUNCTION("""COMPUTED_VALUE"""),"Rua Caruaru, 195")</f>
        <v>Rua Caruaru, 195</v>
      </c>
      <c r="AB108" s="1" t="str">
        <f>IFERROR(__xludf.DUMMYFUNCTION("""COMPUTED_VALUE"""),"Oeste")</f>
        <v>Oeste</v>
      </c>
      <c r="AC108" s="1" t="str">
        <f>IFERROR(__xludf.DUMMYFUNCTION("""COMPUTED_VALUE"""),"EXG")</f>
        <v>EXG</v>
      </c>
      <c r="AD108" s="1" t="str">
        <f>IFERROR(__xludf.DUMMYFUNCTION("""COMPUTED_VALUE"""),"EXG")</f>
        <v>EXG</v>
      </c>
      <c r="AE108" s="1" t="str">
        <f>IFERROR(__xludf.DUMMYFUNCTION("""COMPUTED_VALUE"""),"EXG")</f>
        <v>EXG</v>
      </c>
      <c r="AF108" s="1" t="str">
        <f>IFERROR(__xludf.DUMMYFUNCTION("""COMPUTED_VALUE"""),"EXG")</f>
        <v>EXG</v>
      </c>
      <c r="AG108" s="1" t="str">
        <f>IFERROR(__xludf.DUMMYFUNCTION("""COMPUTED_VALUE"""),"EXG")</f>
        <v>EXG</v>
      </c>
      <c r="AH108" s="1">
        <f>IFERROR(__xludf.DUMMYFUNCTION("""COMPUTED_VALUE"""),40)</f>
        <v>40</v>
      </c>
      <c r="AI108" s="1">
        <f>IFERROR(__xludf.DUMMYFUNCTION("""COMPUTED_VALUE"""),40)</f>
        <v>40</v>
      </c>
      <c r="AJ108" s="1">
        <f>IFERROR(__xludf.DUMMYFUNCTION("""COMPUTED_VALUE"""),40)</f>
        <v>40</v>
      </c>
      <c r="AK108" s="1">
        <f>IFERROR(__xludf.DUMMYFUNCTION("""COMPUTED_VALUE"""),40)</f>
        <v>40</v>
      </c>
      <c r="AL108" s="1" t="str">
        <f>IFERROR(__xludf.DUMMYFUNCTION("""COMPUTED_VALUE"""),"EXG")</f>
        <v>EXG</v>
      </c>
      <c r="AM108" s="1" t="str">
        <f>IFERROR(__xludf.DUMMYFUNCTION("""COMPUTED_VALUE"""),"EXG")</f>
        <v>EXG</v>
      </c>
      <c r="AN108" s="1" t="str">
        <f>IFERROR(__xludf.DUMMYFUNCTION("""COMPUTED_VALUE"""),"GG")</f>
        <v>GG</v>
      </c>
    </row>
    <row r="109" customHeight="1" spans="1:40">
      <c r="A109" s="1" t="str">
        <f>IFERROR(__xludf.DUMMYFUNCTION("""COMPUTED_VALUE"""),"02° BBM")</f>
        <v>02° BBM</v>
      </c>
      <c r="B109" s="1" t="str">
        <f>IFERROR(__xludf.DUMMYFUNCTION("""COMPUTED_VALUE"""),"Araricá")</f>
        <v>Araricá</v>
      </c>
      <c r="C109" s="119" t="str">
        <f>IFERROR(__xludf.DUMMYFUNCTION("""COMPUTED_VALUE"""),"CAB")</f>
        <v>CAB</v>
      </c>
      <c r="D109" s="119" t="str">
        <f>IFERROR(__xludf.DUMMYFUNCTION("""COMPUTED_VALUE"""),"RAFAEL SILVA DE SOUZA")</f>
        <v>RAFAEL SILVA DE SOUZA</v>
      </c>
      <c r="E109" s="119" t="str">
        <f>IFERROR(__xludf.DUMMYFUNCTION("""COMPUTED_VALUE"""),"Curso CAB operador concluído")</f>
        <v>Curso CAB operador concluído</v>
      </c>
      <c r="F109" s="1" t="str">
        <f>IFERROR(__xludf.DUMMYFUNCTION("""COMPUTED_VALUE"""),"801.278.600-10")</f>
        <v>801.278.600-10</v>
      </c>
      <c r="G109" s="1">
        <f>IFERROR(__xludf.DUMMYFUNCTION("""COMPUTED_VALUE"""),1054836893)</f>
        <v>1054836893</v>
      </c>
      <c r="H109" s="1" t="str">
        <f>IFERROR(__xludf.DUMMYFUNCTION("""COMPUTED_VALUE"""),"Combatente/Socorrista/ Condutor")</f>
        <v>Combatente/Socorrista/ Condutor</v>
      </c>
      <c r="I109" s="1" t="str">
        <f>IFERROR(__xludf.DUMMYFUNCTION("""COMPUTED_VALUE"""),"Bombeiro Voluntario/Bombeiro Civil, APH, BLS, Cursos de NR33, NR 35, Condutor")</f>
        <v>Bombeiro Voluntario/Bombeiro Civil, APH, BLS, Cursos de NR33, NR 35, Condutor</v>
      </c>
      <c r="J109" s="1" t="str">
        <f>IFERROR(__xludf.DUMMYFUNCTION("""COMPUTED_VALUE"""),"Sim")</f>
        <v>Sim</v>
      </c>
      <c r="K109" s="1" t="str">
        <f>IFERROR(__xludf.DUMMYFUNCTION("""COMPUTED_VALUE"""),"Não")</f>
        <v>Não</v>
      </c>
      <c r="L109" s="1" t="str">
        <f>IFERROR(__xludf.DUMMYFUNCTION("""COMPUTED_VALUE"""),"O+")</f>
        <v>O+</v>
      </c>
      <c r="M109" s="1" t="str">
        <f>IFERROR(__xludf.DUMMYFUNCTION("""COMPUTED_VALUE"""),"RAFAEL SILVA")</f>
        <v>RAFAEL SILVA</v>
      </c>
      <c r="N109" s="120">
        <f>IFERROR(__xludf.DUMMYFUNCTION("""COMPUTED_VALUE"""),28930)</f>
        <v>28930</v>
      </c>
      <c r="O109" s="1" t="str">
        <f>IFERROR(__xludf.DUMMYFUNCTION("""COMPUTED_VALUE"""),"Masculino")</f>
        <v>Masculino</v>
      </c>
      <c r="P109" s="1" t="str">
        <f>IFERROR(__xludf.DUMMYFUNCTION("""COMPUTED_VALUE"""),"Branca")</f>
        <v>Branca</v>
      </c>
      <c r="Q109" s="1" t="str">
        <f>IFERROR(__xludf.DUMMYFUNCTION("""COMPUTED_VALUE"""),"Ensino Médio")</f>
        <v>Ensino Médio</v>
      </c>
      <c r="R109" s="1" t="str">
        <f>IFERROR(__xludf.DUMMYFUNCTION("""COMPUTED_VALUE"""),"rafa_souza79@yahoo.com.br")</f>
        <v>rafa_souza79@yahoo.com.br</v>
      </c>
      <c r="S109" s="1">
        <f>IFERROR(__xludf.DUMMYFUNCTION("""COMPUTED_VALUE"""),90)</f>
        <v>90</v>
      </c>
      <c r="T109" s="1" t="str">
        <f>IFERROR(__xludf.DUMMYFUNCTION("""COMPUTED_VALUE"""),"Entre 1,76m e 1,80m")</f>
        <v>Entre 1,76m e 1,80m</v>
      </c>
      <c r="U109" s="1"/>
      <c r="V109" s="1">
        <f>IFERROR(__xludf.DUMMYFUNCTION("""COMPUTED_VALUE"""),51994291022)</f>
        <v>51994291022</v>
      </c>
      <c r="W109" s="1">
        <f>IFERROR(__xludf.DUMMYFUNCTION("""COMPUTED_VALUE"""),51994291022)</f>
        <v>51994291022</v>
      </c>
      <c r="X109" s="1" t="str">
        <f>IFERROR(__xludf.DUMMYFUNCTION("""COMPUTED_VALUE"""),"RS")</f>
        <v>RS</v>
      </c>
      <c r="Y109" s="1" t="str">
        <f>IFERROR(__xludf.DUMMYFUNCTION("""COMPUTED_VALUE"""),"Porto Alegre")</f>
        <v>Porto Alegre</v>
      </c>
      <c r="Z109" s="1" t="str">
        <f>IFERROR(__xludf.DUMMYFUNCTION("""COMPUTED_VALUE"""),"90810-000")</f>
        <v>90810-000</v>
      </c>
      <c r="AA109" s="1" t="str">
        <f>IFERROR(__xludf.DUMMYFUNCTION("""COMPUTED_VALUE"""),"Rua Icaraí, 330 ap. 307")</f>
        <v>Rua Icaraí, 330 ap. 307</v>
      </c>
      <c r="AB109" s="1" t="str">
        <f>IFERROR(__xludf.DUMMYFUNCTION("""COMPUTED_VALUE"""),"Cristal")</f>
        <v>Cristal</v>
      </c>
      <c r="AC109" s="1" t="str">
        <f>IFERROR(__xludf.DUMMYFUNCTION("""COMPUTED_VALUE"""),"M")</f>
        <v>M</v>
      </c>
      <c r="AD109" s="1" t="str">
        <f>IFERROR(__xludf.DUMMYFUNCTION("""COMPUTED_VALUE"""),"G")</f>
        <v>G</v>
      </c>
      <c r="AE109" s="1" t="str">
        <f>IFERROR(__xludf.DUMMYFUNCTION("""COMPUTED_VALUE"""),"G")</f>
        <v>G</v>
      </c>
      <c r="AF109" s="1" t="str">
        <f>IFERROR(__xludf.DUMMYFUNCTION("""COMPUTED_VALUE"""),"G")</f>
        <v>G</v>
      </c>
      <c r="AG109" s="1" t="str">
        <f>IFERROR(__xludf.DUMMYFUNCTION("""COMPUTED_VALUE"""),"M")</f>
        <v>M</v>
      </c>
      <c r="AH109" s="1">
        <f>IFERROR(__xludf.DUMMYFUNCTION("""COMPUTED_VALUE"""),41)</f>
        <v>41</v>
      </c>
      <c r="AI109" s="1">
        <f>IFERROR(__xludf.DUMMYFUNCTION("""COMPUTED_VALUE"""),41)</f>
        <v>41</v>
      </c>
      <c r="AJ109" s="1">
        <f>IFERROR(__xludf.DUMMYFUNCTION("""COMPUTED_VALUE"""),41)</f>
        <v>41</v>
      </c>
      <c r="AK109" s="1">
        <f>IFERROR(__xludf.DUMMYFUNCTION("""COMPUTED_VALUE"""),41)</f>
        <v>41</v>
      </c>
      <c r="AL109" s="1" t="str">
        <f>IFERROR(__xludf.DUMMYFUNCTION("""COMPUTED_VALUE"""),"M")</f>
        <v>M</v>
      </c>
      <c r="AM109" s="1" t="str">
        <f>IFERROR(__xludf.DUMMYFUNCTION("""COMPUTED_VALUE"""),"M")</f>
        <v>M</v>
      </c>
      <c r="AN109" s="1" t="str">
        <f>IFERROR(__xludf.DUMMYFUNCTION("""COMPUTED_VALUE"""),"M")</f>
        <v>M</v>
      </c>
    </row>
    <row r="110" customHeight="1" spans="1:40">
      <c r="A110" s="1" t="str">
        <f>IFERROR(__xludf.DUMMYFUNCTION("""COMPUTED_VALUE"""),"        02° BBM")</f>
        <v>        02° BBM</v>
      </c>
      <c r="B110" s="1" t="str">
        <f>IFERROR(__xludf.DUMMYFUNCTION("""COMPUTED_VALUE"""),"Estância Velha")</f>
        <v>Estância Velha</v>
      </c>
      <c r="C110" s="119" t="str">
        <f>IFERROR(__xludf.DUMMYFUNCTION("""COMPUTED_VALUE"""),"Comunitario")</f>
        <v>Comunitario</v>
      </c>
      <c r="D110" s="119" t="str">
        <f>IFERROR(__xludf.DUMMYFUNCTION("""COMPUTED_VALUE"""),"RAUL ERNESTO MALDONADO SOSA")</f>
        <v>RAUL ERNESTO MALDONADO SOSA</v>
      </c>
      <c r="E110" s="119" t="str">
        <f>IFERROR(__xludf.DUMMYFUNCTION("""COMPUTED_VALUE"""),"Curso CAB operador concluído")</f>
        <v>Curso CAB operador concluído</v>
      </c>
      <c r="F110" s="1" t="str">
        <f>IFERROR(__xludf.DUMMYFUNCTION("""COMPUTED_VALUE"""),"863.656.140-04")</f>
        <v>863.656.140-04</v>
      </c>
      <c r="G110" s="1" t="str">
        <f>IFERROR(__xludf.DUMMYFUNCTION("""COMPUTED_VALUE"""),"V8216291")</f>
        <v>V8216291</v>
      </c>
      <c r="H110" s="1" t="str">
        <f>IFERROR(__xludf.DUMMYFUNCTION("""COMPUTED_VALUE"""),"Combatente e Socorrista")</f>
        <v>Combatente e Socorrista</v>
      </c>
      <c r="I110" s="1" t="str">
        <f>IFERROR(__xludf.DUMMYFUNCTION("""COMPUTED_VALUE"""),"Combate a Incêndio, NR 35, Bombeiro civil. Aph.bls. NR10,NR18,NR6,NR33.operacional, N1 acesso por cordas.")</f>
        <v>Combate a Incêndio, NR 35, Bombeiro civil. Aph.bls. NR10,NR18,NR6,NR33.operacional, N1 acesso por cordas.</v>
      </c>
      <c r="J110" s="1" t="str">
        <f>IFERROR(__xludf.DUMMYFUNCTION("""COMPUTED_VALUE"""),"Sim")</f>
        <v>Sim</v>
      </c>
      <c r="K110" s="1" t="str">
        <f>IFERROR(__xludf.DUMMYFUNCTION("""COMPUTED_VALUE"""),"Sim")</f>
        <v>Sim</v>
      </c>
      <c r="L110" s="1" t="str">
        <f>IFERROR(__xludf.DUMMYFUNCTION("""COMPUTED_VALUE"""),"A+")</f>
        <v>A+</v>
      </c>
      <c r="M110" s="1" t="str">
        <f>IFERROR(__xludf.DUMMYFUNCTION("""COMPUTED_VALUE"""),"SOSA")</f>
        <v>SOSA</v>
      </c>
      <c r="N110" s="120">
        <f>IFERROR(__xludf.DUMMYFUNCTION("""COMPUTED_VALUE"""),31720)</f>
        <v>31720</v>
      </c>
      <c r="O110" s="1" t="str">
        <f>IFERROR(__xludf.DUMMYFUNCTION("""COMPUTED_VALUE"""),"Masculino")</f>
        <v>Masculino</v>
      </c>
      <c r="P110" s="1" t="str">
        <f>IFERROR(__xludf.DUMMYFUNCTION("""COMPUTED_VALUE"""),"Branca")</f>
        <v>Branca</v>
      </c>
      <c r="Q110" s="1" t="str">
        <f>IFERROR(__xludf.DUMMYFUNCTION("""COMPUTED_VALUE"""),"Ensino Médio")</f>
        <v>Ensino Médio</v>
      </c>
      <c r="R110" s="1" t="str">
        <f>IFERROR(__xludf.DUMMYFUNCTION("""COMPUTED_VALUE"""),"raul20-@hotmail.com")</f>
        <v>raul20-@hotmail.com</v>
      </c>
      <c r="S110" s="1" t="str">
        <f>IFERROR(__xludf.DUMMYFUNCTION("""COMPUTED_VALUE"""),"87 kg")</f>
        <v>87 kg</v>
      </c>
      <c r="T110" s="1" t="str">
        <f>IFERROR(__xludf.DUMMYFUNCTION("""COMPUTED_VALUE"""),"Entre 1,71m e 1,75m")</f>
        <v>Entre 1,71m e 1,75m</v>
      </c>
      <c r="U110" s="1"/>
      <c r="V110" s="1">
        <f>IFERROR(__xludf.DUMMYFUNCTION("""COMPUTED_VALUE"""),51995487628)</f>
        <v>51995487628</v>
      </c>
      <c r="W110" s="1"/>
      <c r="X110" s="1" t="str">
        <f>IFERROR(__xludf.DUMMYFUNCTION("""COMPUTED_VALUE"""),"RS")</f>
        <v>RS</v>
      </c>
      <c r="Y110" s="1" t="str">
        <f>IFERROR(__xludf.DUMMYFUNCTION("""COMPUTED_VALUE"""),"Estância Velha")</f>
        <v>Estância Velha</v>
      </c>
      <c r="Z110" s="1">
        <f>IFERROR(__xludf.DUMMYFUNCTION("""COMPUTED_VALUE"""),93611823)</f>
        <v>93611823</v>
      </c>
      <c r="AA110" s="1" t="str">
        <f>IFERROR(__xludf.DUMMYFUNCTION("""COMPUTED_VALUE"""),"Rua Aroldo Alves trespaht n 202")</f>
        <v>Rua Aroldo Alves trespaht n 202</v>
      </c>
      <c r="AB110" s="1" t="str">
        <f>IFERROR(__xludf.DUMMYFUNCTION("""COMPUTED_VALUE"""),"Encosta do Sol")</f>
        <v>Encosta do Sol</v>
      </c>
      <c r="AC110" s="1" t="str">
        <f>IFERROR(__xludf.DUMMYFUNCTION("""COMPUTED_VALUE"""),"G")</f>
        <v>G</v>
      </c>
      <c r="AD110" s="1" t="str">
        <f>IFERROR(__xludf.DUMMYFUNCTION("""COMPUTED_VALUE"""),"G")</f>
        <v>G</v>
      </c>
      <c r="AE110" s="1" t="str">
        <f>IFERROR(__xludf.DUMMYFUNCTION("""COMPUTED_VALUE"""),"G")</f>
        <v>G</v>
      </c>
      <c r="AF110" s="1" t="str">
        <f>IFERROR(__xludf.DUMMYFUNCTION("""COMPUTED_VALUE"""),"G")</f>
        <v>G</v>
      </c>
      <c r="AG110" s="1" t="str">
        <f>IFERROR(__xludf.DUMMYFUNCTION("""COMPUTED_VALUE"""),"G")</f>
        <v>G</v>
      </c>
      <c r="AH110" s="1">
        <f>IFERROR(__xludf.DUMMYFUNCTION("""COMPUTED_VALUE"""),42)</f>
        <v>42</v>
      </c>
      <c r="AI110" s="1">
        <f>IFERROR(__xludf.DUMMYFUNCTION("""COMPUTED_VALUE"""),42)</f>
        <v>42</v>
      </c>
      <c r="AJ110" s="1">
        <f>IFERROR(__xludf.DUMMYFUNCTION("""COMPUTED_VALUE"""),42)</f>
        <v>42</v>
      </c>
      <c r="AK110" s="1">
        <f>IFERROR(__xludf.DUMMYFUNCTION("""COMPUTED_VALUE"""),42)</f>
        <v>42</v>
      </c>
      <c r="AL110" s="1" t="str">
        <f>IFERROR(__xludf.DUMMYFUNCTION("""COMPUTED_VALUE"""),"G")</f>
        <v>G</v>
      </c>
      <c r="AM110" s="1" t="str">
        <f>IFERROR(__xludf.DUMMYFUNCTION("""COMPUTED_VALUE"""),"G")</f>
        <v>G</v>
      </c>
      <c r="AN110" s="1" t="str">
        <f>IFERROR(__xludf.DUMMYFUNCTION("""COMPUTED_VALUE"""),"G")</f>
        <v>G</v>
      </c>
    </row>
    <row r="111" customHeight="1" spans="1:40">
      <c r="A111" s="1" t="str">
        <f>IFERROR(__xludf.DUMMYFUNCTION("""COMPUTED_VALUE"""),"02° BBM")</f>
        <v>02° BBM</v>
      </c>
      <c r="B111" s="1" t="str">
        <f>IFERROR(__xludf.DUMMYFUNCTION("""COMPUTED_VALUE"""),"Araricá")</f>
        <v>Araricá</v>
      </c>
      <c r="C111" s="119" t="str">
        <f>IFERROR(__xludf.DUMMYFUNCTION("""COMPUTED_VALUE"""),"CAB")</f>
        <v>CAB</v>
      </c>
      <c r="D111" s="119" t="str">
        <f>IFERROR(__xludf.DUMMYFUNCTION("""COMPUTED_VALUE"""),"RÉGIS GONÇALVES ORTIS ")</f>
        <v>RÉGIS GONÇALVES ORTIS </v>
      </c>
      <c r="E111" s="119" t="str">
        <f>IFERROR(__xludf.DUMMYFUNCTION("""COMPUTED_VALUE"""),"Módulo 2 e 3 concluído")</f>
        <v>Módulo 2 e 3 concluído</v>
      </c>
      <c r="F111" s="1" t="str">
        <f>IFERROR(__xludf.DUMMYFUNCTION("""COMPUTED_VALUE"""),"020.754.990-71")</f>
        <v>020.754.990-71</v>
      </c>
      <c r="G111" s="1">
        <f>IFERROR(__xludf.DUMMYFUNCTION("""COMPUTED_VALUE"""),3095489112)</f>
        <v>3095489112</v>
      </c>
      <c r="H111" s="1" t="str">
        <f>IFERROR(__xludf.DUMMYFUNCTION("""COMPUTED_VALUE"""),"Combatente/ socorrista")</f>
        <v>Combatente/ socorrista</v>
      </c>
      <c r="I111" s="1" t="str">
        <f>IFERROR(__xludf.DUMMYFUNCTION("""COMPUTED_VALUE"""),"bombeiro voluntário/ aph/ bls/ combate incêndio")</f>
        <v>bombeiro voluntário/ aph/ bls/ combate incêndio</v>
      </c>
      <c r="J111" s="1" t="str">
        <f>IFERROR(__xludf.DUMMYFUNCTION("""COMPUTED_VALUE"""),"Sim")</f>
        <v>Sim</v>
      </c>
      <c r="K111" s="1" t="str">
        <f>IFERROR(__xludf.DUMMYFUNCTION("""COMPUTED_VALUE"""),"Não")</f>
        <v>Não</v>
      </c>
      <c r="L111" s="1" t="str">
        <f>IFERROR(__xludf.DUMMYFUNCTION("""COMPUTED_VALUE"""),"O+")</f>
        <v>O+</v>
      </c>
      <c r="M111" s="1" t="str">
        <f>IFERROR(__xludf.DUMMYFUNCTION("""COMPUTED_VALUE"""),"ORTIS")</f>
        <v>ORTIS</v>
      </c>
      <c r="N111" s="121">
        <f>IFERROR(__xludf.DUMMYFUNCTION("""COMPUTED_VALUE"""),32645)</f>
        <v>32645</v>
      </c>
      <c r="O111" s="1" t="str">
        <f>IFERROR(__xludf.DUMMYFUNCTION("""COMPUTED_VALUE"""),"Masculino")</f>
        <v>Masculino</v>
      </c>
      <c r="P111" s="1" t="str">
        <f>IFERROR(__xludf.DUMMYFUNCTION("""COMPUTED_VALUE"""),"Branca")</f>
        <v>Branca</v>
      </c>
      <c r="Q111" s="1" t="str">
        <f>IFERROR(__xludf.DUMMYFUNCTION("""COMPUTED_VALUE"""),"Ensino Médio")</f>
        <v>Ensino Médio</v>
      </c>
      <c r="R111" s="1" t="str">
        <f>IFERROR(__xludf.DUMMYFUNCTION("""COMPUTED_VALUE"""),"regisregisgoncalvesortis@gmail.com")</f>
        <v>regisregisgoncalvesortis@gmail.com</v>
      </c>
      <c r="S111" s="1">
        <f>IFERROR(__xludf.DUMMYFUNCTION("""COMPUTED_VALUE"""),73)</f>
        <v>73</v>
      </c>
      <c r="T111" s="1" t="str">
        <f>IFERROR(__xludf.DUMMYFUNCTION("""COMPUTED_VALUE"""),"Entre 1,66m e 1,70m")</f>
        <v>Entre 1,66m e 1,70m</v>
      </c>
      <c r="U111" s="1"/>
      <c r="V111" s="1">
        <f>IFERROR(__xludf.DUMMYFUNCTION("""COMPUTED_VALUE"""),51995686957)</f>
        <v>51995686957</v>
      </c>
      <c r="W111" s="1">
        <f>IFERROR(__xludf.DUMMYFUNCTION("""COMPUTED_VALUE"""),51995686957)</f>
        <v>51995686957</v>
      </c>
      <c r="X111" s="1" t="str">
        <f>IFERROR(__xludf.DUMMYFUNCTION("""COMPUTED_VALUE"""),"RS")</f>
        <v>RS</v>
      </c>
      <c r="Y111" s="1" t="str">
        <f>IFERROR(__xludf.DUMMYFUNCTION("""COMPUTED_VALUE"""),"Sapiranga")</f>
        <v>Sapiranga</v>
      </c>
      <c r="Z111" s="1">
        <f>IFERROR(__xludf.DUMMYFUNCTION("""COMPUTED_VALUE"""),93822030)</f>
        <v>93822030</v>
      </c>
      <c r="AA111" s="1" t="str">
        <f>IFERROR(__xludf.DUMMYFUNCTION("""COMPUTED_VALUE"""),"rua deputado lauro rodrigues 761")</f>
        <v>rua deputado lauro rodrigues 761</v>
      </c>
      <c r="AB111" s="1" t="str">
        <f>IFERROR(__xludf.DUMMYFUNCTION("""COMPUTED_VALUE"""),"voo livre")</f>
        <v>voo livre</v>
      </c>
      <c r="AC111" s="1" t="str">
        <f>IFERROR(__xludf.DUMMYFUNCTION("""COMPUTED_VALUE"""),"G")</f>
        <v>G</v>
      </c>
      <c r="AD111" s="1" t="str">
        <f>IFERROR(__xludf.DUMMYFUNCTION("""COMPUTED_VALUE"""),"G")</f>
        <v>G</v>
      </c>
      <c r="AE111" s="1" t="str">
        <f>IFERROR(__xludf.DUMMYFUNCTION("""COMPUTED_VALUE"""),"G")</f>
        <v>G</v>
      </c>
      <c r="AF111" s="1" t="str">
        <f>IFERROR(__xludf.DUMMYFUNCTION("""COMPUTED_VALUE"""),"G")</f>
        <v>G</v>
      </c>
      <c r="AG111" s="1" t="str">
        <f>IFERROR(__xludf.DUMMYFUNCTION("""COMPUTED_VALUE"""),"G")</f>
        <v>G</v>
      </c>
      <c r="AH111" s="1">
        <f>IFERROR(__xludf.DUMMYFUNCTION("""COMPUTED_VALUE"""),40)</f>
        <v>40</v>
      </c>
      <c r="AI111" s="1">
        <f>IFERROR(__xludf.DUMMYFUNCTION("""COMPUTED_VALUE"""),40)</f>
        <v>40</v>
      </c>
      <c r="AJ111" s="1">
        <f>IFERROR(__xludf.DUMMYFUNCTION("""COMPUTED_VALUE"""),40)</f>
        <v>40</v>
      </c>
      <c r="AK111" s="1">
        <f>IFERROR(__xludf.DUMMYFUNCTION("""COMPUTED_VALUE"""),40)</f>
        <v>40</v>
      </c>
      <c r="AL111" s="1" t="str">
        <f>IFERROR(__xludf.DUMMYFUNCTION("""COMPUTED_VALUE"""),"G")</f>
        <v>G</v>
      </c>
      <c r="AM111" s="1" t="str">
        <f>IFERROR(__xludf.DUMMYFUNCTION("""COMPUTED_VALUE"""),"G")</f>
        <v>G</v>
      </c>
      <c r="AN111" s="1" t="str">
        <f>IFERROR(__xludf.DUMMYFUNCTION("""COMPUTED_VALUE"""),"G")</f>
        <v>G</v>
      </c>
    </row>
    <row r="112" customHeight="1" spans="1:40">
      <c r="A112" s="1" t="str">
        <f>IFERROR(__xludf.DUMMYFUNCTION("""COMPUTED_VALUE"""),"02° BBM")</f>
        <v>02° BBM</v>
      </c>
      <c r="B112" s="1" t="str">
        <f>IFERROR(__xludf.DUMMYFUNCTION("""COMPUTED_VALUE"""),"Novo Hamburgo ")</f>
        <v>Novo Hamburgo </v>
      </c>
      <c r="C112" s="119" t="str">
        <f>IFERROR(__xludf.DUMMYFUNCTION("""COMPUTED_VALUE"""),"Comunitario")</f>
        <v>Comunitario</v>
      </c>
      <c r="D112" s="119" t="str">
        <f>IFERROR(__xludf.DUMMYFUNCTION("""COMPUTED_VALUE"""),"RENAN BATISTA GOBBI ")</f>
        <v>RENAN BATISTA GOBBI </v>
      </c>
      <c r="E112" s="119" t="str">
        <f>IFERROR(__xludf.DUMMYFUNCTION("""COMPUTED_VALUE"""),"")</f>
        <v/>
      </c>
      <c r="F112" s="1" t="str">
        <f>IFERROR(__xludf.DUMMYFUNCTION("""COMPUTED_VALUE"""),"017.168.420-69")</f>
        <v>017.168.420-69</v>
      </c>
      <c r="G112" s="1">
        <f>IFERROR(__xludf.DUMMYFUNCTION("""COMPUTED_VALUE"""),1067052868)</f>
        <v>1067052868</v>
      </c>
      <c r="H112" s="1" t="str">
        <f>IFERROR(__xludf.DUMMYFUNCTION("""COMPUTED_VALUE"""),"combatente e socorrista ")</f>
        <v>combatente e socorrista </v>
      </c>
      <c r="I112" s="1" t="str">
        <f>IFERROR(__xludf.DUMMYFUNCTION("""COMPUTED_VALUE"""),"Bombeiro Voluntário ")</f>
        <v>Bombeiro Voluntário </v>
      </c>
      <c r="J112" s="1" t="str">
        <f>IFERROR(__xludf.DUMMYFUNCTION("""COMPUTED_VALUE"""),"esbo")</f>
        <v>esbo</v>
      </c>
      <c r="K112" s="1" t="str">
        <f>IFERROR(__xludf.DUMMYFUNCTION("""COMPUTED_VALUE"""),"sim")</f>
        <v>sim</v>
      </c>
      <c r="L112" s="1" t="str">
        <f>IFERROR(__xludf.DUMMYFUNCTION("""COMPUTED_VALUE"""),"A+")</f>
        <v>A+</v>
      </c>
      <c r="M112" s="1" t="str">
        <f>IFERROR(__xludf.DUMMYFUNCTION("""COMPUTED_VALUE"""),"RENAN")</f>
        <v>RENAN</v>
      </c>
      <c r="N112" s="120">
        <f>IFERROR(__xludf.DUMMYFUNCTION("""COMPUTED_VALUE"""),33001)</f>
        <v>33001</v>
      </c>
      <c r="O112" s="1" t="str">
        <f>IFERROR(__xludf.DUMMYFUNCTION("""COMPUTED_VALUE"""),"masculino ")</f>
        <v>masculino </v>
      </c>
      <c r="P112" s="1" t="str">
        <f>IFERROR(__xludf.DUMMYFUNCTION("""COMPUTED_VALUE"""),"Branca ")</f>
        <v>Branca </v>
      </c>
      <c r="Q112" s="1" t="str">
        <f>IFERROR(__xludf.DUMMYFUNCTION("""COMPUTED_VALUE"""),"ensino médio ")</f>
        <v>ensino médio </v>
      </c>
      <c r="R112" s="1" t="str">
        <f>IFERROR(__xludf.DUMMYFUNCTION("""COMPUTED_VALUE"""),"renangobbinh@gmail.com")</f>
        <v>renangobbinh@gmail.com</v>
      </c>
      <c r="S112" s="1">
        <f>IFERROR(__xludf.DUMMYFUNCTION("""COMPUTED_VALUE"""),127)</f>
        <v>127</v>
      </c>
      <c r="T112" s="1">
        <f>IFERROR(__xludf.DUMMYFUNCTION("""COMPUTED_VALUE"""),1.75)</f>
        <v>1.75</v>
      </c>
      <c r="U112" s="1"/>
      <c r="V112" s="1" t="str">
        <f>IFERROR(__xludf.DUMMYFUNCTION("""COMPUTED_VALUE"""),"(51)98358.6598")</f>
        <v>(51)98358.6598</v>
      </c>
      <c r="W112" s="1" t="str">
        <f>IFERROR(__xludf.DUMMYFUNCTION("""COMPUTED_VALUE"""),"(51)997050614")</f>
        <v>(51)997050614</v>
      </c>
      <c r="X112" s="1" t="str">
        <f>IFERROR(__xludf.DUMMYFUNCTION("""COMPUTED_VALUE"""),"RS")</f>
        <v>RS</v>
      </c>
      <c r="Y112" s="1" t="str">
        <f>IFERROR(__xludf.DUMMYFUNCTION("""COMPUTED_VALUE"""),"Novo Hamburgo ")</f>
        <v>Novo Hamburgo </v>
      </c>
      <c r="Z112" s="1" t="str">
        <f>IFERROR(__xludf.DUMMYFUNCTION("""COMPUTED_VALUE"""),"93546-580")</f>
        <v>93546-580</v>
      </c>
      <c r="AA112" s="1" t="str">
        <f>IFERROR(__xludf.DUMMYFUNCTION("""COMPUTED_VALUE"""),"Alicia Muller, 302")</f>
        <v>Alicia Muller, 302</v>
      </c>
      <c r="AB112" s="1" t="str">
        <f>IFERROR(__xludf.DUMMYFUNCTION("""COMPUTED_VALUE"""),"Canudos")</f>
        <v>Canudos</v>
      </c>
      <c r="AC112" s="1" t="str">
        <f>IFERROR(__xludf.DUMMYFUNCTION("""COMPUTED_VALUE"""),"GG")</f>
        <v>GG</v>
      </c>
      <c r="AD112" s="1" t="str">
        <f>IFERROR(__xludf.DUMMYFUNCTION("""COMPUTED_VALUE"""),"GG")</f>
        <v>GG</v>
      </c>
      <c r="AE112" s="1" t="str">
        <f>IFERROR(__xludf.DUMMYFUNCTION("""COMPUTED_VALUE"""),"GG")</f>
        <v>GG</v>
      </c>
      <c r="AF112" s="1" t="str">
        <f>IFERROR(__xludf.DUMMYFUNCTION("""COMPUTED_VALUE"""),"GG")</f>
        <v>GG</v>
      </c>
      <c r="AG112" s="1" t="str">
        <f>IFERROR(__xludf.DUMMYFUNCTION("""COMPUTED_VALUE"""),"GG")</f>
        <v>GG</v>
      </c>
      <c r="AH112" s="1">
        <f>IFERROR(__xludf.DUMMYFUNCTION("""COMPUTED_VALUE"""),42)</f>
        <v>42</v>
      </c>
      <c r="AI112" s="1">
        <f>IFERROR(__xludf.DUMMYFUNCTION("""COMPUTED_VALUE"""),42)</f>
        <v>42</v>
      </c>
      <c r="AJ112" s="1">
        <f>IFERROR(__xludf.DUMMYFUNCTION("""COMPUTED_VALUE"""),42)</f>
        <v>42</v>
      </c>
      <c r="AK112" s="1">
        <f>IFERROR(__xludf.DUMMYFUNCTION("""COMPUTED_VALUE"""),43)</f>
        <v>43</v>
      </c>
      <c r="AL112" s="1" t="str">
        <f>IFERROR(__xludf.DUMMYFUNCTION("""COMPUTED_VALUE"""),"GG")</f>
        <v>GG</v>
      </c>
      <c r="AM112" s="1" t="str">
        <f>IFERROR(__xludf.DUMMYFUNCTION("""COMPUTED_VALUE"""),"GG")</f>
        <v>GG</v>
      </c>
      <c r="AN112" s="1" t="str">
        <f>IFERROR(__xludf.DUMMYFUNCTION("""COMPUTED_VALUE"""),"G")</f>
        <v>G</v>
      </c>
    </row>
    <row r="113" customHeight="1" spans="1:40">
      <c r="A113" s="1" t="str">
        <f>IFERROR(__xludf.DUMMYFUNCTION("""COMPUTED_VALUE"""),"02° BBM")</f>
        <v>02° BBM</v>
      </c>
      <c r="B113" s="1" t="str">
        <f>IFERROR(__xludf.DUMMYFUNCTION("""COMPUTED_VALUE"""),"Estância Velha")</f>
        <v>Estância Velha</v>
      </c>
      <c r="C113" s="119" t="str">
        <f>IFERROR(__xludf.DUMMYFUNCTION("""COMPUTED_VALUE"""),"Comunitario")</f>
        <v>Comunitario</v>
      </c>
      <c r="D113" s="119" t="str">
        <f>IFERROR(__xludf.DUMMYFUNCTION("""COMPUTED_VALUE"""),"RICARDO BASEI OLIVEIRA")</f>
        <v>RICARDO BASEI OLIVEIRA</v>
      </c>
      <c r="E113" s="119" t="str">
        <f>IFERROR(__xludf.DUMMYFUNCTION("""COMPUTED_VALUE"""),"")</f>
        <v/>
      </c>
      <c r="F113" s="1" t="str">
        <f>IFERROR(__xludf.DUMMYFUNCTION("""COMPUTED_VALUE"""),"024.008.410-12")</f>
        <v>024.008.410-12</v>
      </c>
      <c r="G113" s="1">
        <f>IFERROR(__xludf.DUMMYFUNCTION("""COMPUTED_VALUE"""),4100585027)</f>
        <v>4100585027</v>
      </c>
      <c r="H113" s="1" t="str">
        <f>IFERROR(__xludf.DUMMYFUNCTION("""COMPUTED_VALUE"""),"Combatente")</f>
        <v>Combatente</v>
      </c>
      <c r="I113" s="1" t="str">
        <f>IFERROR(__xludf.DUMMYFUNCTION("""COMPUTED_VALUE"""),"Bombeiro Voluntário , curso técnico de enfermagem em andamento")</f>
        <v>Bombeiro Voluntário , curso técnico de enfermagem em andamento</v>
      </c>
      <c r="J113" s="1" t="str">
        <f>IFERROR(__xludf.DUMMYFUNCTION("""COMPUTED_VALUE"""),"Sim")</f>
        <v>Sim</v>
      </c>
      <c r="K113" s="1" t="str">
        <f>IFERROR(__xludf.DUMMYFUNCTION("""COMPUTED_VALUE"""),"Sim")</f>
        <v>Sim</v>
      </c>
      <c r="L113" s="1" t="str">
        <f>IFERROR(__xludf.DUMMYFUNCTION("""COMPUTED_VALUE"""),"A+")</f>
        <v>A+</v>
      </c>
      <c r="M113" s="1" t="str">
        <f>IFERROR(__xludf.DUMMYFUNCTION("""COMPUTED_VALUE"""),"Basei")</f>
        <v>Basei</v>
      </c>
      <c r="N113" s="120">
        <f>IFERROR(__xludf.DUMMYFUNCTION("""COMPUTED_VALUE"""),32876)</f>
        <v>32876</v>
      </c>
      <c r="O113" s="1" t="str">
        <f>IFERROR(__xludf.DUMMYFUNCTION("""COMPUTED_VALUE"""),"Masculino")</f>
        <v>Masculino</v>
      </c>
      <c r="P113" s="1" t="str">
        <f>IFERROR(__xludf.DUMMYFUNCTION("""COMPUTED_VALUE"""),"Branca")</f>
        <v>Branca</v>
      </c>
      <c r="Q113" s="1" t="str">
        <f>IFERROR(__xludf.DUMMYFUNCTION("""COMPUTED_VALUE"""),"Ensino Médio")</f>
        <v>Ensino Médio</v>
      </c>
      <c r="R113" s="1" t="str">
        <f>IFERROR(__xludf.DUMMYFUNCTION("""COMPUTED_VALUE"""),"ricardobaseigrm@gmail.com")</f>
        <v>ricardobaseigrm@gmail.com</v>
      </c>
      <c r="S113" s="1">
        <f>IFERROR(__xludf.DUMMYFUNCTION("""COMPUTED_VALUE"""),140)</f>
        <v>140</v>
      </c>
      <c r="T113" s="1" t="str">
        <f>IFERROR(__xludf.DUMMYFUNCTION("""COMPUTED_VALUE"""),"Entre 1,71m e 1,75m")</f>
        <v>Entre 1,71m e 1,75m</v>
      </c>
      <c r="U113" s="1"/>
      <c r="V113" s="1" t="str">
        <f>IFERROR(__xludf.DUMMYFUNCTION("""COMPUTED_VALUE"""),"(51)998658098")</f>
        <v>(51)998658098</v>
      </c>
      <c r="W113" s="1" t="str">
        <f>IFERROR(__xludf.DUMMYFUNCTION("""COMPUTED_VALUE"""),"(51)992010123")</f>
        <v>(51)992010123</v>
      </c>
      <c r="X113" s="1" t="str">
        <f>IFERROR(__xludf.DUMMYFUNCTION("""COMPUTED_VALUE"""),"RS")</f>
        <v>RS</v>
      </c>
      <c r="Y113" s="1" t="str">
        <f>IFERROR(__xludf.DUMMYFUNCTION("""COMPUTED_VALUE"""),"Campo Bom")</f>
        <v>Campo Bom</v>
      </c>
      <c r="Z113" s="1">
        <f>IFERROR(__xludf.DUMMYFUNCTION("""COMPUTED_VALUE"""),93700000)</f>
        <v>93700000</v>
      </c>
      <c r="AA113" s="1" t="str">
        <f>IFERROR(__xludf.DUMMYFUNCTION("""COMPUTED_VALUE"""),"Rua Bruno Werner Storck 812")</f>
        <v>Rua Bruno Werner Storck 812</v>
      </c>
      <c r="AB113" s="1" t="str">
        <f>IFERROR(__xludf.DUMMYFUNCTION("""COMPUTED_VALUE"""),"Canudos")</f>
        <v>Canudos</v>
      </c>
      <c r="AC113" s="1" t="str">
        <f>IFERROR(__xludf.DUMMYFUNCTION("""COMPUTED_VALUE"""),"EXG")</f>
        <v>EXG</v>
      </c>
      <c r="AD113" s="1" t="str">
        <f>IFERROR(__xludf.DUMMYFUNCTION("""COMPUTED_VALUE"""),"EXG")</f>
        <v>EXG</v>
      </c>
      <c r="AE113" s="1" t="str">
        <f>IFERROR(__xludf.DUMMYFUNCTION("""COMPUTED_VALUE"""),"EXG")</f>
        <v>EXG</v>
      </c>
      <c r="AF113" s="1" t="str">
        <f>IFERROR(__xludf.DUMMYFUNCTION("""COMPUTED_VALUE"""),"EXG")</f>
        <v>EXG</v>
      </c>
      <c r="AG113" s="1" t="str">
        <f>IFERROR(__xludf.DUMMYFUNCTION("""COMPUTED_VALUE"""),"EXG")</f>
        <v>EXG</v>
      </c>
      <c r="AH113" s="1">
        <f>IFERROR(__xludf.DUMMYFUNCTION("""COMPUTED_VALUE"""),44)</f>
        <v>44</v>
      </c>
      <c r="AI113" s="1">
        <f>IFERROR(__xludf.DUMMYFUNCTION("""COMPUTED_VALUE"""),44)</f>
        <v>44</v>
      </c>
      <c r="AJ113" s="1">
        <f>IFERROR(__xludf.DUMMYFUNCTION("""COMPUTED_VALUE"""),44)</f>
        <v>44</v>
      </c>
      <c r="AK113" s="1">
        <f>IFERROR(__xludf.DUMMYFUNCTION("""COMPUTED_VALUE"""),44)</f>
        <v>44</v>
      </c>
      <c r="AL113" s="1" t="str">
        <f>IFERROR(__xludf.DUMMYFUNCTION("""COMPUTED_VALUE"""),"EXG")</f>
        <v>EXG</v>
      </c>
      <c r="AM113" s="1" t="str">
        <f>IFERROR(__xludf.DUMMYFUNCTION("""COMPUTED_VALUE"""),"EXG")</f>
        <v>EXG</v>
      </c>
      <c r="AN113" s="1" t="str">
        <f>IFERROR(__xludf.DUMMYFUNCTION("""COMPUTED_VALUE"""),"EXG")</f>
        <v>EXG</v>
      </c>
    </row>
    <row r="114" customHeight="1" spans="1:40">
      <c r="A114" s="1" t="str">
        <f>IFERROR(__xludf.DUMMYFUNCTION("""COMPUTED_VALUE"""),"02° BBM")</f>
        <v>02° BBM</v>
      </c>
      <c r="B114" s="1" t="str">
        <f>IFERROR(__xludf.DUMMYFUNCTION("""COMPUTED_VALUE"""),"Araricá")</f>
        <v>Araricá</v>
      </c>
      <c r="C114" s="119" t="str">
        <f>IFERROR(__xludf.DUMMYFUNCTION("""COMPUTED_VALUE"""),"CAB")</f>
        <v>CAB</v>
      </c>
      <c r="D114" s="119" t="str">
        <f>IFERROR(__xludf.DUMMYFUNCTION("""COMPUTED_VALUE"""),"ROBSON DE ALMEIDA BERNARDES")</f>
        <v>ROBSON DE ALMEIDA BERNARDES</v>
      </c>
      <c r="E114" s="119" t="str">
        <f>IFERROR(__xludf.DUMMYFUNCTION("""COMPUTED_VALUE"""),"")</f>
        <v/>
      </c>
      <c r="F114" s="1" t="str">
        <f>IFERROR(__xludf.DUMMYFUNCTION("""COMPUTED_VALUE"""),"808.936.898-2")</f>
        <v>808.936.898-2</v>
      </c>
      <c r="G114" s="1">
        <f>IFERROR(__xludf.DUMMYFUNCTION("""COMPUTED_VALUE"""),2406627098)</f>
        <v>2406627098</v>
      </c>
      <c r="H114" s="1" t="str">
        <f>IFERROR(__xludf.DUMMYFUNCTION("""COMPUTED_VALUE"""),"Condutor Socorrista")</f>
        <v>Condutor Socorrista</v>
      </c>
      <c r="I114" s="1" t="str">
        <f>IFERROR(__xludf.DUMMYFUNCTION("""COMPUTED_VALUE"""),"Bombeiro Voluntario/APH/ Condutor de veículos de emergência/ resgate veicular")</f>
        <v>Bombeiro Voluntario/APH/ Condutor de veículos de emergência/ resgate veicular</v>
      </c>
      <c r="J114" s="1" t="str">
        <f>IFERROR(__xludf.DUMMYFUNCTION("""COMPUTED_VALUE"""),"Não")</f>
        <v>Não</v>
      </c>
      <c r="K114" s="1" t="str">
        <f>IFERROR(__xludf.DUMMYFUNCTION("""COMPUTED_VALUE"""),"Não")</f>
        <v>Não</v>
      </c>
      <c r="L114" s="1" t="str">
        <f>IFERROR(__xludf.DUMMYFUNCTION("""COMPUTED_VALUE"""),"O+")</f>
        <v>O+</v>
      </c>
      <c r="M114" s="1" t="str">
        <f>IFERROR(__xludf.DUMMYFUNCTION("""COMPUTED_VALUE"""),"BERNARDES ")</f>
        <v>BERNARDES </v>
      </c>
      <c r="N114" s="120">
        <f>IFERROR(__xludf.DUMMYFUNCTION("""COMPUTED_VALUE"""),33247)</f>
        <v>33247</v>
      </c>
      <c r="O114" s="1" t="str">
        <f>IFERROR(__xludf.DUMMYFUNCTION("""COMPUTED_VALUE"""),"Masculino")</f>
        <v>Masculino</v>
      </c>
      <c r="P114" s="1" t="str">
        <f>IFERROR(__xludf.DUMMYFUNCTION("""COMPUTED_VALUE"""),"Parda")</f>
        <v>Parda</v>
      </c>
      <c r="Q114" s="1" t="str">
        <f>IFERROR(__xludf.DUMMYFUNCTION("""COMPUTED_VALUE"""),"Ensino Médio")</f>
        <v>Ensino Médio</v>
      </c>
      <c r="R114" s="1" t="str">
        <f>IFERROR(__xludf.DUMMYFUNCTION("""COMPUTED_VALUE"""),"robsondealmeidabernardesph@gmail.com")</f>
        <v>robsondealmeidabernardesph@gmail.com</v>
      </c>
      <c r="S114" s="1">
        <f>IFERROR(__xludf.DUMMYFUNCTION("""COMPUTED_VALUE"""),108)</f>
        <v>108</v>
      </c>
      <c r="T114" s="1" t="str">
        <f>IFERROR(__xludf.DUMMYFUNCTION("""COMPUTED_VALUE"""),"Entre 1,81m e 1,85m")</f>
        <v>Entre 1,81m e 1,85m</v>
      </c>
      <c r="U114" s="1"/>
      <c r="V114" s="1">
        <f>IFERROR(__xludf.DUMMYFUNCTION("""COMPUTED_VALUE"""),51995815577)</f>
        <v>51995815577</v>
      </c>
      <c r="W114" s="1">
        <f>IFERROR(__xludf.DUMMYFUNCTION("""COMPUTED_VALUE"""),51996683729)</f>
        <v>51996683729</v>
      </c>
      <c r="X114" s="1" t="str">
        <f>IFERROR(__xludf.DUMMYFUNCTION("""COMPUTED_VALUE"""),"RS")</f>
        <v>RS</v>
      </c>
      <c r="Y114" s="1" t="str">
        <f>IFERROR(__xludf.DUMMYFUNCTION("""COMPUTED_VALUE"""),"Sapiranga")</f>
        <v>Sapiranga</v>
      </c>
      <c r="Z114" s="1" t="str">
        <f>IFERROR(__xludf.DUMMYFUNCTION("""COMPUTED_VALUE"""),"93806-410")</f>
        <v>93806-410</v>
      </c>
      <c r="AA114" s="1" t="str">
        <f>IFERROR(__xludf.DUMMYFUNCTION("""COMPUTED_VALUE"""),"Rua Delmar Selmar Schinaider,152")</f>
        <v>Rua Delmar Selmar Schinaider,152</v>
      </c>
      <c r="AB114" s="1" t="str">
        <f>IFERROR(__xludf.DUMMYFUNCTION("""COMPUTED_VALUE"""),"São Luis")</f>
        <v>São Luis</v>
      </c>
      <c r="AC114" s="1" t="str">
        <f>IFERROR(__xludf.DUMMYFUNCTION("""COMPUTED_VALUE"""),"G")</f>
        <v>G</v>
      </c>
      <c r="AD114" s="1" t="str">
        <f>IFERROR(__xludf.DUMMYFUNCTION("""COMPUTED_VALUE"""),"G")</f>
        <v>G</v>
      </c>
      <c r="AE114" s="1" t="str">
        <f>IFERROR(__xludf.DUMMYFUNCTION("""COMPUTED_VALUE"""),"G")</f>
        <v>G</v>
      </c>
      <c r="AF114" s="1" t="str">
        <f>IFERROR(__xludf.DUMMYFUNCTION("""COMPUTED_VALUE"""),"G")</f>
        <v>G</v>
      </c>
      <c r="AG114" s="1" t="str">
        <f>IFERROR(__xludf.DUMMYFUNCTION("""COMPUTED_VALUE"""),"G")</f>
        <v>G</v>
      </c>
      <c r="AH114" s="1">
        <f>IFERROR(__xludf.DUMMYFUNCTION("""COMPUTED_VALUE"""),42)</f>
        <v>42</v>
      </c>
      <c r="AI114" s="1">
        <f>IFERROR(__xludf.DUMMYFUNCTION("""COMPUTED_VALUE"""),42)</f>
        <v>42</v>
      </c>
      <c r="AJ114" s="1">
        <f>IFERROR(__xludf.DUMMYFUNCTION("""COMPUTED_VALUE"""),42)</f>
        <v>42</v>
      </c>
      <c r="AK114" s="1">
        <f>IFERROR(__xludf.DUMMYFUNCTION("""COMPUTED_VALUE"""),42)</f>
        <v>42</v>
      </c>
      <c r="AL114" s="1" t="str">
        <f>IFERROR(__xludf.DUMMYFUNCTION("""COMPUTED_VALUE"""),"G")</f>
        <v>G</v>
      </c>
      <c r="AM114" s="1" t="str">
        <f>IFERROR(__xludf.DUMMYFUNCTION("""COMPUTED_VALUE"""),"G")</f>
        <v>G</v>
      </c>
      <c r="AN114" s="1" t="str">
        <f>IFERROR(__xludf.DUMMYFUNCTION("""COMPUTED_VALUE"""),"G")</f>
        <v>G</v>
      </c>
    </row>
    <row r="115" customHeight="1" spans="1:40">
      <c r="A115" s="1" t="str">
        <f>IFERROR(__xludf.DUMMYFUNCTION("""COMPUTED_VALUE"""),"02° BBM")</f>
        <v>02° BBM</v>
      </c>
      <c r="B115" s="1" t="str">
        <f>IFERROR(__xludf.DUMMYFUNCTION("""COMPUTED_VALUE"""),"Araricá")</f>
        <v>Araricá</v>
      </c>
      <c r="C115" s="119" t="str">
        <f>IFERROR(__xludf.DUMMYFUNCTION("""COMPUTED_VALUE"""),"CAB")</f>
        <v>CAB</v>
      </c>
      <c r="D115" s="119" t="str">
        <f>IFERROR(__xludf.DUMMYFUNCTION("""COMPUTED_VALUE"""),"RODRIGO DIAS DA SILVA")</f>
        <v>RODRIGO DIAS DA SILVA</v>
      </c>
      <c r="E115" s="119" t="str">
        <f>IFERROR(__xludf.DUMMYFUNCTION("""COMPUTED_VALUE"""),"Curso CAB operador concluído")</f>
        <v>Curso CAB operador concluído</v>
      </c>
      <c r="F115" s="1" t="str">
        <f>IFERROR(__xludf.DUMMYFUNCTION("""COMPUTED_VALUE"""),"054.734.780-42")</f>
        <v>054.734.780-42</v>
      </c>
      <c r="G115" s="1">
        <f>IFERROR(__xludf.DUMMYFUNCTION("""COMPUTED_VALUE"""),1134744811)</f>
        <v>1134744811</v>
      </c>
      <c r="H115" s="1" t="str">
        <f>IFERROR(__xludf.DUMMYFUNCTION("""COMPUTED_VALUE"""),"aluno ")</f>
        <v>aluno </v>
      </c>
      <c r="I115" s="1" t="str">
        <f>IFERROR(__xludf.DUMMYFUNCTION("""COMPUTED_VALUE"""),"Bombeiro Voluntario/APH/BLS, combate à incêndio")</f>
        <v>Bombeiro Voluntario/APH/BLS, combate à incêndio</v>
      </c>
      <c r="J115" s="1" t="str">
        <f>IFERROR(__xludf.DUMMYFUNCTION("""COMPUTED_VALUE"""),"Não")</f>
        <v>Não</v>
      </c>
      <c r="K115" s="1" t="str">
        <f>IFERROR(__xludf.DUMMYFUNCTION("""COMPUTED_VALUE"""),"Não")</f>
        <v>Não</v>
      </c>
      <c r="L115" s="1"/>
      <c r="M115" s="1" t="str">
        <f>IFERROR(__xludf.DUMMYFUNCTION("""COMPUTED_VALUE"""),"RODRIGO")</f>
        <v>RODRIGO</v>
      </c>
      <c r="N115" s="120">
        <f>IFERROR(__xludf.DUMMYFUNCTION("""COMPUTED_VALUE"""),37892)</f>
        <v>37892</v>
      </c>
      <c r="O115" s="1" t="str">
        <f>IFERROR(__xludf.DUMMYFUNCTION("""COMPUTED_VALUE"""),"Masculino")</f>
        <v>Masculino</v>
      </c>
      <c r="P115" s="1" t="str">
        <f>IFERROR(__xludf.DUMMYFUNCTION("""COMPUTED_VALUE"""),"Branca")</f>
        <v>Branca</v>
      </c>
      <c r="Q115" s="1" t="str">
        <f>IFERROR(__xludf.DUMMYFUNCTION("""COMPUTED_VALUE"""),"Ensino Médio")</f>
        <v>Ensino Médio</v>
      </c>
      <c r="R115" s="1" t="str">
        <f>IFERROR(__xludf.DUMMYFUNCTION("""COMPUTED_VALUE"""),"srodrigodias77@gmail.com")</f>
        <v>srodrigodias77@gmail.com</v>
      </c>
      <c r="S115" s="1">
        <f>IFERROR(__xludf.DUMMYFUNCTION("""COMPUTED_VALUE"""),73)</f>
        <v>73</v>
      </c>
      <c r="T115" s="1" t="str">
        <f>IFERROR(__xludf.DUMMYFUNCTION("""COMPUTED_VALUE"""),"Entre 1,71m e 1,75m")</f>
        <v>Entre 1,71m e 1,75m</v>
      </c>
      <c r="U115" s="1"/>
      <c r="V115" s="1">
        <f>IFERROR(__xludf.DUMMYFUNCTION("""COMPUTED_VALUE"""),51995565772)</f>
        <v>51995565772</v>
      </c>
      <c r="W115" s="1">
        <f>IFERROR(__xludf.DUMMYFUNCTION("""COMPUTED_VALUE"""),51995565772)</f>
        <v>51995565772</v>
      </c>
      <c r="X115" s="1" t="str">
        <f>IFERROR(__xludf.DUMMYFUNCTION("""COMPUTED_VALUE"""),"RS")</f>
        <v>RS</v>
      </c>
      <c r="Y115" s="1" t="str">
        <f>IFERROR(__xludf.DUMMYFUNCTION("""COMPUTED_VALUE"""),"Sapiranga")</f>
        <v>Sapiranga</v>
      </c>
      <c r="Z115" s="1" t="str">
        <f>IFERROR(__xludf.DUMMYFUNCTION("""COMPUTED_VALUE"""),"93804-144")</f>
        <v>93804-144</v>
      </c>
      <c r="AA115" s="1" t="str">
        <f>IFERROR(__xludf.DUMMYFUNCTION("""COMPUTED_VALUE"""),"Rua Padre Antonio Vieira 1391")</f>
        <v>Rua Padre Antonio Vieira 1391</v>
      </c>
      <c r="AB115" s="1" t="str">
        <f>IFERROR(__xludf.DUMMYFUNCTION("""COMPUTED_VALUE"""),"Oeste")</f>
        <v>Oeste</v>
      </c>
      <c r="AC115" s="1" t="str">
        <f>IFERROR(__xludf.DUMMYFUNCTION("""COMPUTED_VALUE"""),"M")</f>
        <v>M</v>
      </c>
      <c r="AD115" s="1" t="str">
        <f>IFERROR(__xludf.DUMMYFUNCTION("""COMPUTED_VALUE"""),"G")</f>
        <v>G</v>
      </c>
      <c r="AE115" s="1" t="str">
        <f>IFERROR(__xludf.DUMMYFUNCTION("""COMPUTED_VALUE"""),"G")</f>
        <v>G</v>
      </c>
      <c r="AF115" s="1" t="str">
        <f>IFERROR(__xludf.DUMMYFUNCTION("""COMPUTED_VALUE"""),"G")</f>
        <v>G</v>
      </c>
      <c r="AG115" s="1" t="str">
        <f>IFERROR(__xludf.DUMMYFUNCTION("""COMPUTED_VALUE"""),"G")</f>
        <v>G</v>
      </c>
      <c r="AH115" s="1">
        <f>IFERROR(__xludf.DUMMYFUNCTION("""COMPUTED_VALUE"""),41)</f>
        <v>41</v>
      </c>
      <c r="AI115" s="1">
        <f>IFERROR(__xludf.DUMMYFUNCTION("""COMPUTED_VALUE"""),41)</f>
        <v>41</v>
      </c>
      <c r="AJ115" s="1">
        <f>IFERROR(__xludf.DUMMYFUNCTION("""COMPUTED_VALUE"""),41)</f>
        <v>41</v>
      </c>
      <c r="AK115" s="1">
        <f>IFERROR(__xludf.DUMMYFUNCTION("""COMPUTED_VALUE"""),41)</f>
        <v>41</v>
      </c>
      <c r="AL115" s="1" t="str">
        <f>IFERROR(__xludf.DUMMYFUNCTION("""COMPUTED_VALUE"""),"G")</f>
        <v>G</v>
      </c>
      <c r="AM115" s="1" t="str">
        <f>IFERROR(__xludf.DUMMYFUNCTION("""COMPUTED_VALUE"""),"G")</f>
        <v>G</v>
      </c>
      <c r="AN115" s="1" t="str">
        <f>IFERROR(__xludf.DUMMYFUNCTION("""COMPUTED_VALUE"""),"G")</f>
        <v>G</v>
      </c>
    </row>
    <row r="116" customHeight="1" spans="1:40">
      <c r="A116" s="1" t="str">
        <f>IFERROR(__xludf.DUMMYFUNCTION("""COMPUTED_VALUE"""),"02° BBM")</f>
        <v>02° BBM</v>
      </c>
      <c r="B116" s="1" t="str">
        <f>IFERROR(__xludf.DUMMYFUNCTION("""COMPUTED_VALUE"""),"Campo Bom")</f>
        <v>Campo Bom</v>
      </c>
      <c r="C116" s="119" t="str">
        <f>IFERROR(__xludf.DUMMYFUNCTION("""COMPUTED_VALUE"""),"Comunitario")</f>
        <v>Comunitario</v>
      </c>
      <c r="D116" s="119" t="str">
        <f>IFERROR(__xludf.DUMMYFUNCTION("""COMPUTED_VALUE"""),"RUBENS PAULO PIRES JUNIOR")</f>
        <v>RUBENS PAULO PIRES JUNIOR</v>
      </c>
      <c r="E116" s="119" t="str">
        <f>IFERROR(__xludf.DUMMYFUNCTION("""COMPUTED_VALUE"""),"Curso CAB operador concluído")</f>
        <v>Curso CAB operador concluído</v>
      </c>
      <c r="F116" s="1" t="str">
        <f>IFERROR(__xludf.DUMMYFUNCTION("""COMPUTED_VALUE"""),"003.604.670-16")</f>
        <v>003.604.670-16</v>
      </c>
      <c r="G116" s="1">
        <f>IFERROR(__xludf.DUMMYFUNCTION("""COMPUTED_VALUE"""),1089446338)</f>
        <v>1089446338</v>
      </c>
      <c r="H116" s="1" t="str">
        <f>IFERROR(__xludf.DUMMYFUNCTION("""COMPUTED_VALUE"""),"Combatente e Socorrista")</f>
        <v>Combatente e Socorrista</v>
      </c>
      <c r="I116" s="1" t="str">
        <f>IFERROR(__xludf.DUMMYFUNCTION("""COMPUTED_VALUE"""),"Bombeiro Voluntário")</f>
        <v>Bombeiro Voluntário</v>
      </c>
      <c r="J116" s="1" t="str">
        <f>IFERROR(__xludf.DUMMYFUNCTION("""COMPUTED_VALUE"""),"Sim")</f>
        <v>Sim</v>
      </c>
      <c r="K116" s="1" t="str">
        <f>IFERROR(__xludf.DUMMYFUNCTION("""COMPUTED_VALUE"""),"Sim")</f>
        <v>Sim</v>
      </c>
      <c r="L116" s="1" t="str">
        <f>IFERROR(__xludf.DUMMYFUNCTION("""COMPUTED_VALUE"""),"O+")</f>
        <v>O+</v>
      </c>
      <c r="M116" s="1" t="str">
        <f>IFERROR(__xludf.DUMMYFUNCTION("""COMPUTED_VALUE"""),"RUBENS")</f>
        <v>RUBENS</v>
      </c>
      <c r="N116" s="120">
        <f>IFERROR(__xludf.DUMMYFUNCTION("""COMPUTED_VALUE"""),30433)</f>
        <v>30433</v>
      </c>
      <c r="O116" s="1" t="str">
        <f>IFERROR(__xludf.DUMMYFUNCTION("""COMPUTED_VALUE"""),"Masculino")</f>
        <v>Masculino</v>
      </c>
      <c r="P116" s="1" t="str">
        <f>IFERROR(__xludf.DUMMYFUNCTION("""COMPUTED_VALUE"""),"Branca")</f>
        <v>Branca</v>
      </c>
      <c r="Q116" s="1" t="str">
        <f>IFERROR(__xludf.DUMMYFUNCTION("""COMPUTED_VALUE"""),"Pós-graduação")</f>
        <v>Pós-graduação</v>
      </c>
      <c r="R116" s="1" t="str">
        <f>IFERROR(__xludf.DUMMYFUNCTION("""COMPUTED_VALUE"""),"rubenscb137@hotmail.com")</f>
        <v>rubenscb137@hotmail.com</v>
      </c>
      <c r="S116" s="1">
        <f>IFERROR(__xludf.DUMMYFUNCTION("""COMPUTED_VALUE"""),98)</f>
        <v>98</v>
      </c>
      <c r="T116" s="1" t="str">
        <f>IFERROR(__xludf.DUMMYFUNCTION("""COMPUTED_VALUE"""),"Entre 1,81m e 1,85m")</f>
        <v>Entre 1,81m e 1,85m</v>
      </c>
      <c r="U116" s="1" t="str">
        <f>IFERROR(__xludf.DUMMYFUNCTION("""COMPUTED_VALUE"""),"-")</f>
        <v>-</v>
      </c>
      <c r="V116" s="1" t="str">
        <f>IFERROR(__xludf.DUMMYFUNCTION("""COMPUTED_VALUE"""),"(51) 985350440")</f>
        <v>(51) 985350440</v>
      </c>
      <c r="W116" s="1" t="str">
        <f>IFERROR(__xludf.DUMMYFUNCTION("""COMPUTED_VALUE"""),"(51) 985350440")</f>
        <v>(51) 985350440</v>
      </c>
      <c r="X116" s="1" t="str">
        <f>IFERROR(__xludf.DUMMYFUNCTION("""COMPUTED_VALUE"""),"RS")</f>
        <v>RS</v>
      </c>
      <c r="Y116" s="1" t="str">
        <f>IFERROR(__xludf.DUMMYFUNCTION("""COMPUTED_VALUE"""),"Campo Bom")</f>
        <v>Campo Bom</v>
      </c>
      <c r="Z116" s="1" t="str">
        <f>IFERROR(__xludf.DUMMYFUNCTION("""COMPUTED_VALUE"""),"93700-000")</f>
        <v>93700-000</v>
      </c>
      <c r="AA116" s="1" t="str">
        <f>IFERROR(__xludf.DUMMYFUNCTION("""COMPUTED_VALUE"""),"Padre Eduardo Teixeira, 550")</f>
        <v>Padre Eduardo Teixeira, 550</v>
      </c>
      <c r="AB116" s="1" t="str">
        <f>IFERROR(__xludf.DUMMYFUNCTION("""COMPUTED_VALUE"""),"Vila Velha")</f>
        <v>Vila Velha</v>
      </c>
      <c r="AC116" s="1" t="str">
        <f>IFERROR(__xludf.DUMMYFUNCTION("""COMPUTED_VALUE"""),"GG")</f>
        <v>GG</v>
      </c>
      <c r="AD116" s="1" t="str">
        <f>IFERROR(__xludf.DUMMYFUNCTION("""COMPUTED_VALUE"""),"GG")</f>
        <v>GG</v>
      </c>
      <c r="AE116" s="1" t="str">
        <f>IFERROR(__xludf.DUMMYFUNCTION("""COMPUTED_VALUE"""),"GG")</f>
        <v>GG</v>
      </c>
      <c r="AF116" s="1" t="str">
        <f>IFERROR(__xludf.DUMMYFUNCTION("""COMPUTED_VALUE"""),"GG")</f>
        <v>GG</v>
      </c>
      <c r="AG116" s="1" t="str">
        <f>IFERROR(__xludf.DUMMYFUNCTION("""COMPUTED_VALUE"""),"GG")</f>
        <v>GG</v>
      </c>
      <c r="AH116" s="1">
        <f>IFERROR(__xludf.DUMMYFUNCTION("""COMPUTED_VALUE"""),41)</f>
        <v>41</v>
      </c>
      <c r="AI116" s="1">
        <f>IFERROR(__xludf.DUMMYFUNCTION("""COMPUTED_VALUE"""),41)</f>
        <v>41</v>
      </c>
      <c r="AJ116" s="1">
        <f>IFERROR(__xludf.DUMMYFUNCTION("""COMPUTED_VALUE"""),41)</f>
        <v>41</v>
      </c>
      <c r="AK116" s="1">
        <f>IFERROR(__xludf.DUMMYFUNCTION("""COMPUTED_VALUE"""),41)</f>
        <v>41</v>
      </c>
      <c r="AL116" s="1" t="str">
        <f>IFERROR(__xludf.DUMMYFUNCTION("""COMPUTED_VALUE"""),"GG")</f>
        <v>GG</v>
      </c>
      <c r="AM116" s="1" t="str">
        <f>IFERROR(__xludf.DUMMYFUNCTION("""COMPUTED_VALUE"""),"GG")</f>
        <v>GG</v>
      </c>
      <c r="AN116" s="1" t="str">
        <f>IFERROR(__xludf.DUMMYFUNCTION("""COMPUTED_VALUE"""),"G")</f>
        <v>G</v>
      </c>
    </row>
    <row r="117" customHeight="1" spans="1:40">
      <c r="A117" s="1" t="str">
        <f>IFERROR(__xludf.DUMMYFUNCTION("""COMPUTED_VALUE"""),"02° BBM")</f>
        <v>02° BBM</v>
      </c>
      <c r="B117" s="1" t="str">
        <f>IFERROR(__xludf.DUMMYFUNCTION("""COMPUTED_VALUE"""),"Ivoti")</f>
        <v>Ivoti</v>
      </c>
      <c r="C117" s="119" t="str">
        <f>IFERROR(__xludf.DUMMYFUNCTION("""COMPUTED_VALUE"""),"Comunitario")</f>
        <v>Comunitario</v>
      </c>
      <c r="D117" s="119" t="str">
        <f>IFERROR(__xludf.DUMMYFUNCTION("""COMPUTED_VALUE"""),"SANDRO LUIZ DA SILVA FAGUNDES")</f>
        <v>SANDRO LUIZ DA SILVA FAGUNDES</v>
      </c>
      <c r="E117" s="119" t="str">
        <f>IFERROR(__xludf.DUMMYFUNCTION("""COMPUTED_VALUE"""),"Módulo 1 concluído")</f>
        <v>Módulo 1 concluído</v>
      </c>
      <c r="F117" s="1" t="str">
        <f>IFERROR(__xludf.DUMMYFUNCTION("""COMPUTED_VALUE"""),"904.191.620-20")</f>
        <v>904.191.620-20</v>
      </c>
      <c r="G117" s="1">
        <f>IFERROR(__xludf.DUMMYFUNCTION("""COMPUTED_VALUE"""),7059449591)</f>
        <v>7059449591</v>
      </c>
      <c r="H117" s="1" t="str">
        <f>IFERROR(__xludf.DUMMYFUNCTION("""COMPUTED_VALUE"""),"Combatente e Socorrista")</f>
        <v>Combatente e Socorrista</v>
      </c>
      <c r="I117" s="1" t="str">
        <f>IFERROR(__xludf.DUMMYFUNCTION("""COMPUTED_VALUE"""),"Bombeiro Voluntário")</f>
        <v>Bombeiro Voluntário</v>
      </c>
      <c r="J117" s="1" t="str">
        <f>IFERROR(__xludf.DUMMYFUNCTION("""COMPUTED_VALUE"""),"Sim")</f>
        <v>Sim</v>
      </c>
      <c r="K117" s="1" t="str">
        <f>IFERROR(__xludf.DUMMYFUNCTION("""COMPUTED_VALUE"""),"Não")</f>
        <v>Não</v>
      </c>
      <c r="L117" s="1" t="str">
        <f>IFERROR(__xludf.DUMMYFUNCTION("""COMPUTED_VALUE"""),"A+")</f>
        <v>A+</v>
      </c>
      <c r="M117" s="1" t="str">
        <f>IFERROR(__xludf.DUMMYFUNCTION("""COMPUTED_VALUE"""),"SANDRO")</f>
        <v>SANDRO</v>
      </c>
      <c r="N117" s="121">
        <f>IFERROR(__xludf.DUMMYFUNCTION("""COMPUTED_VALUE"""),27390)</f>
        <v>27390</v>
      </c>
      <c r="O117" s="1" t="str">
        <f>IFERROR(__xludf.DUMMYFUNCTION("""COMPUTED_VALUE"""),"Masculino")</f>
        <v>Masculino</v>
      </c>
      <c r="P117" s="1" t="str">
        <f>IFERROR(__xludf.DUMMYFUNCTION("""COMPUTED_VALUE"""),"Parda")</f>
        <v>Parda</v>
      </c>
      <c r="Q117" s="1" t="str">
        <f>IFERROR(__xludf.DUMMYFUNCTION("""COMPUTED_VALUE"""),"Ensino Médio")</f>
        <v>Ensino Médio</v>
      </c>
      <c r="R117" s="1" t="str">
        <f>IFERROR(__xludf.DUMMYFUNCTION("""COMPUTED_VALUE"""),"sandrofagundessinos@gmail.com")</f>
        <v>sandrofagundessinos@gmail.com</v>
      </c>
      <c r="S117" s="1" t="str">
        <f>IFERROR(__xludf.DUMMYFUNCTION("""COMPUTED_VALUE"""),"115 Kg")</f>
        <v>115 Kg</v>
      </c>
      <c r="T117" s="1" t="str">
        <f>IFERROR(__xludf.DUMMYFUNCTION("""COMPUTED_VALUE"""),"Entre 1,71m e 1,75m")</f>
        <v>Entre 1,71m e 1,75m</v>
      </c>
      <c r="U117" s="1" t="str">
        <f>IFERROR(__xludf.DUMMYFUNCTION("""COMPUTED_VALUE"""),"Não")</f>
        <v>Não</v>
      </c>
      <c r="V117" s="1" t="str">
        <f>IFERROR(__xludf.DUMMYFUNCTION("""COMPUTED_VALUE"""),"(51)98534-9342")</f>
        <v>(51)98534-9342</v>
      </c>
      <c r="W117" s="1" t="str">
        <f>IFERROR(__xludf.DUMMYFUNCTION("""COMPUTED_VALUE""")," (51) 99122-0732")</f>
        <v> (51) 99122-0732</v>
      </c>
      <c r="X117" s="1" t="str">
        <f>IFERROR(__xludf.DUMMYFUNCTION("""COMPUTED_VALUE"""),"RS")</f>
        <v>RS</v>
      </c>
      <c r="Y117" s="1" t="str">
        <f>IFERROR(__xludf.DUMMYFUNCTION("""COMPUTED_VALUE"""),"Novo Hamburgo")</f>
        <v>Novo Hamburgo</v>
      </c>
      <c r="Z117" s="1" t="str">
        <f>IFERROR(__xludf.DUMMYFUNCTION("""COMPUTED_VALUE"""),"93546-680")</f>
        <v>93546-680</v>
      </c>
      <c r="AA117" s="1" t="str">
        <f>IFERROR(__xludf.DUMMYFUNCTION("""COMPUTED_VALUE"""),"Rua Seno Antônio Schokal, 405")</f>
        <v>Rua Seno Antônio Schokal, 405</v>
      </c>
      <c r="AB117" s="1" t="str">
        <f>IFERROR(__xludf.DUMMYFUNCTION("""COMPUTED_VALUE"""),"Canudos")</f>
        <v>Canudos</v>
      </c>
      <c r="AC117" s="1" t="str">
        <f>IFERROR(__xludf.DUMMYFUNCTION("""COMPUTED_VALUE"""),"EXG")</f>
        <v>EXG</v>
      </c>
      <c r="AD117" s="1" t="str">
        <f>IFERROR(__xludf.DUMMYFUNCTION("""COMPUTED_VALUE"""),"EXG")</f>
        <v>EXG</v>
      </c>
      <c r="AE117" s="1" t="str">
        <f>IFERROR(__xludf.DUMMYFUNCTION("""COMPUTED_VALUE"""),"EXG")</f>
        <v>EXG</v>
      </c>
      <c r="AF117" s="1" t="str">
        <f>IFERROR(__xludf.DUMMYFUNCTION("""COMPUTED_VALUE"""),"EXG")</f>
        <v>EXG</v>
      </c>
      <c r="AG117" s="1" t="str">
        <f>IFERROR(__xludf.DUMMYFUNCTION("""COMPUTED_VALUE"""),"EXG")</f>
        <v>EXG</v>
      </c>
      <c r="AH117" s="1">
        <f>IFERROR(__xludf.DUMMYFUNCTION("""COMPUTED_VALUE"""),42)</f>
        <v>42</v>
      </c>
      <c r="AI117" s="1">
        <f>IFERROR(__xludf.DUMMYFUNCTION("""COMPUTED_VALUE"""),42)</f>
        <v>42</v>
      </c>
      <c r="AJ117" s="1">
        <f>IFERROR(__xludf.DUMMYFUNCTION("""COMPUTED_VALUE"""),42)</f>
        <v>42</v>
      </c>
      <c r="AK117" s="1">
        <f>IFERROR(__xludf.DUMMYFUNCTION("""COMPUTED_VALUE"""),42)</f>
        <v>42</v>
      </c>
      <c r="AL117" s="1" t="str">
        <f>IFERROR(__xludf.DUMMYFUNCTION("""COMPUTED_VALUE"""),"EXG")</f>
        <v>EXG</v>
      </c>
      <c r="AM117" s="1" t="str">
        <f>IFERROR(__xludf.DUMMYFUNCTION("""COMPUTED_VALUE"""),"EXG")</f>
        <v>EXG</v>
      </c>
      <c r="AN117" s="1" t="str">
        <f>IFERROR(__xludf.DUMMYFUNCTION("""COMPUTED_VALUE"""),"EXG")</f>
        <v>EXG</v>
      </c>
    </row>
    <row r="118" customHeight="1" spans="1:40">
      <c r="A118" s="1" t="str">
        <f>IFERROR(__xludf.DUMMYFUNCTION("""COMPUTED_VALUE"""),"02° BBM")</f>
        <v>02° BBM</v>
      </c>
      <c r="B118" s="1" t="str">
        <f>IFERROR(__xludf.DUMMYFUNCTION("""COMPUTED_VALUE"""),"Marata")</f>
        <v>Marata</v>
      </c>
      <c r="C118" s="119" t="str">
        <f>IFERROR(__xludf.DUMMYFUNCTION("""COMPUTED_VALUE"""),"CAB")</f>
        <v>CAB</v>
      </c>
      <c r="D118" s="119" t="str">
        <f>IFERROR(__xludf.DUMMYFUNCTION("""COMPUTED_VALUE"""),"SERGIO VALMOR SCHNEIDER")</f>
        <v>SERGIO VALMOR SCHNEIDER</v>
      </c>
      <c r="E118" s="119" t="str">
        <f>IFERROR(__xludf.DUMMYFUNCTION("""COMPUTED_VALUE"""),"")</f>
        <v/>
      </c>
      <c r="F118" s="1" t="str">
        <f>IFERROR(__xludf.DUMMYFUNCTION("""COMPUTED_VALUE"""),"892.356.300-53")</f>
        <v>892.356.300-53</v>
      </c>
      <c r="G118" s="1">
        <f>IFERROR(__xludf.DUMMYFUNCTION("""COMPUTED_VALUE"""),6048534281)</f>
        <v>6048534281</v>
      </c>
      <c r="H118" s="1" t="str">
        <f>IFERROR(__xludf.DUMMYFUNCTION("""COMPUTED_VALUE"""),"Combatente Condutor")</f>
        <v>Combatente Condutor</v>
      </c>
      <c r="I118" s="1" t="str">
        <f>IFERROR(__xludf.DUMMYFUNCTION("""COMPUTED_VALUE"""),"Bombeiro Civil e Condutor de Veiculo de Emergencia")</f>
        <v>Bombeiro Civil e Condutor de Veiculo de Emergencia</v>
      </c>
      <c r="J118" s="1" t="str">
        <f>IFERROR(__xludf.DUMMYFUNCTION("""COMPUTED_VALUE"""),"Não")</f>
        <v>Não</v>
      </c>
      <c r="K118" s="1" t="str">
        <f>IFERROR(__xludf.DUMMYFUNCTION("""COMPUTED_VALUE"""),"Não")</f>
        <v>Não</v>
      </c>
      <c r="L118" s="1" t="str">
        <f>IFERROR(__xludf.DUMMYFUNCTION("""COMPUTED_VALUE"""),"B+")</f>
        <v>B+</v>
      </c>
      <c r="M118" s="1" t="str">
        <f>IFERROR(__xludf.DUMMYFUNCTION("""COMPUTED_VALUE"""),"SCHNEIDER")</f>
        <v>SCHNEIDER</v>
      </c>
      <c r="N118" s="120">
        <f>IFERROR(__xludf.DUMMYFUNCTION("""COMPUTED_VALUE"""),27761)</f>
        <v>27761</v>
      </c>
      <c r="O118" s="1" t="str">
        <f>IFERROR(__xludf.DUMMYFUNCTION("""COMPUTED_VALUE"""),"Masculino")</f>
        <v>Masculino</v>
      </c>
      <c r="P118" s="1" t="str">
        <f>IFERROR(__xludf.DUMMYFUNCTION("""COMPUTED_VALUE"""),"Branca")</f>
        <v>Branca</v>
      </c>
      <c r="Q118" s="1" t="str">
        <f>IFERROR(__xludf.DUMMYFUNCTION("""COMPUTED_VALUE"""),"Ensino Médio")</f>
        <v>Ensino Médio</v>
      </c>
      <c r="R118" s="123" t="str">
        <f>IFERROR(__xludf.DUMMYFUNCTION("""COMPUTED_VALUE"""),"sergiosclh@gmail.com")</f>
        <v>sergiosclh@gmail.com</v>
      </c>
      <c r="S118" s="1">
        <f>IFERROR(__xludf.DUMMYFUNCTION("""COMPUTED_VALUE"""),110)</f>
        <v>110</v>
      </c>
      <c r="T118" s="1" t="str">
        <f>IFERROR(__xludf.DUMMYFUNCTION("""COMPUTED_VALUE"""),"Entre 1,86m e 1,90m")</f>
        <v>Entre 1,86m e 1,90m</v>
      </c>
      <c r="U118" s="1"/>
      <c r="V118" s="1" t="str">
        <f>IFERROR(__xludf.DUMMYFUNCTION("""COMPUTED_VALUE"""),"51 - 999014604")</f>
        <v>51 - 999014604</v>
      </c>
      <c r="W118" s="1" t="str">
        <f>IFERROR(__xludf.DUMMYFUNCTION("""COMPUTED_VALUE"""),"51 - 998416566")</f>
        <v>51 - 998416566</v>
      </c>
      <c r="X118" s="1" t="str">
        <f>IFERROR(__xludf.DUMMYFUNCTION("""COMPUTED_VALUE"""),"RS")</f>
        <v>RS</v>
      </c>
      <c r="Y118" s="1" t="str">
        <f>IFERROR(__xludf.DUMMYFUNCTION("""COMPUTED_VALUE"""),"MARATÁ")</f>
        <v>MARATÁ</v>
      </c>
      <c r="Z118" s="1">
        <f>IFERROR(__xludf.DUMMYFUNCTION("""COMPUTED_VALUE"""),95793000)</f>
        <v>95793000</v>
      </c>
      <c r="AA118" s="1" t="str">
        <f>IFERROR(__xludf.DUMMYFUNCTION("""COMPUTED_VALUE"""),"ESTRADA VITORIA 1379")</f>
        <v>ESTRADA VITORIA 1379</v>
      </c>
      <c r="AB118" s="1" t="str">
        <f>IFERROR(__xludf.DUMMYFUNCTION("""COMPUTED_VALUE"""),"VITORIA")</f>
        <v>VITORIA</v>
      </c>
      <c r="AC118" s="1" t="str">
        <f>IFERROR(__xludf.DUMMYFUNCTION("""COMPUTED_VALUE"""),"GG")</f>
        <v>GG</v>
      </c>
      <c r="AD118" s="1" t="str">
        <f>IFERROR(__xludf.DUMMYFUNCTION("""COMPUTED_VALUE"""),"GG")</f>
        <v>GG</v>
      </c>
      <c r="AE118" s="1" t="str">
        <f>IFERROR(__xludf.DUMMYFUNCTION("""COMPUTED_VALUE"""),"GG")</f>
        <v>GG</v>
      </c>
      <c r="AF118" s="1" t="str">
        <f>IFERROR(__xludf.DUMMYFUNCTION("""COMPUTED_VALUE"""),"GG")</f>
        <v>GG</v>
      </c>
      <c r="AG118" s="1" t="str">
        <f>IFERROR(__xludf.DUMMYFUNCTION("""COMPUTED_VALUE"""),"GG")</f>
        <v>GG</v>
      </c>
      <c r="AH118" s="1">
        <f>IFERROR(__xludf.DUMMYFUNCTION("""COMPUTED_VALUE"""),45)</f>
        <v>45</v>
      </c>
      <c r="AI118" s="1">
        <f>IFERROR(__xludf.DUMMYFUNCTION("""COMPUTED_VALUE"""),45)</f>
        <v>45</v>
      </c>
      <c r="AJ118" s="1">
        <f>IFERROR(__xludf.DUMMYFUNCTION("""COMPUTED_VALUE"""),45)</f>
        <v>45</v>
      </c>
      <c r="AK118" s="1">
        <f>IFERROR(__xludf.DUMMYFUNCTION("""COMPUTED_VALUE"""),45)</f>
        <v>45</v>
      </c>
      <c r="AL118" s="1" t="str">
        <f>IFERROR(__xludf.DUMMYFUNCTION("""COMPUTED_VALUE"""),"GG")</f>
        <v>GG</v>
      </c>
      <c r="AM118" s="1" t="str">
        <f>IFERROR(__xludf.DUMMYFUNCTION("""COMPUTED_VALUE"""),"GG")</f>
        <v>GG</v>
      </c>
      <c r="AN118" s="1" t="str">
        <f>IFERROR(__xludf.DUMMYFUNCTION("""COMPUTED_VALUE"""),"GG")</f>
        <v>GG</v>
      </c>
    </row>
    <row r="119" customHeight="1" spans="1:40">
      <c r="A119" s="1" t="str">
        <f>IFERROR(__xludf.DUMMYFUNCTION("""COMPUTED_VALUE"""),"02° BBM")</f>
        <v>02° BBM</v>
      </c>
      <c r="B119" s="1" t="str">
        <f>IFERROR(__xludf.DUMMYFUNCTION("""COMPUTED_VALUE"""),"Araricá")</f>
        <v>Araricá</v>
      </c>
      <c r="C119" s="119" t="str">
        <f>IFERROR(__xludf.DUMMYFUNCTION("""COMPUTED_VALUE"""),"CAB")</f>
        <v>CAB</v>
      </c>
      <c r="D119" s="119" t="str">
        <f>IFERROR(__xludf.DUMMYFUNCTION("""COMPUTED_VALUE"""),"SOLANGE FREITAS VIEIRA")</f>
        <v>SOLANGE FREITAS VIEIRA</v>
      </c>
      <c r="E119" s="119" t="str">
        <f>IFERROR(__xludf.DUMMYFUNCTION("""COMPUTED_VALUE"""),"")</f>
        <v/>
      </c>
      <c r="F119" s="1" t="str">
        <f>IFERROR(__xludf.DUMMYFUNCTION("""COMPUTED_VALUE"""),"825.592.950.91")</f>
        <v>825.592.950.91</v>
      </c>
      <c r="G119" s="1">
        <f>IFERROR(__xludf.DUMMYFUNCTION("""COMPUTED_VALUE"""),4068090581)</f>
        <v>4068090581</v>
      </c>
      <c r="H119" s="1" t="str">
        <f>IFERROR(__xludf.DUMMYFUNCTION("""COMPUTED_VALUE"""),"aluno ")</f>
        <v>aluno </v>
      </c>
      <c r="I119" s="1"/>
      <c r="J119" s="1" t="str">
        <f>IFERROR(__xludf.DUMMYFUNCTION("""COMPUTED_VALUE"""),"Não")</f>
        <v>Não</v>
      </c>
      <c r="K119" s="1" t="str">
        <f>IFERROR(__xludf.DUMMYFUNCTION("""COMPUTED_VALUE"""),"Não")</f>
        <v>Não</v>
      </c>
      <c r="L119" s="1"/>
      <c r="M119" s="1" t="str">
        <f>IFERROR(__xludf.DUMMYFUNCTION("""COMPUTED_VALUE"""),"FREITAS")</f>
        <v>FREITAS</v>
      </c>
      <c r="N119" s="121">
        <f>IFERROR(__xludf.DUMMYFUNCTION("""COMPUTED_VALUE"""),28446)</f>
        <v>28446</v>
      </c>
      <c r="O119" s="1" t="str">
        <f>IFERROR(__xludf.DUMMYFUNCTION("""COMPUTED_VALUE"""),"Feminino")</f>
        <v>Feminino</v>
      </c>
      <c r="P119" s="1" t="str">
        <f>IFERROR(__xludf.DUMMYFUNCTION("""COMPUTED_VALUE"""),"Parda")</f>
        <v>Parda</v>
      </c>
      <c r="Q119" s="1" t="str">
        <f>IFERROR(__xludf.DUMMYFUNCTION("""COMPUTED_VALUE"""),"Ensino Médio")</f>
        <v>Ensino Médio</v>
      </c>
      <c r="R119" s="1" t="str">
        <f>IFERROR(__xludf.DUMMYFUNCTION("""COMPUTED_VALUE"""),"solangefreitasvieira77@gmail.com")</f>
        <v>solangefreitasvieira77@gmail.com</v>
      </c>
      <c r="S119" s="1">
        <f>IFERROR(__xludf.DUMMYFUNCTION("""COMPUTED_VALUE"""),77)</f>
        <v>77</v>
      </c>
      <c r="T119" s="1" t="str">
        <f>IFERROR(__xludf.DUMMYFUNCTION("""COMPUTED_VALUE"""),"Entre 1,56m e 1,60m")</f>
        <v>Entre 1,56m e 1,60m</v>
      </c>
      <c r="U119" s="1"/>
      <c r="V119" s="1">
        <f>IFERROR(__xludf.DUMMYFUNCTION("""COMPUTED_VALUE"""),51997680229)</f>
        <v>51997680229</v>
      </c>
      <c r="W119" s="1">
        <f>IFERROR(__xludf.DUMMYFUNCTION("""COMPUTED_VALUE"""),51997680229)</f>
        <v>51997680229</v>
      </c>
      <c r="X119" s="1" t="str">
        <f>IFERROR(__xludf.DUMMYFUNCTION("""COMPUTED_VALUE"""),"RS")</f>
        <v>RS</v>
      </c>
      <c r="Y119" s="1" t="str">
        <f>IFERROR(__xludf.DUMMYFUNCTION("""COMPUTED_VALUE"""),"Araricá")</f>
        <v>Araricá</v>
      </c>
      <c r="Z119" s="1" t="str">
        <f>IFERROR(__xludf.DUMMYFUNCTION("""COMPUTED_VALUE"""),"93880-000")</f>
        <v>93880-000</v>
      </c>
      <c r="AA119" s="1" t="str">
        <f>IFERROR(__xludf.DUMMYFUNCTION("""COMPUTED_VALUE"""),"Rua Calisto Kniphoff da Silva ")</f>
        <v>Rua Calisto Kniphoff da Silva </v>
      </c>
      <c r="AB119" s="1" t="str">
        <f>IFERROR(__xludf.DUMMYFUNCTION("""COMPUTED_VALUE"""),"Estação")</f>
        <v>Estação</v>
      </c>
      <c r="AC119" s="1" t="str">
        <f>IFERROR(__xludf.DUMMYFUNCTION("""COMPUTED_VALUE"""),"G")</f>
        <v>G</v>
      </c>
      <c r="AD119" s="1" t="str">
        <f>IFERROR(__xludf.DUMMYFUNCTION("""COMPUTED_VALUE"""),"G")</f>
        <v>G</v>
      </c>
      <c r="AE119" s="1" t="str">
        <f>IFERROR(__xludf.DUMMYFUNCTION("""COMPUTED_VALUE"""),"G")</f>
        <v>G</v>
      </c>
      <c r="AF119" s="1" t="str">
        <f>IFERROR(__xludf.DUMMYFUNCTION("""COMPUTED_VALUE"""),"G")</f>
        <v>G</v>
      </c>
      <c r="AG119" s="1" t="str">
        <f>IFERROR(__xludf.DUMMYFUNCTION("""COMPUTED_VALUE"""),"G")</f>
        <v>G</v>
      </c>
      <c r="AH119" s="1">
        <f>IFERROR(__xludf.DUMMYFUNCTION("""COMPUTED_VALUE"""),36)</f>
        <v>36</v>
      </c>
      <c r="AI119" s="1">
        <f>IFERROR(__xludf.DUMMYFUNCTION("""COMPUTED_VALUE"""),36)</f>
        <v>36</v>
      </c>
      <c r="AJ119" s="1">
        <f>IFERROR(__xludf.DUMMYFUNCTION("""COMPUTED_VALUE"""),36)</f>
        <v>36</v>
      </c>
      <c r="AK119" s="1">
        <f>IFERROR(__xludf.DUMMYFUNCTION("""COMPUTED_VALUE"""),36)</f>
        <v>36</v>
      </c>
      <c r="AL119" s="1" t="str">
        <f>IFERROR(__xludf.DUMMYFUNCTION("""COMPUTED_VALUE"""),"G")</f>
        <v>G</v>
      </c>
      <c r="AM119" s="1" t="str">
        <f>IFERROR(__xludf.DUMMYFUNCTION("""COMPUTED_VALUE"""),"G")</f>
        <v>G</v>
      </c>
      <c r="AN119" s="1" t="str">
        <f>IFERROR(__xludf.DUMMYFUNCTION("""COMPUTED_VALUE"""),"G")</f>
        <v>G</v>
      </c>
    </row>
    <row r="120" customHeight="1" spans="1:40">
      <c r="A120" s="1" t="str">
        <f>IFERROR(__xludf.DUMMYFUNCTION("""COMPUTED_VALUE"""),"02° BBM")</f>
        <v>02° BBM</v>
      </c>
      <c r="B120" s="1"/>
      <c r="C120" s="119"/>
      <c r="D120" s="119" t="str">
        <f>IFERROR(__xludf.DUMMYFUNCTION("""COMPUTED_VALUE"""),"TATIANA PAULA TEREBINTO")</f>
        <v>TATIANA PAULA TEREBINTO</v>
      </c>
      <c r="E120" s="119" t="str">
        <f>IFERROR(__xludf.DUMMYFUNCTION("""COMPUTED_VALUE"""),"Módulo 1 concluído")</f>
        <v>Módulo 1 concluído</v>
      </c>
      <c r="F120" s="1" t="str">
        <f>IFERROR(__xludf.DUMMYFUNCTION("""COMPUTED_VALUE"""),"041.861.010-00")</f>
        <v>041.861.010-00</v>
      </c>
      <c r="G120" s="1"/>
      <c r="H120" s="1"/>
      <c r="I120" s="1"/>
      <c r="J120" s="1"/>
      <c r="K120" s="1"/>
      <c r="L120" s="1"/>
      <c r="M120" s="1"/>
      <c r="N120" s="120"/>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row>
    <row r="121" customHeight="1" spans="1:40">
      <c r="A121" s="1" t="str">
        <f>IFERROR(__xludf.DUMMYFUNCTION("""COMPUTED_VALUE"""),"02° BBM")</f>
        <v>02° BBM</v>
      </c>
      <c r="B121" s="1" t="str">
        <f>IFERROR(__xludf.DUMMYFUNCTION("""COMPUTED_VALUE"""),"Ivoti")</f>
        <v>Ivoti</v>
      </c>
      <c r="C121" s="119" t="str">
        <f>IFERROR(__xludf.DUMMYFUNCTION("""COMPUTED_VALUE"""),"Comunitario")</f>
        <v>Comunitario</v>
      </c>
      <c r="D121" s="119" t="str">
        <f>IFERROR(__xludf.DUMMYFUNCTION("""COMPUTED_VALUE"""),"TEREZA MAYUMI ORITA")</f>
        <v>TEREZA MAYUMI ORITA</v>
      </c>
      <c r="E121" s="119" t="str">
        <f>IFERROR(__xludf.DUMMYFUNCTION("""COMPUTED_VALUE"""),"Curso CAB operador concluído")</f>
        <v>Curso CAB operador concluído</v>
      </c>
      <c r="F121" s="1" t="str">
        <f>IFERROR(__xludf.DUMMYFUNCTION("""COMPUTED_VALUE"""),"885.022.280-72")</f>
        <v>885.022.280-72</v>
      </c>
      <c r="G121" s="1">
        <f>IFERROR(__xludf.DUMMYFUNCTION("""COMPUTED_VALUE"""),1043086162)</f>
        <v>1043086162</v>
      </c>
      <c r="H121" s="1" t="str">
        <f>IFERROR(__xludf.DUMMYFUNCTION("""COMPUTED_VALUE"""),"Combatente e Socorrista")</f>
        <v>Combatente e Socorrista</v>
      </c>
      <c r="I121" s="1" t="str">
        <f>IFERROR(__xludf.DUMMYFUNCTION("""COMPUTED_VALUE"""),"Bombeiro Voluntário, Bombeiro Civil, APH")</f>
        <v>Bombeiro Voluntário, Bombeiro Civil, APH</v>
      </c>
      <c r="J121" s="1" t="str">
        <f>IFERROR(__xludf.DUMMYFUNCTION("""COMPUTED_VALUE"""),"Sim")</f>
        <v>Sim</v>
      </c>
      <c r="K121" s="1" t="str">
        <f>IFERROR(__xludf.DUMMYFUNCTION("""COMPUTED_VALUE"""),"Sim")</f>
        <v>Sim</v>
      </c>
      <c r="L121" s="1" t="str">
        <f>IFERROR(__xludf.DUMMYFUNCTION("""COMPUTED_VALUE"""),"A+")</f>
        <v>A+</v>
      </c>
      <c r="M121" s="1" t="str">
        <f>IFERROR(__xludf.DUMMYFUNCTION("""COMPUTED_VALUE"""),"MAYUMI")</f>
        <v>MAYUMI</v>
      </c>
      <c r="N121" s="120">
        <f>IFERROR(__xludf.DUMMYFUNCTION("""COMPUTED_VALUE"""),26508)</f>
        <v>26508</v>
      </c>
      <c r="O121" s="1" t="str">
        <f>IFERROR(__xludf.DUMMYFUNCTION("""COMPUTED_VALUE"""),"Feminino")</f>
        <v>Feminino</v>
      </c>
      <c r="P121" s="1" t="str">
        <f>IFERROR(__xludf.DUMMYFUNCTION("""COMPUTED_VALUE"""),"Amarela")</f>
        <v>Amarela</v>
      </c>
      <c r="Q121" s="1" t="str">
        <f>IFERROR(__xludf.DUMMYFUNCTION("""COMPUTED_VALUE"""),"Pós-graduação")</f>
        <v>Pós-graduação</v>
      </c>
      <c r="R121" s="1" t="str">
        <f>IFERROR(__xludf.DUMMYFUNCTION("""COMPUTED_VALUE"""),"tmo1330@gmail.com")</f>
        <v>tmo1330@gmail.com</v>
      </c>
      <c r="S121" s="1" t="str">
        <f>IFERROR(__xludf.DUMMYFUNCTION("""COMPUTED_VALUE"""),"60kg")</f>
        <v>60kg</v>
      </c>
      <c r="T121" s="1" t="str">
        <f>IFERROR(__xludf.DUMMYFUNCTION("""COMPUTED_VALUE"""),"Entre 1,56m e 1,60m")</f>
        <v>Entre 1,56m e 1,60m</v>
      </c>
      <c r="U121" s="1" t="str">
        <f>IFERROR(__xludf.DUMMYFUNCTION("""COMPUTED_VALUE"""),"Não ")</f>
        <v>Não </v>
      </c>
      <c r="V121" s="1" t="str">
        <f>IFERROR(__xludf.DUMMYFUNCTION("""COMPUTED_VALUE"""),"(51) 999453409")</f>
        <v>(51) 999453409</v>
      </c>
      <c r="W121" s="1" t="str">
        <f>IFERROR(__xludf.DUMMYFUNCTION("""COMPUTED_VALUE"""),"(51) 999429082")</f>
        <v>(51) 999429082</v>
      </c>
      <c r="X121" s="1" t="str">
        <f>IFERROR(__xludf.DUMMYFUNCTION("""COMPUTED_VALUE"""),"RS")</f>
        <v>RS</v>
      </c>
      <c r="Y121" s="1" t="str">
        <f>IFERROR(__xludf.DUMMYFUNCTION("""COMPUTED_VALUE"""),"Ivoti")</f>
        <v>Ivoti</v>
      </c>
      <c r="Z121" s="1" t="str">
        <f>IFERROR(__xludf.DUMMYFUNCTION("""COMPUTED_VALUE"""),"93900-000")</f>
        <v>93900-000</v>
      </c>
      <c r="AA121" s="1" t="str">
        <f>IFERROR(__xludf.DUMMYFUNCTION("""COMPUTED_VALUE"""),"Av Presidente Lucena 2514")</f>
        <v>Av Presidente Lucena 2514</v>
      </c>
      <c r="AB121" s="1" t="str">
        <f>IFERROR(__xludf.DUMMYFUNCTION("""COMPUTED_VALUE"""),"Brasília ")</f>
        <v>Brasília </v>
      </c>
      <c r="AC121" s="1" t="str">
        <f>IFERROR(__xludf.DUMMYFUNCTION("""COMPUTED_VALUE"""),"M")</f>
        <v>M</v>
      </c>
      <c r="AD121" s="1" t="str">
        <f>IFERROR(__xludf.DUMMYFUNCTION("""COMPUTED_VALUE"""),"M")</f>
        <v>M</v>
      </c>
      <c r="AE121" s="1" t="str">
        <f>IFERROR(__xludf.DUMMYFUNCTION("""COMPUTED_VALUE"""),"P")</f>
        <v>P</v>
      </c>
      <c r="AF121" s="1" t="str">
        <f>IFERROR(__xludf.DUMMYFUNCTION("""COMPUTED_VALUE"""),"M")</f>
        <v>M</v>
      </c>
      <c r="AG121" s="1" t="str">
        <f>IFERROR(__xludf.DUMMYFUNCTION("""COMPUTED_VALUE"""),"P")</f>
        <v>P</v>
      </c>
      <c r="AH121" s="1">
        <f>IFERROR(__xludf.DUMMYFUNCTION("""COMPUTED_VALUE"""),36)</f>
        <v>36</v>
      </c>
      <c r="AI121" s="1">
        <f>IFERROR(__xludf.DUMMYFUNCTION("""COMPUTED_VALUE"""),36)</f>
        <v>36</v>
      </c>
      <c r="AJ121" s="1">
        <f>IFERROR(__xludf.DUMMYFUNCTION("""COMPUTED_VALUE"""),36)</f>
        <v>36</v>
      </c>
      <c r="AK121" s="1">
        <f>IFERROR(__xludf.DUMMYFUNCTION("""COMPUTED_VALUE"""),37)</f>
        <v>37</v>
      </c>
      <c r="AL121" s="1" t="str">
        <f>IFERROR(__xludf.DUMMYFUNCTION("""COMPUTED_VALUE"""),"P")</f>
        <v>P</v>
      </c>
      <c r="AM121" s="1" t="str">
        <f>IFERROR(__xludf.DUMMYFUNCTION("""COMPUTED_VALUE"""),"P")</f>
        <v>P</v>
      </c>
      <c r="AN121" s="1" t="str">
        <f>IFERROR(__xludf.DUMMYFUNCTION("""COMPUTED_VALUE"""),"M")</f>
        <v>M</v>
      </c>
    </row>
    <row r="122" customHeight="1" spans="1:40">
      <c r="A122" s="1" t="str">
        <f>IFERROR(__xludf.DUMMYFUNCTION("""COMPUTED_VALUE"""),"02° BBM")</f>
        <v>02° BBM</v>
      </c>
      <c r="B122" s="1" t="str">
        <f>IFERROR(__xludf.DUMMYFUNCTION("""COMPUTED_VALUE"""),"Araricá")</f>
        <v>Araricá</v>
      </c>
      <c r="C122" s="119" t="str">
        <f>IFERROR(__xludf.DUMMYFUNCTION("""COMPUTED_VALUE"""),"CAB")</f>
        <v>CAB</v>
      </c>
      <c r="D122" s="119" t="str">
        <f>IFERROR(__xludf.DUMMYFUNCTION("""COMPUTED_VALUE"""),"THAIS DE ASSIS CONCEIÇÃO")</f>
        <v>THAIS DE ASSIS CONCEIÇÃO</v>
      </c>
      <c r="E122" s="119" t="str">
        <f>IFERROR(__xludf.DUMMYFUNCTION("""COMPUTED_VALUE"""),"")</f>
        <v/>
      </c>
      <c r="F122" s="119" t="str">
        <f>IFERROR(__xludf.DUMMYFUNCTION("""COMPUTED_VALUE"""),"042.175.970-45")</f>
        <v>042.175.970-45</v>
      </c>
      <c r="G122" s="1">
        <f>IFERROR(__xludf.DUMMYFUNCTION("""COMPUTED_VALUE"""),1118262672)</f>
        <v>1118262672</v>
      </c>
      <c r="H122" s="1" t="str">
        <f>IFERROR(__xludf.DUMMYFUNCTION("""COMPUTED_VALUE"""),"Combatente/Socorrista")</f>
        <v>Combatente/Socorrista</v>
      </c>
      <c r="I122" s="1" t="str">
        <f>IFERROR(__xludf.DUMMYFUNCTION("""COMPUTED_VALUE"""),"Bombeiro Voluntário/Bombeiro Civil ")</f>
        <v>Bombeiro Voluntário/Bombeiro Civil </v>
      </c>
      <c r="J122" s="1" t="str">
        <f>IFERROR(__xludf.DUMMYFUNCTION("""COMPUTED_VALUE"""),"Não")</f>
        <v>Não</v>
      </c>
      <c r="K122" s="1" t="str">
        <f>IFERROR(__xludf.DUMMYFUNCTION("""COMPUTED_VALUE"""),"Não")</f>
        <v>Não</v>
      </c>
      <c r="L122" s="1" t="str">
        <f>IFERROR(__xludf.DUMMYFUNCTION("""COMPUTED_VALUE"""),"O-")</f>
        <v>O-</v>
      </c>
      <c r="M122" s="1" t="str">
        <f>IFERROR(__xludf.DUMMYFUNCTION("""COMPUTED_VALUE"""),"ASSIS")</f>
        <v>ASSIS</v>
      </c>
      <c r="N122" s="120">
        <f>IFERROR(__xludf.DUMMYFUNCTION("""COMPUTED_VALUE"""),34789)</f>
        <v>34789</v>
      </c>
      <c r="O122" s="1" t="str">
        <f>IFERROR(__xludf.DUMMYFUNCTION("""COMPUTED_VALUE"""),"Feminino")</f>
        <v>Feminino</v>
      </c>
      <c r="P122" s="1" t="str">
        <f>IFERROR(__xludf.DUMMYFUNCTION("""COMPUTED_VALUE"""),"Branca")</f>
        <v>Branca</v>
      </c>
      <c r="Q122" s="1" t="str">
        <f>IFERROR(__xludf.DUMMYFUNCTION("""COMPUTED_VALUE"""),"Ensino Médio")</f>
        <v>Ensino Médio</v>
      </c>
      <c r="R122" s="1" t="str">
        <f>IFERROR(__xludf.DUMMYFUNCTION("""COMPUTED_VALUE"""),"thaisassis785@gmail.com")</f>
        <v>thaisassis785@gmail.com</v>
      </c>
      <c r="S122" s="1">
        <f>IFERROR(__xludf.DUMMYFUNCTION("""COMPUTED_VALUE"""),70)</f>
        <v>70</v>
      </c>
      <c r="T122" s="1" t="str">
        <f>IFERROR(__xludf.DUMMYFUNCTION("""COMPUTED_VALUE"""),"Entre 1,50m e 1,55m")</f>
        <v>Entre 1,50m e 1,55m</v>
      </c>
      <c r="U122" s="1"/>
      <c r="V122" s="1">
        <f>IFERROR(__xludf.DUMMYFUNCTION("""COMPUTED_VALUE"""),51997886938)</f>
        <v>51997886938</v>
      </c>
      <c r="W122" s="1">
        <f>IFERROR(__xludf.DUMMYFUNCTION("""COMPUTED_VALUE"""),51997886938)</f>
        <v>51997886938</v>
      </c>
      <c r="X122" s="1" t="str">
        <f>IFERROR(__xludf.DUMMYFUNCTION("""COMPUTED_VALUE"""),"RS")</f>
        <v>RS</v>
      </c>
      <c r="Y122" s="1" t="str">
        <f>IFERROR(__xludf.DUMMYFUNCTION("""COMPUTED_VALUE"""),"Porto Alegre")</f>
        <v>Porto Alegre</v>
      </c>
      <c r="Z122" s="1">
        <f>IFERROR(__xludf.DUMMYFUNCTION("""COMPUTED_VALUE"""),90610261)</f>
        <v>90610261</v>
      </c>
      <c r="AA122" s="1" t="str">
        <f>IFERROR(__xludf.DUMMYFUNCTION("""COMPUTED_VALUE"""),"RUA SÃO MANOEL 478 ")</f>
        <v>RUA SÃO MANOEL 478 </v>
      </c>
      <c r="AB122" s="1" t="str">
        <f>IFERROR(__xludf.DUMMYFUNCTION("""COMPUTED_VALUE"""),"RIO BRANCO")</f>
        <v>RIO BRANCO</v>
      </c>
      <c r="AC122" s="1" t="str">
        <f>IFERROR(__xludf.DUMMYFUNCTION("""COMPUTED_VALUE"""),"G")</f>
        <v>G</v>
      </c>
      <c r="AD122" s="1" t="str">
        <f>IFERROR(__xludf.DUMMYFUNCTION("""COMPUTED_VALUE"""),"M")</f>
        <v>M</v>
      </c>
      <c r="AE122" s="1" t="str">
        <f>IFERROR(__xludf.DUMMYFUNCTION("""COMPUTED_VALUE"""),"M")</f>
        <v>M</v>
      </c>
      <c r="AF122" s="1" t="str">
        <f>IFERROR(__xludf.DUMMYFUNCTION("""COMPUTED_VALUE"""),"G")</f>
        <v>G</v>
      </c>
      <c r="AG122" s="1" t="str">
        <f>IFERROR(__xludf.DUMMYFUNCTION("""COMPUTED_VALUE"""),"G")</f>
        <v>G</v>
      </c>
      <c r="AH122" s="1">
        <f>IFERROR(__xludf.DUMMYFUNCTION("""COMPUTED_VALUE"""),35)</f>
        <v>35</v>
      </c>
      <c r="AI122" s="1">
        <f>IFERROR(__xludf.DUMMYFUNCTION("""COMPUTED_VALUE"""),35)</f>
        <v>35</v>
      </c>
      <c r="AJ122" s="1">
        <f>IFERROR(__xludf.DUMMYFUNCTION("""COMPUTED_VALUE"""),35)</f>
        <v>35</v>
      </c>
      <c r="AK122" s="1">
        <f>IFERROR(__xludf.DUMMYFUNCTION("""COMPUTED_VALUE"""),35)</f>
        <v>35</v>
      </c>
      <c r="AL122" s="1" t="str">
        <f>IFERROR(__xludf.DUMMYFUNCTION("""COMPUTED_VALUE"""),"M")</f>
        <v>M</v>
      </c>
      <c r="AM122" s="1" t="str">
        <f>IFERROR(__xludf.DUMMYFUNCTION("""COMPUTED_VALUE"""),"M")</f>
        <v>M</v>
      </c>
      <c r="AN122" s="1" t="str">
        <f>IFERROR(__xludf.DUMMYFUNCTION("""COMPUTED_VALUE"""),"M")</f>
        <v>M</v>
      </c>
    </row>
    <row r="123" customHeight="1" spans="1:40">
      <c r="A123" s="1" t="str">
        <f>IFERROR(__xludf.DUMMYFUNCTION("""COMPUTED_VALUE"""),"02° BBM")</f>
        <v>02° BBM</v>
      </c>
      <c r="B123" s="1" t="str">
        <f>IFERROR(__xludf.DUMMYFUNCTION("""COMPUTED_VALUE"""),"Araricá")</f>
        <v>Araricá</v>
      </c>
      <c r="C123" s="119" t="str">
        <f>IFERROR(__xludf.DUMMYFUNCTION("""COMPUTED_VALUE"""),"CAB")</f>
        <v>CAB</v>
      </c>
      <c r="D123" s="119" t="str">
        <f>IFERROR(__xludf.DUMMYFUNCTION("""COMPUTED_VALUE"""),"THOMAS GABRIEL SCHMIDDEL")</f>
        <v>THOMAS GABRIEL SCHMIDDEL</v>
      </c>
      <c r="E123" s="119" t="str">
        <f>IFERROR(__xludf.DUMMYFUNCTION("""COMPUTED_VALUE"""),"")</f>
        <v/>
      </c>
      <c r="F123" s="1" t="str">
        <f>IFERROR(__xludf.DUMMYFUNCTION("""COMPUTED_VALUE"""),"052.535.830-76")</f>
        <v>052.535.830-76</v>
      </c>
      <c r="G123" s="1">
        <f>IFERROR(__xludf.DUMMYFUNCTION("""COMPUTED_VALUE"""),41333941)</f>
        <v>41333941</v>
      </c>
      <c r="H123" s="1" t="str">
        <f>IFERROR(__xludf.DUMMYFUNCTION("""COMPUTED_VALUE"""),"Combatente e Socorrista")</f>
        <v>Combatente e Socorrista</v>
      </c>
      <c r="I123" s="1" t="str">
        <f>IFERROR(__xludf.DUMMYFUNCTION("""COMPUTED_VALUE"""),"Bombeiro Voluntario/APH/BLS, Combate  a Incêndio, Resgate Veicular, produtos quimicos")</f>
        <v>Bombeiro Voluntario/APH/BLS, Combate  a Incêndio, Resgate Veicular, produtos quimicos</v>
      </c>
      <c r="J123" s="1" t="str">
        <f>IFERROR(__xludf.DUMMYFUNCTION("""COMPUTED_VALUE"""),"Não")</f>
        <v>Não</v>
      </c>
      <c r="K123" s="1" t="str">
        <f>IFERROR(__xludf.DUMMYFUNCTION("""COMPUTED_VALUE"""),"Não")</f>
        <v>Não</v>
      </c>
      <c r="L123" s="1" t="str">
        <f>IFERROR(__xludf.DUMMYFUNCTION("""COMPUTED_VALUE"""),"O+")</f>
        <v>O+</v>
      </c>
      <c r="M123" s="1" t="str">
        <f>IFERROR(__xludf.DUMMYFUNCTION("""COMPUTED_VALUE"""),"SCHMIDDEL")</f>
        <v>SCHMIDDEL</v>
      </c>
      <c r="N123" s="120">
        <f>IFERROR(__xludf.DUMMYFUNCTION("""COMPUTED_VALUE"""),37006)</f>
        <v>37006</v>
      </c>
      <c r="O123" s="1" t="str">
        <f>IFERROR(__xludf.DUMMYFUNCTION("""COMPUTED_VALUE"""),"Masculino")</f>
        <v>Masculino</v>
      </c>
      <c r="P123" s="1" t="str">
        <f>IFERROR(__xludf.DUMMYFUNCTION("""COMPUTED_VALUE"""),"Branca")</f>
        <v>Branca</v>
      </c>
      <c r="Q123" s="1" t="str">
        <f>IFERROR(__xludf.DUMMYFUNCTION("""COMPUTED_VALUE"""),"Ensino Médio")</f>
        <v>Ensino Médio</v>
      </c>
      <c r="R123" s="1" t="str">
        <f>IFERROR(__xludf.DUMMYFUNCTION("""COMPUTED_VALUE"""),"schmiddelthomas9@gmail.com")</f>
        <v>schmiddelthomas9@gmail.com</v>
      </c>
      <c r="S123" s="1">
        <f>IFERROR(__xludf.DUMMYFUNCTION("""COMPUTED_VALUE"""),95)</f>
        <v>95</v>
      </c>
      <c r="T123" s="1" t="str">
        <f>IFERROR(__xludf.DUMMYFUNCTION("""COMPUTED_VALUE"""),"Entre 1,71m e 1,75m")</f>
        <v>Entre 1,71m e 1,75m</v>
      </c>
      <c r="U123" s="1"/>
      <c r="V123" s="1">
        <f>IFERROR(__xludf.DUMMYFUNCTION("""COMPUTED_VALUE"""),51999824303)</f>
        <v>51999824303</v>
      </c>
      <c r="W123" s="1">
        <f>IFERROR(__xludf.DUMMYFUNCTION("""COMPUTED_VALUE"""),51999824303)</f>
        <v>51999824303</v>
      </c>
      <c r="X123" s="1" t="str">
        <f>IFERROR(__xludf.DUMMYFUNCTION("""COMPUTED_VALUE"""),"RS")</f>
        <v>RS</v>
      </c>
      <c r="Y123" s="1" t="str">
        <f>IFERROR(__xludf.DUMMYFUNCTION("""COMPUTED_VALUE"""),"Campo Bom")</f>
        <v>Campo Bom</v>
      </c>
      <c r="Z123" s="1" t="str">
        <f>IFERROR(__xludf.DUMMYFUNCTION("""COMPUTED_VALUE"""),"93700-000")</f>
        <v>93700-000</v>
      </c>
      <c r="AA123" s="1" t="str">
        <f>IFERROR(__xludf.DUMMYFUNCTION("""COMPUTED_VALUE"""),"Estrada Monaco, 926")</f>
        <v>Estrada Monaco, 926</v>
      </c>
      <c r="AB123" s="1" t="str">
        <f>IFERROR(__xludf.DUMMYFUNCTION("""COMPUTED_VALUE"""),"monaco")</f>
        <v>monaco</v>
      </c>
      <c r="AC123" s="1" t="str">
        <f>IFERROR(__xludf.DUMMYFUNCTION("""COMPUTED_VALUE"""),"G")</f>
        <v>G</v>
      </c>
      <c r="AD123" s="1" t="str">
        <f>IFERROR(__xludf.DUMMYFUNCTION("""COMPUTED_VALUE"""),"GG")</f>
        <v>GG</v>
      </c>
      <c r="AE123" s="1" t="str">
        <f>IFERROR(__xludf.DUMMYFUNCTION("""COMPUTED_VALUE"""),"GG")</f>
        <v>GG</v>
      </c>
      <c r="AF123" s="1" t="str">
        <f>IFERROR(__xludf.DUMMYFUNCTION("""COMPUTED_VALUE"""),"GG")</f>
        <v>GG</v>
      </c>
      <c r="AG123" s="1" t="str">
        <f>IFERROR(__xludf.DUMMYFUNCTION("""COMPUTED_VALUE"""),"GG")</f>
        <v>GG</v>
      </c>
      <c r="AH123" s="1">
        <f>IFERROR(__xludf.DUMMYFUNCTION("""COMPUTED_VALUE"""),42)</f>
        <v>42</v>
      </c>
      <c r="AI123" s="1">
        <f>IFERROR(__xludf.DUMMYFUNCTION("""COMPUTED_VALUE"""),42)</f>
        <v>42</v>
      </c>
      <c r="AJ123" s="1">
        <f>IFERROR(__xludf.DUMMYFUNCTION("""COMPUTED_VALUE"""),42)</f>
        <v>42</v>
      </c>
      <c r="AK123" s="1">
        <f>IFERROR(__xludf.DUMMYFUNCTION("""COMPUTED_VALUE"""),42)</f>
        <v>42</v>
      </c>
      <c r="AL123" s="1" t="str">
        <f>IFERROR(__xludf.DUMMYFUNCTION("""COMPUTED_VALUE"""),"GG")</f>
        <v>GG</v>
      </c>
      <c r="AM123" s="1" t="str">
        <f>IFERROR(__xludf.DUMMYFUNCTION("""COMPUTED_VALUE"""),"GG")</f>
        <v>GG</v>
      </c>
      <c r="AN123" s="1" t="str">
        <f>IFERROR(__xludf.DUMMYFUNCTION("""COMPUTED_VALUE"""),"GG")</f>
        <v>GG</v>
      </c>
    </row>
    <row r="124" customHeight="1" spans="1:40">
      <c r="A124" s="1" t="str">
        <f>IFERROR(__xludf.DUMMYFUNCTION("""COMPUTED_VALUE"""),"02° BBM")</f>
        <v>02° BBM</v>
      </c>
      <c r="B124" s="1" t="str">
        <f>IFERROR(__xludf.DUMMYFUNCTION("""COMPUTED_VALUE"""),"Marata")</f>
        <v>Marata</v>
      </c>
      <c r="C124" s="119" t="str">
        <f>IFERROR(__xludf.DUMMYFUNCTION("""COMPUTED_VALUE"""),"CAB")</f>
        <v>CAB</v>
      </c>
      <c r="D124" s="119" t="str">
        <f>IFERROR(__xludf.DUMMYFUNCTION("""COMPUTED_VALUE"""),"UIL ROBSON ROCHA DE OLIVEIRA")</f>
        <v>UIL ROBSON ROCHA DE OLIVEIRA</v>
      </c>
      <c r="E124" s="119" t="str">
        <f>IFERROR(__xludf.DUMMYFUNCTION("""COMPUTED_VALUE"""),"")</f>
        <v/>
      </c>
      <c r="F124" s="1" t="str">
        <f>IFERROR(__xludf.DUMMYFUNCTION("""COMPUTED_VALUE"""),"954.169.780-15")</f>
        <v>954.169.780-15</v>
      </c>
      <c r="G124" s="1">
        <f>IFERROR(__xludf.DUMMYFUNCTION("""COMPUTED_VALUE"""),1067429058)</f>
        <v>1067429058</v>
      </c>
      <c r="H124" s="1" t="str">
        <f>IFERROR(__xludf.DUMMYFUNCTION("""COMPUTED_VALUE"""),"Combatente e Socorrista")</f>
        <v>Combatente e Socorrista</v>
      </c>
      <c r="I124" s="1" t="str">
        <f>IFERROR(__xludf.DUMMYFUNCTION("""COMPUTED_VALUE"""),"Bombeiro Civil, SBV")</f>
        <v>Bombeiro Civil, SBV</v>
      </c>
      <c r="J124" s="1" t="str">
        <f>IFERROR(__xludf.DUMMYFUNCTION("""COMPUTED_VALUE"""),"Sim")</f>
        <v>Sim</v>
      </c>
      <c r="K124" s="1" t="str">
        <f>IFERROR(__xludf.DUMMYFUNCTION("""COMPUTED_VALUE"""),"Não")</f>
        <v>Não</v>
      </c>
      <c r="L124" s="1" t="str">
        <f>IFERROR(__xludf.DUMMYFUNCTION("""COMPUTED_VALUE"""),"O-")</f>
        <v>O-</v>
      </c>
      <c r="M124" s="1" t="str">
        <f>IFERROR(__xludf.DUMMYFUNCTION("""COMPUTED_VALUE"""),"ROBSON")</f>
        <v>ROBSON</v>
      </c>
      <c r="N124" s="120">
        <f>IFERROR(__xludf.DUMMYFUNCTION("""COMPUTED_VALUE"""),28042)</f>
        <v>28042</v>
      </c>
      <c r="O124" s="1" t="str">
        <f>IFERROR(__xludf.DUMMYFUNCTION("""COMPUTED_VALUE"""),"Masculino")</f>
        <v>Masculino</v>
      </c>
      <c r="P124" s="1" t="str">
        <f>IFERROR(__xludf.DUMMYFUNCTION("""COMPUTED_VALUE"""),"Branca")</f>
        <v>Branca</v>
      </c>
      <c r="Q124" s="1" t="str">
        <f>IFERROR(__xludf.DUMMYFUNCTION("""COMPUTED_VALUE"""),"Ensino Médio")</f>
        <v>Ensino Médio</v>
      </c>
      <c r="R124" s="123" t="str">
        <f>IFERROR(__xludf.DUMMYFUNCTION("""COMPUTED_VALUE"""),"uilrobson193@gmail.com")</f>
        <v>uilrobson193@gmail.com</v>
      </c>
      <c r="S124" s="1">
        <f>IFERROR(__xludf.DUMMYFUNCTION("""COMPUTED_VALUE"""),75)</f>
        <v>75</v>
      </c>
      <c r="T124" s="1" t="str">
        <f>IFERROR(__xludf.DUMMYFUNCTION("""COMPUTED_VALUE"""),"Entre 1,71m e 1,75m")</f>
        <v>Entre 1,71m e 1,75m</v>
      </c>
      <c r="U124" s="1"/>
      <c r="V124" s="1" t="str">
        <f>IFERROR(__xludf.DUMMYFUNCTION("""COMPUTED_VALUE"""),"51 - 998656798")</f>
        <v>51 - 998656798</v>
      </c>
      <c r="W124" s="1" t="str">
        <f>IFERROR(__xludf.DUMMYFUNCTION("""COMPUTED_VALUE"""),"51- 980205008")</f>
        <v>51- 980205008</v>
      </c>
      <c r="X124" s="1" t="str">
        <f>IFERROR(__xludf.DUMMYFUNCTION("""COMPUTED_VALUE"""),"RS")</f>
        <v>RS</v>
      </c>
      <c r="Y124" s="1" t="str">
        <f>IFERROR(__xludf.DUMMYFUNCTION("""COMPUTED_VALUE"""),"CAPELA DE SANTANA")</f>
        <v>CAPELA DE SANTANA</v>
      </c>
      <c r="Z124" s="1">
        <f>IFERROR(__xludf.DUMMYFUNCTION("""COMPUTED_VALUE"""),95745000)</f>
        <v>95745000</v>
      </c>
      <c r="AA124" s="1" t="str">
        <f>IFERROR(__xludf.DUMMYFUNCTION("""COMPUTED_VALUE"""),"RUA IRAÍ 252")</f>
        <v>RUA IRAÍ 252</v>
      </c>
      <c r="AB124" s="1" t="str">
        <f>IFERROR(__xludf.DUMMYFUNCTION("""COMPUTED_VALUE"""),"IMIGRANTES")</f>
        <v>IMIGRANTES</v>
      </c>
      <c r="AC124" s="1" t="str">
        <f>IFERROR(__xludf.DUMMYFUNCTION("""COMPUTED_VALUE"""),"M")</f>
        <v>M</v>
      </c>
      <c r="AD124" s="1" t="str">
        <f>IFERROR(__xludf.DUMMYFUNCTION("""COMPUTED_VALUE"""),"M")</f>
        <v>M</v>
      </c>
      <c r="AE124" s="1" t="str">
        <f>IFERROR(__xludf.DUMMYFUNCTION("""COMPUTED_VALUE"""),"M")</f>
        <v>M</v>
      </c>
      <c r="AF124" s="1" t="str">
        <f>IFERROR(__xludf.DUMMYFUNCTION("""COMPUTED_VALUE"""),"M")</f>
        <v>M</v>
      </c>
      <c r="AG124" s="1" t="str">
        <f>IFERROR(__xludf.DUMMYFUNCTION("""COMPUTED_VALUE"""),"M")</f>
        <v>M</v>
      </c>
      <c r="AH124" s="1">
        <f>IFERROR(__xludf.DUMMYFUNCTION("""COMPUTED_VALUE"""),41)</f>
        <v>41</v>
      </c>
      <c r="AI124" s="1">
        <f>IFERROR(__xludf.DUMMYFUNCTION("""COMPUTED_VALUE"""),41)</f>
        <v>41</v>
      </c>
      <c r="AJ124" s="1">
        <f>IFERROR(__xludf.DUMMYFUNCTION("""COMPUTED_VALUE"""),41)</f>
        <v>41</v>
      </c>
      <c r="AK124" s="1">
        <f>IFERROR(__xludf.DUMMYFUNCTION("""COMPUTED_VALUE"""),41)</f>
        <v>41</v>
      </c>
      <c r="AL124" s="1" t="str">
        <f>IFERROR(__xludf.DUMMYFUNCTION("""COMPUTED_VALUE"""),"M")</f>
        <v>M</v>
      </c>
      <c r="AM124" s="1" t="str">
        <f>IFERROR(__xludf.DUMMYFUNCTION("""COMPUTED_VALUE"""),"M")</f>
        <v>M</v>
      </c>
      <c r="AN124" s="1" t="str">
        <f>IFERROR(__xludf.DUMMYFUNCTION("""COMPUTED_VALUE"""),"UNIVERSAL")</f>
        <v>UNIVERSAL</v>
      </c>
    </row>
    <row r="125" customHeight="1" spans="1:40">
      <c r="A125" s="1" t="str">
        <f>IFERROR(__xludf.DUMMYFUNCTION("""COMPUTED_VALUE"""),"02° BBM")</f>
        <v>02° BBM</v>
      </c>
      <c r="B125" s="1" t="str">
        <f>IFERROR(__xludf.DUMMYFUNCTION("""COMPUTED_VALUE"""),"Montenegro")</f>
        <v>Montenegro</v>
      </c>
      <c r="C125" s="119" t="str">
        <f>IFERROR(__xludf.DUMMYFUNCTION("""COMPUTED_VALUE"""),"Comunitario")</f>
        <v>Comunitario</v>
      </c>
      <c r="D125" s="119" t="str">
        <f>IFERROR(__xludf.DUMMYFUNCTION("""COMPUTED_VALUE"""),"UIL ROBSON ROCHA DE OLLIVEIRA")</f>
        <v>UIL ROBSON ROCHA DE OLLIVEIRA</v>
      </c>
      <c r="E125" s="119" t="str">
        <f>IFERROR(__xludf.DUMMYFUNCTION("""COMPUTED_VALUE"""),"")</f>
        <v/>
      </c>
      <c r="F125" s="1" t="str">
        <f>IFERROR(__xludf.DUMMYFUNCTION("""COMPUTED_VALUE"""),"954.169.780-15")</f>
        <v>954.169.780-15</v>
      </c>
      <c r="G125" s="1">
        <f>IFERROR(__xludf.DUMMYFUNCTION("""COMPUTED_VALUE"""),1067429058)</f>
        <v>1067429058</v>
      </c>
      <c r="H125" s="1" t="str">
        <f>IFERROR(__xludf.DUMMYFUNCTION("""COMPUTED_VALUE"""),"Combatente")</f>
        <v>Combatente</v>
      </c>
      <c r="I125" s="1" t="str">
        <f>IFERROR(__xludf.DUMMYFUNCTION("""COMPUTED_VALUE"""),"Bombeiro Voluntário")</f>
        <v>Bombeiro Voluntário</v>
      </c>
      <c r="J125" s="1" t="str">
        <f>IFERROR(__xludf.DUMMYFUNCTION("""COMPUTED_VALUE"""),"Sim")</f>
        <v>Sim</v>
      </c>
      <c r="K125" s="1" t="str">
        <f>IFERROR(__xludf.DUMMYFUNCTION("""COMPUTED_VALUE"""),"Não")</f>
        <v>Não</v>
      </c>
      <c r="L125" s="1" t="str">
        <f>IFERROR(__xludf.DUMMYFUNCTION("""COMPUTED_VALUE"""),"O-")</f>
        <v>O-</v>
      </c>
      <c r="M125" s="1" t="str">
        <f>IFERROR(__xludf.DUMMYFUNCTION("""COMPUTED_VALUE"""),"ROBSON")</f>
        <v>ROBSON</v>
      </c>
      <c r="N125" s="120">
        <f>IFERROR(__xludf.DUMMYFUNCTION("""COMPUTED_VALUE"""),28042)</f>
        <v>28042</v>
      </c>
      <c r="O125" s="1" t="str">
        <f>IFERROR(__xludf.DUMMYFUNCTION("""COMPUTED_VALUE"""),"Masculino")</f>
        <v>Masculino</v>
      </c>
      <c r="P125" s="1" t="str">
        <f>IFERROR(__xludf.DUMMYFUNCTION("""COMPUTED_VALUE"""),"Branca")</f>
        <v>Branca</v>
      </c>
      <c r="Q125" s="1" t="str">
        <f>IFERROR(__xludf.DUMMYFUNCTION("""COMPUTED_VALUE"""),"Ensino Médio")</f>
        <v>Ensino Médio</v>
      </c>
      <c r="R125" s="1" t="str">
        <f>IFERROR(__xludf.DUMMYFUNCTION("""COMPUTED_VALUE"""),"uilrobson193@gmail.com")</f>
        <v>uilrobson193@gmail.com</v>
      </c>
      <c r="S125" s="1">
        <f>IFERROR(__xludf.DUMMYFUNCTION("""COMPUTED_VALUE"""),75)</f>
        <v>75</v>
      </c>
      <c r="T125" s="1" t="str">
        <f>IFERROR(__xludf.DUMMYFUNCTION("""COMPUTED_VALUE"""),"Entre 1,71m e 1,75m")</f>
        <v>Entre 1,71m e 1,75m</v>
      </c>
      <c r="U125" s="1" t="str">
        <f>IFERROR(__xludf.DUMMYFUNCTION("""COMPUTED_VALUE"""),"Não")</f>
        <v>Não</v>
      </c>
      <c r="V125" s="1" t="str">
        <f>IFERROR(__xludf.DUMMYFUNCTION("""COMPUTED_VALUE"""),"(51)99865-6798")</f>
        <v>(51)99865-6798</v>
      </c>
      <c r="W125" s="1" t="str">
        <f>IFERROR(__xludf.DUMMYFUNCTION("""COMPUTED_VALUE"""),"(51)98020-5008")</f>
        <v>(51)98020-5008</v>
      </c>
      <c r="X125" s="1" t="str">
        <f>IFERROR(__xludf.DUMMYFUNCTION("""COMPUTED_VALUE"""),"RS")</f>
        <v>RS</v>
      </c>
      <c r="Y125" s="1" t="str">
        <f>IFERROR(__xludf.DUMMYFUNCTION("""COMPUTED_VALUE"""),"Capela de Santana")</f>
        <v>Capela de Santana</v>
      </c>
      <c r="Z125" s="1" t="str">
        <f>IFERROR(__xludf.DUMMYFUNCTION("""COMPUTED_VALUE"""),"95745-000")</f>
        <v>95745-000</v>
      </c>
      <c r="AA125" s="1" t="str">
        <f>IFERROR(__xludf.DUMMYFUNCTION("""COMPUTED_VALUE"""),"IRAÍ, 252")</f>
        <v>IRAÍ, 252</v>
      </c>
      <c r="AB125" s="1" t="str">
        <f>IFERROR(__xludf.DUMMYFUNCTION("""COMPUTED_VALUE"""),"IMIGRANTES")</f>
        <v>IMIGRANTES</v>
      </c>
      <c r="AC125" s="1" t="str">
        <f>IFERROR(__xludf.DUMMYFUNCTION("""COMPUTED_VALUE"""),"M")</f>
        <v>M</v>
      </c>
      <c r="AD125" s="1" t="str">
        <f>IFERROR(__xludf.DUMMYFUNCTION("""COMPUTED_VALUE"""),"M")</f>
        <v>M</v>
      </c>
      <c r="AE125" s="1" t="str">
        <f>IFERROR(__xludf.DUMMYFUNCTION("""COMPUTED_VALUE"""),"M")</f>
        <v>M</v>
      </c>
      <c r="AF125" s="1" t="str">
        <f>IFERROR(__xludf.DUMMYFUNCTION("""COMPUTED_VALUE"""),"M")</f>
        <v>M</v>
      </c>
      <c r="AG125" s="1" t="str">
        <f>IFERROR(__xludf.DUMMYFUNCTION("""COMPUTED_VALUE"""),"M")</f>
        <v>M</v>
      </c>
      <c r="AH125" s="1">
        <f>IFERROR(__xludf.DUMMYFUNCTION("""COMPUTED_VALUE"""),41)</f>
        <v>41</v>
      </c>
      <c r="AI125" s="1">
        <f>IFERROR(__xludf.DUMMYFUNCTION("""COMPUTED_VALUE"""),41)</f>
        <v>41</v>
      </c>
      <c r="AJ125" s="1">
        <f>IFERROR(__xludf.DUMMYFUNCTION("""COMPUTED_VALUE"""),41)</f>
        <v>41</v>
      </c>
      <c r="AK125" s="1">
        <f>IFERROR(__xludf.DUMMYFUNCTION("""COMPUTED_VALUE"""),41)</f>
        <v>41</v>
      </c>
      <c r="AL125" s="1" t="str">
        <f>IFERROR(__xludf.DUMMYFUNCTION("""COMPUTED_VALUE"""),"M")</f>
        <v>M</v>
      </c>
      <c r="AM125" s="1" t="str">
        <f>IFERROR(__xludf.DUMMYFUNCTION("""COMPUTED_VALUE"""),"M")</f>
        <v>M</v>
      </c>
      <c r="AN125" s="1" t="str">
        <f>IFERROR(__xludf.DUMMYFUNCTION("""COMPUTED_VALUE"""),"G")</f>
        <v>G</v>
      </c>
    </row>
    <row r="126" customHeight="1" spans="1:40">
      <c r="A126" s="1" t="str">
        <f>IFERROR(__xludf.DUMMYFUNCTION("""COMPUTED_VALUE"""),"02° BBM")</f>
        <v>02° BBM</v>
      </c>
      <c r="B126" s="1" t="str">
        <f>IFERROR(__xludf.DUMMYFUNCTION("""COMPUTED_VALUE"""),"Portão")</f>
        <v>Portão</v>
      </c>
      <c r="C126" s="119" t="str">
        <f>IFERROR(__xludf.DUMMYFUNCTION("""COMPUTED_VALUE"""),"Comunitario")</f>
        <v>Comunitario</v>
      </c>
      <c r="D126" s="119" t="str">
        <f>IFERROR(__xludf.DUMMYFUNCTION("""COMPUTED_VALUE"""),"UILIAN MARTINS")</f>
        <v>UILIAN MARTINS</v>
      </c>
      <c r="E126" s="119" t="str">
        <f>IFERROR(__xludf.DUMMYFUNCTION("""COMPUTED_VALUE"""),"Curso CAB operador concluído")</f>
        <v>Curso CAB operador concluído</v>
      </c>
      <c r="F126" s="1" t="str">
        <f>IFERROR(__xludf.DUMMYFUNCTION("""COMPUTED_VALUE"""),"022.543.680-95")</f>
        <v>022.543.680-95</v>
      </c>
      <c r="G126" s="1">
        <f>IFERROR(__xludf.DUMMYFUNCTION("""COMPUTED_VALUE"""),4070412533)</f>
        <v>4070412533</v>
      </c>
      <c r="H126" s="1" t="str">
        <f>IFERROR(__xludf.DUMMYFUNCTION("""COMPUTED_VALUE"""),"Combatente e Socorrista")</f>
        <v>Combatente e Socorrista</v>
      </c>
      <c r="I126" s="1" t="str">
        <f>IFERROR(__xludf.DUMMYFUNCTION("""COMPUTED_VALUE"""),"Bombeiro Voluntário, Tec Seg Trabalho, NR33, NR10, NR35")</f>
        <v>Bombeiro Voluntário, Tec Seg Trabalho, NR33, NR10, NR35</v>
      </c>
      <c r="J126" s="1" t="str">
        <f>IFERROR(__xludf.DUMMYFUNCTION("""COMPUTED_VALUE"""),"Sim")</f>
        <v>Sim</v>
      </c>
      <c r="K126" s="1" t="str">
        <f>IFERROR(__xludf.DUMMYFUNCTION("""COMPUTED_VALUE"""),"Não")</f>
        <v>Não</v>
      </c>
      <c r="L126" s="1" t="str">
        <f>IFERROR(__xludf.DUMMYFUNCTION("""COMPUTED_VALUE"""),"A+")</f>
        <v>A+</v>
      </c>
      <c r="M126" s="1" t="str">
        <f>IFERROR(__xludf.DUMMYFUNCTION("""COMPUTED_VALUE"""),"Uilian")</f>
        <v>Uilian</v>
      </c>
      <c r="N126" s="120">
        <f>IFERROR(__xludf.DUMMYFUNCTION("""COMPUTED_VALUE"""),33090)</f>
        <v>33090</v>
      </c>
      <c r="O126" s="1" t="str">
        <f>IFERROR(__xludf.DUMMYFUNCTION("""COMPUTED_VALUE"""),"Masculino")</f>
        <v>Masculino</v>
      </c>
      <c r="P126" s="1" t="str">
        <f>IFERROR(__xludf.DUMMYFUNCTION("""COMPUTED_VALUE"""),"Branca")</f>
        <v>Branca</v>
      </c>
      <c r="Q126" s="1" t="str">
        <f>IFERROR(__xludf.DUMMYFUNCTION("""COMPUTED_VALUE"""),"Ensino Superior Completo")</f>
        <v>Ensino Superior Completo</v>
      </c>
      <c r="R126" s="1" t="str">
        <f>IFERROR(__xludf.DUMMYFUNCTION("""COMPUTED_VALUE"""),"uilianmartins@outlook.com")</f>
        <v>uilianmartins@outlook.com</v>
      </c>
      <c r="S126" s="1">
        <f>IFERROR(__xludf.DUMMYFUNCTION("""COMPUTED_VALUE"""),76)</f>
        <v>76</v>
      </c>
      <c r="T126" s="1" t="str">
        <f>IFERROR(__xludf.DUMMYFUNCTION("""COMPUTED_VALUE"""),"Entre 1,71m e 1,75m")</f>
        <v>Entre 1,71m e 1,75m</v>
      </c>
      <c r="U126" s="1"/>
      <c r="V126" s="1" t="str">
        <f>IFERROR(__xludf.DUMMYFUNCTION("""COMPUTED_VALUE"""),"(51)996534958")</f>
        <v>(51)996534958</v>
      </c>
      <c r="W126" s="1"/>
      <c r="X126" s="1" t="str">
        <f>IFERROR(__xludf.DUMMYFUNCTION("""COMPUTED_VALUE"""),"RS")</f>
        <v>RS</v>
      </c>
      <c r="Y126" s="1" t="str">
        <f>IFERROR(__xludf.DUMMYFUNCTION("""COMPUTED_VALUE"""),"Portão")</f>
        <v>Portão</v>
      </c>
      <c r="Z126" s="1" t="str">
        <f>IFERROR(__xludf.DUMMYFUNCTION("""COMPUTED_VALUE"""),"93180-000")</f>
        <v>93180-000</v>
      </c>
      <c r="AA126" s="1" t="str">
        <f>IFERROR(__xludf.DUMMYFUNCTION("""COMPUTED_VALUE"""),"Rua São Leopoldo leste, 61")</f>
        <v>Rua São Leopoldo leste, 61</v>
      </c>
      <c r="AB126" s="1" t="str">
        <f>IFERROR(__xludf.DUMMYFUNCTION("""COMPUTED_VALUE"""),"Centro")</f>
        <v>Centro</v>
      </c>
      <c r="AC126" s="1" t="str">
        <f>IFERROR(__xludf.DUMMYFUNCTION("""COMPUTED_VALUE"""),"M")</f>
        <v>M</v>
      </c>
      <c r="AD126" s="1" t="str">
        <f>IFERROR(__xludf.DUMMYFUNCTION("""COMPUTED_VALUE"""),"M")</f>
        <v>M</v>
      </c>
      <c r="AE126" s="1" t="str">
        <f>IFERROR(__xludf.DUMMYFUNCTION("""COMPUTED_VALUE"""),"M")</f>
        <v>M</v>
      </c>
      <c r="AF126" s="1" t="str">
        <f>IFERROR(__xludf.DUMMYFUNCTION("""COMPUTED_VALUE"""),"M")</f>
        <v>M</v>
      </c>
      <c r="AG126" s="1" t="str">
        <f>IFERROR(__xludf.DUMMYFUNCTION("""COMPUTED_VALUE"""),"M")</f>
        <v>M</v>
      </c>
      <c r="AH126" s="1">
        <f>IFERROR(__xludf.DUMMYFUNCTION("""COMPUTED_VALUE"""),40)</f>
        <v>40</v>
      </c>
      <c r="AI126" s="1">
        <f>IFERROR(__xludf.DUMMYFUNCTION("""COMPUTED_VALUE"""),40)</f>
        <v>40</v>
      </c>
      <c r="AJ126" s="1">
        <f>IFERROR(__xludf.DUMMYFUNCTION("""COMPUTED_VALUE"""),40)</f>
        <v>40</v>
      </c>
      <c r="AK126" s="1">
        <f>IFERROR(__xludf.DUMMYFUNCTION("""COMPUTED_VALUE"""),40)</f>
        <v>40</v>
      </c>
      <c r="AL126" s="1" t="str">
        <f>IFERROR(__xludf.DUMMYFUNCTION("""COMPUTED_VALUE"""),"M")</f>
        <v>M</v>
      </c>
      <c r="AM126" s="1" t="str">
        <f>IFERROR(__xludf.DUMMYFUNCTION("""COMPUTED_VALUE"""),"M")</f>
        <v>M</v>
      </c>
      <c r="AN126" s="1" t="str">
        <f>IFERROR(__xludf.DUMMYFUNCTION("""COMPUTED_VALUE"""),"M")</f>
        <v>M</v>
      </c>
    </row>
    <row r="127" customHeight="1" spans="1:40">
      <c r="A127" s="1"/>
      <c r="B127" s="1"/>
      <c r="C127" s="119"/>
      <c r="D127" s="119" t="str">
        <f>IFERROR(__xludf.DUMMYFUNCTION("""COMPUTED_VALUE"""),"VAGNER DE ALMEIDA ZANCHIN")</f>
        <v>VAGNER DE ALMEIDA ZANCHIN</v>
      </c>
      <c r="E127" s="119" t="str">
        <f>IFERROR(__xludf.DUMMYFUNCTION("""COMPUTED_VALUE"""),"Curso CAB operador concluído")</f>
        <v>Curso CAB operador concluído</v>
      </c>
      <c r="F127" s="1" t="str">
        <f>IFERROR(__xludf.DUMMYFUNCTION("""COMPUTED_VALUE"""),"028.940.72-066")</f>
        <v>028.940.72-066</v>
      </c>
      <c r="G127" s="1"/>
      <c r="H127" s="1"/>
      <c r="I127" s="1"/>
      <c r="J127" s="1"/>
      <c r="K127" s="1"/>
      <c r="L127" s="1"/>
      <c r="M127" s="1"/>
      <c r="N127" s="120"/>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row>
    <row r="128" customHeight="1" spans="1:40">
      <c r="A128" s="1" t="str">
        <f>IFERROR(__xludf.DUMMYFUNCTION("""COMPUTED_VALUE"""),"02° BBM")</f>
        <v>02° BBM</v>
      </c>
      <c r="B128" s="1" t="str">
        <f>IFERROR(__xludf.DUMMYFUNCTION("""COMPUTED_VALUE"""),"Parobé")</f>
        <v>Parobé</v>
      </c>
      <c r="C128" s="119" t="str">
        <f>IFERROR(__xludf.DUMMYFUNCTION("""COMPUTED_VALUE"""),"Comunitario")</f>
        <v>Comunitario</v>
      </c>
      <c r="D128" s="119" t="str">
        <f>IFERROR(__xludf.DUMMYFUNCTION("""COMPUTED_VALUE"""),"VAGNER DE ALMEIDA ZANCHIN ")</f>
        <v>VAGNER DE ALMEIDA ZANCHIN </v>
      </c>
      <c r="E128" s="119" t="str">
        <f>IFERROR(__xludf.DUMMYFUNCTION("""COMPUTED_VALUE"""),"")</f>
        <v/>
      </c>
      <c r="F128" s="1" t="str">
        <f>IFERROR(__xludf.DUMMYFUNCTION("""COMPUTED_VALUE"""),"028.940.720.66")</f>
        <v>028.940.720.66</v>
      </c>
      <c r="G128" s="1">
        <f>IFERROR(__xludf.DUMMYFUNCTION("""COMPUTED_VALUE"""),1090777846)</f>
        <v>1090777846</v>
      </c>
      <c r="H128" s="1" t="str">
        <f>IFERROR(__xludf.DUMMYFUNCTION("""COMPUTED_VALUE"""),"Combatente e socorrista ")</f>
        <v>Combatente e socorrista </v>
      </c>
      <c r="I128" s="1" t="str">
        <f>IFERROR(__xludf.DUMMYFUNCTION("""COMPUTED_VALUE"""),"Bombeiro Voluntario APH &amp; BLS")</f>
        <v>Bombeiro Voluntario APH &amp; BLS</v>
      </c>
      <c r="J128" s="1" t="str">
        <f>IFERROR(__xludf.DUMMYFUNCTION("""COMPUTED_VALUE"""),"Sim")</f>
        <v>Sim</v>
      </c>
      <c r="K128" s="1" t="str">
        <f>IFERROR(__xludf.DUMMYFUNCTION("""COMPUTED_VALUE"""),"Não")</f>
        <v>Não</v>
      </c>
      <c r="L128" s="1" t="str">
        <f>IFERROR(__xludf.DUMMYFUNCTION("""COMPUTED_VALUE"""),"AB+")</f>
        <v>AB+</v>
      </c>
      <c r="M128" s="1" t="str">
        <f>IFERROR(__xludf.DUMMYFUNCTION("""COMPUTED_VALUE"""),"VAGNER ")</f>
        <v>VAGNER </v>
      </c>
      <c r="N128" s="120">
        <f>IFERROR(__xludf.DUMMYFUNCTION("""COMPUTED_VALUE"""),33919)</f>
        <v>33919</v>
      </c>
      <c r="O128" s="1" t="str">
        <f>IFERROR(__xludf.DUMMYFUNCTION("""COMPUTED_VALUE"""),"Masculino")</f>
        <v>Masculino</v>
      </c>
      <c r="P128" s="1" t="str">
        <f>IFERROR(__xludf.DUMMYFUNCTION("""COMPUTED_VALUE"""),"Branca")</f>
        <v>Branca</v>
      </c>
      <c r="Q128" s="1" t="str">
        <f>IFERROR(__xludf.DUMMYFUNCTION("""COMPUTED_VALUE"""),"Ensino Superior Incompleto")</f>
        <v>Ensino Superior Incompleto</v>
      </c>
      <c r="R128" s="1" t="str">
        <f>IFERROR(__xludf.DUMMYFUNCTION("""COMPUTED_VALUE"""),"vagner.almeida2260@gmail.com")</f>
        <v>vagner.almeida2260@gmail.com</v>
      </c>
      <c r="S128" s="1">
        <f>IFERROR(__xludf.DUMMYFUNCTION("""COMPUTED_VALUE"""),97)</f>
        <v>97</v>
      </c>
      <c r="T128" s="1" t="str">
        <f>IFERROR(__xludf.DUMMYFUNCTION("""COMPUTED_VALUE"""),"Entre 1,71m e 1,75m")</f>
        <v>Entre 1,71m e 1,75m</v>
      </c>
      <c r="U128" s="1" t="str">
        <f>IFERROR(__xludf.DUMMYFUNCTION("""COMPUTED_VALUE"""),"nao")</f>
        <v>nao</v>
      </c>
      <c r="V128" s="1" t="str">
        <f>IFERROR(__xludf.DUMMYFUNCTION("""COMPUTED_VALUE"""),"(51) 994674334")</f>
        <v>(51) 994674334</v>
      </c>
      <c r="W128" s="1" t="str">
        <f>IFERROR(__xludf.DUMMYFUNCTION("""COMPUTED_VALUE"""),"(51) 998629061")</f>
        <v>(51) 998629061</v>
      </c>
      <c r="X128" s="1" t="str">
        <f>IFERROR(__xludf.DUMMYFUNCTION("""COMPUTED_VALUE"""),"RS")</f>
        <v>RS</v>
      </c>
      <c r="Y128" s="1" t="str">
        <f>IFERROR(__xludf.DUMMYFUNCTION("""COMPUTED_VALUE"""),"Parobé")</f>
        <v>Parobé</v>
      </c>
      <c r="Z128" s="1" t="str">
        <f>IFERROR(__xludf.DUMMYFUNCTION("""COMPUTED_VALUE"""),"95630-000")</f>
        <v>95630-000</v>
      </c>
      <c r="AA128" s="1" t="str">
        <f>IFERROR(__xludf.DUMMYFUNCTION("""COMPUTED_VALUE"""),"Afonso Pena 230 ")</f>
        <v>Afonso Pena 230 </v>
      </c>
      <c r="AB128" s="1" t="str">
        <f>IFERROR(__xludf.DUMMYFUNCTION("""COMPUTED_VALUE"""),"emancipação ")</f>
        <v>emancipação </v>
      </c>
      <c r="AC128" s="1" t="str">
        <f>IFERROR(__xludf.DUMMYFUNCTION("""COMPUTED_VALUE"""),"G")</f>
        <v>G</v>
      </c>
      <c r="AD128" s="1" t="str">
        <f>IFERROR(__xludf.DUMMYFUNCTION("""COMPUTED_VALUE"""),"G")</f>
        <v>G</v>
      </c>
      <c r="AE128" s="1" t="str">
        <f>IFERROR(__xludf.DUMMYFUNCTION("""COMPUTED_VALUE"""),"G")</f>
        <v>G</v>
      </c>
      <c r="AF128" s="1" t="str">
        <f>IFERROR(__xludf.DUMMYFUNCTION("""COMPUTED_VALUE"""),"G")</f>
        <v>G</v>
      </c>
      <c r="AG128" s="1" t="str">
        <f>IFERROR(__xludf.DUMMYFUNCTION("""COMPUTED_VALUE"""),"G")</f>
        <v>G</v>
      </c>
      <c r="AH128" s="1">
        <f>IFERROR(__xludf.DUMMYFUNCTION("""COMPUTED_VALUE"""),41)</f>
        <v>41</v>
      </c>
      <c r="AI128" s="1">
        <f>IFERROR(__xludf.DUMMYFUNCTION("""COMPUTED_VALUE"""),41)</f>
        <v>41</v>
      </c>
      <c r="AJ128" s="1">
        <f>IFERROR(__xludf.DUMMYFUNCTION("""COMPUTED_VALUE"""),41)</f>
        <v>41</v>
      </c>
      <c r="AK128" s="1">
        <f>IFERROR(__xludf.DUMMYFUNCTION("""COMPUTED_VALUE"""),41)</f>
        <v>41</v>
      </c>
      <c r="AL128" s="1" t="str">
        <f>IFERROR(__xludf.DUMMYFUNCTION("""COMPUTED_VALUE"""),"G")</f>
        <v>G</v>
      </c>
      <c r="AM128" s="1" t="str">
        <f>IFERROR(__xludf.DUMMYFUNCTION("""COMPUTED_VALUE"""),"G")</f>
        <v>G</v>
      </c>
      <c r="AN128" s="1" t="str">
        <f>IFERROR(__xludf.DUMMYFUNCTION("""COMPUTED_VALUE"""),"G")</f>
        <v>G</v>
      </c>
    </row>
    <row r="129" customHeight="1" spans="1:40">
      <c r="A129" s="1" t="str">
        <f>IFERROR(__xludf.DUMMYFUNCTION("""COMPUTED_VALUE"""),"02° BBM")</f>
        <v>02° BBM</v>
      </c>
      <c r="B129" s="1" t="str">
        <f>IFERROR(__xludf.DUMMYFUNCTION("""COMPUTED_VALUE"""),"Montenegro")</f>
        <v>Montenegro</v>
      </c>
      <c r="C129" s="119" t="str">
        <f>IFERROR(__xludf.DUMMYFUNCTION("""COMPUTED_VALUE"""),"Comunitario")</f>
        <v>Comunitario</v>
      </c>
      <c r="D129" s="119" t="str">
        <f>IFERROR(__xludf.DUMMYFUNCTION("""COMPUTED_VALUE"""),"VALMIR DE OLIVEIRA")</f>
        <v>VALMIR DE OLIVEIRA</v>
      </c>
      <c r="E129" s="119" t="str">
        <f>IFERROR(__xludf.DUMMYFUNCTION("""COMPUTED_VALUE"""),"")</f>
        <v/>
      </c>
      <c r="F129" s="1" t="str">
        <f>IFERROR(__xludf.DUMMYFUNCTION("""COMPUTED_VALUE"""),"790.110.980-72")</f>
        <v>790.110.980-72</v>
      </c>
      <c r="G129" s="1">
        <f>IFERROR(__xludf.DUMMYFUNCTION("""COMPUTED_VALUE"""),8122047131)</f>
        <v>8122047131</v>
      </c>
      <c r="H129" s="1" t="str">
        <f>IFERROR(__xludf.DUMMYFUNCTION("""COMPUTED_VALUE"""),"Combatente")</f>
        <v>Combatente</v>
      </c>
      <c r="I129" s="1" t="str">
        <f>IFERROR(__xludf.DUMMYFUNCTION("""COMPUTED_VALUE"""),"Bombeiro Voluntário")</f>
        <v>Bombeiro Voluntário</v>
      </c>
      <c r="J129" s="1" t="str">
        <f>IFERROR(__xludf.DUMMYFUNCTION("""COMPUTED_VALUE"""),"Sim")</f>
        <v>Sim</v>
      </c>
      <c r="K129" s="1" t="str">
        <f>IFERROR(__xludf.DUMMYFUNCTION("""COMPUTED_VALUE"""),"Não")</f>
        <v>Não</v>
      </c>
      <c r="L129" s="1" t="str">
        <f>IFERROR(__xludf.DUMMYFUNCTION("""COMPUTED_VALUE"""),"O+")</f>
        <v>O+</v>
      </c>
      <c r="M129" s="1" t="str">
        <f>IFERROR(__xludf.DUMMYFUNCTION("""COMPUTED_VALUE"""),"VALMIR")</f>
        <v>VALMIR</v>
      </c>
      <c r="N129" s="120">
        <f>IFERROR(__xludf.DUMMYFUNCTION("""COMPUTED_VALUE"""),27779)</f>
        <v>27779</v>
      </c>
      <c r="O129" s="1" t="str">
        <f>IFERROR(__xludf.DUMMYFUNCTION("""COMPUTED_VALUE"""),"Masculino")</f>
        <v>Masculino</v>
      </c>
      <c r="P129" s="1" t="str">
        <f>IFERROR(__xludf.DUMMYFUNCTION("""COMPUTED_VALUE"""),"Parda")</f>
        <v>Parda</v>
      </c>
      <c r="Q129" s="1"/>
      <c r="R129" s="1" t="str">
        <f>IFERROR(__xludf.DUMMYFUNCTION("""COMPUTED_VALUE"""),"valmirbombeiro46@gmail.com")</f>
        <v>valmirbombeiro46@gmail.com</v>
      </c>
      <c r="S129" s="1">
        <f>IFERROR(__xludf.DUMMYFUNCTION("""COMPUTED_VALUE"""),83)</f>
        <v>83</v>
      </c>
      <c r="T129" s="1" t="str">
        <f>IFERROR(__xludf.DUMMYFUNCTION("""COMPUTED_VALUE"""),"Entre 1,71m e 1,75m")</f>
        <v>Entre 1,71m e 1,75m</v>
      </c>
      <c r="U129" s="1" t="str">
        <f>IFERROR(__xludf.DUMMYFUNCTION("""COMPUTED_VALUE"""),"Não")</f>
        <v>Não</v>
      </c>
      <c r="V129" s="1" t="str">
        <f>IFERROR(__xludf.DUMMYFUNCTION("""COMPUTED_VALUE"""),"(51)99691-4584")</f>
        <v>(51)99691-4584</v>
      </c>
      <c r="W129" s="1" t="str">
        <f>IFERROR(__xludf.DUMMYFUNCTION("""COMPUTED_VALUE"""),"(51)99862-7608")</f>
        <v>(51)99862-7608</v>
      </c>
      <c r="X129" s="1" t="str">
        <f>IFERROR(__xludf.DUMMYFUNCTION("""COMPUTED_VALUE"""),"RS")</f>
        <v>RS</v>
      </c>
      <c r="Y129" s="1" t="str">
        <f>IFERROR(__xludf.DUMMYFUNCTION("""COMPUTED_VALUE"""),"Campo Bom")</f>
        <v>Campo Bom</v>
      </c>
      <c r="Z129" s="1" t="str">
        <f>IFERROR(__xludf.DUMMYFUNCTION("""COMPUTED_VALUE"""),"93700-000")</f>
        <v>93700-000</v>
      </c>
      <c r="AA129" s="1" t="str">
        <f>IFERROR(__xludf.DUMMYFUNCTION("""COMPUTED_VALUE"""),"DA PRIMEIRA CONQUISTA, 333")</f>
        <v>DA PRIMEIRA CONQUISTA, 333</v>
      </c>
      <c r="AB129" s="1" t="str">
        <f>IFERROR(__xludf.DUMMYFUNCTION("""COMPUTED_VALUE"""),"BEM VIVER")</f>
        <v>BEM VIVER</v>
      </c>
      <c r="AC129" s="1" t="str">
        <f>IFERROR(__xludf.DUMMYFUNCTION("""COMPUTED_VALUE"""),"G")</f>
        <v>G</v>
      </c>
      <c r="AD129" s="1" t="str">
        <f>IFERROR(__xludf.DUMMYFUNCTION("""COMPUTED_VALUE"""),"G")</f>
        <v>G</v>
      </c>
      <c r="AE129" s="1" t="str">
        <f>IFERROR(__xludf.DUMMYFUNCTION("""COMPUTED_VALUE"""),"G")</f>
        <v>G</v>
      </c>
      <c r="AF129" s="1" t="str">
        <f>IFERROR(__xludf.DUMMYFUNCTION("""COMPUTED_VALUE"""),"G")</f>
        <v>G</v>
      </c>
      <c r="AG129" s="1" t="str">
        <f>IFERROR(__xludf.DUMMYFUNCTION("""COMPUTED_VALUE"""),"G")</f>
        <v>G</v>
      </c>
      <c r="AH129" s="1">
        <f>IFERROR(__xludf.DUMMYFUNCTION("""COMPUTED_VALUE"""),42)</f>
        <v>42</v>
      </c>
      <c r="AI129" s="1">
        <f>IFERROR(__xludf.DUMMYFUNCTION("""COMPUTED_VALUE"""),42)</f>
        <v>42</v>
      </c>
      <c r="AJ129" s="1">
        <f>IFERROR(__xludf.DUMMYFUNCTION("""COMPUTED_VALUE"""),42)</f>
        <v>42</v>
      </c>
      <c r="AK129" s="1">
        <f>IFERROR(__xludf.DUMMYFUNCTION("""COMPUTED_VALUE"""),42)</f>
        <v>42</v>
      </c>
      <c r="AL129" s="1" t="str">
        <f>IFERROR(__xludf.DUMMYFUNCTION("""COMPUTED_VALUE"""),"G")</f>
        <v>G</v>
      </c>
      <c r="AM129" s="1" t="str">
        <f>IFERROR(__xludf.DUMMYFUNCTION("""COMPUTED_VALUE"""),"G")</f>
        <v>G</v>
      </c>
      <c r="AN129" s="1" t="str">
        <f>IFERROR(__xludf.DUMMYFUNCTION("""COMPUTED_VALUE"""),"G")</f>
        <v>G</v>
      </c>
    </row>
    <row r="130" customHeight="1" spans="1:40">
      <c r="A130" s="1" t="str">
        <f>IFERROR(__xludf.DUMMYFUNCTION("""COMPUTED_VALUE"""),"02° BBM")</f>
        <v>02° BBM</v>
      </c>
      <c r="B130" s="1" t="str">
        <f>IFERROR(__xludf.DUMMYFUNCTION("""COMPUTED_VALUE"""),"Marata")</f>
        <v>Marata</v>
      </c>
      <c r="C130" s="119" t="str">
        <f>IFERROR(__xludf.DUMMYFUNCTION("""COMPUTED_VALUE"""),"CAB")</f>
        <v>CAB</v>
      </c>
      <c r="D130" s="119" t="str">
        <f>IFERROR(__xludf.DUMMYFUNCTION("""COMPUTED_VALUE"""),"VALMIR DE OLIVEIRA")</f>
        <v>VALMIR DE OLIVEIRA</v>
      </c>
      <c r="E130" s="119" t="str">
        <f>IFERROR(__xludf.DUMMYFUNCTION("""COMPUTED_VALUE"""),"")</f>
        <v/>
      </c>
      <c r="F130" s="1" t="str">
        <f>IFERROR(__xludf.DUMMYFUNCTION("""COMPUTED_VALUE"""),"790.110.980-72")</f>
        <v>790.110.980-72</v>
      </c>
      <c r="G130" s="1">
        <f>IFERROR(__xludf.DUMMYFUNCTION("""COMPUTED_VALUE"""),8122047131)</f>
        <v>8122047131</v>
      </c>
      <c r="H130" s="1" t="str">
        <f>IFERROR(__xludf.DUMMYFUNCTION("""COMPUTED_VALUE"""),"Combatente e Socorrista")</f>
        <v>Combatente e Socorrista</v>
      </c>
      <c r="I130" s="1" t="str">
        <f>IFERROR(__xludf.DUMMYFUNCTION("""COMPUTED_VALUE"""),"Bombeiro Civil, SBV")</f>
        <v>Bombeiro Civil, SBV</v>
      </c>
      <c r="J130" s="1" t="str">
        <f>IFERROR(__xludf.DUMMYFUNCTION("""COMPUTED_VALUE"""),"Sim")</f>
        <v>Sim</v>
      </c>
      <c r="K130" s="1" t="str">
        <f>IFERROR(__xludf.DUMMYFUNCTION("""COMPUTED_VALUE"""),"Não")</f>
        <v>Não</v>
      </c>
      <c r="L130" s="1" t="str">
        <f>IFERROR(__xludf.DUMMYFUNCTION("""COMPUTED_VALUE"""),"O+")</f>
        <v>O+</v>
      </c>
      <c r="M130" s="1" t="str">
        <f>IFERROR(__xludf.DUMMYFUNCTION("""COMPUTED_VALUE"""),"VALMIR")</f>
        <v>VALMIR</v>
      </c>
      <c r="N130" s="120">
        <f>IFERROR(__xludf.DUMMYFUNCTION("""COMPUTED_VALUE"""),27779)</f>
        <v>27779</v>
      </c>
      <c r="O130" s="1" t="str">
        <f>IFERROR(__xludf.DUMMYFUNCTION("""COMPUTED_VALUE"""),"Masculino")</f>
        <v>Masculino</v>
      </c>
      <c r="P130" s="1" t="str">
        <f>IFERROR(__xludf.DUMMYFUNCTION("""COMPUTED_VALUE"""),"Parda")</f>
        <v>Parda</v>
      </c>
      <c r="Q130" s="1" t="str">
        <f>IFERROR(__xludf.DUMMYFUNCTION("""COMPUTED_VALUE"""),"Ensino Fundamental")</f>
        <v>Ensino Fundamental</v>
      </c>
      <c r="R130" s="123" t="str">
        <f>IFERROR(__xludf.DUMMYFUNCTION("""COMPUTED_VALUE"""),"valmirbombeiro46@gmail.com")</f>
        <v>valmirbombeiro46@gmail.com</v>
      </c>
      <c r="S130" s="1">
        <f>IFERROR(__xludf.DUMMYFUNCTION("""COMPUTED_VALUE"""),83)</f>
        <v>83</v>
      </c>
      <c r="T130" s="1" t="str">
        <f>IFERROR(__xludf.DUMMYFUNCTION("""COMPUTED_VALUE"""),"Entre 1,71m e 1,75m")</f>
        <v>Entre 1,71m e 1,75m</v>
      </c>
      <c r="U130" s="1"/>
      <c r="V130" s="1" t="str">
        <f>IFERROR(__xludf.DUMMYFUNCTION("""COMPUTED_VALUE"""),"51 - 996914584")</f>
        <v>51 - 996914584</v>
      </c>
      <c r="W130" s="1" t="str">
        <f>IFERROR(__xludf.DUMMYFUNCTION("""COMPUTED_VALUE"""),"51 - 998627608")</f>
        <v>51 - 998627608</v>
      </c>
      <c r="X130" s="1" t="str">
        <f>IFERROR(__xludf.DUMMYFUNCTION("""COMPUTED_VALUE"""),"RS")</f>
        <v>RS</v>
      </c>
      <c r="Y130" s="1" t="str">
        <f>IFERROR(__xludf.DUMMYFUNCTION("""COMPUTED_VALUE"""),"CAMPO BOM")</f>
        <v>CAMPO BOM</v>
      </c>
      <c r="Z130" s="1">
        <f>IFERROR(__xludf.DUMMYFUNCTION("""COMPUTED_VALUE"""),93700000)</f>
        <v>93700000</v>
      </c>
      <c r="AA130" s="1" t="str">
        <f>IFERROR(__xludf.DUMMYFUNCTION("""COMPUTED_VALUE"""),"RUA DA PRIMEIRA CONQUISTA 333")</f>
        <v>RUA DA PRIMEIRA CONQUISTA 333</v>
      </c>
      <c r="AB130" s="1" t="str">
        <f>IFERROR(__xludf.DUMMYFUNCTION("""COMPUTED_VALUE"""),"BEM VIVER")</f>
        <v>BEM VIVER</v>
      </c>
      <c r="AC130" s="1" t="str">
        <f>IFERROR(__xludf.DUMMYFUNCTION("""COMPUTED_VALUE"""),"G")</f>
        <v>G</v>
      </c>
      <c r="AD130" s="1" t="str">
        <f>IFERROR(__xludf.DUMMYFUNCTION("""COMPUTED_VALUE"""),"G")</f>
        <v>G</v>
      </c>
      <c r="AE130" s="1" t="str">
        <f>IFERROR(__xludf.DUMMYFUNCTION("""COMPUTED_VALUE"""),"G")</f>
        <v>G</v>
      </c>
      <c r="AF130" s="1" t="str">
        <f>IFERROR(__xludf.DUMMYFUNCTION("""COMPUTED_VALUE"""),"G")</f>
        <v>G</v>
      </c>
      <c r="AG130" s="1" t="str">
        <f>IFERROR(__xludf.DUMMYFUNCTION("""COMPUTED_VALUE"""),"G")</f>
        <v>G</v>
      </c>
      <c r="AH130" s="1">
        <f>IFERROR(__xludf.DUMMYFUNCTION("""COMPUTED_VALUE"""),42)</f>
        <v>42</v>
      </c>
      <c r="AI130" s="1">
        <f>IFERROR(__xludf.DUMMYFUNCTION("""COMPUTED_VALUE"""),42)</f>
        <v>42</v>
      </c>
      <c r="AJ130" s="1">
        <f>IFERROR(__xludf.DUMMYFUNCTION("""COMPUTED_VALUE"""),42)</f>
        <v>42</v>
      </c>
      <c r="AK130" s="1">
        <f>IFERROR(__xludf.DUMMYFUNCTION("""COMPUTED_VALUE"""),42)</f>
        <v>42</v>
      </c>
      <c r="AL130" s="1" t="str">
        <f>IFERROR(__xludf.DUMMYFUNCTION("""COMPUTED_VALUE"""),"G")</f>
        <v>G</v>
      </c>
      <c r="AM130" s="1" t="str">
        <f>IFERROR(__xludf.DUMMYFUNCTION("""COMPUTED_VALUE"""),"G")</f>
        <v>G</v>
      </c>
      <c r="AN130" s="1" t="str">
        <f>IFERROR(__xludf.DUMMYFUNCTION("""COMPUTED_VALUE"""),"UNIVERSAL")</f>
        <v>UNIVERSAL</v>
      </c>
    </row>
    <row r="131" customHeight="1" spans="1:40">
      <c r="A131" s="1"/>
      <c r="B131" s="1"/>
      <c r="C131" s="119"/>
      <c r="D131" s="119" t="str">
        <f>IFERROR(__xludf.DUMMYFUNCTION("""COMPUTED_VALUE"""),"VANDERLÉIA GOULARTE DA SILVA")</f>
        <v>VANDERLÉIA GOULARTE DA SILVA</v>
      </c>
      <c r="E131" s="119" t="str">
        <f>IFERROR(__xludf.DUMMYFUNCTION("""COMPUTED_VALUE"""),"Módulo 2 e 3 concluído")</f>
        <v>Módulo 2 e 3 concluído</v>
      </c>
      <c r="F131" s="1" t="str">
        <f>IFERROR(__xludf.DUMMYFUNCTION("""COMPUTED_VALUE"""),"010.343.540-94")</f>
        <v>010.343.540-94</v>
      </c>
      <c r="G131" s="1"/>
      <c r="H131" s="1"/>
      <c r="I131" s="1"/>
      <c r="J131" s="1"/>
      <c r="K131" s="1"/>
      <c r="L131" s="1"/>
      <c r="M131" s="1"/>
      <c r="N131" s="120"/>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row>
    <row r="132" customHeight="1" spans="1:40">
      <c r="A132" s="1" t="str">
        <f>IFERROR(__xludf.DUMMYFUNCTION("""COMPUTED_VALUE"""),"02° BBM")</f>
        <v>02° BBM</v>
      </c>
      <c r="B132" s="1" t="str">
        <f>IFERROR(__xludf.DUMMYFUNCTION("""COMPUTED_VALUE"""),"Portão")</f>
        <v>Portão</v>
      </c>
      <c r="C132" s="119" t="str">
        <f>IFERROR(__xludf.DUMMYFUNCTION("""COMPUTED_VALUE"""),"Comunitario")</f>
        <v>Comunitario</v>
      </c>
      <c r="D132" s="119" t="str">
        <f>IFERROR(__xludf.DUMMYFUNCTION("""COMPUTED_VALUE"""),"VARDILEI COSTA GOIS")</f>
        <v>VARDILEI COSTA GOIS</v>
      </c>
      <c r="E132" s="119" t="str">
        <f>IFERROR(__xludf.DUMMYFUNCTION("""COMPUTED_VALUE"""),"Curso CAB operador concluído")</f>
        <v>Curso CAB operador concluído</v>
      </c>
      <c r="F132" s="1" t="str">
        <f>IFERROR(__xludf.DUMMYFUNCTION("""COMPUTED_VALUE"""),"675.364.410-53")</f>
        <v>675.364.410-53</v>
      </c>
      <c r="G132" s="1">
        <f>IFERROR(__xludf.DUMMYFUNCTION("""COMPUTED_VALUE"""),3053896712)</f>
        <v>3053896712</v>
      </c>
      <c r="H132" s="1" t="str">
        <f>IFERROR(__xludf.DUMMYFUNCTION("""COMPUTED_VALUE"""),"Combatente")</f>
        <v>Combatente</v>
      </c>
      <c r="I132" s="1" t="str">
        <f>IFERROR(__xludf.DUMMYFUNCTION("""COMPUTED_VALUE"""),"Bombeiro Voluntário, Tec Seg Trabalho, NR11, NR20, NR23, NR33, NR35")</f>
        <v>Bombeiro Voluntário, Tec Seg Trabalho, NR11, NR20, NR23, NR33, NR35</v>
      </c>
      <c r="J132" s="1" t="str">
        <f>IFERROR(__xludf.DUMMYFUNCTION("""COMPUTED_VALUE"""),"Sim")</f>
        <v>Sim</v>
      </c>
      <c r="K132" s="1" t="str">
        <f>IFERROR(__xludf.DUMMYFUNCTION("""COMPUTED_VALUE"""),"Não")</f>
        <v>Não</v>
      </c>
      <c r="L132" s="1" t="str">
        <f>IFERROR(__xludf.DUMMYFUNCTION("""COMPUTED_VALUE"""),"O+")</f>
        <v>O+</v>
      </c>
      <c r="M132" s="1" t="str">
        <f>IFERROR(__xludf.DUMMYFUNCTION("""COMPUTED_VALUE"""),"GÓIS")</f>
        <v>GÓIS</v>
      </c>
      <c r="N132" s="120">
        <f>IFERROR(__xludf.DUMMYFUNCTION("""COMPUTED_VALUE"""),27661)</f>
        <v>27661</v>
      </c>
      <c r="O132" s="1" t="str">
        <f>IFERROR(__xludf.DUMMYFUNCTION("""COMPUTED_VALUE"""),"Masculino")</f>
        <v>Masculino</v>
      </c>
      <c r="P132" s="1" t="str">
        <f>IFERROR(__xludf.DUMMYFUNCTION("""COMPUTED_VALUE"""),"Branca")</f>
        <v>Branca</v>
      </c>
      <c r="Q132" s="1" t="str">
        <f>IFERROR(__xludf.DUMMYFUNCTION("""COMPUTED_VALUE"""),"Ensino Médio")</f>
        <v>Ensino Médio</v>
      </c>
      <c r="R132" s="1" t="str">
        <f>IFERROR(__xludf.DUMMYFUNCTION("""COMPUTED_VALUE"""),"vardileigois@hotmail.com")</f>
        <v>vardileigois@hotmail.com</v>
      </c>
      <c r="S132" s="1">
        <f>IFERROR(__xludf.DUMMYFUNCTION("""COMPUTED_VALUE"""),83)</f>
        <v>83</v>
      </c>
      <c r="T132" s="1" t="str">
        <f>IFERROR(__xludf.DUMMYFUNCTION("""COMPUTED_VALUE"""),"Entre 1,66m e 1,70m")</f>
        <v>Entre 1,66m e 1,70m</v>
      </c>
      <c r="U132" s="1"/>
      <c r="V132" s="1" t="str">
        <f>IFERROR(__xludf.DUMMYFUNCTION("""COMPUTED_VALUE"""),"(51)999028056")</f>
        <v>(51)999028056</v>
      </c>
      <c r="W132" s="1"/>
      <c r="X132" s="1" t="str">
        <f>IFERROR(__xludf.DUMMYFUNCTION("""COMPUTED_VALUE"""),"RS")</f>
        <v>RS</v>
      </c>
      <c r="Y132" s="1" t="str">
        <f>IFERROR(__xludf.DUMMYFUNCTION("""COMPUTED_VALUE"""),"Portão")</f>
        <v>Portão</v>
      </c>
      <c r="Z132" s="1" t="str">
        <f>IFERROR(__xludf.DUMMYFUNCTION("""COMPUTED_VALUE"""),"93180-000")</f>
        <v>93180-000</v>
      </c>
      <c r="AA132" s="1" t="str">
        <f>IFERROR(__xludf.DUMMYFUNCTION("""COMPUTED_VALUE"""),"Rua Singapura, 482")</f>
        <v>Rua Singapura, 482</v>
      </c>
      <c r="AB132" s="1" t="str">
        <f>IFERROR(__xludf.DUMMYFUNCTION("""COMPUTED_VALUE"""),"Feitoria")</f>
        <v>Feitoria</v>
      </c>
      <c r="AC132" s="1" t="str">
        <f>IFERROR(__xludf.DUMMYFUNCTION("""COMPUTED_VALUE"""),"G")</f>
        <v>G</v>
      </c>
      <c r="AD132" s="1" t="str">
        <f>IFERROR(__xludf.DUMMYFUNCTION("""COMPUTED_VALUE"""),"G")</f>
        <v>G</v>
      </c>
      <c r="AE132" s="1" t="str">
        <f>IFERROR(__xludf.DUMMYFUNCTION("""COMPUTED_VALUE"""),"G")</f>
        <v>G</v>
      </c>
      <c r="AF132" s="1" t="str">
        <f>IFERROR(__xludf.DUMMYFUNCTION("""COMPUTED_VALUE"""),"G")</f>
        <v>G</v>
      </c>
      <c r="AG132" s="1" t="str">
        <f>IFERROR(__xludf.DUMMYFUNCTION("""COMPUTED_VALUE"""),"G")</f>
        <v>G</v>
      </c>
      <c r="AH132" s="1">
        <f>IFERROR(__xludf.DUMMYFUNCTION("""COMPUTED_VALUE"""),40)</f>
        <v>40</v>
      </c>
      <c r="AI132" s="1">
        <f>IFERROR(__xludf.DUMMYFUNCTION("""COMPUTED_VALUE"""),40)</f>
        <v>40</v>
      </c>
      <c r="AJ132" s="1">
        <f>IFERROR(__xludf.DUMMYFUNCTION("""COMPUTED_VALUE"""),40)</f>
        <v>40</v>
      </c>
      <c r="AK132" s="1">
        <f>IFERROR(__xludf.DUMMYFUNCTION("""COMPUTED_VALUE"""),40)</f>
        <v>40</v>
      </c>
      <c r="AL132" s="1" t="str">
        <f>IFERROR(__xludf.DUMMYFUNCTION("""COMPUTED_VALUE"""),"G")</f>
        <v>G</v>
      </c>
      <c r="AM132" s="1" t="str">
        <f>IFERROR(__xludf.DUMMYFUNCTION("""COMPUTED_VALUE"""),"G")</f>
        <v>G</v>
      </c>
      <c r="AN132" s="1" t="str">
        <f>IFERROR(__xludf.DUMMYFUNCTION("""COMPUTED_VALUE"""),"G")</f>
        <v>G</v>
      </c>
    </row>
    <row r="133" customHeight="1" spans="1:40">
      <c r="A133" s="1" t="str">
        <f>IFERROR(__xludf.DUMMYFUNCTION("""COMPUTED_VALUE"""),"02° BBM")</f>
        <v>02° BBM</v>
      </c>
      <c r="B133" s="1" t="str">
        <f>IFERROR(__xludf.DUMMYFUNCTION("""COMPUTED_VALUE"""),"Araricá")</f>
        <v>Araricá</v>
      </c>
      <c r="C133" s="119" t="str">
        <f>IFERROR(__xludf.DUMMYFUNCTION("""COMPUTED_VALUE"""),"CAB")</f>
        <v>CAB</v>
      </c>
      <c r="D133" s="119" t="str">
        <f>IFERROR(__xludf.DUMMYFUNCTION("""COMPUTED_VALUE"""),"VINÍCIUS GABRIEL BUENO GUEDES")</f>
        <v>VINÍCIUS GABRIEL BUENO GUEDES</v>
      </c>
      <c r="E133" s="119" t="str">
        <f>IFERROR(__xludf.DUMMYFUNCTION("""COMPUTED_VALUE"""),"Curso CAB operador concluído")</f>
        <v>Curso CAB operador concluído</v>
      </c>
      <c r="F133" s="1" t="str">
        <f>IFERROR(__xludf.DUMMYFUNCTION("""COMPUTED_VALUE"""),"045.233.330-09")</f>
        <v>045.233.330-09</v>
      </c>
      <c r="G133" s="1">
        <f>IFERROR(__xludf.DUMMYFUNCTION("""COMPUTED_VALUE"""),6127627401)</f>
        <v>6127627401</v>
      </c>
      <c r="H133" s="1" t="str">
        <f>IFERROR(__xludf.DUMMYFUNCTION("""COMPUTED_VALUE"""),"Combatente e Socorrista")</f>
        <v>Combatente e Socorrista</v>
      </c>
      <c r="I133" s="1" t="str">
        <f>IFERROR(__xludf.DUMMYFUNCTION("""COMPUTED_VALUE"""),"Bombeiro Voluntario/APH, BLS, resgate em áreas de difícil acesso, combate a incêndio, produtos perigosos;")</f>
        <v>Bombeiro Voluntario/APH, BLS, resgate em áreas de difícil acesso, combate a incêndio, produtos perigosos;</v>
      </c>
      <c r="J133" s="1" t="str">
        <f>IFERROR(__xludf.DUMMYFUNCTION("""COMPUTED_VALUE"""),"Sim")</f>
        <v>Sim</v>
      </c>
      <c r="K133" s="1" t="str">
        <f>IFERROR(__xludf.DUMMYFUNCTION("""COMPUTED_VALUE"""),"Não")</f>
        <v>Não</v>
      </c>
      <c r="L133" s="1"/>
      <c r="M133" s="1" t="str">
        <f>IFERROR(__xludf.DUMMYFUNCTION("""COMPUTED_VALUE"""),"GUEDES")</f>
        <v>GUEDES</v>
      </c>
      <c r="N133" s="120"/>
      <c r="O133" s="1" t="str">
        <f>IFERROR(__xludf.DUMMYFUNCTION("""COMPUTED_VALUE"""),"Masculino")</f>
        <v>Masculino</v>
      </c>
      <c r="P133" s="1" t="str">
        <f>IFERROR(__xludf.DUMMYFUNCTION("""COMPUTED_VALUE"""),"Morena")</f>
        <v>Morena</v>
      </c>
      <c r="Q133" s="1"/>
      <c r="R133" s="1"/>
      <c r="S133" s="1"/>
      <c r="T133" s="1" t="str">
        <f>IFERROR(__xludf.DUMMYFUNCTION("""COMPUTED_VALUE"""),"Entre 1,61m e 1,65m")</f>
        <v>Entre 1,61m e 1,65m</v>
      </c>
      <c r="U133" s="1"/>
      <c r="V133" s="1"/>
      <c r="W133" s="1"/>
      <c r="X133" s="1"/>
      <c r="Y133" s="1"/>
      <c r="Z133" s="1"/>
      <c r="AA133" s="1"/>
      <c r="AB133" s="1"/>
      <c r="AC133" s="1" t="str">
        <f>IFERROR(__xludf.DUMMYFUNCTION("""COMPUTED_VALUE"""),"GG")</f>
        <v>GG</v>
      </c>
      <c r="AD133" s="1" t="str">
        <f>IFERROR(__xludf.DUMMYFUNCTION("""COMPUTED_VALUE"""),"GG")</f>
        <v>GG</v>
      </c>
      <c r="AE133" s="1" t="str">
        <f>IFERROR(__xludf.DUMMYFUNCTION("""COMPUTED_VALUE"""),"GG")</f>
        <v>GG</v>
      </c>
      <c r="AF133" s="1" t="str">
        <f>IFERROR(__xludf.DUMMYFUNCTION("""COMPUTED_VALUE"""),"GG")</f>
        <v>GG</v>
      </c>
      <c r="AG133" s="1" t="str">
        <f>IFERROR(__xludf.DUMMYFUNCTION("""COMPUTED_VALUE"""),"GG")</f>
        <v>GG</v>
      </c>
      <c r="AH133" s="1">
        <f>IFERROR(__xludf.DUMMYFUNCTION("""COMPUTED_VALUE"""),42)</f>
        <v>42</v>
      </c>
      <c r="AI133" s="1">
        <f>IFERROR(__xludf.DUMMYFUNCTION("""COMPUTED_VALUE"""),42)</f>
        <v>42</v>
      </c>
      <c r="AJ133" s="1">
        <f>IFERROR(__xludf.DUMMYFUNCTION("""COMPUTED_VALUE"""),42)</f>
        <v>42</v>
      </c>
      <c r="AK133" s="1">
        <f>IFERROR(__xludf.DUMMYFUNCTION("""COMPUTED_VALUE"""),42)</f>
        <v>42</v>
      </c>
      <c r="AL133" s="1" t="str">
        <f>IFERROR(__xludf.DUMMYFUNCTION("""COMPUTED_VALUE"""),"GG")</f>
        <v>GG</v>
      </c>
      <c r="AM133" s="1" t="str">
        <f>IFERROR(__xludf.DUMMYFUNCTION("""COMPUTED_VALUE"""),"GG")</f>
        <v>GG</v>
      </c>
      <c r="AN133" s="1" t="str">
        <f>IFERROR(__xludf.DUMMYFUNCTION("""COMPUTED_VALUE"""),"GG")</f>
        <v>GG</v>
      </c>
    </row>
    <row r="134" customHeight="1" spans="1:40">
      <c r="A134" s="1" t="str">
        <f>IFERROR(__xludf.DUMMYFUNCTION("""COMPUTED_VALUE"""),"02° BBM")</f>
        <v>02° BBM</v>
      </c>
      <c r="B134" s="1" t="str">
        <f>IFERROR(__xludf.DUMMYFUNCTION("""COMPUTED_VALUE"""),"Araricá")</f>
        <v>Araricá</v>
      </c>
      <c r="C134" s="119" t="str">
        <f>IFERROR(__xludf.DUMMYFUNCTION("""COMPUTED_VALUE"""),"CAB")</f>
        <v>CAB</v>
      </c>
      <c r="D134" s="119" t="str">
        <f>IFERROR(__xludf.DUMMYFUNCTION("""COMPUTED_VALUE"""),"VITOR RODRIGUES DA ROCHA")</f>
        <v>VITOR RODRIGUES DA ROCHA</v>
      </c>
      <c r="E134" s="119" t="str">
        <f>IFERROR(__xludf.DUMMYFUNCTION("""COMPUTED_VALUE"""),"")</f>
        <v/>
      </c>
      <c r="F134" s="1" t="str">
        <f>IFERROR(__xludf.DUMMYFUNCTION("""COMPUTED_VALUE"""),"013.743.100-77")</f>
        <v>013.743.100-77</v>
      </c>
      <c r="G134" s="1">
        <f>IFERROR(__xludf.DUMMYFUNCTION("""COMPUTED_VALUE"""),7085834427)</f>
        <v>7085834427</v>
      </c>
      <c r="H134" s="1" t="str">
        <f>IFERROR(__xludf.DUMMYFUNCTION("""COMPUTED_VALUE"""),"Combatente e Socorrista")</f>
        <v>Combatente e Socorrista</v>
      </c>
      <c r="I134" s="1" t="str">
        <f>IFERROR(__xludf.DUMMYFUNCTION("""COMPUTED_VALUE"""),"Bombeiro Voluntario/Bombeiro Civil lll, APH, BLS,  Resgate Veicular")</f>
        <v>Bombeiro Voluntario/Bombeiro Civil lll, APH, BLS,  Resgate Veicular</v>
      </c>
      <c r="J134" s="1" t="str">
        <f>IFERROR(__xludf.DUMMYFUNCTION("""COMPUTED_VALUE"""),"Não")</f>
        <v>Não</v>
      </c>
      <c r="K134" s="1" t="str">
        <f>IFERROR(__xludf.DUMMYFUNCTION("""COMPUTED_VALUE"""),"Não")</f>
        <v>Não</v>
      </c>
      <c r="L134" s="1" t="str">
        <f>IFERROR(__xludf.DUMMYFUNCTION("""COMPUTED_VALUE"""),"A+")</f>
        <v>A+</v>
      </c>
      <c r="M134" s="1" t="str">
        <f>IFERROR(__xludf.DUMMYFUNCTION("""COMPUTED_VALUE"""),"VITOR")</f>
        <v>VITOR</v>
      </c>
      <c r="N134" s="120">
        <f>IFERROR(__xludf.DUMMYFUNCTION("""COMPUTED_VALUE"""),31098)</f>
        <v>31098</v>
      </c>
      <c r="O134" s="1" t="str">
        <f>IFERROR(__xludf.DUMMYFUNCTION("""COMPUTED_VALUE"""),"Masculino")</f>
        <v>Masculino</v>
      </c>
      <c r="P134" s="1" t="str">
        <f>IFERROR(__xludf.DUMMYFUNCTION("""COMPUTED_VALUE"""),"Morena")</f>
        <v>Morena</v>
      </c>
      <c r="Q134" s="1" t="str">
        <f>IFERROR(__xludf.DUMMYFUNCTION("""COMPUTED_VALUE"""),"Ensino Médio")</f>
        <v>Ensino Médio</v>
      </c>
      <c r="R134" s="1" t="str">
        <f>IFERROR(__xludf.DUMMYFUNCTION("""COMPUTED_VALUE"""),"vitorbcrocha2002@gmail.com")</f>
        <v>vitorbcrocha2002@gmail.com</v>
      </c>
      <c r="S134" s="1">
        <f>IFERROR(__xludf.DUMMYFUNCTION("""COMPUTED_VALUE"""),112)</f>
        <v>112</v>
      </c>
      <c r="T134" s="1" t="str">
        <f>IFERROR(__xludf.DUMMYFUNCTION("""COMPUTED_VALUE"""),"Entre 1,86m e 1,90m")</f>
        <v>Entre 1,86m e 1,90m</v>
      </c>
      <c r="U134" s="1"/>
      <c r="V134" s="1">
        <f>IFERROR(__xludf.DUMMYFUNCTION("""COMPUTED_VALUE"""),51995286845)</f>
        <v>51995286845</v>
      </c>
      <c r="W134" s="1">
        <f>IFERROR(__xludf.DUMMYFUNCTION("""COMPUTED_VALUE"""),51995286845)</f>
        <v>51995286845</v>
      </c>
      <c r="X134" s="1" t="str">
        <f>IFERROR(__xludf.DUMMYFUNCTION("""COMPUTED_VALUE"""),"RS")</f>
        <v>RS</v>
      </c>
      <c r="Y134" s="1" t="str">
        <f>IFERROR(__xludf.DUMMYFUNCTION("""COMPUTED_VALUE"""),"Novo Hamburgo")</f>
        <v>Novo Hamburgo</v>
      </c>
      <c r="Z134" s="1" t="str">
        <f>IFERROR(__xludf.DUMMYFUNCTION("""COMPUTED_VALUE"""),"93546-320")</f>
        <v>93546-320</v>
      </c>
      <c r="AA134" s="1" t="str">
        <f>IFERROR(__xludf.DUMMYFUNCTION("""COMPUTED_VALUE"""),"Rua Uruguai")</f>
        <v>Rua Uruguai</v>
      </c>
      <c r="AB134" s="1" t="str">
        <f>IFERROR(__xludf.DUMMYFUNCTION("""COMPUTED_VALUE"""),"Canudos")</f>
        <v>Canudos</v>
      </c>
      <c r="AC134" s="1" t="str">
        <f>IFERROR(__xludf.DUMMYFUNCTION("""COMPUTED_VALUE"""),"GG")</f>
        <v>GG</v>
      </c>
      <c r="AD134" s="1" t="str">
        <f>IFERROR(__xludf.DUMMYFUNCTION("""COMPUTED_VALUE"""),"GG")</f>
        <v>GG</v>
      </c>
      <c r="AE134" s="1" t="str">
        <f>IFERROR(__xludf.DUMMYFUNCTION("""COMPUTED_VALUE"""),"GG")</f>
        <v>GG</v>
      </c>
      <c r="AF134" s="1" t="str">
        <f>IFERROR(__xludf.DUMMYFUNCTION("""COMPUTED_VALUE"""),"EXG")</f>
        <v>EXG</v>
      </c>
      <c r="AG134" s="1" t="str">
        <f>IFERROR(__xludf.DUMMYFUNCTION("""COMPUTED_VALUE"""),"EXG")</f>
        <v>EXG</v>
      </c>
      <c r="AH134" s="1">
        <f>IFERROR(__xludf.DUMMYFUNCTION("""COMPUTED_VALUE"""),41)</f>
        <v>41</v>
      </c>
      <c r="AI134" s="1">
        <f>IFERROR(__xludf.DUMMYFUNCTION("""COMPUTED_VALUE"""),41)</f>
        <v>41</v>
      </c>
      <c r="AJ134" s="1">
        <f>IFERROR(__xludf.DUMMYFUNCTION("""COMPUTED_VALUE"""),41)</f>
        <v>41</v>
      </c>
      <c r="AK134" s="1">
        <f>IFERROR(__xludf.DUMMYFUNCTION("""COMPUTED_VALUE"""),41)</f>
        <v>41</v>
      </c>
      <c r="AL134" s="1" t="str">
        <f>IFERROR(__xludf.DUMMYFUNCTION("""COMPUTED_VALUE"""),"EXG")</f>
        <v>EXG</v>
      </c>
      <c r="AM134" s="1" t="str">
        <f>IFERROR(__xludf.DUMMYFUNCTION("""COMPUTED_VALUE"""),"GG")</f>
        <v>GG</v>
      </c>
      <c r="AN134" s="1" t="str">
        <f>IFERROR(__xludf.DUMMYFUNCTION("""COMPUTED_VALUE"""),"GG")</f>
        <v>GG</v>
      </c>
    </row>
    <row r="135" customHeight="1" spans="1:40">
      <c r="A135" s="1" t="str">
        <f>IFERROR(__xludf.DUMMYFUNCTION("""COMPUTED_VALUE"""),"02° BBM")</f>
        <v>02° BBM</v>
      </c>
      <c r="B135" s="1" t="str">
        <f>IFERROR(__xludf.DUMMYFUNCTION("""COMPUTED_VALUE"""),"Montenegro")</f>
        <v>Montenegro</v>
      </c>
      <c r="C135" s="119" t="str">
        <f>IFERROR(__xludf.DUMMYFUNCTION("""COMPUTED_VALUE"""),"Comunitario")</f>
        <v>Comunitario</v>
      </c>
      <c r="D135" s="119" t="str">
        <f>IFERROR(__xludf.DUMMYFUNCTION("""COMPUTED_VALUE"""),"WILLIAM NATANAEL OLIVEIRA AUGUSTIN")</f>
        <v>WILLIAM NATANAEL OLIVEIRA AUGUSTIN</v>
      </c>
      <c r="E135" s="119" t="str">
        <f>IFERROR(__xludf.DUMMYFUNCTION("""COMPUTED_VALUE"""),"")</f>
        <v/>
      </c>
      <c r="F135" s="1" t="str">
        <f>IFERROR(__xludf.DUMMYFUNCTION("""COMPUTED_VALUE"""),"009.043.360-26")</f>
        <v>009.043.360-26</v>
      </c>
      <c r="G135" s="1">
        <f>IFERROR(__xludf.DUMMYFUNCTION("""COMPUTED_VALUE"""),8109648777)</f>
        <v>8109648777</v>
      </c>
      <c r="H135" s="1" t="str">
        <f>IFERROR(__xludf.DUMMYFUNCTION("""COMPUTED_VALUE"""),"Condutor/Combatente")</f>
        <v>Condutor/Combatente</v>
      </c>
      <c r="I135" s="1" t="str">
        <f>IFERROR(__xludf.DUMMYFUNCTION("""COMPUTED_VALUE"""),"Bombeiro Voluntário")</f>
        <v>Bombeiro Voluntário</v>
      </c>
      <c r="J135" s="1" t="str">
        <f>IFERROR(__xludf.DUMMYFUNCTION("""COMPUTED_VALUE"""),"Sim")</f>
        <v>Sim</v>
      </c>
      <c r="K135" s="1" t="str">
        <f>IFERROR(__xludf.DUMMYFUNCTION("""COMPUTED_VALUE"""),"Não")</f>
        <v>Não</v>
      </c>
      <c r="L135" s="1" t="str">
        <f>IFERROR(__xludf.DUMMYFUNCTION("""COMPUTED_VALUE"""),"O+")</f>
        <v>O+</v>
      </c>
      <c r="M135" s="1" t="str">
        <f>IFERROR(__xludf.DUMMYFUNCTION("""COMPUTED_VALUE"""),"WILLIAM")</f>
        <v>WILLIAM</v>
      </c>
      <c r="N135" s="120">
        <f>IFERROR(__xludf.DUMMYFUNCTION("""COMPUTED_VALUE"""),33505)</f>
        <v>33505</v>
      </c>
      <c r="O135" s="1" t="str">
        <f>IFERROR(__xludf.DUMMYFUNCTION("""COMPUTED_VALUE"""),"Masculino")</f>
        <v>Masculino</v>
      </c>
      <c r="P135" s="1" t="str">
        <f>IFERROR(__xludf.DUMMYFUNCTION("""COMPUTED_VALUE"""),"Branca")</f>
        <v>Branca</v>
      </c>
      <c r="Q135" s="1" t="str">
        <f>IFERROR(__xludf.DUMMYFUNCTION("""COMPUTED_VALUE"""),"Ensino Médio")</f>
        <v>Ensino Médio</v>
      </c>
      <c r="R135" s="1" t="str">
        <f>IFERROR(__xludf.DUMMYFUNCTION("""COMPUTED_VALUE"""),"william_natanael23@yahoo.com.br")</f>
        <v>william_natanael23@yahoo.com.br</v>
      </c>
      <c r="S135" s="1">
        <f>IFERROR(__xludf.DUMMYFUNCTION("""COMPUTED_VALUE"""),79)</f>
        <v>79</v>
      </c>
      <c r="T135" s="1" t="str">
        <f>IFERROR(__xludf.DUMMYFUNCTION("""COMPUTED_VALUE"""),"Entre 1,81m e 1,85m")</f>
        <v>Entre 1,81m e 1,85m</v>
      </c>
      <c r="U135" s="1" t="str">
        <f>IFERROR(__xludf.DUMMYFUNCTION("""COMPUTED_VALUE"""),"NÂO")</f>
        <v>NÂO</v>
      </c>
      <c r="V135" s="1" t="str">
        <f>IFERROR(__xludf.DUMMYFUNCTION("""COMPUTED_VALUE"""),"(51)99572-1762")</f>
        <v>(51)99572-1762</v>
      </c>
      <c r="W135" s="1" t="str">
        <f>IFERROR(__xludf.DUMMYFUNCTION("""COMPUTED_VALUE"""),"(51)98979-5454")</f>
        <v>(51)98979-5454</v>
      </c>
      <c r="X135" s="1" t="str">
        <f>IFERROR(__xludf.DUMMYFUNCTION("""COMPUTED_VALUE"""),"RS")</f>
        <v>RS</v>
      </c>
      <c r="Y135" s="1" t="str">
        <f>IFERROR(__xludf.DUMMYFUNCTION("""COMPUTED_VALUE"""),"Novo Hamburgo")</f>
        <v>Novo Hamburgo</v>
      </c>
      <c r="Z135" s="1" t="str">
        <f>IFERROR(__xludf.DUMMYFUNCTION("""COMPUTED_VALUE"""),"93542-130")</f>
        <v>93542-130</v>
      </c>
      <c r="AA135" s="1" t="str">
        <f>IFERROR(__xludf.DUMMYFUNCTION("""COMPUTED_VALUE"""),"ANA MARÇAL RAMOS, 267")</f>
        <v>ANA MARÇAL RAMOS, 267</v>
      </c>
      <c r="AB135" s="1" t="str">
        <f>IFERROR(__xludf.DUMMYFUNCTION("""COMPUTED_VALUE"""),"CANUDOS")</f>
        <v>CANUDOS</v>
      </c>
      <c r="AC135" s="1" t="str">
        <f>IFERROR(__xludf.DUMMYFUNCTION("""COMPUTED_VALUE"""),"G")</f>
        <v>G</v>
      </c>
      <c r="AD135" s="1" t="str">
        <f>IFERROR(__xludf.DUMMYFUNCTION("""COMPUTED_VALUE"""),"G")</f>
        <v>G</v>
      </c>
      <c r="AE135" s="1" t="str">
        <f>IFERROR(__xludf.DUMMYFUNCTION("""COMPUTED_VALUE"""),"G")</f>
        <v>G</v>
      </c>
      <c r="AF135" s="1" t="str">
        <f>IFERROR(__xludf.DUMMYFUNCTION("""COMPUTED_VALUE"""),"G")</f>
        <v>G</v>
      </c>
      <c r="AG135" s="1" t="str">
        <f>IFERROR(__xludf.DUMMYFUNCTION("""COMPUTED_VALUE"""),"G")</f>
        <v>G</v>
      </c>
      <c r="AH135" s="1">
        <f>IFERROR(__xludf.DUMMYFUNCTION("""COMPUTED_VALUE"""),42)</f>
        <v>42</v>
      </c>
      <c r="AI135" s="1">
        <f>IFERROR(__xludf.DUMMYFUNCTION("""COMPUTED_VALUE"""),42)</f>
        <v>42</v>
      </c>
      <c r="AJ135" s="1">
        <f>IFERROR(__xludf.DUMMYFUNCTION("""COMPUTED_VALUE"""),42)</f>
        <v>42</v>
      </c>
      <c r="AK135" s="1">
        <f>IFERROR(__xludf.DUMMYFUNCTION("""COMPUTED_VALUE"""),42)</f>
        <v>42</v>
      </c>
      <c r="AL135" s="1" t="str">
        <f>IFERROR(__xludf.DUMMYFUNCTION("""COMPUTED_VALUE"""),"M")</f>
        <v>M</v>
      </c>
      <c r="AM135" s="1" t="str">
        <f>IFERROR(__xludf.DUMMYFUNCTION("""COMPUTED_VALUE"""),"M")</f>
        <v>M</v>
      </c>
      <c r="AN135" s="1" t="str">
        <f>IFERROR(__xludf.DUMMYFUNCTION("""COMPUTED_VALUE"""),"G")</f>
        <v>G</v>
      </c>
    </row>
    <row r="136" customHeight="1" spans="1:40">
      <c r="A136" s="1" t="str">
        <f>IFERROR(__xludf.DUMMYFUNCTION("""COMPUTED_VALUE"""),"02° BBM")</f>
        <v>02° BBM</v>
      </c>
      <c r="B136" s="1" t="str">
        <f>IFERROR(__xludf.DUMMYFUNCTION("""COMPUTED_VALUE"""),"Marata")</f>
        <v>Marata</v>
      </c>
      <c r="C136" s="119" t="str">
        <f>IFERROR(__xludf.DUMMYFUNCTION("""COMPUTED_VALUE"""),"CAB")</f>
        <v>CAB</v>
      </c>
      <c r="D136" s="119" t="str">
        <f>IFERROR(__xludf.DUMMYFUNCTION("""COMPUTED_VALUE"""),"WILLIAM NATANAEL OLIVEIRA AUGUSTIN")</f>
        <v>WILLIAM NATANAEL OLIVEIRA AUGUSTIN</v>
      </c>
      <c r="E136" s="119" t="str">
        <f>IFERROR(__xludf.DUMMYFUNCTION("""COMPUTED_VALUE"""),"")</f>
        <v/>
      </c>
      <c r="F136" s="1" t="str">
        <f>IFERROR(__xludf.DUMMYFUNCTION("""COMPUTED_VALUE"""),"009.043.360-26")</f>
        <v>009.043.360-26</v>
      </c>
      <c r="G136" s="1">
        <f>IFERROR(__xludf.DUMMYFUNCTION("""COMPUTED_VALUE"""),8109648777)</f>
        <v>8109648777</v>
      </c>
      <c r="H136" s="1" t="str">
        <f>IFERROR(__xludf.DUMMYFUNCTION("""COMPUTED_VALUE"""),"Combatente Condutor e Socorrista")</f>
        <v>Combatente Condutor e Socorrista</v>
      </c>
      <c r="I136" s="1" t="str">
        <f>IFERROR(__xludf.DUMMYFUNCTION("""COMPUTED_VALUE"""),"Bombeiro Civil, SBV e Condutor de Veiculo de Emergencia")</f>
        <v>Bombeiro Civil, SBV e Condutor de Veiculo de Emergencia</v>
      </c>
      <c r="J136" s="1" t="str">
        <f>IFERROR(__xludf.DUMMYFUNCTION("""COMPUTED_VALUE"""),"Sim")</f>
        <v>Sim</v>
      </c>
      <c r="K136" s="1" t="str">
        <f>IFERROR(__xludf.DUMMYFUNCTION("""COMPUTED_VALUE"""),"Não")</f>
        <v>Não</v>
      </c>
      <c r="L136" s="1" t="str">
        <f>IFERROR(__xludf.DUMMYFUNCTION("""COMPUTED_VALUE"""),"O+")</f>
        <v>O+</v>
      </c>
      <c r="M136" s="1" t="str">
        <f>IFERROR(__xludf.DUMMYFUNCTION("""COMPUTED_VALUE"""),"WILLIAM")</f>
        <v>WILLIAM</v>
      </c>
      <c r="N136" s="120">
        <f>IFERROR(__xludf.DUMMYFUNCTION("""COMPUTED_VALUE"""),33505)</f>
        <v>33505</v>
      </c>
      <c r="O136" s="1" t="str">
        <f>IFERROR(__xludf.DUMMYFUNCTION("""COMPUTED_VALUE"""),"Masculino")</f>
        <v>Masculino</v>
      </c>
      <c r="P136" s="1" t="str">
        <f>IFERROR(__xludf.DUMMYFUNCTION("""COMPUTED_VALUE"""),"Branca")</f>
        <v>Branca</v>
      </c>
      <c r="Q136" s="1" t="str">
        <f>IFERROR(__xludf.DUMMYFUNCTION("""COMPUTED_VALUE"""),"Ensino Médio")</f>
        <v>Ensino Médio</v>
      </c>
      <c r="R136" s="123" t="str">
        <f>IFERROR(__xludf.DUMMYFUNCTION("""COMPUTED_VALUE"""),"william_natanael23@yahoo.com.br")</f>
        <v>william_natanael23@yahoo.com.br</v>
      </c>
      <c r="S136" s="1">
        <f>IFERROR(__xludf.DUMMYFUNCTION("""COMPUTED_VALUE"""),79)</f>
        <v>79</v>
      </c>
      <c r="T136" s="1" t="str">
        <f>IFERROR(__xludf.DUMMYFUNCTION("""COMPUTED_VALUE"""),"Entre 1,81m e 1,85m")</f>
        <v>Entre 1,81m e 1,85m</v>
      </c>
      <c r="U136" s="1"/>
      <c r="V136" s="1" t="str">
        <f>IFERROR(__xludf.DUMMYFUNCTION("""COMPUTED_VALUE"""),"51 - 995721762")</f>
        <v>51 - 995721762</v>
      </c>
      <c r="W136" s="1" t="str">
        <f>IFERROR(__xludf.DUMMYFUNCTION("""COMPUTED_VALUE"""),"51 - 989795454")</f>
        <v>51 - 989795454</v>
      </c>
      <c r="X136" s="1" t="str">
        <f>IFERROR(__xludf.DUMMYFUNCTION("""COMPUTED_VALUE"""),"RS")</f>
        <v>RS</v>
      </c>
      <c r="Y136" s="1" t="str">
        <f>IFERROR(__xludf.DUMMYFUNCTION("""COMPUTED_VALUE"""),"NOVO HAMBURGO")</f>
        <v>NOVO HAMBURGO</v>
      </c>
      <c r="Z136" s="1">
        <f>IFERROR(__xludf.DUMMYFUNCTION("""COMPUTED_VALUE"""),93542130)</f>
        <v>93542130</v>
      </c>
      <c r="AA136" s="1" t="str">
        <f>IFERROR(__xludf.DUMMYFUNCTION("""COMPUTED_VALUE"""),"RUA ANA MARÇAL RAMOS 267")</f>
        <v>RUA ANA MARÇAL RAMOS 267</v>
      </c>
      <c r="AB136" s="1" t="str">
        <f>IFERROR(__xludf.DUMMYFUNCTION("""COMPUTED_VALUE"""),"CANUDOS")</f>
        <v>CANUDOS</v>
      </c>
      <c r="AC136" s="1" t="str">
        <f>IFERROR(__xludf.DUMMYFUNCTION("""COMPUTED_VALUE"""),"G")</f>
        <v>G</v>
      </c>
      <c r="AD136" s="1" t="str">
        <f>IFERROR(__xludf.DUMMYFUNCTION("""COMPUTED_VALUE"""),"G")</f>
        <v>G</v>
      </c>
      <c r="AE136" s="1" t="str">
        <f>IFERROR(__xludf.DUMMYFUNCTION("""COMPUTED_VALUE"""),"G")</f>
        <v>G</v>
      </c>
      <c r="AF136" s="1" t="str">
        <f>IFERROR(__xludf.DUMMYFUNCTION("""COMPUTED_VALUE"""),"G")</f>
        <v>G</v>
      </c>
      <c r="AG136" s="1" t="str">
        <f>IFERROR(__xludf.DUMMYFUNCTION("""COMPUTED_VALUE"""),"G")</f>
        <v>G</v>
      </c>
      <c r="AH136" s="1">
        <f>IFERROR(__xludf.DUMMYFUNCTION("""COMPUTED_VALUE"""),42)</f>
        <v>42</v>
      </c>
      <c r="AI136" s="1">
        <f>IFERROR(__xludf.DUMMYFUNCTION("""COMPUTED_VALUE"""),42)</f>
        <v>42</v>
      </c>
      <c r="AJ136" s="1">
        <f>IFERROR(__xludf.DUMMYFUNCTION("""COMPUTED_VALUE"""),42)</f>
        <v>42</v>
      </c>
      <c r="AK136" s="1">
        <f>IFERROR(__xludf.DUMMYFUNCTION("""COMPUTED_VALUE"""),42)</f>
        <v>42</v>
      </c>
      <c r="AL136" s="1" t="str">
        <f>IFERROR(__xludf.DUMMYFUNCTION("""COMPUTED_VALUE"""),"M")</f>
        <v>M</v>
      </c>
      <c r="AM136" s="1" t="str">
        <f>IFERROR(__xludf.DUMMYFUNCTION("""COMPUTED_VALUE"""),"M")</f>
        <v>M</v>
      </c>
      <c r="AN136" s="1" t="str">
        <f>IFERROR(__xludf.DUMMYFUNCTION("""COMPUTED_VALUE"""),"UNIVERSAL")</f>
        <v>UNIVERSAL</v>
      </c>
    </row>
    <row r="137" customHeight="1" spans="1:40">
      <c r="A137" s="1" t="str">
        <f>IFERROR(__xludf.DUMMYFUNCTION("""COMPUTED_VALUE"""),"02° BBM")</f>
        <v>02° BBM</v>
      </c>
      <c r="B137" s="1" t="str">
        <f>IFERROR(__xludf.DUMMYFUNCTION("""COMPUTED_VALUE"""),"Araricá")</f>
        <v>Araricá</v>
      </c>
      <c r="C137" s="119" t="str">
        <f>IFERROR(__xludf.DUMMYFUNCTION("""COMPUTED_VALUE"""),"CAB")</f>
        <v>CAB</v>
      </c>
      <c r="D137" s="119" t="str">
        <f>IFERROR(__xludf.DUMMYFUNCTION("""COMPUTED_VALUE"""),"WILLIAM SCHUCK REIS")</f>
        <v>WILLIAM SCHUCK REIS</v>
      </c>
      <c r="E137" s="119" t="str">
        <f>IFERROR(__xludf.DUMMYFUNCTION("""COMPUTED_VALUE"""),"")</f>
        <v/>
      </c>
      <c r="F137" s="1" t="str">
        <f>IFERROR(__xludf.DUMMYFUNCTION("""COMPUTED_VALUE"""),"022.493.230-62")</f>
        <v>022.493.230-62</v>
      </c>
      <c r="G137" s="1">
        <f>IFERROR(__xludf.DUMMYFUNCTION("""COMPUTED_VALUE"""),7081297213)</f>
        <v>7081297213</v>
      </c>
      <c r="H137" s="1" t="str">
        <f>IFERROR(__xludf.DUMMYFUNCTION("""COMPUTED_VALUE"""),"Combatente e Socorrista")</f>
        <v>Combatente e Socorrista</v>
      </c>
      <c r="I137" s="1" t="str">
        <f>IFERROR(__xludf.DUMMYFUNCTION("""COMPUTED_VALUE"""),"Bombeiro Voluntario/APH e BLS, Bombeiro Civil")</f>
        <v>Bombeiro Voluntario/APH e BLS, Bombeiro Civil</v>
      </c>
      <c r="J137" s="1" t="str">
        <f>IFERROR(__xludf.DUMMYFUNCTION("""COMPUTED_VALUE"""),"Não")</f>
        <v>Não</v>
      </c>
      <c r="K137" s="1" t="str">
        <f>IFERROR(__xludf.DUMMYFUNCTION("""COMPUTED_VALUE"""),"Não")</f>
        <v>Não</v>
      </c>
      <c r="L137" s="1" t="str">
        <f>IFERROR(__xludf.DUMMYFUNCTION("""COMPUTED_VALUE"""),"O+")</f>
        <v>O+</v>
      </c>
      <c r="M137" s="1" t="str">
        <f>IFERROR(__xludf.DUMMYFUNCTION("""COMPUTED_VALUE"""),"WILLIAN")</f>
        <v>WILLIAN</v>
      </c>
      <c r="N137" s="120">
        <f>IFERROR(__xludf.DUMMYFUNCTION("""COMPUTED_VALUE"""),33127)</f>
        <v>33127</v>
      </c>
      <c r="O137" s="1" t="str">
        <f>IFERROR(__xludf.DUMMYFUNCTION("""COMPUTED_VALUE"""),"Masculino")</f>
        <v>Masculino</v>
      </c>
      <c r="P137" s="1" t="str">
        <f>IFERROR(__xludf.DUMMYFUNCTION("""COMPUTED_VALUE"""),"Branca")</f>
        <v>Branca</v>
      </c>
      <c r="Q137" s="1" t="str">
        <f>IFERROR(__xludf.DUMMYFUNCTION("""COMPUTED_VALUE"""),"Ensino Superior Incompleto")</f>
        <v>Ensino Superior Incompleto</v>
      </c>
      <c r="R137" s="1" t="str">
        <f>IFERROR(__xludf.DUMMYFUNCTION("""COMPUTED_VALUE"""),"william.schuck@hotmail.com")</f>
        <v>william.schuck@hotmail.com</v>
      </c>
      <c r="S137" s="1">
        <f>IFERROR(__xludf.DUMMYFUNCTION("""COMPUTED_VALUE"""),100)</f>
        <v>100</v>
      </c>
      <c r="T137" s="1" t="str">
        <f>IFERROR(__xludf.DUMMYFUNCTION("""COMPUTED_VALUE"""),"Entre 1,86m e 1,90m")</f>
        <v>Entre 1,86m e 1,90m</v>
      </c>
      <c r="U137" s="1"/>
      <c r="V137" s="1">
        <f>IFERROR(__xludf.DUMMYFUNCTION("""COMPUTED_VALUE"""),51982073082)</f>
        <v>51982073082</v>
      </c>
      <c r="W137" s="1">
        <f>IFERROR(__xludf.DUMMYFUNCTION("""COMPUTED_VALUE"""),51982073082)</f>
        <v>51982073082</v>
      </c>
      <c r="X137" s="1" t="str">
        <f>IFERROR(__xludf.DUMMYFUNCTION("""COMPUTED_VALUE"""),"RS")</f>
        <v>RS</v>
      </c>
      <c r="Y137" s="1" t="str">
        <f>IFERROR(__xludf.DUMMYFUNCTION("""COMPUTED_VALUE"""),"Gravataí")</f>
        <v>Gravataí</v>
      </c>
      <c r="Z137" s="1">
        <f>IFERROR(__xludf.DUMMYFUNCTION("""COMPUTED_VALUE"""),91180550)</f>
        <v>91180550</v>
      </c>
      <c r="AA137" s="1" t="str">
        <f>IFERROR(__xludf.DUMMYFUNCTION("""COMPUTED_VALUE"""),"Rua Edu las casas, 790")</f>
        <v>Rua Edu las casas, 790</v>
      </c>
      <c r="AB137" s="1" t="str">
        <f>IFERROR(__xludf.DUMMYFUNCTION("""COMPUTED_VALUE"""),"Santa Fé")</f>
        <v>Santa Fé</v>
      </c>
      <c r="AC137" s="1" t="str">
        <f>IFERROR(__xludf.DUMMYFUNCTION("""COMPUTED_VALUE"""),"GG")</f>
        <v>GG</v>
      </c>
      <c r="AD137" s="1" t="str">
        <f>IFERROR(__xludf.DUMMYFUNCTION("""COMPUTED_VALUE"""),"GG")</f>
        <v>GG</v>
      </c>
      <c r="AE137" s="1" t="str">
        <f>IFERROR(__xludf.DUMMYFUNCTION("""COMPUTED_VALUE"""),"GG")</f>
        <v>GG</v>
      </c>
      <c r="AF137" s="1" t="str">
        <f>IFERROR(__xludf.DUMMYFUNCTION("""COMPUTED_VALUE"""),"GG")</f>
        <v>GG</v>
      </c>
      <c r="AG137" s="1" t="str">
        <f>IFERROR(__xludf.DUMMYFUNCTION("""COMPUTED_VALUE"""),"GG")</f>
        <v>GG</v>
      </c>
      <c r="AH137" s="1">
        <f>IFERROR(__xludf.DUMMYFUNCTION("""COMPUTED_VALUE"""),43)</f>
        <v>43</v>
      </c>
      <c r="AI137" s="1">
        <f>IFERROR(__xludf.DUMMYFUNCTION("""COMPUTED_VALUE"""),43)</f>
        <v>43</v>
      </c>
      <c r="AJ137" s="1">
        <f>IFERROR(__xludf.DUMMYFUNCTION("""COMPUTED_VALUE"""),43)</f>
        <v>43</v>
      </c>
      <c r="AK137" s="1">
        <f>IFERROR(__xludf.DUMMYFUNCTION("""COMPUTED_VALUE"""),43)</f>
        <v>43</v>
      </c>
      <c r="AL137" s="1" t="str">
        <f>IFERROR(__xludf.DUMMYFUNCTION("""COMPUTED_VALUE"""),"GG")</f>
        <v>GG</v>
      </c>
      <c r="AM137" s="1" t="str">
        <f>IFERROR(__xludf.DUMMYFUNCTION("""COMPUTED_VALUE"""),"GG")</f>
        <v>GG</v>
      </c>
      <c r="AN137" s="1" t="str">
        <f>IFERROR(__xludf.DUMMYFUNCTION("""COMPUTED_VALUE"""),"G")</f>
        <v>G</v>
      </c>
    </row>
    <row r="138" customHeight="1" spans="1:40">
      <c r="A138" s="1" t="str">
        <f>IFERROR(__xludf.DUMMYFUNCTION("""COMPUTED_VALUE"""),"02° BBM")</f>
        <v>02° BBM</v>
      </c>
      <c r="B138" s="1" t="str">
        <f>IFERROR(__xludf.DUMMYFUNCTION("""COMPUTED_VALUE"""),"Araricá")</f>
        <v>Araricá</v>
      </c>
      <c r="C138" s="119" t="str">
        <f>IFERROR(__xludf.DUMMYFUNCTION("""COMPUTED_VALUE"""),"CAB")</f>
        <v>CAB</v>
      </c>
      <c r="D138" s="119" t="str">
        <f>IFERROR(__xludf.DUMMYFUNCTION("""COMPUTED_VALUE"""),"WILLIAN DE AZEVEDO REJO")</f>
        <v>WILLIAN DE AZEVEDO REJO</v>
      </c>
      <c r="E138" s="119" t="str">
        <f>IFERROR(__xludf.DUMMYFUNCTION("""COMPUTED_VALUE"""),"")</f>
        <v/>
      </c>
      <c r="F138" s="1" t="str">
        <f>IFERROR(__xludf.DUMMYFUNCTION("""COMPUTED_VALUE"""),"020.571.670-97")</f>
        <v>020.571.670-97</v>
      </c>
      <c r="G138" s="1">
        <f>IFERROR(__xludf.DUMMYFUNCTION("""COMPUTED_VALUE"""),1091581296)</f>
        <v>1091581296</v>
      </c>
      <c r="H138" s="1" t="str">
        <f>IFERROR(__xludf.DUMMYFUNCTION("""COMPUTED_VALUE"""),"Combatente/Socorrista/ Condutor")</f>
        <v>Combatente/Socorrista/ Condutor</v>
      </c>
      <c r="I138" s="1" t="str">
        <f>IFERROR(__xludf.DUMMYFUNCTION("""COMPUTED_VALUE"""),"Bombeiro Voluntario/APH/ BLS/Bombeiro Civil/ Condutor/Técnico em Enfermagem")</f>
        <v>Bombeiro Voluntario/APH/ BLS/Bombeiro Civil/ Condutor/Técnico em Enfermagem</v>
      </c>
      <c r="J138" s="1" t="str">
        <f>IFERROR(__xludf.DUMMYFUNCTION("""COMPUTED_VALUE"""),"Não")</f>
        <v>Não</v>
      </c>
      <c r="K138" s="1" t="str">
        <f>IFERROR(__xludf.DUMMYFUNCTION("""COMPUTED_VALUE"""),"Não")</f>
        <v>Não</v>
      </c>
      <c r="L138" s="1" t="str">
        <f>IFERROR(__xludf.DUMMYFUNCTION("""COMPUTED_VALUE"""),"A+")</f>
        <v>A+</v>
      </c>
      <c r="M138" s="1" t="str">
        <f>IFERROR(__xludf.DUMMYFUNCTION("""COMPUTED_VALUE"""),"REJO")</f>
        <v>REJO</v>
      </c>
      <c r="N138" s="120">
        <f>IFERROR(__xludf.DUMMYFUNCTION("""COMPUTED_VALUE"""),32814)</f>
        <v>32814</v>
      </c>
      <c r="O138" s="1" t="str">
        <f>IFERROR(__xludf.DUMMYFUNCTION("""COMPUTED_VALUE"""),"Masculino")</f>
        <v>Masculino</v>
      </c>
      <c r="P138" s="1" t="str">
        <f>IFERROR(__xludf.DUMMYFUNCTION("""COMPUTED_VALUE"""),"Preta")</f>
        <v>Preta</v>
      </c>
      <c r="Q138" s="1" t="str">
        <f>IFERROR(__xludf.DUMMYFUNCTION("""COMPUTED_VALUE"""),"Pós-graduação")</f>
        <v>Pós-graduação</v>
      </c>
      <c r="R138" s="1" t="str">
        <f>IFERROR(__xludf.DUMMYFUNCTION("""COMPUTED_VALUE"""),"willian.rejo@hotmail.com")</f>
        <v>willian.rejo@hotmail.com</v>
      </c>
      <c r="S138" s="1">
        <f>IFERROR(__xludf.DUMMYFUNCTION("""COMPUTED_VALUE"""),76)</f>
        <v>76</v>
      </c>
      <c r="T138" s="1" t="str">
        <f>IFERROR(__xludf.DUMMYFUNCTION("""COMPUTED_VALUE"""),"Entre 1,61m e 1,65m")</f>
        <v>Entre 1,61m e 1,65m</v>
      </c>
      <c r="U138" s="1"/>
      <c r="V138" s="1">
        <f>IFERROR(__xludf.DUMMYFUNCTION("""COMPUTED_VALUE"""),51980182088)</f>
        <v>51980182088</v>
      </c>
      <c r="W138" s="1">
        <f>IFERROR(__xludf.DUMMYFUNCTION("""COMPUTED_VALUE"""),51980182088)</f>
        <v>51980182088</v>
      </c>
      <c r="X138" s="1" t="str">
        <f>IFERROR(__xludf.DUMMYFUNCTION("""COMPUTED_VALUE"""),"RS")</f>
        <v>RS</v>
      </c>
      <c r="Y138" s="1" t="str">
        <f>IFERROR(__xludf.DUMMYFUNCTION("""COMPUTED_VALUE"""),"Novo Hamburgo")</f>
        <v>Novo Hamburgo</v>
      </c>
      <c r="Z138" s="1">
        <f>IFERROR(__xludf.DUMMYFUNCTION("""COMPUTED_VALUE"""),93425230)</f>
        <v>93425230</v>
      </c>
      <c r="AA138" s="1" t="str">
        <f>IFERROR(__xludf.DUMMYFUNCTION("""COMPUTED_VALUE"""),"Rua Sananduva, 47")</f>
        <v>Rua Sananduva, 47</v>
      </c>
      <c r="AB138" s="1" t="str">
        <f>IFERROR(__xludf.DUMMYFUNCTION("""COMPUTED_VALUE"""),"Santo Afonso")</f>
        <v>Santo Afonso</v>
      </c>
      <c r="AC138" s="1" t="str">
        <f>IFERROR(__xludf.DUMMYFUNCTION("""COMPUTED_VALUE"""),"G")</f>
        <v>G</v>
      </c>
      <c r="AD138" s="1" t="str">
        <f>IFERROR(__xludf.DUMMYFUNCTION("""COMPUTED_VALUE"""),"G")</f>
        <v>G</v>
      </c>
      <c r="AE138" s="1" t="str">
        <f>IFERROR(__xludf.DUMMYFUNCTION("""COMPUTED_VALUE"""),"M")</f>
        <v>M</v>
      </c>
      <c r="AF138" s="1" t="str">
        <f>IFERROR(__xludf.DUMMYFUNCTION("""COMPUTED_VALUE"""),"G")</f>
        <v>G</v>
      </c>
      <c r="AG138" s="1" t="str">
        <f>IFERROR(__xludf.DUMMYFUNCTION("""COMPUTED_VALUE"""),"M")</f>
        <v>M</v>
      </c>
      <c r="AH138" s="1">
        <f>IFERROR(__xludf.DUMMYFUNCTION("""COMPUTED_VALUE"""),41)</f>
        <v>41</v>
      </c>
      <c r="AI138" s="1">
        <f>IFERROR(__xludf.DUMMYFUNCTION("""COMPUTED_VALUE"""),41)</f>
        <v>41</v>
      </c>
      <c r="AJ138" s="1">
        <f>IFERROR(__xludf.DUMMYFUNCTION("""COMPUTED_VALUE"""),41)</f>
        <v>41</v>
      </c>
      <c r="AK138" s="1">
        <f>IFERROR(__xludf.DUMMYFUNCTION("""COMPUTED_VALUE"""),41)</f>
        <v>41</v>
      </c>
      <c r="AL138" s="1" t="str">
        <f>IFERROR(__xludf.DUMMYFUNCTION("""COMPUTED_VALUE"""),"G")</f>
        <v>G</v>
      </c>
      <c r="AM138" s="1" t="str">
        <f>IFERROR(__xludf.DUMMYFUNCTION("""COMPUTED_VALUE"""),"M")</f>
        <v>M</v>
      </c>
      <c r="AN138" s="1" t="str">
        <f>IFERROR(__xludf.DUMMYFUNCTION("""COMPUTED_VALUE"""),"M")</f>
        <v>M</v>
      </c>
    </row>
    <row r="139" customHeight="1" spans="1:40">
      <c r="A139" s="1" t="str">
        <f>IFERROR(__xludf.DUMMYFUNCTION("""COMPUTED_VALUE"""),"02° BBM")</f>
        <v>02° BBM</v>
      </c>
      <c r="B139" s="1" t="str">
        <f>IFERROR(__xludf.DUMMYFUNCTION("""COMPUTED_VALUE"""),"Novo Hamburgo")</f>
        <v>Novo Hamburgo</v>
      </c>
      <c r="C139" s="119" t="str">
        <f>IFERROR(__xludf.DUMMYFUNCTION("""COMPUTED_VALUE"""),"Comunitario")</f>
        <v>Comunitario</v>
      </c>
      <c r="D139" s="119" t="str">
        <f>IFERROR(__xludf.DUMMYFUNCTION("""COMPUTED_VALUE"""),"WILLIAN PASQUAL DA SILVA DOS SANTOS")</f>
        <v>WILLIAN PASQUAL DA SILVA DOS SANTOS</v>
      </c>
      <c r="E139" s="119" t="str">
        <f>IFERROR(__xludf.DUMMYFUNCTION("""COMPUTED_VALUE"""),"")</f>
        <v/>
      </c>
      <c r="F139" s="1">
        <f>IFERROR(__xludf.DUMMYFUNCTION("""COMPUTED_VALUE"""),553347098)</f>
        <v>553347098</v>
      </c>
      <c r="G139" s="1">
        <f>IFERROR(__xludf.DUMMYFUNCTION("""COMPUTED_VALUE"""),2089725069)</f>
        <v>2089725069</v>
      </c>
      <c r="H139" s="1" t="str">
        <f>IFERROR(__xludf.DUMMYFUNCTION("""COMPUTED_VALUE"""),"Combatente")</f>
        <v>Combatente</v>
      </c>
      <c r="I139" s="1" t="str">
        <f>IFERROR(__xludf.DUMMYFUNCTION("""COMPUTED_VALUE"""),"Bombeiro Voluntário")</f>
        <v>Bombeiro Voluntário</v>
      </c>
      <c r="J139" s="1" t="str">
        <f>IFERROR(__xludf.DUMMYFUNCTION("""COMPUTED_VALUE"""),"Sim")</f>
        <v>Sim</v>
      </c>
      <c r="K139" s="1" t="str">
        <f>IFERROR(__xludf.DUMMYFUNCTION("""COMPUTED_VALUE"""),"Sim")</f>
        <v>Sim</v>
      </c>
      <c r="L139" s="1" t="str">
        <f>IFERROR(__xludf.DUMMYFUNCTION("""COMPUTED_VALUE"""),"A+")</f>
        <v>A+</v>
      </c>
      <c r="M139" s="1" t="str">
        <f>IFERROR(__xludf.DUMMYFUNCTION("""COMPUTED_VALUE"""),"PASQUAL")</f>
        <v>PASQUAL</v>
      </c>
      <c r="N139" s="120">
        <f>IFERROR(__xludf.DUMMYFUNCTION("""COMPUTED_VALUE"""),30866)</f>
        <v>30866</v>
      </c>
      <c r="O139" s="1" t="str">
        <f>IFERROR(__xludf.DUMMYFUNCTION("""COMPUTED_VALUE"""),"Masculino")</f>
        <v>Masculino</v>
      </c>
      <c r="P139" s="1" t="str">
        <f>IFERROR(__xludf.DUMMYFUNCTION("""COMPUTED_VALUE"""),"Preta")</f>
        <v>Preta</v>
      </c>
      <c r="Q139" s="1" t="str">
        <f>IFERROR(__xludf.DUMMYFUNCTION("""COMPUTED_VALUE"""),"Ensino Médio")</f>
        <v>Ensino Médio</v>
      </c>
      <c r="R139" s="1" t="str">
        <f>IFERROR(__xludf.DUMMYFUNCTION("""COMPUTED_VALUE"""),"willianpasqual@gmail.com")</f>
        <v>willianpasqual@gmail.com</v>
      </c>
      <c r="S139" s="1">
        <f>IFERROR(__xludf.DUMMYFUNCTION("""COMPUTED_VALUE"""),100)</f>
        <v>100</v>
      </c>
      <c r="T139" s="1">
        <f>IFERROR(__xludf.DUMMYFUNCTION("""COMPUTED_VALUE"""),1.79)</f>
        <v>1.79</v>
      </c>
      <c r="U139" s="1"/>
      <c r="V139" s="1">
        <f>IFERROR(__xludf.DUMMYFUNCTION("""COMPUTED_VALUE"""),51993822537)</f>
        <v>51993822537</v>
      </c>
      <c r="W139" s="1">
        <f>IFERROR(__xludf.DUMMYFUNCTION("""COMPUTED_VALUE"""),51992916441)</f>
        <v>51992916441</v>
      </c>
      <c r="X139" s="1" t="str">
        <f>IFERROR(__xludf.DUMMYFUNCTION("""COMPUTED_VALUE"""),"RS")</f>
        <v>RS</v>
      </c>
      <c r="Y139" s="1" t="str">
        <f>IFERROR(__xludf.DUMMYFUNCTION("""COMPUTED_VALUE"""),"São Leopoldo")</f>
        <v>São Leopoldo</v>
      </c>
      <c r="Z139" s="1">
        <f>IFERROR(__xludf.DUMMYFUNCTION("""COMPUTED_VALUE"""),93035240)</f>
        <v>93035240</v>
      </c>
      <c r="AA139" s="1" t="str">
        <f>IFERROR(__xludf.DUMMYFUNCTION("""COMPUTED_VALUE"""),"Rua Padre Giordano Bruno")</f>
        <v>Rua Padre Giordano Bruno</v>
      </c>
      <c r="AB139" s="1" t="str">
        <f>IFERROR(__xludf.DUMMYFUNCTION("""COMPUTED_VALUE"""),"Jardim América")</f>
        <v>Jardim América</v>
      </c>
      <c r="AC139" s="1" t="str">
        <f>IFERROR(__xludf.DUMMYFUNCTION("""COMPUTED_VALUE"""),"GG")</f>
        <v>GG</v>
      </c>
      <c r="AD139" s="1" t="str">
        <f>IFERROR(__xludf.DUMMYFUNCTION("""COMPUTED_VALUE"""),"GG")</f>
        <v>GG</v>
      </c>
      <c r="AE139" s="1" t="str">
        <f>IFERROR(__xludf.DUMMYFUNCTION("""COMPUTED_VALUE"""),"GG")</f>
        <v>GG</v>
      </c>
      <c r="AF139" s="1" t="str">
        <f>IFERROR(__xludf.DUMMYFUNCTION("""COMPUTED_VALUE"""),"GG")</f>
        <v>GG</v>
      </c>
      <c r="AG139" s="1" t="str">
        <f>IFERROR(__xludf.DUMMYFUNCTION("""COMPUTED_VALUE"""),"GG")</f>
        <v>GG</v>
      </c>
      <c r="AH139" s="1">
        <f>IFERROR(__xludf.DUMMYFUNCTION("""COMPUTED_VALUE"""),42)</f>
        <v>42</v>
      </c>
      <c r="AI139" s="1">
        <f>IFERROR(__xludf.DUMMYFUNCTION("""COMPUTED_VALUE"""),42)</f>
        <v>42</v>
      </c>
      <c r="AJ139" s="1">
        <f>IFERROR(__xludf.DUMMYFUNCTION("""COMPUTED_VALUE"""),42)</f>
        <v>42</v>
      </c>
      <c r="AK139" s="1">
        <f>IFERROR(__xludf.DUMMYFUNCTION("""COMPUTED_VALUE"""),42)</f>
        <v>42</v>
      </c>
      <c r="AL139" s="1" t="str">
        <f>IFERROR(__xludf.DUMMYFUNCTION("""COMPUTED_VALUE"""),"GG")</f>
        <v>GG</v>
      </c>
      <c r="AM139" s="1" t="str">
        <f>IFERROR(__xludf.DUMMYFUNCTION("""COMPUTED_VALUE"""),"GG")</f>
        <v>GG</v>
      </c>
      <c r="AN139" s="1" t="str">
        <f>IFERROR(__xludf.DUMMYFUNCTION("""COMPUTED_VALUE"""),"G")</f>
        <v>G</v>
      </c>
    </row>
    <row r="165" customHeight="1" spans="1:40">
      <c r="A165" s="1" t="str">
        <f>IFERROR(__xludf.DUMMYFUNCTION("IMPORTRANGE(""1uCBYq_B1noXDnZ2hAWfjmyqidVGOrreR1eUpbj41kZg/edit?gid=516654854"",""3BBM!A2:AN"")"),"03° BBM")</f>
        <v>03° BBM</v>
      </c>
      <c r="B165" s="1" t="str">
        <f>IFERROR(__xludf.DUMMYFUNCTION("""COMPUTED_VALUE"""),"Arroio Grande")</f>
        <v>Arroio Grande</v>
      </c>
      <c r="C165" s="119" t="str">
        <f>IFERROR(__xludf.DUMMYFUNCTION("""COMPUTED_VALUE"""),"CAB")</f>
        <v>CAB</v>
      </c>
      <c r="D165" s="1" t="str">
        <f>IFERROR(__xludf.DUMMYFUNCTION("""COMPUTED_VALUE"""),"CARLOS AMORIM BEIRÓ")</f>
        <v>CARLOS AMORIM BEIRÓ</v>
      </c>
      <c r="E165" s="119" t="str">
        <f>IFERROR(__xludf.DUMMYFUNCTION("""COMPUTED_VALUE"""),"Curso CAB operador concluído")</f>
        <v>Curso CAB operador concluído</v>
      </c>
      <c r="F165" s="1" t="str">
        <f>IFERROR(__xludf.DUMMYFUNCTION("""COMPUTED_VALUE"""),"262.158.880-87")</f>
        <v>262.158.880-87</v>
      </c>
      <c r="G165" s="1">
        <f>IFERROR(__xludf.DUMMYFUNCTION("""COMPUTED_VALUE"""),1006192361)</f>
        <v>1006192361</v>
      </c>
      <c r="H165" s="1" t="str">
        <f>IFERROR(__xludf.DUMMYFUNCTION("""COMPUTED_VALUE"""),"Auxiliar Bombeiro civil")</f>
        <v>Auxiliar Bombeiro civil</v>
      </c>
      <c r="I165" s="1" t="str">
        <f>IFERROR(__xludf.DUMMYFUNCTION("""COMPUTED_VALUE"""),"Basico primeiro socorros,retro escavadeira,")</f>
        <v>Basico primeiro socorros,retro escavadeira,</v>
      </c>
      <c r="J165" s="1" t="str">
        <f>IFERROR(__xludf.DUMMYFUNCTION("""COMPUTED_VALUE"""),"Não")</f>
        <v>Não</v>
      </c>
      <c r="K165" s="1" t="str">
        <f>IFERROR(__xludf.DUMMYFUNCTION("""COMPUTED_VALUE"""),"Não")</f>
        <v>Não</v>
      </c>
      <c r="L165" s="1" t="str">
        <f>IFERROR(__xludf.DUMMYFUNCTION("""COMPUTED_VALUE"""),"B+")</f>
        <v>B+</v>
      </c>
      <c r="M165" s="1" t="str">
        <f>IFERROR(__xludf.DUMMYFUNCTION("""COMPUTED_VALUE"""),"BEIRÓ")</f>
        <v>BEIRÓ</v>
      </c>
      <c r="N165" s="125">
        <f>IFERROR(__xludf.DUMMYFUNCTION("""COMPUTED_VALUE"""),19498)</f>
        <v>19498</v>
      </c>
      <c r="O165" s="1" t="str">
        <f>IFERROR(__xludf.DUMMYFUNCTION("""COMPUTED_VALUE"""),"Masculino")</f>
        <v>Masculino</v>
      </c>
      <c r="P165" s="1" t="str">
        <f>IFERROR(__xludf.DUMMYFUNCTION("""COMPUTED_VALUE"""),"Branca")</f>
        <v>Branca</v>
      </c>
      <c r="Q165" s="1"/>
      <c r="R165" s="1"/>
      <c r="S165" s="1" t="str">
        <f>IFERROR(__xludf.DUMMYFUNCTION("""COMPUTED_VALUE"""),"80 kg")</f>
        <v>80 kg</v>
      </c>
      <c r="T165" s="1" t="str">
        <f>IFERROR(__xludf.DUMMYFUNCTION("""COMPUTED_VALUE"""),"Entre 1,66m e 1,70m")</f>
        <v>Entre 1,66m e 1,70m</v>
      </c>
      <c r="U165" s="1"/>
      <c r="V165" s="1" t="str">
        <f>IFERROR(__xludf.DUMMYFUNCTION("""COMPUTED_VALUE"""),"(53) 984386403")</f>
        <v>(53) 984386403</v>
      </c>
      <c r="W165" s="1"/>
      <c r="X165" s="1" t="str">
        <f>IFERROR(__xludf.DUMMYFUNCTION("""COMPUTED_VALUE"""),"RS")</f>
        <v>RS</v>
      </c>
      <c r="Y165" s="1" t="str">
        <f>IFERROR(__xludf.DUMMYFUNCTION("""COMPUTED_VALUE"""),"Arroio Grande")</f>
        <v>Arroio Grande</v>
      </c>
      <c r="Z165" s="1">
        <f>IFERROR(__xludf.DUMMYFUNCTION("""COMPUTED_VALUE"""),96330000)</f>
        <v>96330000</v>
      </c>
      <c r="AA165" s="1" t="str">
        <f>IFERROR(__xludf.DUMMYFUNCTION("""COMPUTED_VALUE"""),"rua basili conceicao 950")</f>
        <v>rua basili conceicao 950</v>
      </c>
      <c r="AB165" s="1" t="str">
        <f>IFERROR(__xludf.DUMMYFUNCTION("""COMPUTED_VALUE"""),"carlos vasques")</f>
        <v>carlos vasques</v>
      </c>
      <c r="AC165" s="1" t="str">
        <f>IFERROR(__xludf.DUMMYFUNCTION("""COMPUTED_VALUE"""),"GG")</f>
        <v>GG</v>
      </c>
      <c r="AD165" s="1" t="str">
        <f>IFERROR(__xludf.DUMMYFUNCTION("""COMPUTED_VALUE"""),"GG")</f>
        <v>GG</v>
      </c>
      <c r="AE165" s="1" t="str">
        <f>IFERROR(__xludf.DUMMYFUNCTION("""COMPUTED_VALUE"""),"GG")</f>
        <v>GG</v>
      </c>
      <c r="AF165" s="1" t="str">
        <f>IFERROR(__xludf.DUMMYFUNCTION("""COMPUTED_VALUE"""),"GG")</f>
        <v>GG</v>
      </c>
      <c r="AG165" s="1" t="str">
        <f>IFERROR(__xludf.DUMMYFUNCTION("""COMPUTED_VALUE"""),"GG")</f>
        <v>GG</v>
      </c>
      <c r="AH165" s="1">
        <f>IFERROR(__xludf.DUMMYFUNCTION("""COMPUTED_VALUE"""),42)</f>
        <v>42</v>
      </c>
      <c r="AI165" s="1">
        <f>IFERROR(__xludf.DUMMYFUNCTION("""COMPUTED_VALUE"""),42)</f>
        <v>42</v>
      </c>
      <c r="AJ165" s="1">
        <f>IFERROR(__xludf.DUMMYFUNCTION("""COMPUTED_VALUE"""),42)</f>
        <v>42</v>
      </c>
      <c r="AK165" s="1">
        <f>IFERROR(__xludf.DUMMYFUNCTION("""COMPUTED_VALUE"""),42)</f>
        <v>42</v>
      </c>
      <c r="AL165" s="1" t="str">
        <f>IFERROR(__xludf.DUMMYFUNCTION("""COMPUTED_VALUE"""),"GG")</f>
        <v>GG</v>
      </c>
      <c r="AM165" s="1" t="str">
        <f>IFERROR(__xludf.DUMMYFUNCTION("""COMPUTED_VALUE"""),"GG")</f>
        <v>GG</v>
      </c>
      <c r="AN165" s="1" t="str">
        <f>IFERROR(__xludf.DUMMYFUNCTION("""COMPUTED_VALUE"""),"GG")</f>
        <v>GG</v>
      </c>
    </row>
    <row r="166" customHeight="1" spans="1:40">
      <c r="A166" s="1" t="str">
        <f>IFERROR(__xludf.DUMMYFUNCTION("""COMPUTED_VALUE"""),"03° BBM")</f>
        <v>03° BBM</v>
      </c>
      <c r="B166" s="1" t="str">
        <f>IFERROR(__xludf.DUMMYFUNCTION("""COMPUTED_VALUE"""),"Arroio Grande")</f>
        <v>Arroio Grande</v>
      </c>
      <c r="C166" s="119" t="str">
        <f>IFERROR(__xludf.DUMMYFUNCTION("""COMPUTED_VALUE"""),"CAB")</f>
        <v>CAB</v>
      </c>
      <c r="D166" s="1" t="str">
        <f>IFERROR(__xludf.DUMMYFUNCTION("""COMPUTED_VALUE"""),"CLAYTON FRANCISCO PIRES DOS REIS")</f>
        <v>CLAYTON FRANCISCO PIRES DOS REIS</v>
      </c>
      <c r="E166" s="119" t="str">
        <f>IFERROR(__xludf.DUMMYFUNCTION("""COMPUTED_VALUE"""),"Curso CAB operador concluído")</f>
        <v>Curso CAB operador concluído</v>
      </c>
      <c r="F166" s="1" t="str">
        <f>IFERROR(__xludf.DUMMYFUNCTION("""COMPUTED_VALUE"""),"921.850.960-87")</f>
        <v>921.850.960-87</v>
      </c>
      <c r="G166" s="1">
        <f>IFERROR(__xludf.DUMMYFUNCTION("""COMPUTED_VALUE"""),9080791669)</f>
        <v>9080791669</v>
      </c>
      <c r="H166" s="1" t="str">
        <f>IFERROR(__xludf.DUMMYFUNCTION("""COMPUTED_VALUE"""),"Bombeiro Civil auxiliar, coordenador do SCAB Arroio Grande .")</f>
        <v>Bombeiro Civil auxiliar, coordenador do SCAB Arroio Grande .</v>
      </c>
      <c r="I166" s="1" t="str">
        <f>IFERROR(__xludf.DUMMYFUNCTION("""COMPUTED_VALUE"""),"APH, BSL, controle de hemorragia (CETEMER) brigadista de incêndio (ead), bombeiro civil (ead) cursando novamente bombeiro civil nível 01, presencial ( CCATS treinamentos)")</f>
        <v>APH, BSL, controle de hemorragia (CETEMER) brigadista de incêndio (ead), bombeiro civil (ead) cursando novamente bombeiro civil nível 01, presencial ( CCATS treinamentos)</v>
      </c>
      <c r="J166" s="1" t="str">
        <f>IFERROR(__xludf.DUMMYFUNCTION("""COMPUTED_VALUE"""),"Não")</f>
        <v>Não</v>
      </c>
      <c r="K166" s="1" t="str">
        <f>IFERROR(__xludf.DUMMYFUNCTION("""COMPUTED_VALUE"""),"Não")</f>
        <v>Não</v>
      </c>
      <c r="L166" s="1" t="str">
        <f>IFERROR(__xludf.DUMMYFUNCTION("""COMPUTED_VALUE"""),"A+")</f>
        <v>A+</v>
      </c>
      <c r="M166" s="1" t="str">
        <f>IFERROR(__xludf.DUMMYFUNCTION("""COMPUTED_VALUE"""),"REIS")</f>
        <v>REIS</v>
      </c>
      <c r="N166" s="120">
        <f>IFERROR(__xludf.DUMMYFUNCTION("""COMPUTED_VALUE"""),28909)</f>
        <v>28909</v>
      </c>
      <c r="O166" s="1" t="str">
        <f>IFERROR(__xludf.DUMMYFUNCTION("""COMPUTED_VALUE"""),"Masculino")</f>
        <v>Masculino</v>
      </c>
      <c r="P166" s="1" t="str">
        <f>IFERROR(__xludf.DUMMYFUNCTION("""COMPUTED_VALUE"""),"Branca")</f>
        <v>Branca</v>
      </c>
      <c r="Q166" s="1" t="str">
        <f>IFERROR(__xludf.DUMMYFUNCTION("""COMPUTED_VALUE"""),"Ensino Médio")</f>
        <v>Ensino Médio</v>
      </c>
      <c r="R166" s="1" t="str">
        <f>IFERROR(__xludf.DUMMYFUNCTION("""COMPUTED_VALUE"""),"claytonreismaster@gmail.com")</f>
        <v>claytonreismaster@gmail.com</v>
      </c>
      <c r="S166" s="1" t="str">
        <f>IFERROR(__xludf.DUMMYFUNCTION("""COMPUTED_VALUE"""),"95 kg")</f>
        <v>95 kg</v>
      </c>
      <c r="T166" s="1" t="str">
        <f>IFERROR(__xludf.DUMMYFUNCTION("""COMPUTED_VALUE"""),"Entre 1,81m e 1,85m")</f>
        <v>Entre 1,81m e 1,85m</v>
      </c>
      <c r="U166" s="1"/>
      <c r="V166" s="1" t="str">
        <f>IFERROR(__xludf.DUMMYFUNCTION("""COMPUTED_VALUE"""),"(53) 984272027")</f>
        <v>(53) 984272027</v>
      </c>
      <c r="W166" s="1"/>
      <c r="X166" s="1" t="str">
        <f>IFERROR(__xludf.DUMMYFUNCTION("""COMPUTED_VALUE"""),"RS")</f>
        <v>RS</v>
      </c>
      <c r="Y166" s="1" t="str">
        <f>IFERROR(__xludf.DUMMYFUNCTION("""COMPUTED_VALUE"""),"Arroio Grande")</f>
        <v>Arroio Grande</v>
      </c>
      <c r="Z166" s="1">
        <f>IFERROR(__xludf.DUMMYFUNCTION("""COMPUTED_VALUE"""),96330000)</f>
        <v>96330000</v>
      </c>
      <c r="AA166" s="1" t="str">
        <f>IFERROR(__xludf.DUMMYFUNCTION("""COMPUTED_VALUE"""),"rua 24 de março ")</f>
        <v>rua 24 de março </v>
      </c>
      <c r="AB166" s="1" t="str">
        <f>IFERROR(__xludf.DUMMYFUNCTION("""COMPUTED_VALUE"""),"Cohab leate")</f>
        <v>Cohab leate</v>
      </c>
      <c r="AC166" s="1" t="str">
        <f>IFERROR(__xludf.DUMMYFUNCTION("""COMPUTED_VALUE"""),"G")</f>
        <v>G</v>
      </c>
      <c r="AD166" s="1" t="str">
        <f>IFERROR(__xludf.DUMMYFUNCTION("""COMPUTED_VALUE"""),"G")</f>
        <v>G</v>
      </c>
      <c r="AE166" s="1" t="str">
        <f>IFERROR(__xludf.DUMMYFUNCTION("""COMPUTED_VALUE"""),"G")</f>
        <v>G</v>
      </c>
      <c r="AF166" s="1" t="str">
        <f>IFERROR(__xludf.DUMMYFUNCTION("""COMPUTED_VALUE"""),"G")</f>
        <v>G</v>
      </c>
      <c r="AG166" s="1" t="str">
        <f>IFERROR(__xludf.DUMMYFUNCTION("""COMPUTED_VALUE"""),"GG")</f>
        <v>GG</v>
      </c>
      <c r="AH166" s="1">
        <f>IFERROR(__xludf.DUMMYFUNCTION("""COMPUTED_VALUE"""),42)</f>
        <v>42</v>
      </c>
      <c r="AI166" s="1">
        <f>IFERROR(__xludf.DUMMYFUNCTION("""COMPUTED_VALUE"""),42)</f>
        <v>42</v>
      </c>
      <c r="AJ166" s="1">
        <f>IFERROR(__xludf.DUMMYFUNCTION("""COMPUTED_VALUE"""),42)</f>
        <v>42</v>
      </c>
      <c r="AK166" s="1">
        <f>IFERROR(__xludf.DUMMYFUNCTION("""COMPUTED_VALUE"""),42)</f>
        <v>42</v>
      </c>
      <c r="AL166" s="1" t="str">
        <f>IFERROR(__xludf.DUMMYFUNCTION("""COMPUTED_VALUE"""),"G")</f>
        <v>G</v>
      </c>
      <c r="AM166" s="1" t="str">
        <f>IFERROR(__xludf.DUMMYFUNCTION("""COMPUTED_VALUE"""),"GG")</f>
        <v>GG</v>
      </c>
      <c r="AN166" s="1" t="str">
        <f>IFERROR(__xludf.DUMMYFUNCTION("""COMPUTED_VALUE"""),"G")</f>
        <v>G</v>
      </c>
    </row>
    <row r="167" customHeight="1" spans="1:40">
      <c r="A167" s="1" t="str">
        <f>IFERROR(__xludf.DUMMYFUNCTION("""COMPUTED_VALUE"""),"03° BBM")</f>
        <v>03° BBM</v>
      </c>
      <c r="B167" s="1" t="str">
        <f>IFERROR(__xludf.DUMMYFUNCTION("""COMPUTED_VALUE"""),"Arroio Grande")</f>
        <v>Arroio Grande</v>
      </c>
      <c r="C167" s="119" t="str">
        <f>IFERROR(__xludf.DUMMYFUNCTION("""COMPUTED_VALUE"""),"CAB")</f>
        <v>CAB</v>
      </c>
      <c r="D167" s="1" t="str">
        <f>IFERROR(__xludf.DUMMYFUNCTION("""COMPUTED_VALUE"""),"EDEVALDO PERES CARVALHO")</f>
        <v>EDEVALDO PERES CARVALHO</v>
      </c>
      <c r="E167" s="119" t="str">
        <f>IFERROR(__xludf.DUMMYFUNCTION("""COMPUTED_VALUE"""),"Curso CAB operador concluído")</f>
        <v>Curso CAB operador concluído</v>
      </c>
      <c r="F167" s="1" t="str">
        <f>IFERROR(__xludf.DUMMYFUNCTION("""COMPUTED_VALUE"""),"007.987.080-50")</f>
        <v>007.987.080-50</v>
      </c>
      <c r="G167" s="1">
        <f>IFERROR(__xludf.DUMMYFUNCTION("""COMPUTED_VALUE"""),2080261941)</f>
        <v>2080261941</v>
      </c>
      <c r="H167" s="1" t="str">
        <f>IFERROR(__xludf.DUMMYFUNCTION("""COMPUTED_VALUE"""),"Auxiliar bombeiro civil")</f>
        <v>Auxiliar bombeiro civil</v>
      </c>
      <c r="I167" s="1" t="str">
        <f>IFERROR(__xludf.DUMMYFUNCTION("""COMPUTED_VALUE"""),"Básico primeiros socorros")</f>
        <v>Básico primeiros socorros</v>
      </c>
      <c r="J167" s="1" t="str">
        <f>IFERROR(__xludf.DUMMYFUNCTION("""COMPUTED_VALUE"""),"Não")</f>
        <v>Não</v>
      </c>
      <c r="K167" s="1" t="str">
        <f>IFERROR(__xludf.DUMMYFUNCTION("""COMPUTED_VALUE"""),"Não")</f>
        <v>Não</v>
      </c>
      <c r="L167" s="1" t="str">
        <f>IFERROR(__xludf.DUMMYFUNCTION("""COMPUTED_VALUE"""),"O+")</f>
        <v>O+</v>
      </c>
      <c r="M167" s="1" t="str">
        <f>IFERROR(__xludf.DUMMYFUNCTION("""COMPUTED_VALUE"""),"EDEVALDO")</f>
        <v>EDEVALDO</v>
      </c>
      <c r="N167" s="125">
        <f>IFERROR(__xludf.DUMMYFUNCTION("""COMPUTED_VALUE"""),30515)</f>
        <v>30515</v>
      </c>
      <c r="O167" s="1" t="str">
        <f>IFERROR(__xludf.DUMMYFUNCTION("""COMPUTED_VALUE"""),"Masculino")</f>
        <v>Masculino</v>
      </c>
      <c r="P167" s="1" t="str">
        <f>IFERROR(__xludf.DUMMYFUNCTION("""COMPUTED_VALUE"""),"Parda")</f>
        <v>Parda</v>
      </c>
      <c r="Q167" s="1" t="str">
        <f>IFERROR(__xludf.DUMMYFUNCTION("""COMPUTED_VALUE"""),"Ensino Médio")</f>
        <v>Ensino Médio</v>
      </c>
      <c r="R167" s="1" t="str">
        <f>IFERROR(__xludf.DUMMYFUNCTION("""COMPUTED_VALUE"""),"odlavede@gmail.com")</f>
        <v>odlavede@gmail.com</v>
      </c>
      <c r="S167" s="1" t="str">
        <f>IFERROR(__xludf.DUMMYFUNCTION("""COMPUTED_VALUE"""),"125 kg")</f>
        <v>125 kg</v>
      </c>
      <c r="T167" s="1" t="str">
        <f>IFERROR(__xludf.DUMMYFUNCTION("""COMPUTED_VALUE"""),"Entre 1,71m e 1,75m")</f>
        <v>Entre 1,71m e 1,75m</v>
      </c>
      <c r="U167" s="1"/>
      <c r="V167" s="1" t="str">
        <f>IFERROR(__xludf.DUMMYFUNCTION("""COMPUTED_VALUE"""),"(53) 984643131")</f>
        <v>(53) 984643131</v>
      </c>
      <c r="W167" s="1"/>
      <c r="X167" s="1" t="str">
        <f>IFERROR(__xludf.DUMMYFUNCTION("""COMPUTED_VALUE"""),"RS")</f>
        <v>RS</v>
      </c>
      <c r="Y167" s="1" t="str">
        <f>IFERROR(__xludf.DUMMYFUNCTION("""COMPUTED_VALUE"""),"Arroio Grande")</f>
        <v>Arroio Grande</v>
      </c>
      <c r="Z167" s="1">
        <f>IFERROR(__xludf.DUMMYFUNCTION("""COMPUTED_VALUE"""),96330000)</f>
        <v>96330000</v>
      </c>
      <c r="AA167" s="1" t="str">
        <f>IFERROR(__xludf.DUMMYFUNCTION("""COMPUTED_VALUE"""),"salvador soares 865")</f>
        <v>salvador soares 865</v>
      </c>
      <c r="AB167" s="1" t="str">
        <f>IFERROR(__xludf.DUMMYFUNCTION("""COMPUTED_VALUE"""),"vidal")</f>
        <v>vidal</v>
      </c>
      <c r="AC167" s="1" t="str">
        <f>IFERROR(__xludf.DUMMYFUNCTION("""COMPUTED_VALUE"""),"EXG")</f>
        <v>EXG</v>
      </c>
      <c r="AD167" s="1" t="str">
        <f>IFERROR(__xludf.DUMMYFUNCTION("""COMPUTED_VALUE"""),"EXG")</f>
        <v>EXG</v>
      </c>
      <c r="AE167" s="1" t="str">
        <f>IFERROR(__xludf.DUMMYFUNCTION("""COMPUTED_VALUE"""),"EXG")</f>
        <v>EXG</v>
      </c>
      <c r="AF167" s="1" t="str">
        <f>IFERROR(__xludf.DUMMYFUNCTION("""COMPUTED_VALUE"""),"GG")</f>
        <v>GG</v>
      </c>
      <c r="AG167" s="1" t="str">
        <f>IFERROR(__xludf.DUMMYFUNCTION("""COMPUTED_VALUE"""),"EXG")</f>
        <v>EXG</v>
      </c>
      <c r="AH167" s="1">
        <f>IFERROR(__xludf.DUMMYFUNCTION("""COMPUTED_VALUE"""),42)</f>
        <v>42</v>
      </c>
      <c r="AI167" s="1">
        <f>IFERROR(__xludf.DUMMYFUNCTION("""COMPUTED_VALUE"""),42)</f>
        <v>42</v>
      </c>
      <c r="AJ167" s="1">
        <f>IFERROR(__xludf.DUMMYFUNCTION("""COMPUTED_VALUE"""),42)</f>
        <v>42</v>
      </c>
      <c r="AK167" s="1">
        <f>IFERROR(__xludf.DUMMYFUNCTION("""COMPUTED_VALUE"""),42)</f>
        <v>42</v>
      </c>
      <c r="AL167" s="1" t="str">
        <f>IFERROR(__xludf.DUMMYFUNCTION("""COMPUTED_VALUE"""),"EXG")</f>
        <v>EXG</v>
      </c>
      <c r="AM167" s="1" t="str">
        <f>IFERROR(__xludf.DUMMYFUNCTION("""COMPUTED_VALUE"""),"EXG")</f>
        <v>EXG</v>
      </c>
      <c r="AN167" s="1" t="str">
        <f>IFERROR(__xludf.DUMMYFUNCTION("""COMPUTED_VALUE"""),"GG")</f>
        <v>GG</v>
      </c>
    </row>
    <row r="168" customHeight="1" spans="1:40">
      <c r="A168" s="1" t="str">
        <f>IFERROR(__xludf.DUMMYFUNCTION("""COMPUTED_VALUE"""),"03° BBM")</f>
        <v>03° BBM</v>
      </c>
      <c r="B168" s="1" t="str">
        <f>IFERROR(__xludf.DUMMYFUNCTION("""COMPUTED_VALUE"""),"Arroio Grande")</f>
        <v>Arroio Grande</v>
      </c>
      <c r="C168" s="119" t="str">
        <f>IFERROR(__xludf.DUMMYFUNCTION("""COMPUTED_VALUE"""),"CAB")</f>
        <v>CAB</v>
      </c>
      <c r="D168" s="1" t="str">
        <f>IFERROR(__xludf.DUMMYFUNCTION("""COMPUTED_VALUE"""),"JOSE ALMIRO PEREIRA")</f>
        <v>JOSE ALMIRO PEREIRA</v>
      </c>
      <c r="E168" s="119" t="str">
        <f>IFERROR(__xludf.DUMMYFUNCTION("""COMPUTED_VALUE"""),"Curso CAB operador concluído")</f>
        <v>Curso CAB operador concluído</v>
      </c>
      <c r="F168" s="1" t="str">
        <f>IFERROR(__xludf.DUMMYFUNCTION("""COMPUTED_VALUE"""),"004.072.270-83")</f>
        <v>004.072.270-83</v>
      </c>
      <c r="G168" s="1">
        <f>IFERROR(__xludf.DUMMYFUNCTION("""COMPUTED_VALUE"""),8080791125)</f>
        <v>8080791125</v>
      </c>
      <c r="H168" s="1" t="str">
        <f>IFERROR(__xludf.DUMMYFUNCTION("""COMPUTED_VALUE"""),"Auxiliar bombeiro civil")</f>
        <v>Auxiliar bombeiro civil</v>
      </c>
      <c r="I168" s="1" t="str">
        <f>IFERROR(__xludf.DUMMYFUNCTION("""COMPUTED_VALUE"""),"Básico primeiro socorros, retro escavadeira.")</f>
        <v>Básico primeiro socorros, retro escavadeira.</v>
      </c>
      <c r="J168" s="1" t="str">
        <f>IFERROR(__xludf.DUMMYFUNCTION("""COMPUTED_VALUE"""),"Não")</f>
        <v>Não</v>
      </c>
      <c r="K168" s="1" t="str">
        <f>IFERROR(__xludf.DUMMYFUNCTION("""COMPUTED_VALUE"""),"Não")</f>
        <v>Não</v>
      </c>
      <c r="L168" s="1" t="str">
        <f>IFERROR(__xludf.DUMMYFUNCTION("""COMPUTED_VALUE"""),"O+")</f>
        <v>O+</v>
      </c>
      <c r="M168" s="1" t="str">
        <f>IFERROR(__xludf.DUMMYFUNCTION("""COMPUTED_VALUE"""),"JOSÉ ALMIRO")</f>
        <v>JOSÉ ALMIRO</v>
      </c>
      <c r="N168" s="125">
        <f>IFERROR(__xludf.DUMMYFUNCTION("""COMPUTED_VALUE"""),23950)</f>
        <v>23950</v>
      </c>
      <c r="O168" s="1" t="str">
        <f>IFERROR(__xludf.DUMMYFUNCTION("""COMPUTED_VALUE"""),"Masculino")</f>
        <v>Masculino</v>
      </c>
      <c r="P168" s="1" t="str">
        <f>IFERROR(__xludf.DUMMYFUNCTION("""COMPUTED_VALUE"""),"Branca")</f>
        <v>Branca</v>
      </c>
      <c r="Q168" s="1" t="str">
        <f>IFERROR(__xludf.DUMMYFUNCTION("""COMPUTED_VALUE"""),"Ensino Médio")</f>
        <v>Ensino Médio</v>
      </c>
      <c r="R168" s="1" t="str">
        <f>IFERROR(__xludf.DUMMYFUNCTION("""COMPUTED_VALUE"""),"valdelania123@gmail.com")</f>
        <v>valdelania123@gmail.com</v>
      </c>
      <c r="S168" s="1" t="str">
        <f>IFERROR(__xludf.DUMMYFUNCTION("""COMPUTED_VALUE"""),"96 kg")</f>
        <v>96 kg</v>
      </c>
      <c r="T168" s="1" t="str">
        <f>IFERROR(__xludf.DUMMYFUNCTION("""COMPUTED_VALUE"""),"Entre 1,71m e 1,75m")</f>
        <v>Entre 1,71m e 1,75m</v>
      </c>
      <c r="U168" s="1"/>
      <c r="V168" s="1" t="str">
        <f>IFERROR(__xludf.DUMMYFUNCTION("""COMPUTED_VALUE"""),"(53) 984286312")</f>
        <v>(53) 984286312</v>
      </c>
      <c r="W168" s="1"/>
      <c r="X168" s="1" t="str">
        <f>IFERROR(__xludf.DUMMYFUNCTION("""COMPUTED_VALUE"""),"RS")</f>
        <v>RS</v>
      </c>
      <c r="Y168" s="1" t="str">
        <f>IFERROR(__xludf.DUMMYFUNCTION("""COMPUTED_VALUE"""),"Arroio Grande")</f>
        <v>Arroio Grande</v>
      </c>
      <c r="Z168" s="1">
        <f>IFERROR(__xludf.DUMMYFUNCTION("""COMPUTED_VALUE"""),96330000)</f>
        <v>96330000</v>
      </c>
      <c r="AA168" s="1" t="str">
        <f>IFERROR(__xludf.DUMMYFUNCTION("""COMPUTED_VALUE"""),"alice colasso das neves 103")</f>
        <v>alice colasso das neves 103</v>
      </c>
      <c r="AB168" s="1" t="str">
        <f>IFERROR(__xludf.DUMMYFUNCTION("""COMPUTED_VALUE"""),"sao gabriel")</f>
        <v>sao gabriel</v>
      </c>
      <c r="AC168" s="1" t="str">
        <f>IFERROR(__xludf.DUMMYFUNCTION("""COMPUTED_VALUE"""),"GG")</f>
        <v>GG</v>
      </c>
      <c r="AD168" s="1" t="str">
        <f>IFERROR(__xludf.DUMMYFUNCTION("""COMPUTED_VALUE"""),"GG")</f>
        <v>GG</v>
      </c>
      <c r="AE168" s="1" t="str">
        <f>IFERROR(__xludf.DUMMYFUNCTION("""COMPUTED_VALUE"""),"GG")</f>
        <v>GG</v>
      </c>
      <c r="AF168" s="1" t="str">
        <f>IFERROR(__xludf.DUMMYFUNCTION("""COMPUTED_VALUE"""),"GG")</f>
        <v>GG</v>
      </c>
      <c r="AG168" s="1" t="str">
        <f>IFERROR(__xludf.DUMMYFUNCTION("""COMPUTED_VALUE"""),"GG")</f>
        <v>GG</v>
      </c>
      <c r="AH168" s="1">
        <f>IFERROR(__xludf.DUMMYFUNCTION("""COMPUTED_VALUE"""),42)</f>
        <v>42</v>
      </c>
      <c r="AI168" s="1">
        <f>IFERROR(__xludf.DUMMYFUNCTION("""COMPUTED_VALUE"""),42)</f>
        <v>42</v>
      </c>
      <c r="AJ168" s="1">
        <f>IFERROR(__xludf.DUMMYFUNCTION("""COMPUTED_VALUE"""),42)</f>
        <v>42</v>
      </c>
      <c r="AK168" s="1">
        <f>IFERROR(__xludf.DUMMYFUNCTION("""COMPUTED_VALUE"""),42)</f>
        <v>42</v>
      </c>
      <c r="AL168" s="1" t="str">
        <f>IFERROR(__xludf.DUMMYFUNCTION("""COMPUTED_VALUE"""),"GG")</f>
        <v>GG</v>
      </c>
      <c r="AM168" s="1" t="str">
        <f>IFERROR(__xludf.DUMMYFUNCTION("""COMPUTED_VALUE"""),"GG")</f>
        <v>GG</v>
      </c>
      <c r="AN168" s="1" t="str">
        <f>IFERROR(__xludf.DUMMYFUNCTION("""COMPUTED_VALUE"""),"GG")</f>
        <v>GG</v>
      </c>
    </row>
    <row r="209" customHeight="1" spans="1:40">
      <c r="A209" s="126" t="str">
        <f>IFERROR(__xludf.DUMMYFUNCTION("IMPORTRANGE(""1uCBYq_B1noXDnZ2hAWfjmyqidVGOrreR1eUpbj41kZg/edit?gid=516654854"",""4BBM!A2:AN"")"),"")</f>
        <v/>
      </c>
      <c r="B209" s="1"/>
      <c r="C209" s="119"/>
      <c r="D209" s="1" t="str">
        <f>IFERROR(__xludf.DUMMYFUNCTION("""COMPUTED_VALUE"""),"AIRTON FOGAÇA MAYDANA FILHO")</f>
        <v>AIRTON FOGAÇA MAYDANA FILHO</v>
      </c>
      <c r="E209" s="119" t="str">
        <f>IFERROR(__xludf.DUMMYFUNCTION("""COMPUTED_VALUE"""),"Curso CAB operador concluído")</f>
        <v>Curso CAB operador concluído</v>
      </c>
      <c r="F209" s="1" t="str">
        <f>IFERROR(__xludf.DUMMYFUNCTION("""COMPUTED_VALUE"""),"896.158.750-15")</f>
        <v>896.158.750-15</v>
      </c>
      <c r="G209" s="1"/>
      <c r="H209" s="1"/>
      <c r="I209" s="1"/>
      <c r="J209" s="1"/>
      <c r="K209" s="1"/>
      <c r="L209" s="1"/>
      <c r="M209" s="1"/>
      <c r="N209" s="120"/>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row>
    <row r="210" customHeight="1" spans="1:40">
      <c r="A210" s="1" t="str">
        <f>IFERROR(__xludf.DUMMYFUNCTION("""COMPUTED_VALUE"""),"04° BBM")</f>
        <v>04° BBM</v>
      </c>
      <c r="B210" s="1" t="str">
        <f>IFERROR(__xludf.DUMMYFUNCTION("""COMPUTED_VALUE"""),"Julio de Castilhos")</f>
        <v>Julio de Castilhos</v>
      </c>
      <c r="C210" s="119" t="str">
        <f>IFERROR(__xludf.DUMMYFUNCTION("""COMPUTED_VALUE"""),"Comunitario")</f>
        <v>Comunitario</v>
      </c>
      <c r="D210" s="1" t="str">
        <f>IFERROR(__xludf.DUMMYFUNCTION("""COMPUTED_VALUE"""),"ALEXANDRE JOSE BUSATTO DOS SANTOS")</f>
        <v>ALEXANDRE JOSE BUSATTO DOS SANTOS</v>
      </c>
      <c r="E210" s="119" t="str">
        <f>IFERROR(__xludf.DUMMYFUNCTION("""COMPUTED_VALUE"""),"Curso CAB operador concluído")</f>
        <v>Curso CAB operador concluído</v>
      </c>
      <c r="F210" s="1" t="str">
        <f>IFERROR(__xludf.DUMMYFUNCTION("""COMPUTED_VALUE"""),"477.964.800-91")</f>
        <v>477.964.800-91</v>
      </c>
      <c r="G210" s="1">
        <f>IFERROR(__xludf.DUMMYFUNCTION("""COMPUTED_VALUE"""),1052703806)</f>
        <v>1052703806</v>
      </c>
      <c r="H210" s="1" t="str">
        <f>IFERROR(__xludf.DUMMYFUNCTION("""COMPUTED_VALUE"""),"Aux de Linha")</f>
        <v>Aux de Linha</v>
      </c>
      <c r="I210" s="1" t="str">
        <f>IFERROR(__xludf.DUMMYFUNCTION("""COMPUTED_VALUE"""),"Portaria N.º 083/CBMRS/2022-CURSO BÁSICO/OPERADOR")</f>
        <v>Portaria N.º 083/CBMRS/2022-CURSO BÁSICO/OPERADOR</v>
      </c>
      <c r="J210" s="1" t="str">
        <f>IFERROR(__xludf.DUMMYFUNCTION("""COMPUTED_VALUE"""),"Sim")</f>
        <v>Sim</v>
      </c>
      <c r="K210" s="1" t="str">
        <f>IFERROR(__xludf.DUMMYFUNCTION("""COMPUTED_VALUE"""),"Sim")</f>
        <v>Sim</v>
      </c>
      <c r="L210" s="1" t="str">
        <f>IFERROR(__xludf.DUMMYFUNCTION("""COMPUTED_VALUE"""),"A+")</f>
        <v>A+</v>
      </c>
      <c r="M210" s="1" t="str">
        <f>IFERROR(__xludf.DUMMYFUNCTION("""COMPUTED_VALUE"""),"BUSATTO")</f>
        <v>BUSATTO</v>
      </c>
      <c r="N210" s="120">
        <f>IFERROR(__xludf.DUMMYFUNCTION("""COMPUTED_VALUE"""),27449)</f>
        <v>27449</v>
      </c>
      <c r="O210" s="1" t="str">
        <f>IFERROR(__xludf.DUMMYFUNCTION("""COMPUTED_VALUE"""),"Masculino")</f>
        <v>Masculino</v>
      </c>
      <c r="P210" s="1" t="str">
        <f>IFERROR(__xludf.DUMMYFUNCTION("""COMPUTED_VALUE"""),"Branca")</f>
        <v>Branca</v>
      </c>
      <c r="Q210" s="1" t="str">
        <f>IFERROR(__xludf.DUMMYFUNCTION("""COMPUTED_VALUE"""),"Ensino Médio")</f>
        <v>Ensino Médio</v>
      </c>
      <c r="R210" s="1" t="str">
        <f>IFERROR(__xludf.DUMMYFUNCTION("""COMPUTED_VALUE"""),"alexandrebusatto@hotmail.com")</f>
        <v>alexandrebusatto@hotmail.com</v>
      </c>
      <c r="S210" s="1">
        <f>IFERROR(__xludf.DUMMYFUNCTION("""COMPUTED_VALUE"""),100)</f>
        <v>100</v>
      </c>
      <c r="T210" s="1" t="str">
        <f>IFERROR(__xludf.DUMMYFUNCTION("""COMPUTED_VALUE"""),"Entre 1,81m e 1,85m")</f>
        <v>Entre 1,81m e 1,85m</v>
      </c>
      <c r="U210" s="1" t="str">
        <f>IFERROR(__xludf.DUMMYFUNCTION("""COMPUTED_VALUE"""),"não possui")</f>
        <v>não possui</v>
      </c>
      <c r="V210" s="1" t="str">
        <f>IFERROR(__xludf.DUMMYFUNCTION("""COMPUTED_VALUE"""),"(55)997020321")</f>
        <v>(55)997020321</v>
      </c>
      <c r="W210" s="1" t="str">
        <f>IFERROR(__xludf.DUMMYFUNCTION("""COMPUTED_VALUE"""),"(55)981212960")</f>
        <v>(55)981212960</v>
      </c>
      <c r="X210" s="1" t="str">
        <f>IFERROR(__xludf.DUMMYFUNCTION("""COMPUTED_VALUE"""),"RS")</f>
        <v>RS</v>
      </c>
      <c r="Y210" s="1" t="str">
        <f>IFERROR(__xludf.DUMMYFUNCTION("""COMPUTED_VALUE"""),"Júlio de Castilhos")</f>
        <v>Júlio de Castilhos</v>
      </c>
      <c r="Z210" s="1">
        <f>IFERROR(__xludf.DUMMYFUNCTION("""COMPUTED_VALUE"""),98130000)</f>
        <v>98130000</v>
      </c>
      <c r="AA210" s="1" t="str">
        <f>IFERROR(__xludf.DUMMYFUNCTION("""COMPUTED_VALUE"""),"Rua Capitão Mechiades 07")</f>
        <v>Rua Capitão Mechiades 07</v>
      </c>
      <c r="AB210" s="1" t="str">
        <f>IFERROR(__xludf.DUMMYFUNCTION("""COMPUTED_VALUE"""),"Medianeira")</f>
        <v>Medianeira</v>
      </c>
      <c r="AC210" s="1" t="str">
        <f>IFERROR(__xludf.DUMMYFUNCTION("""COMPUTED_VALUE"""),"GG")</f>
        <v>GG</v>
      </c>
      <c r="AD210" s="1" t="str">
        <f>IFERROR(__xludf.DUMMYFUNCTION("""COMPUTED_VALUE"""),"GG")</f>
        <v>GG</v>
      </c>
      <c r="AE210" s="1" t="str">
        <f>IFERROR(__xludf.DUMMYFUNCTION("""COMPUTED_VALUE"""),"GG")</f>
        <v>GG</v>
      </c>
      <c r="AF210" s="1" t="str">
        <f>IFERROR(__xludf.DUMMYFUNCTION("""COMPUTED_VALUE"""),"EXG")</f>
        <v>EXG</v>
      </c>
      <c r="AG210" s="1" t="str">
        <f>IFERROR(__xludf.DUMMYFUNCTION("""COMPUTED_VALUE"""),"GG")</f>
        <v>GG</v>
      </c>
      <c r="AH210" s="1">
        <f>IFERROR(__xludf.DUMMYFUNCTION("""COMPUTED_VALUE"""),41)</f>
        <v>41</v>
      </c>
      <c r="AI210" s="1">
        <f>IFERROR(__xludf.DUMMYFUNCTION("""COMPUTED_VALUE"""),41)</f>
        <v>41</v>
      </c>
      <c r="AJ210" s="1">
        <f>IFERROR(__xludf.DUMMYFUNCTION("""COMPUTED_VALUE"""),41)</f>
        <v>41</v>
      </c>
      <c r="AK210" s="1">
        <f>IFERROR(__xludf.DUMMYFUNCTION("""COMPUTED_VALUE"""),41)</f>
        <v>41</v>
      </c>
      <c r="AL210" s="1" t="str">
        <f>IFERROR(__xludf.DUMMYFUNCTION("""COMPUTED_VALUE"""),"GG")</f>
        <v>GG</v>
      </c>
      <c r="AM210" s="1" t="str">
        <f>IFERROR(__xludf.DUMMYFUNCTION("""COMPUTED_VALUE"""),"GG")</f>
        <v>GG</v>
      </c>
      <c r="AN210" s="1" t="str">
        <f>IFERROR(__xludf.DUMMYFUNCTION("""COMPUTED_VALUE"""),"M")</f>
        <v>M</v>
      </c>
    </row>
    <row r="211" customHeight="1" spans="1:40">
      <c r="A211" s="1"/>
      <c r="B211" s="1"/>
      <c r="C211" s="119"/>
      <c r="D211" s="1" t="str">
        <f>IFERROR(__xludf.DUMMYFUNCTION("""COMPUTED_VALUE"""),"ANDERSON CLAITON CESAR DA CRUZ")</f>
        <v>ANDERSON CLAITON CESAR DA CRUZ</v>
      </c>
      <c r="E211" s="119" t="str">
        <f>IFERROR(__xludf.DUMMYFUNCTION("""COMPUTED_VALUE"""),"Módulo 1 concluído")</f>
        <v>Módulo 1 concluído</v>
      </c>
      <c r="F211" s="1" t="str">
        <f>IFERROR(__xludf.DUMMYFUNCTION("""COMPUTED_VALUE"""),"017.640.420-18")</f>
        <v>017.640.420-18</v>
      </c>
      <c r="G211" s="1"/>
      <c r="H211" s="1"/>
      <c r="I211" s="1"/>
      <c r="J211" s="1"/>
      <c r="K211" s="1"/>
      <c r="L211" s="1"/>
      <c r="M211" s="1"/>
      <c r="N211" s="120"/>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row>
    <row r="212" customHeight="1" spans="1:40">
      <c r="A212" s="1"/>
      <c r="B212" s="1"/>
      <c r="C212" s="119"/>
      <c r="D212" s="1" t="str">
        <f>IFERROR(__xludf.DUMMYFUNCTION("""COMPUTED_VALUE"""),"CAROLINA SPERKA")</f>
        <v>CAROLINA SPERKA</v>
      </c>
      <c r="E212" s="119" t="str">
        <f>IFERROR(__xludf.DUMMYFUNCTION("""COMPUTED_VALUE"""),"Módulo 1 concluído")</f>
        <v>Módulo 1 concluído</v>
      </c>
      <c r="F212" s="1" t="str">
        <f>IFERROR(__xludf.DUMMYFUNCTION("""COMPUTED_VALUE"""),"108.469.079-92")</f>
        <v>108.469.079-92</v>
      </c>
      <c r="G212" s="1"/>
      <c r="H212" s="1"/>
      <c r="I212" s="1"/>
      <c r="J212" s="1"/>
      <c r="K212" s="1"/>
      <c r="L212" s="1"/>
      <c r="M212" s="1"/>
      <c r="N212" s="120"/>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row>
    <row r="213" customHeight="1" spans="1:40">
      <c r="A213" s="1"/>
      <c r="B213" s="1"/>
      <c r="C213" s="119"/>
      <c r="D213" s="1" t="str">
        <f>IFERROR(__xludf.DUMMYFUNCTION("""COMPUTED_VALUE"""),"FERNANDA DA COSTA PORTEL")</f>
        <v>FERNANDA DA COSTA PORTEL</v>
      </c>
      <c r="E213" s="119" t="str">
        <f>IFERROR(__xludf.DUMMYFUNCTION("""COMPUTED_VALUE"""),"Módulo 1 concluído")</f>
        <v>Módulo 1 concluído</v>
      </c>
      <c r="F213" s="1" t="str">
        <f>IFERROR(__xludf.DUMMYFUNCTION("""COMPUTED_VALUE"""),"030.460.260-48")</f>
        <v>030.460.260-48</v>
      </c>
      <c r="G213" s="1"/>
      <c r="H213" s="1"/>
      <c r="I213" s="1"/>
      <c r="J213" s="1"/>
      <c r="K213" s="1"/>
      <c r="L213" s="1"/>
      <c r="M213" s="1"/>
      <c r="N213" s="120"/>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row>
    <row r="214" customHeight="1" spans="1:40">
      <c r="A214" s="1" t="str">
        <f>IFERROR(__xludf.DUMMYFUNCTION("""COMPUTED_VALUE"""),"04° BBM")</f>
        <v>04° BBM</v>
      </c>
      <c r="B214" s="1" t="str">
        <f>IFERROR(__xludf.DUMMYFUNCTION("""COMPUTED_VALUE"""),"Julio de Castilhos")</f>
        <v>Julio de Castilhos</v>
      </c>
      <c r="C214" s="119" t="str">
        <f>IFERROR(__xludf.DUMMYFUNCTION("""COMPUTED_VALUE"""),"Comunitario")</f>
        <v>Comunitario</v>
      </c>
      <c r="D214" s="1" t="str">
        <f>IFERROR(__xludf.DUMMYFUNCTION("""COMPUTED_VALUE"""),"FRANCIELE MARTINS DA SILVEIRA")</f>
        <v>FRANCIELE MARTINS DA SILVEIRA</v>
      </c>
      <c r="E214" s="119" t="str">
        <f>IFERROR(__xludf.DUMMYFUNCTION("""COMPUTED_VALUE"""),"Curso CAB operador concluído")</f>
        <v>Curso CAB operador concluído</v>
      </c>
      <c r="F214" s="1" t="str">
        <f>IFERROR(__xludf.DUMMYFUNCTION("""COMPUTED_VALUE"""),"011.064.690-89")</f>
        <v>011.064.690-89</v>
      </c>
      <c r="G214" s="1">
        <f>IFERROR(__xludf.DUMMYFUNCTION("""COMPUTED_VALUE"""),7083594916)</f>
        <v>7083594916</v>
      </c>
      <c r="H214" s="1" t="str">
        <f>IFERROR(__xludf.DUMMYFUNCTION("""COMPUTED_VALUE"""),"Aux de Linha")</f>
        <v>Aux de Linha</v>
      </c>
      <c r="I214" s="1" t="str">
        <f>IFERROR(__xludf.DUMMYFUNCTION("""COMPUTED_VALUE"""),"Portaria N.º 083/CBMRS/2022-CURSO BÁSICO/OPERADOR")</f>
        <v>Portaria N.º 083/CBMRS/2022-CURSO BÁSICO/OPERADOR</v>
      </c>
      <c r="J214" s="1" t="str">
        <f>IFERROR(__xludf.DUMMYFUNCTION("""COMPUTED_VALUE"""),"Sim")</f>
        <v>Sim</v>
      </c>
      <c r="K214" s="1" t="str">
        <f>IFERROR(__xludf.DUMMYFUNCTION("""COMPUTED_VALUE"""),"Sim")</f>
        <v>Sim</v>
      </c>
      <c r="L214" s="1" t="str">
        <f>IFERROR(__xludf.DUMMYFUNCTION("""COMPUTED_VALUE"""),"B+")</f>
        <v>B+</v>
      </c>
      <c r="M214" s="1" t="str">
        <f>IFERROR(__xludf.DUMMYFUNCTION("""COMPUTED_VALUE"""),"FRANCIELE")</f>
        <v>FRANCIELE</v>
      </c>
      <c r="N214" s="120">
        <f>IFERROR(__xludf.DUMMYFUNCTION("""COMPUTED_VALUE"""),31183)</f>
        <v>31183</v>
      </c>
      <c r="O214" s="1" t="str">
        <f>IFERROR(__xludf.DUMMYFUNCTION("""COMPUTED_VALUE"""),"Feminino")</f>
        <v>Feminino</v>
      </c>
      <c r="P214" s="1" t="str">
        <f>IFERROR(__xludf.DUMMYFUNCTION("""COMPUTED_VALUE"""),"Branca")</f>
        <v>Branca</v>
      </c>
      <c r="Q214" s="1" t="str">
        <f>IFERROR(__xludf.DUMMYFUNCTION("""COMPUTED_VALUE"""),"Ensino Superior Incompleto")</f>
        <v>Ensino Superior Incompleto</v>
      </c>
      <c r="R214" s="1" t="str">
        <f>IFERROR(__xludf.DUMMYFUNCTION("""COMPUTED_VALUE"""),"francielempereira10@gmail.com")</f>
        <v>francielempereira10@gmail.com</v>
      </c>
      <c r="S214" s="1">
        <f>IFERROR(__xludf.DUMMYFUNCTION("""COMPUTED_VALUE"""),80)</f>
        <v>80</v>
      </c>
      <c r="T214" s="1" t="str">
        <f>IFERROR(__xludf.DUMMYFUNCTION("""COMPUTED_VALUE"""),"Entre 1,61m e 1,65m")</f>
        <v>Entre 1,61m e 1,65m</v>
      </c>
      <c r="U214" s="1" t="str">
        <f>IFERROR(__xludf.DUMMYFUNCTION("""COMPUTED_VALUE"""),"não possui")</f>
        <v>não possui</v>
      </c>
      <c r="V214" s="1" t="str">
        <f>IFERROR(__xludf.DUMMYFUNCTION("""COMPUTED_VALUE"""),"(55)999001568")</f>
        <v>(55)999001568</v>
      </c>
      <c r="W214" s="1" t="str">
        <f>IFERROR(__xludf.DUMMYFUNCTION("""COMPUTED_VALUE"""),"(55)999851717")</f>
        <v>(55)999851717</v>
      </c>
      <c r="X214" s="1" t="str">
        <f>IFERROR(__xludf.DUMMYFUNCTION("""COMPUTED_VALUE"""),"RS")</f>
        <v>RS</v>
      </c>
      <c r="Y214" s="1" t="str">
        <f>IFERROR(__xludf.DUMMYFUNCTION("""COMPUTED_VALUE"""),"Júlio de Castilhos")</f>
        <v>Júlio de Castilhos</v>
      </c>
      <c r="Z214" s="1">
        <f>IFERROR(__xludf.DUMMYFUNCTION("""COMPUTED_VALUE"""),98130000)</f>
        <v>98130000</v>
      </c>
      <c r="AA214" s="1" t="str">
        <f>IFERROR(__xludf.DUMMYFUNCTION("""COMPUTED_VALUE"""),"Rua Osório Salles 07")</f>
        <v>Rua Osório Salles 07</v>
      </c>
      <c r="AB214" s="1" t="str">
        <f>IFERROR(__xludf.DUMMYFUNCTION("""COMPUTED_VALUE"""),"Maria de Jesus")</f>
        <v>Maria de Jesus</v>
      </c>
      <c r="AC214" s="1" t="str">
        <f>IFERROR(__xludf.DUMMYFUNCTION("""COMPUTED_VALUE"""),"G")</f>
        <v>G</v>
      </c>
      <c r="AD214" s="1" t="str">
        <f>IFERROR(__xludf.DUMMYFUNCTION("""COMPUTED_VALUE"""),"G")</f>
        <v>G</v>
      </c>
      <c r="AE214" s="1" t="str">
        <f>IFERROR(__xludf.DUMMYFUNCTION("""COMPUTED_VALUE"""),"G")</f>
        <v>G</v>
      </c>
      <c r="AF214" s="1" t="str">
        <f>IFERROR(__xludf.DUMMYFUNCTION("""COMPUTED_VALUE"""),"GG")</f>
        <v>GG</v>
      </c>
      <c r="AG214" s="1" t="str">
        <f>IFERROR(__xludf.DUMMYFUNCTION("""COMPUTED_VALUE"""),"G")</f>
        <v>G</v>
      </c>
      <c r="AH214" s="1">
        <f>IFERROR(__xludf.DUMMYFUNCTION("""COMPUTED_VALUE"""),36)</f>
        <v>36</v>
      </c>
      <c r="AI214" s="1">
        <f>IFERROR(__xludf.DUMMYFUNCTION("""COMPUTED_VALUE"""),36)</f>
        <v>36</v>
      </c>
      <c r="AJ214" s="1">
        <f>IFERROR(__xludf.DUMMYFUNCTION("""COMPUTED_VALUE"""),36)</f>
        <v>36</v>
      </c>
      <c r="AK214" s="1">
        <f>IFERROR(__xludf.DUMMYFUNCTION("""COMPUTED_VALUE"""),36)</f>
        <v>36</v>
      </c>
      <c r="AL214" s="1" t="str">
        <f>IFERROR(__xludf.DUMMYFUNCTION("""COMPUTED_VALUE"""),"M")</f>
        <v>M</v>
      </c>
      <c r="AM214" s="1" t="str">
        <f>IFERROR(__xludf.DUMMYFUNCTION("""COMPUTED_VALUE"""),"M")</f>
        <v>M</v>
      </c>
      <c r="AN214" s="1" t="str">
        <f>IFERROR(__xludf.DUMMYFUNCTION("""COMPUTED_VALUE"""),"M")</f>
        <v>M</v>
      </c>
    </row>
    <row r="215" customHeight="1" spans="1:40">
      <c r="A215" s="1"/>
      <c r="B215" s="1"/>
      <c r="C215" s="119"/>
      <c r="D215" s="1" t="str">
        <f>IFERROR(__xludf.DUMMYFUNCTION("""COMPUTED_VALUE"""),"GILSON ANTÔNIO ROLIM")</f>
        <v>GILSON ANTÔNIO ROLIM</v>
      </c>
      <c r="E215" s="119" t="str">
        <f>IFERROR(__xludf.DUMMYFUNCTION("""COMPUTED_VALUE"""),"Módulo 1 concluído")</f>
        <v>Módulo 1 concluído</v>
      </c>
      <c r="F215" s="1" t="str">
        <f>IFERROR(__xludf.DUMMYFUNCTION("""COMPUTED_VALUE"""),"822.608.850-04")</f>
        <v>822.608.850-04</v>
      </c>
      <c r="G215" s="1"/>
      <c r="H215" s="1"/>
      <c r="I215" s="1"/>
      <c r="J215" s="1"/>
      <c r="K215" s="1"/>
      <c r="L215" s="1"/>
      <c r="M215" s="1"/>
      <c r="N215" s="120"/>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row>
    <row r="216" customHeight="1" spans="1:40">
      <c r="A216" s="1" t="str">
        <f>IFERROR(__xludf.DUMMYFUNCTION("""COMPUTED_VALUE"""),"04° BBM")</f>
        <v>04° BBM</v>
      </c>
      <c r="B216" s="1" t="str">
        <f>IFERROR(__xludf.DUMMYFUNCTION("""COMPUTED_VALUE"""),"São Sepé")</f>
        <v>São Sepé</v>
      </c>
      <c r="C216" s="119" t="str">
        <f>IFERROR(__xludf.DUMMYFUNCTION("""COMPUTED_VALUE"""),"Comunitario")</f>
        <v>Comunitario</v>
      </c>
      <c r="D216" s="1" t="str">
        <f>IFERROR(__xludf.DUMMYFUNCTION("""COMPUTED_VALUE"""),"GUILHERME FREITAS KELLING")</f>
        <v>GUILHERME FREITAS KELLING</v>
      </c>
      <c r="E216" s="119" t="str">
        <f>IFERROR(__xludf.DUMMYFUNCTION("""COMPUTED_VALUE"""),"Curso CAB operador concluído")</f>
        <v>Curso CAB operador concluído</v>
      </c>
      <c r="F216" s="1" t="str">
        <f>IFERROR(__xludf.DUMMYFUNCTION("""COMPUTED_VALUE"""),"589.442.650-20")</f>
        <v>589.442.650-20</v>
      </c>
      <c r="G216" s="1">
        <f>IFERROR(__xludf.DUMMYFUNCTION("""COMPUTED_VALUE"""),3050716467)</f>
        <v>3050716467</v>
      </c>
      <c r="H216" s="1" t="str">
        <f>IFERROR(__xludf.DUMMYFUNCTION("""COMPUTED_VALUE"""),"Cov")</f>
        <v>Cov</v>
      </c>
      <c r="I216" s="1" t="str">
        <f>IFERROR(__xludf.DUMMYFUNCTION("""COMPUTED_VALUE"""),"COV")</f>
        <v>COV</v>
      </c>
      <c r="J216" s="1" t="str">
        <f>IFERROR(__xludf.DUMMYFUNCTION("""COMPUTED_VALUE"""),"Sim")</f>
        <v>Sim</v>
      </c>
      <c r="K216" s="1" t="str">
        <f>IFERROR(__xludf.DUMMYFUNCTION("""COMPUTED_VALUE"""),"Não")</f>
        <v>Não</v>
      </c>
      <c r="L216" s="1" t="str">
        <f>IFERROR(__xludf.DUMMYFUNCTION("""COMPUTED_VALUE"""),"O+")</f>
        <v>O+</v>
      </c>
      <c r="M216" s="1" t="str">
        <f>IFERROR(__xludf.DUMMYFUNCTION("""COMPUTED_VALUE"""),"KELLING")</f>
        <v>KELLING</v>
      </c>
      <c r="N216" s="120">
        <f>IFERROR(__xludf.DUMMYFUNCTION("""COMPUTED_VALUE"""),27146)</f>
        <v>27146</v>
      </c>
      <c r="O216" s="1" t="str">
        <f>IFERROR(__xludf.DUMMYFUNCTION("""COMPUTED_VALUE"""),"Masculino")</f>
        <v>Masculino</v>
      </c>
      <c r="P216" s="1" t="str">
        <f>IFERROR(__xludf.DUMMYFUNCTION("""COMPUTED_VALUE"""),"Branca")</f>
        <v>Branca</v>
      </c>
      <c r="Q216" s="1" t="str">
        <f>IFERROR(__xludf.DUMMYFUNCTION("""COMPUTED_VALUE"""),"Ensino Médio")</f>
        <v>Ensino Médio</v>
      </c>
      <c r="R216" s="1" t="str">
        <f>IFERROR(__xludf.DUMMYFUNCTION("""COMPUTED_VALUE"""),"kelling.guilherme@hotmail.com")</f>
        <v>kelling.guilherme@hotmail.com</v>
      </c>
      <c r="S216" s="1">
        <f>IFERROR(__xludf.DUMMYFUNCTION("""COMPUTED_VALUE"""),80)</f>
        <v>80</v>
      </c>
      <c r="T216" s="1" t="str">
        <f>IFERROR(__xludf.DUMMYFUNCTION("""COMPUTED_VALUE"""),"Entre 1,71m e 1,75m")</f>
        <v>Entre 1,71m e 1,75m</v>
      </c>
      <c r="U216" s="1" t="str">
        <f>IFERROR(__xludf.DUMMYFUNCTION("""COMPUTED_VALUE"""),"Não possui")</f>
        <v>Não possui</v>
      </c>
      <c r="V216" s="1" t="str">
        <f>IFERROR(__xludf.DUMMYFUNCTION("""COMPUTED_VALUE"""),"(55)999470352")</f>
        <v>(55)999470352</v>
      </c>
      <c r="W216" s="1" t="str">
        <f>IFERROR(__xludf.DUMMYFUNCTION("""COMPUTED_VALUE"""),"(55)997175799")</f>
        <v>(55)997175799</v>
      </c>
      <c r="X216" s="1" t="str">
        <f>IFERROR(__xludf.DUMMYFUNCTION("""COMPUTED_VALUE"""),"RS")</f>
        <v>RS</v>
      </c>
      <c r="Y216" s="1" t="str">
        <f>IFERROR(__xludf.DUMMYFUNCTION("""COMPUTED_VALUE"""),"São Sepé")</f>
        <v>São Sepé</v>
      </c>
      <c r="Z216" s="1" t="str">
        <f>IFERROR(__xludf.DUMMYFUNCTION("""COMPUTED_VALUE"""),"97340-000")</f>
        <v>97340-000</v>
      </c>
      <c r="AA216" s="1" t="str">
        <f>IFERROR(__xludf.DUMMYFUNCTION("""COMPUTED_VALUE"""),"Rua Antão Farias, 541")</f>
        <v>Rua Antão Farias, 541</v>
      </c>
      <c r="AB216" s="1" t="str">
        <f>IFERROR(__xludf.DUMMYFUNCTION("""COMPUTED_VALUE"""),"Santo Antônio")</f>
        <v>Santo Antônio</v>
      </c>
      <c r="AC216" s="1" t="str">
        <f>IFERROR(__xludf.DUMMYFUNCTION("""COMPUTED_VALUE"""),"G")</f>
        <v>G</v>
      </c>
      <c r="AD216" s="1" t="str">
        <f>IFERROR(__xludf.DUMMYFUNCTION("""COMPUTED_VALUE"""),"G")</f>
        <v>G</v>
      </c>
      <c r="AE216" s="1" t="str">
        <f>IFERROR(__xludf.DUMMYFUNCTION("""COMPUTED_VALUE"""),"G")</f>
        <v>G</v>
      </c>
      <c r="AF216" s="1" t="str">
        <f>IFERROR(__xludf.DUMMYFUNCTION("""COMPUTED_VALUE"""),"G")</f>
        <v>G</v>
      </c>
      <c r="AG216" s="1" t="str">
        <f>IFERROR(__xludf.DUMMYFUNCTION("""COMPUTED_VALUE"""),"G")</f>
        <v>G</v>
      </c>
      <c r="AH216" s="1">
        <f>IFERROR(__xludf.DUMMYFUNCTION("""COMPUTED_VALUE"""),40)</f>
        <v>40</v>
      </c>
      <c r="AI216" s="1">
        <f>IFERROR(__xludf.DUMMYFUNCTION("""COMPUTED_VALUE"""),40)</f>
        <v>40</v>
      </c>
      <c r="AJ216" s="1">
        <f>IFERROR(__xludf.DUMMYFUNCTION("""COMPUTED_VALUE"""),40)</f>
        <v>40</v>
      </c>
      <c r="AK216" s="1">
        <f>IFERROR(__xludf.DUMMYFUNCTION("""COMPUTED_VALUE"""),40)</f>
        <v>40</v>
      </c>
      <c r="AL216" s="1" t="str">
        <f>IFERROR(__xludf.DUMMYFUNCTION("""COMPUTED_VALUE"""),"G")</f>
        <v>G</v>
      </c>
      <c r="AM216" s="1" t="str">
        <f>IFERROR(__xludf.DUMMYFUNCTION("""COMPUTED_VALUE"""),"G")</f>
        <v>G</v>
      </c>
      <c r="AN216" s="1" t="str">
        <f>IFERROR(__xludf.DUMMYFUNCTION("""COMPUTED_VALUE"""),"G")</f>
        <v>G</v>
      </c>
    </row>
    <row r="217" customHeight="1" spans="1:40">
      <c r="A217" s="1" t="str">
        <f>IFERROR(__xludf.DUMMYFUNCTION("""COMPUTED_VALUE"""),"04° BBM")</f>
        <v>04° BBM</v>
      </c>
      <c r="B217" s="1" t="str">
        <f>IFERROR(__xludf.DUMMYFUNCTION("""COMPUTED_VALUE"""),"Caçapava do Sul")</f>
        <v>Caçapava do Sul</v>
      </c>
      <c r="C217" s="119" t="str">
        <f>IFERROR(__xludf.DUMMYFUNCTION("""COMPUTED_VALUE"""),"Comunitario")</f>
        <v>Comunitario</v>
      </c>
      <c r="D217" s="1" t="str">
        <f>IFERROR(__xludf.DUMMYFUNCTION("""COMPUTED_VALUE"""),"JOAO BATISTA RODRIGUES DORNELES")</f>
        <v>JOAO BATISTA RODRIGUES DORNELES</v>
      </c>
      <c r="E217" s="119" t="str">
        <f>IFERROR(__xludf.DUMMYFUNCTION("""COMPUTED_VALUE"""),"")</f>
        <v/>
      </c>
      <c r="F217" s="1" t="str">
        <f>IFERROR(__xludf.DUMMYFUNCTION("""COMPUTED_VALUE"""),"390.227.220-15")</f>
        <v>390.227.220-15</v>
      </c>
      <c r="G217" s="1">
        <f>IFERROR(__xludf.DUMMYFUNCTION("""COMPUTED_VALUE"""),5041796441)</f>
        <v>5041796441</v>
      </c>
      <c r="H217" s="1" t="str">
        <f>IFERROR(__xludf.DUMMYFUNCTION("""COMPUTED_VALUE"""),"Aux de Linha")</f>
        <v>Aux de Linha</v>
      </c>
      <c r="I217" s="1" t="str">
        <f>IFERROR(__xludf.DUMMYFUNCTION("""COMPUTED_VALUE"""),"Op COBOM")</f>
        <v>Op COBOM</v>
      </c>
      <c r="J217" s="1" t="str">
        <f>IFERROR(__xludf.DUMMYFUNCTION("""COMPUTED_VALUE"""),"Sim")</f>
        <v>Sim</v>
      </c>
      <c r="K217" s="1" t="str">
        <f>IFERROR(__xludf.DUMMYFUNCTION("""COMPUTED_VALUE"""),"Não")</f>
        <v>Não</v>
      </c>
      <c r="L217" s="1" t="str">
        <f>IFERROR(__xludf.DUMMYFUNCTION("""COMPUTED_VALUE"""),"O+")</f>
        <v>O+</v>
      </c>
      <c r="M217" s="1" t="str">
        <f>IFERROR(__xludf.DUMMYFUNCTION("""COMPUTED_VALUE"""),"BATISTA")</f>
        <v>BATISTA</v>
      </c>
      <c r="N217" s="120">
        <f>IFERROR(__xludf.DUMMYFUNCTION("""COMPUTED_VALUE"""),24601)</f>
        <v>24601</v>
      </c>
      <c r="O217" s="1" t="str">
        <f>IFERROR(__xludf.DUMMYFUNCTION("""COMPUTED_VALUE"""),"Masculino")</f>
        <v>Masculino</v>
      </c>
      <c r="P217" s="1" t="str">
        <f>IFERROR(__xludf.DUMMYFUNCTION("""COMPUTED_VALUE"""),"Parda")</f>
        <v>Parda</v>
      </c>
      <c r="Q217" s="1" t="str">
        <f>IFERROR(__xludf.DUMMYFUNCTION("""COMPUTED_VALUE"""),"Ensino Médio")</f>
        <v>Ensino Médio</v>
      </c>
      <c r="R217" s="1" t="str">
        <f>IFERROR(__xludf.DUMMYFUNCTION("""COMPUTED_VALUE"""),"jbrodriguesdorneles@gmail.com")</f>
        <v>jbrodriguesdorneles@gmail.com</v>
      </c>
      <c r="S217" s="1" t="str">
        <f>IFERROR(__xludf.DUMMYFUNCTION("""COMPUTED_VALUE"""),"72kg")</f>
        <v>72kg</v>
      </c>
      <c r="T217" s="1" t="str">
        <f>IFERROR(__xludf.DUMMYFUNCTION("""COMPUTED_VALUE"""),"Entre 1,66m e 1,70m")</f>
        <v>Entre 1,66m e 1,70m</v>
      </c>
      <c r="U217" s="1" t="str">
        <f>IFERROR(__xludf.DUMMYFUNCTION("""COMPUTED_VALUE"""),"Não possui")</f>
        <v>Não possui</v>
      </c>
      <c r="V217" s="1" t="str">
        <f>IFERROR(__xludf.DUMMYFUNCTION("""COMPUTED_VALUE"""),"(55)99727-0889")</f>
        <v>(55)99727-0889</v>
      </c>
      <c r="W217" s="1" t="str">
        <f>IFERROR(__xludf.DUMMYFUNCTION("""COMPUTED_VALUE"""),"(55)99681-5495")</f>
        <v>(55)99681-5495</v>
      </c>
      <c r="X217" s="1" t="str">
        <f>IFERROR(__xludf.DUMMYFUNCTION("""COMPUTED_VALUE"""),"RS")</f>
        <v>RS</v>
      </c>
      <c r="Y217" s="1" t="str">
        <f>IFERROR(__xludf.DUMMYFUNCTION("""COMPUTED_VALUE"""),"Caçapava do Sul")</f>
        <v>Caçapava do Sul</v>
      </c>
      <c r="Z217" s="1" t="str">
        <f>IFERROR(__xludf.DUMMYFUNCTION("""COMPUTED_VALUE"""),"96570-000")</f>
        <v>96570-000</v>
      </c>
      <c r="AA217" s="1" t="str">
        <f>IFERROR(__xludf.DUMMYFUNCTION("""COMPUTED_VALUE"""),"Estrada do Segredo / Chácara JB")</f>
        <v>Estrada do Segredo / Chácara JB</v>
      </c>
      <c r="AB217" s="1" t="str">
        <f>IFERROR(__xludf.DUMMYFUNCTION("""COMPUTED_VALUE"""),"Interior")</f>
        <v>Interior</v>
      </c>
      <c r="AC217" s="1" t="str">
        <f>IFERROR(__xludf.DUMMYFUNCTION("""COMPUTED_VALUE"""),"M")</f>
        <v>M</v>
      </c>
      <c r="AD217" s="1" t="str">
        <f>IFERROR(__xludf.DUMMYFUNCTION("""COMPUTED_VALUE"""),"M")</f>
        <v>M</v>
      </c>
      <c r="AE217" s="1" t="str">
        <f>IFERROR(__xludf.DUMMYFUNCTION("""COMPUTED_VALUE"""),"M")</f>
        <v>M</v>
      </c>
      <c r="AF217" s="1" t="str">
        <f>IFERROR(__xludf.DUMMYFUNCTION("""COMPUTED_VALUE"""),"M")</f>
        <v>M</v>
      </c>
      <c r="AG217" s="1" t="str">
        <f>IFERROR(__xludf.DUMMYFUNCTION("""COMPUTED_VALUE"""),"M")</f>
        <v>M</v>
      </c>
      <c r="AH217" s="1">
        <f>IFERROR(__xludf.DUMMYFUNCTION("""COMPUTED_VALUE"""),39)</f>
        <v>39</v>
      </c>
      <c r="AI217" s="1">
        <f>IFERROR(__xludf.DUMMYFUNCTION("""COMPUTED_VALUE"""),39)</f>
        <v>39</v>
      </c>
      <c r="AJ217" s="1">
        <f>IFERROR(__xludf.DUMMYFUNCTION("""COMPUTED_VALUE"""),39)</f>
        <v>39</v>
      </c>
      <c r="AK217" s="1">
        <f>IFERROR(__xludf.DUMMYFUNCTION("""COMPUTED_VALUE"""),39)</f>
        <v>39</v>
      </c>
      <c r="AL217" s="1" t="str">
        <f>IFERROR(__xludf.DUMMYFUNCTION("""COMPUTED_VALUE"""),"M")</f>
        <v>M</v>
      </c>
      <c r="AM217" s="1" t="str">
        <f>IFERROR(__xludf.DUMMYFUNCTION("""COMPUTED_VALUE"""),"M")</f>
        <v>M</v>
      </c>
      <c r="AN217" s="1" t="str">
        <f>IFERROR(__xludf.DUMMYFUNCTION("""COMPUTED_VALUE"""),"M")</f>
        <v>M</v>
      </c>
    </row>
    <row r="218" customHeight="1" spans="1:40">
      <c r="A218" s="1" t="str">
        <f>IFERROR(__xludf.DUMMYFUNCTION("""COMPUTED_VALUE"""),"04° BBM")</f>
        <v>04° BBM</v>
      </c>
      <c r="B218" s="1" t="str">
        <f>IFERROR(__xludf.DUMMYFUNCTION("""COMPUTED_VALUE"""),"São Sepé")</f>
        <v>São Sepé</v>
      </c>
      <c r="C218" s="119" t="str">
        <f>IFERROR(__xludf.DUMMYFUNCTION("""COMPUTED_VALUE"""),"Comunitario")</f>
        <v>Comunitario</v>
      </c>
      <c r="D218" s="1" t="str">
        <f>IFERROR(__xludf.DUMMYFUNCTION("""COMPUTED_VALUE"""),"JOSE ADELAR DE MORAIS")</f>
        <v>JOSE ADELAR DE MORAIS</v>
      </c>
      <c r="E218" s="119" t="str">
        <f>IFERROR(__xludf.DUMMYFUNCTION("""COMPUTED_VALUE"""),"Curso CAB operador concluído")</f>
        <v>Curso CAB operador concluído</v>
      </c>
      <c r="F218" s="1" t="str">
        <f>IFERROR(__xludf.DUMMYFUNCTION("""COMPUTED_VALUE"""),"413.577.360-53")</f>
        <v>413.577.360-53</v>
      </c>
      <c r="G218" s="1">
        <f>IFERROR(__xludf.DUMMYFUNCTION("""COMPUTED_VALUE"""),1027167293)</f>
        <v>1027167293</v>
      </c>
      <c r="H218" s="1" t="str">
        <f>IFERROR(__xludf.DUMMYFUNCTION("""COMPUTED_VALUE"""),"Cov")</f>
        <v>Cov</v>
      </c>
      <c r="I218" s="1" t="str">
        <f>IFERROR(__xludf.DUMMYFUNCTION("""COMPUTED_VALUE"""),"COV")</f>
        <v>COV</v>
      </c>
      <c r="J218" s="1" t="str">
        <f>IFERROR(__xludf.DUMMYFUNCTION("""COMPUTED_VALUE"""),"Sim")</f>
        <v>Sim</v>
      </c>
      <c r="K218" s="1" t="str">
        <f>IFERROR(__xludf.DUMMYFUNCTION("""COMPUTED_VALUE"""),"Sim")</f>
        <v>Sim</v>
      </c>
      <c r="L218" s="1" t="str">
        <f>IFERROR(__xludf.DUMMYFUNCTION("""COMPUTED_VALUE"""),"O+")</f>
        <v>O+</v>
      </c>
      <c r="M218" s="1" t="str">
        <f>IFERROR(__xludf.DUMMYFUNCTION("""COMPUTED_VALUE"""),"ADELAR")</f>
        <v>ADELAR</v>
      </c>
      <c r="N218" s="120">
        <f>IFERROR(__xludf.DUMMYFUNCTION("""COMPUTED_VALUE"""),22759)</f>
        <v>22759</v>
      </c>
      <c r="O218" s="1" t="str">
        <f>IFERROR(__xludf.DUMMYFUNCTION("""COMPUTED_VALUE"""),"Masculino")</f>
        <v>Masculino</v>
      </c>
      <c r="P218" s="1" t="str">
        <f>IFERROR(__xludf.DUMMYFUNCTION("""COMPUTED_VALUE"""),"Branca")</f>
        <v>Branca</v>
      </c>
      <c r="Q218" s="1" t="str">
        <f>IFERROR(__xludf.DUMMYFUNCTION("""COMPUTED_VALUE"""),"Ensino Superior Incompleto")</f>
        <v>Ensino Superior Incompleto</v>
      </c>
      <c r="R218" s="1" t="str">
        <f>IFERROR(__xludf.DUMMYFUNCTION("""COMPUTED_VALUE"""),"mariposa17@gmail.com")</f>
        <v>mariposa17@gmail.com</v>
      </c>
      <c r="S218" s="1">
        <f>IFERROR(__xludf.DUMMYFUNCTION("""COMPUTED_VALUE"""),78)</f>
        <v>78</v>
      </c>
      <c r="T218" s="1" t="str">
        <f>IFERROR(__xludf.DUMMYFUNCTION("""COMPUTED_VALUE"""),"Entre 1,66m e 1,70m")</f>
        <v>Entre 1,66m e 1,70m</v>
      </c>
      <c r="U218" s="1" t="str">
        <f>IFERROR(__xludf.DUMMYFUNCTION("""COMPUTED_VALUE"""),"Não possui")</f>
        <v>Não possui</v>
      </c>
      <c r="V218" s="1" t="str">
        <f>IFERROR(__xludf.DUMMYFUNCTION("""COMPUTED_VALUE"""),"(55)991997751")</f>
        <v>(55)991997751</v>
      </c>
      <c r="W218" s="1" t="str">
        <f>IFERROR(__xludf.DUMMYFUNCTION("""COMPUTED_VALUE"""),"(54)992239708")</f>
        <v>(54)992239708</v>
      </c>
      <c r="X218" s="1" t="str">
        <f>IFERROR(__xludf.DUMMYFUNCTION("""COMPUTED_VALUE"""),"RS")</f>
        <v>RS</v>
      </c>
      <c r="Y218" s="1" t="str">
        <f>IFERROR(__xludf.DUMMYFUNCTION("""COMPUTED_VALUE"""),"São Sepé")</f>
        <v>São Sepé</v>
      </c>
      <c r="Z218" s="1" t="str">
        <f>IFERROR(__xludf.DUMMYFUNCTION("""COMPUTED_VALUE"""),"97340-000")</f>
        <v>97340-000</v>
      </c>
      <c r="AA218" s="1" t="str">
        <f>IFERROR(__xludf.DUMMYFUNCTION("""COMPUTED_VALUE"""),"Rua Vereador João Picada, 495")</f>
        <v>Rua Vereador João Picada, 495</v>
      </c>
      <c r="AB218" s="1" t="str">
        <f>IFERROR(__xludf.DUMMYFUNCTION("""COMPUTED_VALUE"""),"Santos")</f>
        <v>Santos</v>
      </c>
      <c r="AC218" s="1" t="str">
        <f>IFERROR(__xludf.DUMMYFUNCTION("""COMPUTED_VALUE"""),"G")</f>
        <v>G</v>
      </c>
      <c r="AD218" s="1" t="str">
        <f>IFERROR(__xludf.DUMMYFUNCTION("""COMPUTED_VALUE"""),"G")</f>
        <v>G</v>
      </c>
      <c r="AE218" s="1" t="str">
        <f>IFERROR(__xludf.DUMMYFUNCTION("""COMPUTED_VALUE"""),"G")</f>
        <v>G</v>
      </c>
      <c r="AF218" s="1" t="str">
        <f>IFERROR(__xludf.DUMMYFUNCTION("""COMPUTED_VALUE"""),"G")</f>
        <v>G</v>
      </c>
      <c r="AG218" s="1" t="str">
        <f>IFERROR(__xludf.DUMMYFUNCTION("""COMPUTED_VALUE"""),"G")</f>
        <v>G</v>
      </c>
      <c r="AH218" s="1">
        <f>IFERROR(__xludf.DUMMYFUNCTION("""COMPUTED_VALUE"""),41)</f>
        <v>41</v>
      </c>
      <c r="AI218" s="1">
        <f>IFERROR(__xludf.DUMMYFUNCTION("""COMPUTED_VALUE"""),41)</f>
        <v>41</v>
      </c>
      <c r="AJ218" s="1">
        <f>IFERROR(__xludf.DUMMYFUNCTION("""COMPUTED_VALUE"""),41)</f>
        <v>41</v>
      </c>
      <c r="AK218" s="1">
        <f>IFERROR(__xludf.DUMMYFUNCTION("""COMPUTED_VALUE"""),41)</f>
        <v>41</v>
      </c>
      <c r="AL218" s="1" t="str">
        <f>IFERROR(__xludf.DUMMYFUNCTION("""COMPUTED_VALUE"""),"G")</f>
        <v>G</v>
      </c>
      <c r="AM218" s="1" t="str">
        <f>IFERROR(__xludf.DUMMYFUNCTION("""COMPUTED_VALUE"""),"G")</f>
        <v>G</v>
      </c>
      <c r="AN218" s="1" t="str">
        <f>IFERROR(__xludf.DUMMYFUNCTION("""COMPUTED_VALUE"""),"G")</f>
        <v>G</v>
      </c>
    </row>
    <row r="219" customHeight="1" spans="1:40">
      <c r="A219" s="1" t="str">
        <f>IFERROR(__xludf.DUMMYFUNCTION("""COMPUTED_VALUE"""),"04° BBM")</f>
        <v>04° BBM</v>
      </c>
      <c r="B219" s="1" t="str">
        <f>IFERROR(__xludf.DUMMYFUNCTION("""COMPUTED_VALUE"""),"Julio de Castilhos")</f>
        <v>Julio de Castilhos</v>
      </c>
      <c r="C219" s="119" t="str">
        <f>IFERROR(__xludf.DUMMYFUNCTION("""COMPUTED_VALUE"""),"Comunitario")</f>
        <v>Comunitario</v>
      </c>
      <c r="D219" s="1" t="str">
        <f>IFERROR(__xludf.DUMMYFUNCTION("""COMPUTED_VALUE"""),"JOSE ANTONIO MATIAS TELLES")</f>
        <v>JOSE ANTONIO MATIAS TELLES</v>
      </c>
      <c r="E219" s="119" t="str">
        <f>IFERROR(__xludf.DUMMYFUNCTION("""COMPUTED_VALUE"""),"Curso CAB operador concluído")</f>
        <v>Curso CAB operador concluído</v>
      </c>
      <c r="F219" s="1" t="str">
        <f>IFERROR(__xludf.DUMMYFUNCTION("""COMPUTED_VALUE"""),"654.834.800-15")</f>
        <v>654.834.800-15</v>
      </c>
      <c r="G219" s="1">
        <f>IFERROR(__xludf.DUMMYFUNCTION("""COMPUTED_VALUE"""),9053941804)</f>
        <v>9053941804</v>
      </c>
      <c r="H219" s="1" t="str">
        <f>IFERROR(__xludf.DUMMYFUNCTION("""COMPUTED_VALUE"""),"Aux de Linha")</f>
        <v>Aux de Linha</v>
      </c>
      <c r="I219" s="1" t="str">
        <f>IFERROR(__xludf.DUMMYFUNCTION("""COMPUTED_VALUE"""),"Portaria N.º 083/CBMRS/2022-CURSO BÁSICO/OPERADOR")</f>
        <v>Portaria N.º 083/CBMRS/2022-CURSO BÁSICO/OPERADOR</v>
      </c>
      <c r="J219" s="1" t="str">
        <f>IFERROR(__xludf.DUMMYFUNCTION("""COMPUTED_VALUE"""),"Sim")</f>
        <v>Sim</v>
      </c>
      <c r="K219" s="1" t="str">
        <f>IFERROR(__xludf.DUMMYFUNCTION("""COMPUTED_VALUE"""),"Sim")</f>
        <v>Sim</v>
      </c>
      <c r="L219" s="1" t="str">
        <f>IFERROR(__xludf.DUMMYFUNCTION("""COMPUTED_VALUE"""),"A+")</f>
        <v>A+</v>
      </c>
      <c r="M219" s="1" t="str">
        <f>IFERROR(__xludf.DUMMYFUNCTION("""COMPUTED_VALUE"""),"TELLES")</f>
        <v>TELLES</v>
      </c>
      <c r="N219" s="120">
        <f>IFERROR(__xludf.DUMMYFUNCTION("""COMPUTED_VALUE"""),26610)</f>
        <v>26610</v>
      </c>
      <c r="O219" s="1" t="str">
        <f>IFERROR(__xludf.DUMMYFUNCTION("""COMPUTED_VALUE"""),"Masculino")</f>
        <v>Masculino</v>
      </c>
      <c r="P219" s="1" t="str">
        <f>IFERROR(__xludf.DUMMYFUNCTION("""COMPUTED_VALUE"""),"Branca")</f>
        <v>Branca</v>
      </c>
      <c r="Q219" s="1" t="str">
        <f>IFERROR(__xludf.DUMMYFUNCTION("""COMPUTED_VALUE"""),"Ensino Médio")</f>
        <v>Ensino Médio</v>
      </c>
      <c r="R219" s="1" t="str">
        <f>IFERROR(__xludf.DUMMYFUNCTION("""COMPUTED_VALUE"""),"jmatiastelles@gmail.com")</f>
        <v>jmatiastelles@gmail.com</v>
      </c>
      <c r="S219" s="1">
        <f>IFERROR(__xludf.DUMMYFUNCTION("""COMPUTED_VALUE"""),84)</f>
        <v>84</v>
      </c>
      <c r="T219" s="1" t="str">
        <f>IFERROR(__xludf.DUMMYFUNCTION("""COMPUTED_VALUE"""),"Entre 1,71m e 1,75m")</f>
        <v>Entre 1,71m e 1,75m</v>
      </c>
      <c r="U219" s="1" t="str">
        <f>IFERROR(__xludf.DUMMYFUNCTION("""COMPUTED_VALUE"""),"não possui")</f>
        <v>não possui</v>
      </c>
      <c r="V219" s="1" t="str">
        <f>IFERROR(__xludf.DUMMYFUNCTION("""COMPUTED_VALUE"""),"(55) 984661095")</f>
        <v>(55) 984661095</v>
      </c>
      <c r="W219" s="1" t="str">
        <f>IFERROR(__xludf.DUMMYFUNCTION("""COMPUTED_VALUE"""),"Não possui")</f>
        <v>Não possui</v>
      </c>
      <c r="X219" s="1" t="str">
        <f>IFERROR(__xludf.DUMMYFUNCTION("""COMPUTED_VALUE"""),"RS")</f>
        <v>RS</v>
      </c>
      <c r="Y219" s="1" t="str">
        <f>IFERROR(__xludf.DUMMYFUNCTION("""COMPUTED_VALUE"""),"Júlio de Castilhos")</f>
        <v>Júlio de Castilhos</v>
      </c>
      <c r="Z219" s="1">
        <f>IFERROR(__xludf.DUMMYFUNCTION("""COMPUTED_VALUE"""),98130000)</f>
        <v>98130000</v>
      </c>
      <c r="AA219" s="1" t="str">
        <f>IFERROR(__xludf.DUMMYFUNCTION("""COMPUTED_VALUE"""),"Distrito Cerrito")</f>
        <v>Distrito Cerrito</v>
      </c>
      <c r="AB219" s="1" t="str">
        <f>IFERROR(__xludf.DUMMYFUNCTION("""COMPUTED_VALUE"""),"interior")</f>
        <v>interior</v>
      </c>
      <c r="AC219" s="1" t="str">
        <f>IFERROR(__xludf.DUMMYFUNCTION("""COMPUTED_VALUE"""),"G")</f>
        <v>G</v>
      </c>
      <c r="AD219" s="1" t="str">
        <f>IFERROR(__xludf.DUMMYFUNCTION("""COMPUTED_VALUE"""),"G")</f>
        <v>G</v>
      </c>
      <c r="AE219" s="1" t="str">
        <f>IFERROR(__xludf.DUMMYFUNCTION("""COMPUTED_VALUE"""),"G")</f>
        <v>G</v>
      </c>
      <c r="AF219" s="1" t="str">
        <f>IFERROR(__xludf.DUMMYFUNCTION("""COMPUTED_VALUE"""),"G")</f>
        <v>G</v>
      </c>
      <c r="AG219" s="1" t="str">
        <f>IFERROR(__xludf.DUMMYFUNCTION("""COMPUTED_VALUE"""),"G")</f>
        <v>G</v>
      </c>
      <c r="AH219" s="1">
        <f>IFERROR(__xludf.DUMMYFUNCTION("""COMPUTED_VALUE"""),40)</f>
        <v>40</v>
      </c>
      <c r="AI219" s="1">
        <f>IFERROR(__xludf.DUMMYFUNCTION("""COMPUTED_VALUE"""),40)</f>
        <v>40</v>
      </c>
      <c r="AJ219" s="1">
        <f>IFERROR(__xludf.DUMMYFUNCTION("""COMPUTED_VALUE"""),40)</f>
        <v>40</v>
      </c>
      <c r="AK219" s="1">
        <f>IFERROR(__xludf.DUMMYFUNCTION("""COMPUTED_VALUE"""),40)</f>
        <v>40</v>
      </c>
      <c r="AL219" s="1" t="str">
        <f>IFERROR(__xludf.DUMMYFUNCTION("""COMPUTED_VALUE"""),"G")</f>
        <v>G</v>
      </c>
      <c r="AM219" s="1" t="str">
        <f>IFERROR(__xludf.DUMMYFUNCTION("""COMPUTED_VALUE"""),"G")</f>
        <v>G</v>
      </c>
      <c r="AN219" s="1" t="str">
        <f>IFERROR(__xludf.DUMMYFUNCTION("""COMPUTED_VALUE"""),"G")</f>
        <v>G</v>
      </c>
    </row>
    <row r="220" customHeight="1" spans="1:40">
      <c r="A220" s="1"/>
      <c r="B220" s="1"/>
      <c r="C220" s="119"/>
      <c r="D220" s="1" t="str">
        <f>IFERROR(__xludf.DUMMYFUNCTION("""COMPUTED_VALUE"""),"LOACIR MÜLHER DE SIQUEIRA")</f>
        <v>LOACIR MÜLHER DE SIQUEIRA</v>
      </c>
      <c r="E220" s="119" t="str">
        <f>IFERROR(__xludf.DUMMYFUNCTION("""COMPUTED_VALUE"""),"Módulo 1 concluído")</f>
        <v>Módulo 1 concluído</v>
      </c>
      <c r="F220" s="1" t="str">
        <f>IFERROR(__xludf.DUMMYFUNCTION("""COMPUTED_VALUE"""),"027.748.860-58")</f>
        <v>027.748.860-58</v>
      </c>
      <c r="G220" s="1"/>
      <c r="H220" s="1"/>
      <c r="I220" s="1"/>
      <c r="J220" s="1"/>
      <c r="K220" s="1"/>
      <c r="L220" s="1"/>
      <c r="M220" s="1"/>
      <c r="N220" s="120"/>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row>
    <row r="221" customHeight="1" spans="1:40">
      <c r="A221" s="1"/>
      <c r="B221" s="1"/>
      <c r="C221" s="119"/>
      <c r="D221" s="1" t="str">
        <f>IFERROR(__xludf.DUMMYFUNCTION("""COMPUTED_VALUE"""),"LUIS ROBERTO DA SILVA DUTRA")</f>
        <v>LUIS ROBERTO DA SILVA DUTRA</v>
      </c>
      <c r="E221" s="119" t="str">
        <f>IFERROR(__xludf.DUMMYFUNCTION("""COMPUTED_VALUE"""),"Curso CAB operador concluído")</f>
        <v>Curso CAB operador concluído</v>
      </c>
      <c r="F221" s="1" t="str">
        <f>IFERROR(__xludf.DUMMYFUNCTION("""COMPUTED_VALUE"""),"505.249.500-59")</f>
        <v>505.249.500-59</v>
      </c>
      <c r="G221" s="1"/>
      <c r="H221" s="1"/>
      <c r="I221" s="1"/>
      <c r="J221" s="1"/>
      <c r="K221" s="1"/>
      <c r="L221" s="1"/>
      <c r="M221" s="1"/>
      <c r="N221" s="120"/>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row>
    <row r="222" customHeight="1" spans="1:40">
      <c r="A222" s="1" t="str">
        <f>IFERROR(__xludf.DUMMYFUNCTION("""COMPUTED_VALUE"""),"04° BBM")</f>
        <v>04° BBM</v>
      </c>
      <c r="B222" s="1" t="str">
        <f>IFERROR(__xludf.DUMMYFUNCTION("""COMPUTED_VALUE"""),"Julio de Castilhos")</f>
        <v>Julio de Castilhos</v>
      </c>
      <c r="C222" s="119" t="str">
        <f>IFERROR(__xludf.DUMMYFUNCTION("""COMPUTED_VALUE"""),"Comunitario")</f>
        <v>Comunitario</v>
      </c>
      <c r="D222" s="1" t="str">
        <f>IFERROR(__xludf.DUMMYFUNCTION("""COMPUTED_VALUE"""),"MARCELO MAY")</f>
        <v>MARCELO MAY</v>
      </c>
      <c r="E222" s="119" t="str">
        <f>IFERROR(__xludf.DUMMYFUNCTION("""COMPUTED_VALUE"""),"Curso CAB operador concluído")</f>
        <v>Curso CAB operador concluído</v>
      </c>
      <c r="F222" s="1" t="str">
        <f>IFERROR(__xludf.DUMMYFUNCTION("""COMPUTED_VALUE"""),"993.247.840-72")</f>
        <v>993.247.840-72</v>
      </c>
      <c r="G222" s="1">
        <f>IFERROR(__xludf.DUMMYFUNCTION("""COMPUTED_VALUE"""),1074572304)</f>
        <v>1074572304</v>
      </c>
      <c r="H222" s="1" t="str">
        <f>IFERROR(__xludf.DUMMYFUNCTION("""COMPUTED_VALUE"""),"Aux de Linha")</f>
        <v>Aux de Linha</v>
      </c>
      <c r="I222" s="1" t="str">
        <f>IFERROR(__xludf.DUMMYFUNCTION("""COMPUTED_VALUE"""),"Portaria N.º 083/CBMRS/2022-CURSO BÁSICO/OPERADOR")</f>
        <v>Portaria N.º 083/CBMRS/2022-CURSO BÁSICO/OPERADOR</v>
      </c>
      <c r="J222" s="1" t="str">
        <f>IFERROR(__xludf.DUMMYFUNCTION("""COMPUTED_VALUE"""),"Sim")</f>
        <v>Sim</v>
      </c>
      <c r="K222" s="1" t="str">
        <f>IFERROR(__xludf.DUMMYFUNCTION("""COMPUTED_VALUE"""),"Sim")</f>
        <v>Sim</v>
      </c>
      <c r="L222" s="1" t="str">
        <f>IFERROR(__xludf.DUMMYFUNCTION("""COMPUTED_VALUE"""),"A+")</f>
        <v>A+</v>
      </c>
      <c r="M222" s="1" t="str">
        <f>IFERROR(__xludf.DUMMYFUNCTION("""COMPUTED_VALUE"""),"MARCELO")</f>
        <v>MARCELO</v>
      </c>
      <c r="N222" s="120">
        <f>IFERROR(__xludf.DUMMYFUNCTION("""COMPUTED_VALUE"""),29720)</f>
        <v>29720</v>
      </c>
      <c r="O222" s="1" t="str">
        <f>IFERROR(__xludf.DUMMYFUNCTION("""COMPUTED_VALUE"""),"Masculino")</f>
        <v>Masculino</v>
      </c>
      <c r="P222" s="1" t="str">
        <f>IFERROR(__xludf.DUMMYFUNCTION("""COMPUTED_VALUE"""),"Branca")</f>
        <v>Branca</v>
      </c>
      <c r="Q222" s="1" t="str">
        <f>IFERROR(__xludf.DUMMYFUNCTION("""COMPUTED_VALUE"""),"Ensino Médio")</f>
        <v>Ensino Médio</v>
      </c>
      <c r="R222" s="1" t="str">
        <f>IFERROR(__xludf.DUMMYFUNCTION("""COMPUTED_VALUE"""),"marcelomayjc@gmail.com")</f>
        <v>marcelomayjc@gmail.com</v>
      </c>
      <c r="S222" s="1">
        <f>IFERROR(__xludf.DUMMYFUNCTION("""COMPUTED_VALUE"""),86)</f>
        <v>86</v>
      </c>
      <c r="T222" s="1" t="str">
        <f>IFERROR(__xludf.DUMMYFUNCTION("""COMPUTED_VALUE"""),"Entre 1,66m e 1,70m")</f>
        <v>Entre 1,66m e 1,70m</v>
      </c>
      <c r="U222" s="1" t="str">
        <f>IFERROR(__xludf.DUMMYFUNCTION("""COMPUTED_VALUE"""),"não possui")</f>
        <v>não possui</v>
      </c>
      <c r="V222" s="1" t="str">
        <f>IFERROR(__xludf.DUMMYFUNCTION("""COMPUTED_VALUE"""),"(55)999949604")</f>
        <v>(55)999949604</v>
      </c>
      <c r="W222" s="1" t="str">
        <f>IFERROR(__xludf.DUMMYFUNCTION("""COMPUTED_VALUE"""),"(55)999949604")</f>
        <v>(55)999949604</v>
      </c>
      <c r="X222" s="1" t="str">
        <f>IFERROR(__xludf.DUMMYFUNCTION("""COMPUTED_VALUE"""),"RS")</f>
        <v>RS</v>
      </c>
      <c r="Y222" s="1" t="str">
        <f>IFERROR(__xludf.DUMMYFUNCTION("""COMPUTED_VALUE"""),"Júlio de Castilhos")</f>
        <v>Júlio de Castilhos</v>
      </c>
      <c r="Z222" s="1">
        <f>IFERROR(__xludf.DUMMYFUNCTION("""COMPUTED_VALUE"""),98130000)</f>
        <v>98130000</v>
      </c>
      <c r="AA222" s="1" t="str">
        <f>IFERROR(__xludf.DUMMYFUNCTION("""COMPUTED_VALUE"""),"Rua Padre Timotio 213")</f>
        <v>Rua Padre Timotio 213</v>
      </c>
      <c r="AB222" s="1" t="str">
        <f>IFERROR(__xludf.DUMMYFUNCTION("""COMPUTED_VALUE"""),"Maria de Jesus")</f>
        <v>Maria de Jesus</v>
      </c>
      <c r="AC222" s="1" t="str">
        <f>IFERROR(__xludf.DUMMYFUNCTION("""COMPUTED_VALUE"""),"G")</f>
        <v>G</v>
      </c>
      <c r="AD222" s="1" t="str">
        <f>IFERROR(__xludf.DUMMYFUNCTION("""COMPUTED_VALUE"""),"G")</f>
        <v>G</v>
      </c>
      <c r="AE222" s="1" t="str">
        <f>IFERROR(__xludf.DUMMYFUNCTION("""COMPUTED_VALUE"""),"G")</f>
        <v>G</v>
      </c>
      <c r="AF222" s="1" t="str">
        <f>IFERROR(__xludf.DUMMYFUNCTION("""COMPUTED_VALUE"""),"G")</f>
        <v>G</v>
      </c>
      <c r="AG222" s="1" t="str">
        <f>IFERROR(__xludf.DUMMYFUNCTION("""COMPUTED_VALUE"""),"G")</f>
        <v>G</v>
      </c>
      <c r="AH222" s="1">
        <f>IFERROR(__xludf.DUMMYFUNCTION("""COMPUTED_VALUE"""),40)</f>
        <v>40</v>
      </c>
      <c r="AI222" s="1">
        <f>IFERROR(__xludf.DUMMYFUNCTION("""COMPUTED_VALUE"""),40)</f>
        <v>40</v>
      </c>
      <c r="AJ222" s="1">
        <f>IFERROR(__xludf.DUMMYFUNCTION("""COMPUTED_VALUE"""),40)</f>
        <v>40</v>
      </c>
      <c r="AK222" s="1">
        <f>IFERROR(__xludf.DUMMYFUNCTION("""COMPUTED_VALUE"""),40)</f>
        <v>40</v>
      </c>
      <c r="AL222" s="1" t="str">
        <f>IFERROR(__xludf.DUMMYFUNCTION("""COMPUTED_VALUE"""),"G")</f>
        <v>G</v>
      </c>
      <c r="AM222" s="1" t="str">
        <f>IFERROR(__xludf.DUMMYFUNCTION("""COMPUTED_VALUE"""),"G")</f>
        <v>G</v>
      </c>
      <c r="AN222" s="1" t="str">
        <f>IFERROR(__xludf.DUMMYFUNCTION("""COMPUTED_VALUE"""),"G")</f>
        <v>G</v>
      </c>
    </row>
    <row r="223" customHeight="1" spans="1:40">
      <c r="A223" s="1" t="str">
        <f>IFERROR(__xludf.DUMMYFUNCTION("""COMPUTED_VALUE"""),"04° BBM")</f>
        <v>04° BBM</v>
      </c>
      <c r="B223" s="1" t="str">
        <f>IFERROR(__xludf.DUMMYFUNCTION("""COMPUTED_VALUE"""),"Restinga Sêca")</f>
        <v>Restinga Sêca</v>
      </c>
      <c r="C223" s="119" t="str">
        <f>IFERROR(__xludf.DUMMYFUNCTION("""COMPUTED_VALUE"""),"Comunitario")</f>
        <v>Comunitario</v>
      </c>
      <c r="D223" s="1" t="str">
        <f>IFERROR(__xludf.DUMMYFUNCTION("""COMPUTED_VALUE"""),"ROLNEI DOS PASSOS")</f>
        <v>ROLNEI DOS PASSOS</v>
      </c>
      <c r="E223" s="119" t="str">
        <f>IFERROR(__xludf.DUMMYFUNCTION("""COMPUTED_VALUE"""),"")</f>
        <v/>
      </c>
      <c r="F223" s="1" t="str">
        <f>IFERROR(__xludf.DUMMYFUNCTION("""COMPUTED_VALUE"""),"587.882.800-63")</f>
        <v>587.882.800-63</v>
      </c>
      <c r="G223" s="1">
        <f>IFERROR(__xludf.DUMMYFUNCTION("""COMPUTED_VALUE"""),1049493289)</f>
        <v>1049493289</v>
      </c>
      <c r="H223" s="1" t="str">
        <f>IFERROR(__xludf.DUMMYFUNCTION("""COMPUTED_VALUE"""),"Op COBOM")</f>
        <v>Op COBOM</v>
      </c>
      <c r="I223" s="1" t="str">
        <f>IFERROR(__xludf.DUMMYFUNCTION("""COMPUTED_VALUE"""),"Op COBOM")</f>
        <v>Op COBOM</v>
      </c>
      <c r="J223" s="1" t="str">
        <f>IFERROR(__xludf.DUMMYFUNCTION("""COMPUTED_VALUE"""),"Não")</f>
        <v>Não</v>
      </c>
      <c r="K223" s="1" t="str">
        <f>IFERROR(__xludf.DUMMYFUNCTION("""COMPUTED_VALUE"""),"Sim")</f>
        <v>Sim</v>
      </c>
      <c r="L223" s="1" t="str">
        <f>IFERROR(__xludf.DUMMYFUNCTION("""COMPUTED_VALUE"""),"O-")</f>
        <v>O-</v>
      </c>
      <c r="M223" s="1" t="str">
        <f>IFERROR(__xludf.DUMMYFUNCTION("""COMPUTED_VALUE"""),"ROLNEI")</f>
        <v>ROLNEI</v>
      </c>
      <c r="N223" s="127">
        <f>IFERROR(__xludf.DUMMYFUNCTION("""COMPUTED_VALUE"""),25897)</f>
        <v>25897</v>
      </c>
      <c r="O223" s="1" t="str">
        <f>IFERROR(__xludf.DUMMYFUNCTION("""COMPUTED_VALUE"""),"Masculino")</f>
        <v>Masculino</v>
      </c>
      <c r="P223" s="1" t="str">
        <f>IFERROR(__xludf.DUMMYFUNCTION("""COMPUTED_VALUE"""),"Branca")</f>
        <v>Branca</v>
      </c>
      <c r="Q223" s="1" t="str">
        <f>IFERROR(__xludf.DUMMYFUNCTION("""COMPUTED_VALUE"""),"Ensino Médio")</f>
        <v>Ensino Médio</v>
      </c>
      <c r="R223" s="1" t="str">
        <f>IFERROR(__xludf.DUMMYFUNCTION("""COMPUTED_VALUE"""),"rolneicezar@gmail.com.br")</f>
        <v>rolneicezar@gmail.com.br</v>
      </c>
      <c r="S223" s="1">
        <f>IFERROR(__xludf.DUMMYFUNCTION("""COMPUTED_VALUE"""),102)</f>
        <v>102</v>
      </c>
      <c r="T223" s="1" t="str">
        <f>IFERROR(__xludf.DUMMYFUNCTION("""COMPUTED_VALUE"""),"Entre 1,71m e 1,75m")</f>
        <v>Entre 1,71m e 1,75m</v>
      </c>
      <c r="U223" s="1" t="str">
        <f>IFERROR(__xludf.DUMMYFUNCTION("""COMPUTED_VALUE"""),"Não possui")</f>
        <v>Não possui</v>
      </c>
      <c r="V223" s="1" t="str">
        <f>IFERROR(__xludf.DUMMYFUNCTION("""COMPUTED_VALUE"""),"(55) 99942-2851")</f>
        <v>(55) 99942-2851</v>
      </c>
      <c r="W223" s="1" t="str">
        <f>IFERROR(__xludf.DUMMYFUNCTION("""COMPUTED_VALUE"""),"(55) 99942-2851")</f>
        <v>(55) 99942-2851</v>
      </c>
      <c r="X223" s="1" t="str">
        <f>IFERROR(__xludf.DUMMYFUNCTION("""COMPUTED_VALUE"""),"RS")</f>
        <v>RS</v>
      </c>
      <c r="Y223" s="1" t="str">
        <f>IFERROR(__xludf.DUMMYFUNCTION("""COMPUTED_VALUE"""),"Restinga Sêca")</f>
        <v>Restinga Sêca</v>
      </c>
      <c r="Z223" s="1" t="str">
        <f>IFERROR(__xludf.DUMMYFUNCTION("""COMPUTED_VALUE"""),"97200-000")</f>
        <v>97200-000</v>
      </c>
      <c r="AA223" s="1" t="str">
        <f>IFERROR(__xludf.DUMMYFUNCTION("""COMPUTED_VALUE"""),"Rua Izaltino de oliveira")</f>
        <v>Rua Izaltino de oliveira</v>
      </c>
      <c r="AB223" s="1" t="str">
        <f>IFERROR(__xludf.DUMMYFUNCTION("""COMPUTED_VALUE"""),"Centro")</f>
        <v>Centro</v>
      </c>
      <c r="AC223" s="1" t="str">
        <f>IFERROR(__xludf.DUMMYFUNCTION("""COMPUTED_VALUE"""),"G")</f>
        <v>G</v>
      </c>
      <c r="AD223" s="1" t="str">
        <f>IFERROR(__xludf.DUMMYFUNCTION("""COMPUTED_VALUE"""),"G")</f>
        <v>G</v>
      </c>
      <c r="AE223" s="1" t="str">
        <f>IFERROR(__xludf.DUMMYFUNCTION("""COMPUTED_VALUE"""),"GG")</f>
        <v>GG</v>
      </c>
      <c r="AF223" s="1" t="str">
        <f>IFERROR(__xludf.DUMMYFUNCTION("""COMPUTED_VALUE"""),"GG")</f>
        <v>GG</v>
      </c>
      <c r="AG223" s="1" t="str">
        <f>IFERROR(__xludf.DUMMYFUNCTION("""COMPUTED_VALUE"""),"GG")</f>
        <v>GG</v>
      </c>
      <c r="AH223" s="1">
        <f>IFERROR(__xludf.DUMMYFUNCTION("""COMPUTED_VALUE"""),45)</f>
        <v>45</v>
      </c>
      <c r="AI223" s="1">
        <f>IFERROR(__xludf.DUMMYFUNCTION("""COMPUTED_VALUE"""),45)</f>
        <v>45</v>
      </c>
      <c r="AJ223" s="1">
        <f>IFERROR(__xludf.DUMMYFUNCTION("""COMPUTED_VALUE"""),45)</f>
        <v>45</v>
      </c>
      <c r="AK223" s="1">
        <f>IFERROR(__xludf.DUMMYFUNCTION("""COMPUTED_VALUE"""),45)</f>
        <v>45</v>
      </c>
      <c r="AL223" s="1" t="str">
        <f>IFERROR(__xludf.DUMMYFUNCTION("""COMPUTED_VALUE"""),"GG")</f>
        <v>GG</v>
      </c>
      <c r="AM223" s="1" t="str">
        <f>IFERROR(__xludf.DUMMYFUNCTION("""COMPUTED_VALUE"""),"G")</f>
        <v>G</v>
      </c>
      <c r="AN223" s="1" t="str">
        <f>IFERROR(__xludf.DUMMYFUNCTION("""COMPUTED_VALUE"""),"G")</f>
        <v>G</v>
      </c>
    </row>
    <row r="224" customHeight="1" spans="1:40">
      <c r="A224" s="1" t="str">
        <f>IFERROR(__xludf.DUMMYFUNCTION("""COMPUTED_VALUE"""),"04° BBM")</f>
        <v>04° BBM</v>
      </c>
      <c r="B224" s="1" t="str">
        <f>IFERROR(__xludf.DUMMYFUNCTION("""COMPUTED_VALUE"""),"São Sepé")</f>
        <v>São Sepé</v>
      </c>
      <c r="C224" s="119" t="str">
        <f>IFERROR(__xludf.DUMMYFUNCTION("""COMPUTED_VALUE"""),"Comunitario")</f>
        <v>Comunitario</v>
      </c>
      <c r="D224" s="1" t="str">
        <f>IFERROR(__xludf.DUMMYFUNCTION("""COMPUTED_VALUE"""),"SEVERO MONTEIRO POSSER")</f>
        <v>SEVERO MONTEIRO POSSER</v>
      </c>
      <c r="E224" s="119" t="str">
        <f>IFERROR(__xludf.DUMMYFUNCTION("""COMPUTED_VALUE"""),"Curso CAB operador concluído")</f>
        <v>Curso CAB operador concluído</v>
      </c>
      <c r="F224" s="1" t="str">
        <f>IFERROR(__xludf.DUMMYFUNCTION("""COMPUTED_VALUE"""),"901.066.100-82")</f>
        <v>901.066.100-82</v>
      </c>
      <c r="G224" s="1">
        <f>IFERROR(__xludf.DUMMYFUNCTION("""COMPUTED_VALUE"""),1060140025)</f>
        <v>1060140025</v>
      </c>
      <c r="H224" s="1" t="str">
        <f>IFERROR(__xludf.DUMMYFUNCTION("""COMPUTED_VALUE"""),"Cov")</f>
        <v>Cov</v>
      </c>
      <c r="I224" s="1" t="str">
        <f>IFERROR(__xludf.DUMMYFUNCTION("""COMPUTED_VALUE"""),"COV")</f>
        <v>COV</v>
      </c>
      <c r="J224" s="1" t="str">
        <f>IFERROR(__xludf.DUMMYFUNCTION("""COMPUTED_VALUE"""),"Sim")</f>
        <v>Sim</v>
      </c>
      <c r="K224" s="1" t="str">
        <f>IFERROR(__xludf.DUMMYFUNCTION("""COMPUTED_VALUE"""),"Não")</f>
        <v>Não</v>
      </c>
      <c r="L224" s="1" t="str">
        <f>IFERROR(__xludf.DUMMYFUNCTION("""COMPUTED_VALUE"""),"A+")</f>
        <v>A+</v>
      </c>
      <c r="M224" s="1" t="str">
        <f>IFERROR(__xludf.DUMMYFUNCTION("""COMPUTED_VALUE"""),"SEVERO")</f>
        <v>SEVERO</v>
      </c>
      <c r="N224" s="120">
        <f>IFERROR(__xludf.DUMMYFUNCTION("""COMPUTED_VALUE"""),26726)</f>
        <v>26726</v>
      </c>
      <c r="O224" s="1" t="str">
        <f>IFERROR(__xludf.DUMMYFUNCTION("""COMPUTED_VALUE"""),"Masculino")</f>
        <v>Masculino</v>
      </c>
      <c r="P224" s="1" t="str">
        <f>IFERROR(__xludf.DUMMYFUNCTION("""COMPUTED_VALUE"""),"Branca")</f>
        <v>Branca</v>
      </c>
      <c r="Q224" s="1" t="str">
        <f>IFERROR(__xludf.DUMMYFUNCTION("""COMPUTED_VALUE"""),"Ensino Médio")</f>
        <v>Ensino Médio</v>
      </c>
      <c r="R224" s="1" t="str">
        <f>IFERROR(__xludf.DUMMYFUNCTION("""COMPUTED_VALUE"""),"severoposser@hotmail.com")</f>
        <v>severoposser@hotmail.com</v>
      </c>
      <c r="S224" s="1">
        <f>IFERROR(__xludf.DUMMYFUNCTION("""COMPUTED_VALUE"""),78)</f>
        <v>78</v>
      </c>
      <c r="T224" s="1" t="str">
        <f>IFERROR(__xludf.DUMMYFUNCTION("""COMPUTED_VALUE"""),"Entre 1,71m e 1,75m")</f>
        <v>Entre 1,71m e 1,75m</v>
      </c>
      <c r="U224" s="1" t="str">
        <f>IFERROR(__xludf.DUMMYFUNCTION("""COMPUTED_VALUE"""),"Não possui")</f>
        <v>Não possui</v>
      </c>
      <c r="V224" s="1" t="str">
        <f>IFERROR(__xludf.DUMMYFUNCTION("""COMPUTED_VALUE"""),"(55)999101045")</f>
        <v>(55)999101045</v>
      </c>
      <c r="W224" s="1" t="str">
        <f>IFERROR(__xludf.DUMMYFUNCTION("""COMPUTED_VALUE"""),"(55)996880623")</f>
        <v>(55)996880623</v>
      </c>
      <c r="X224" s="1" t="str">
        <f>IFERROR(__xludf.DUMMYFUNCTION("""COMPUTED_VALUE"""),"RS")</f>
        <v>RS</v>
      </c>
      <c r="Y224" s="1" t="str">
        <f>IFERROR(__xludf.DUMMYFUNCTION("""COMPUTED_VALUE"""),"São Sepé")</f>
        <v>São Sepé</v>
      </c>
      <c r="Z224" s="1" t="str">
        <f>IFERROR(__xludf.DUMMYFUNCTION("""COMPUTED_VALUE"""),"97340-000")</f>
        <v>97340-000</v>
      </c>
      <c r="AA224" s="1" t="str">
        <f>IFERROR(__xludf.DUMMYFUNCTION("""COMPUTED_VALUE"""),"Rua Capitão Emídio Gonçalves")</f>
        <v>Rua Capitão Emídio Gonçalves</v>
      </c>
      <c r="AB224" s="1" t="str">
        <f>IFERROR(__xludf.DUMMYFUNCTION("""COMPUTED_VALUE"""),"Tatsch")</f>
        <v>Tatsch</v>
      </c>
      <c r="AC224" s="1" t="str">
        <f>IFERROR(__xludf.DUMMYFUNCTION("""COMPUTED_VALUE"""),"G")</f>
        <v>G</v>
      </c>
      <c r="AD224" s="1" t="str">
        <f>IFERROR(__xludf.DUMMYFUNCTION("""COMPUTED_VALUE"""),"G")</f>
        <v>G</v>
      </c>
      <c r="AE224" s="1" t="str">
        <f>IFERROR(__xludf.DUMMYFUNCTION("""COMPUTED_VALUE"""),"G")</f>
        <v>G</v>
      </c>
      <c r="AF224" s="1" t="str">
        <f>IFERROR(__xludf.DUMMYFUNCTION("""COMPUTED_VALUE"""),"G")</f>
        <v>G</v>
      </c>
      <c r="AG224" s="1" t="str">
        <f>IFERROR(__xludf.DUMMYFUNCTION("""COMPUTED_VALUE"""),"G")</f>
        <v>G</v>
      </c>
      <c r="AH224" s="1">
        <f>IFERROR(__xludf.DUMMYFUNCTION("""COMPUTED_VALUE"""),40)</f>
        <v>40</v>
      </c>
      <c r="AI224" s="1">
        <f>IFERROR(__xludf.DUMMYFUNCTION("""COMPUTED_VALUE"""),40)</f>
        <v>40</v>
      </c>
      <c r="AJ224" s="1">
        <f>IFERROR(__xludf.DUMMYFUNCTION("""COMPUTED_VALUE"""),40)</f>
        <v>40</v>
      </c>
      <c r="AK224" s="1">
        <f>IFERROR(__xludf.DUMMYFUNCTION("""COMPUTED_VALUE"""),40)</f>
        <v>40</v>
      </c>
      <c r="AL224" s="1" t="str">
        <f>IFERROR(__xludf.DUMMYFUNCTION("""COMPUTED_VALUE"""),"G")</f>
        <v>G</v>
      </c>
      <c r="AM224" s="1" t="str">
        <f>IFERROR(__xludf.DUMMYFUNCTION("""COMPUTED_VALUE"""),"G")</f>
        <v>G</v>
      </c>
      <c r="AN224" s="1" t="str">
        <f>IFERROR(__xludf.DUMMYFUNCTION("""COMPUTED_VALUE"""),"G")</f>
        <v>G</v>
      </c>
    </row>
    <row r="225" customHeight="1" spans="1:40">
      <c r="A225" s="1" t="str">
        <f>IFERROR(__xludf.DUMMYFUNCTION("""COMPUTED_VALUE"""),"04° BBM")</f>
        <v>04° BBM</v>
      </c>
      <c r="B225" s="1" t="str">
        <f>IFERROR(__xludf.DUMMYFUNCTION("""COMPUTED_VALUE"""),"Julio de Castilhos")</f>
        <v>Julio de Castilhos</v>
      </c>
      <c r="C225" s="119" t="str">
        <f>IFERROR(__xludf.DUMMYFUNCTION("""COMPUTED_VALUE"""),"Comunitario")</f>
        <v>Comunitario</v>
      </c>
      <c r="D225" s="1" t="str">
        <f>IFERROR(__xludf.DUMMYFUNCTION("""COMPUTED_VALUE"""),"TIAGO GOMES CAMARGO")</f>
        <v>TIAGO GOMES CAMARGO</v>
      </c>
      <c r="E225" s="119" t="str">
        <f>IFERROR(__xludf.DUMMYFUNCTION("""COMPUTED_VALUE"""),"Curso CAB operador concluído")</f>
        <v>Curso CAB operador concluído</v>
      </c>
      <c r="F225" s="1" t="str">
        <f>IFERROR(__xludf.DUMMYFUNCTION("""COMPUTED_VALUE""")," 013.405.850-65")</f>
        <v> 013.405.850-65</v>
      </c>
      <c r="G225" s="1">
        <f>IFERROR(__xludf.DUMMYFUNCTION("""COMPUTED_VALUE"""),4090294465)</f>
        <v>4090294465</v>
      </c>
      <c r="H225" s="1" t="str">
        <f>IFERROR(__xludf.DUMMYFUNCTION("""COMPUTED_VALUE"""),"Aux de Linha")</f>
        <v>Aux de Linha</v>
      </c>
      <c r="I225" s="1" t="str">
        <f>IFERROR(__xludf.DUMMYFUNCTION("""COMPUTED_VALUE"""),"Portaria N.º 083/CBMRS/2022-CURSO BÁSICO/OPERADOR")</f>
        <v>Portaria N.º 083/CBMRS/2022-CURSO BÁSICO/OPERADOR</v>
      </c>
      <c r="J225" s="1" t="str">
        <f>IFERROR(__xludf.DUMMYFUNCTION("""COMPUTED_VALUE"""),"Sim")</f>
        <v>Sim</v>
      </c>
      <c r="K225" s="1" t="str">
        <f>IFERROR(__xludf.DUMMYFUNCTION("""COMPUTED_VALUE"""),"Sim")</f>
        <v>Sim</v>
      </c>
      <c r="L225" s="1" t="str">
        <f>IFERROR(__xludf.DUMMYFUNCTION("""COMPUTED_VALUE"""),"O+")</f>
        <v>O+</v>
      </c>
      <c r="M225" s="1" t="str">
        <f>IFERROR(__xludf.DUMMYFUNCTION("""COMPUTED_VALUE"""),"CAMARGO")</f>
        <v>CAMARGO</v>
      </c>
      <c r="N225" s="120">
        <f>IFERROR(__xludf.DUMMYFUNCTION("""COMPUTED_VALUE"""),31170)</f>
        <v>31170</v>
      </c>
      <c r="O225" s="1" t="str">
        <f>IFERROR(__xludf.DUMMYFUNCTION("""COMPUTED_VALUE"""),"Masculino")</f>
        <v>Masculino</v>
      </c>
      <c r="P225" s="1" t="str">
        <f>IFERROR(__xludf.DUMMYFUNCTION("""COMPUTED_VALUE"""),"Parda")</f>
        <v>Parda</v>
      </c>
      <c r="Q225" s="1" t="str">
        <f>IFERROR(__xludf.DUMMYFUNCTION("""COMPUTED_VALUE"""),"Ensino Médio")</f>
        <v>Ensino Médio</v>
      </c>
      <c r="R225" s="1" t="str">
        <f>IFERROR(__xludf.DUMMYFUNCTION("""COMPUTED_VALUE"""),"tiagogomescamargo55@gmail.com")</f>
        <v>tiagogomescamargo55@gmail.com</v>
      </c>
      <c r="S225" s="1">
        <f>IFERROR(__xludf.DUMMYFUNCTION("""COMPUTED_VALUE"""),103)</f>
        <v>103</v>
      </c>
      <c r="T225" s="1" t="str">
        <f>IFERROR(__xludf.DUMMYFUNCTION("""COMPUTED_VALUE"""),"Entre 1,76m e 1,80m")</f>
        <v>Entre 1,76m e 1,80m</v>
      </c>
      <c r="U225" s="1" t="str">
        <f>IFERROR(__xludf.DUMMYFUNCTION("""COMPUTED_VALUE"""),"não possui")</f>
        <v>não possui</v>
      </c>
      <c r="V225" s="1" t="str">
        <f>IFERROR(__xludf.DUMMYFUNCTION("""COMPUTED_VALUE"""),"(55)999603943")</f>
        <v>(55)999603943</v>
      </c>
      <c r="W225" s="1" t="str">
        <f>IFERROR(__xludf.DUMMYFUNCTION("""COMPUTED_VALUE"""),"(55)999128993")</f>
        <v>(55)999128993</v>
      </c>
      <c r="X225" s="1" t="str">
        <f>IFERROR(__xludf.DUMMYFUNCTION("""COMPUTED_VALUE"""),"RS")</f>
        <v>RS</v>
      </c>
      <c r="Y225" s="1" t="str">
        <f>IFERROR(__xludf.DUMMYFUNCTION("""COMPUTED_VALUE"""),"Júlio de Castilhos")</f>
        <v>Júlio de Castilhos</v>
      </c>
      <c r="Z225" s="1">
        <f>IFERROR(__xludf.DUMMYFUNCTION("""COMPUTED_VALUE"""),98130000)</f>
        <v>98130000</v>
      </c>
      <c r="AA225" s="1" t="str">
        <f>IFERROR(__xludf.DUMMYFUNCTION("""COMPUTED_VALUE"""),"Rua João candido da silveira 66")</f>
        <v>Rua João candido da silveira 66</v>
      </c>
      <c r="AB225" s="1" t="str">
        <f>IFERROR(__xludf.DUMMYFUNCTION("""COMPUTED_VALUE"""),"Promorar")</f>
        <v>Promorar</v>
      </c>
      <c r="AC225" s="1" t="str">
        <f>IFERROR(__xludf.DUMMYFUNCTION("""COMPUTED_VALUE"""),"GG")</f>
        <v>GG</v>
      </c>
      <c r="AD225" s="1" t="str">
        <f>IFERROR(__xludf.DUMMYFUNCTION("""COMPUTED_VALUE"""),"GG")</f>
        <v>GG</v>
      </c>
      <c r="AE225" s="1" t="str">
        <f>IFERROR(__xludf.DUMMYFUNCTION("""COMPUTED_VALUE"""),"GG")</f>
        <v>GG</v>
      </c>
      <c r="AF225" s="1" t="str">
        <f>IFERROR(__xludf.DUMMYFUNCTION("""COMPUTED_VALUE"""),"GG")</f>
        <v>GG</v>
      </c>
      <c r="AG225" s="1" t="str">
        <f>IFERROR(__xludf.DUMMYFUNCTION("""COMPUTED_VALUE"""),"GG")</f>
        <v>GG</v>
      </c>
      <c r="AH225" s="1">
        <f>IFERROR(__xludf.DUMMYFUNCTION("""COMPUTED_VALUE"""),42)</f>
        <v>42</v>
      </c>
      <c r="AI225" s="1">
        <f>IFERROR(__xludf.DUMMYFUNCTION("""COMPUTED_VALUE"""),42)</f>
        <v>42</v>
      </c>
      <c r="AJ225" s="1">
        <f>IFERROR(__xludf.DUMMYFUNCTION("""COMPUTED_VALUE"""),42)</f>
        <v>42</v>
      </c>
      <c r="AK225" s="1">
        <f>IFERROR(__xludf.DUMMYFUNCTION("""COMPUTED_VALUE"""),42)</f>
        <v>42</v>
      </c>
      <c r="AL225" s="1" t="str">
        <f>IFERROR(__xludf.DUMMYFUNCTION("""COMPUTED_VALUE"""),"GG")</f>
        <v>GG</v>
      </c>
      <c r="AM225" s="1" t="str">
        <f>IFERROR(__xludf.DUMMYFUNCTION("""COMPUTED_VALUE"""),"GG")</f>
        <v>GG</v>
      </c>
      <c r="AN225" s="1" t="str">
        <f>IFERROR(__xludf.DUMMYFUNCTION("""COMPUTED_VALUE"""),"G")</f>
        <v>G</v>
      </c>
    </row>
    <row r="226" customHeight="1" spans="1:40">
      <c r="A226" s="1" t="str">
        <f>IFERROR(__xludf.DUMMYFUNCTION("""COMPUTED_VALUE"""),"04° BBM")</f>
        <v>04° BBM</v>
      </c>
      <c r="B226" s="1" t="str">
        <f>IFERROR(__xludf.DUMMYFUNCTION("""COMPUTED_VALUE"""),"São Sepé")</f>
        <v>São Sepé</v>
      </c>
      <c r="C226" s="119" t="str">
        <f>IFERROR(__xludf.DUMMYFUNCTION("""COMPUTED_VALUE"""),"Comunitario")</f>
        <v>Comunitario</v>
      </c>
      <c r="D226" s="1" t="str">
        <f>IFERROR(__xludf.DUMMYFUNCTION("""COMPUTED_VALUE"""),"TICIANO PAULO DE DAVID")</f>
        <v>TICIANO PAULO DE DAVID</v>
      </c>
      <c r="E226" s="119" t="str">
        <f>IFERROR(__xludf.DUMMYFUNCTION("""COMPUTED_VALUE"""),"Curso CAB operador concluído")</f>
        <v>Curso CAB operador concluído</v>
      </c>
      <c r="F226" s="1" t="str">
        <f>IFERROR(__xludf.DUMMYFUNCTION("""COMPUTED_VALUE"""),"001.322.540-50")</f>
        <v>001.322.540-50</v>
      </c>
      <c r="G226" s="1">
        <f>IFERROR(__xludf.DUMMYFUNCTION("""COMPUTED_VALUE"""),3082226626)</f>
        <v>3082226626</v>
      </c>
      <c r="H226" s="1" t="str">
        <f>IFERROR(__xludf.DUMMYFUNCTION("""COMPUTED_VALUE"""),"Cov")</f>
        <v>Cov</v>
      </c>
      <c r="I226" s="1" t="str">
        <f>IFERROR(__xludf.DUMMYFUNCTION("""COMPUTED_VALUE"""),"COV")</f>
        <v>COV</v>
      </c>
      <c r="J226" s="1" t="str">
        <f>IFERROR(__xludf.DUMMYFUNCTION("""COMPUTED_VALUE"""),"Sim")</f>
        <v>Sim</v>
      </c>
      <c r="K226" s="1" t="str">
        <f>IFERROR(__xludf.DUMMYFUNCTION("""COMPUTED_VALUE"""),"Sim")</f>
        <v>Sim</v>
      </c>
      <c r="L226" s="1" t="str">
        <f>IFERROR(__xludf.DUMMYFUNCTION("""COMPUTED_VALUE"""),"O+")</f>
        <v>O+</v>
      </c>
      <c r="M226" s="1" t="str">
        <f>IFERROR(__xludf.DUMMYFUNCTION("""COMPUTED_VALUE"""),"DE DAVID")</f>
        <v>DE DAVID</v>
      </c>
      <c r="N226" s="120">
        <f>IFERROR(__xludf.DUMMYFUNCTION("""COMPUTED_VALUE"""),30113)</f>
        <v>30113</v>
      </c>
      <c r="O226" s="1" t="str">
        <f>IFERROR(__xludf.DUMMYFUNCTION("""COMPUTED_VALUE"""),"Masculino")</f>
        <v>Masculino</v>
      </c>
      <c r="P226" s="1" t="str">
        <f>IFERROR(__xludf.DUMMYFUNCTION("""COMPUTED_VALUE"""),"Branca")</f>
        <v>Branca</v>
      </c>
      <c r="Q226" s="1" t="str">
        <f>IFERROR(__xludf.DUMMYFUNCTION("""COMPUTED_VALUE"""),"Ensino Superior Completo")</f>
        <v>Ensino Superior Completo</v>
      </c>
      <c r="R226" s="1" t="str">
        <f>IFERROR(__xludf.DUMMYFUNCTION("""COMPUTED_VALUE"""),"dedavidticiano@gmail.com")</f>
        <v>dedavidticiano@gmail.com</v>
      </c>
      <c r="S226" s="1">
        <f>IFERROR(__xludf.DUMMYFUNCTION("""COMPUTED_VALUE"""),68)</f>
        <v>68</v>
      </c>
      <c r="T226" s="1" t="str">
        <f>IFERROR(__xludf.DUMMYFUNCTION("""COMPUTED_VALUE"""),"Entre 1,76m e 1,80m")</f>
        <v>Entre 1,76m e 1,80m</v>
      </c>
      <c r="U226" s="1" t="str">
        <f>IFERROR(__xludf.DUMMYFUNCTION("""COMPUTED_VALUE"""),"Não possui")</f>
        <v>Não possui</v>
      </c>
      <c r="V226" s="1" t="str">
        <f>IFERROR(__xludf.DUMMYFUNCTION("""COMPUTED_VALUE"""),"(55)997135383")</f>
        <v>(55)997135383</v>
      </c>
      <c r="W226" s="1" t="str">
        <f>IFERROR(__xludf.DUMMYFUNCTION("""COMPUTED_VALUE"""),"(55)999676901")</f>
        <v>(55)999676901</v>
      </c>
      <c r="X226" s="1" t="str">
        <f>IFERROR(__xludf.DUMMYFUNCTION("""COMPUTED_VALUE"""),"RS")</f>
        <v>RS</v>
      </c>
      <c r="Y226" s="1" t="str">
        <f>IFERROR(__xludf.DUMMYFUNCTION("""COMPUTED_VALUE"""),"São Sepé")</f>
        <v>São Sepé</v>
      </c>
      <c r="Z226" s="1" t="str">
        <f>IFERROR(__xludf.DUMMYFUNCTION("""COMPUTED_VALUE"""),"97340-000")</f>
        <v>97340-000</v>
      </c>
      <c r="AA226" s="1" t="str">
        <f>IFERROR(__xludf.DUMMYFUNCTION("""COMPUTED_VALUE"""),"Avenida 15 de Novembro,550")</f>
        <v>Avenida 15 de Novembro,550</v>
      </c>
      <c r="AB226" s="1" t="str">
        <f>IFERROR(__xludf.DUMMYFUNCTION("""COMPUTED_VALUE"""),"São Francisco")</f>
        <v>São Francisco</v>
      </c>
      <c r="AC226" s="1" t="str">
        <f>IFERROR(__xludf.DUMMYFUNCTION("""COMPUTED_VALUE"""),"M")</f>
        <v>M</v>
      </c>
      <c r="AD226" s="1" t="str">
        <f>IFERROR(__xludf.DUMMYFUNCTION("""COMPUTED_VALUE"""),"M")</f>
        <v>M</v>
      </c>
      <c r="AE226" s="1" t="str">
        <f>IFERROR(__xludf.DUMMYFUNCTION("""COMPUTED_VALUE"""),"M")</f>
        <v>M</v>
      </c>
      <c r="AF226" s="1" t="str">
        <f>IFERROR(__xludf.DUMMYFUNCTION("""COMPUTED_VALUE"""),"M")</f>
        <v>M</v>
      </c>
      <c r="AG226" s="1" t="str">
        <f>IFERROR(__xludf.DUMMYFUNCTION("""COMPUTED_VALUE"""),"M")</f>
        <v>M</v>
      </c>
      <c r="AH226" s="1">
        <f>IFERROR(__xludf.DUMMYFUNCTION("""COMPUTED_VALUE"""),42)</f>
        <v>42</v>
      </c>
      <c r="AI226" s="1">
        <f>IFERROR(__xludf.DUMMYFUNCTION("""COMPUTED_VALUE"""),42)</f>
        <v>42</v>
      </c>
      <c r="AJ226" s="1">
        <f>IFERROR(__xludf.DUMMYFUNCTION("""COMPUTED_VALUE"""),42)</f>
        <v>42</v>
      </c>
      <c r="AK226" s="1">
        <f>IFERROR(__xludf.DUMMYFUNCTION("""COMPUTED_VALUE"""),42)</f>
        <v>42</v>
      </c>
      <c r="AL226" s="1" t="str">
        <f>IFERROR(__xludf.DUMMYFUNCTION("""COMPUTED_VALUE"""),"M")</f>
        <v>M</v>
      </c>
      <c r="AM226" s="1" t="str">
        <f>IFERROR(__xludf.DUMMYFUNCTION("""COMPUTED_VALUE"""),"M")</f>
        <v>M</v>
      </c>
      <c r="AN226" s="1" t="str">
        <f>IFERROR(__xludf.DUMMYFUNCTION("""COMPUTED_VALUE"""),"M")</f>
        <v>M</v>
      </c>
    </row>
    <row r="227" customHeight="1" spans="1:40">
      <c r="A227" s="1" t="str">
        <f>IFERROR(__xludf.DUMMYFUNCTION("""COMPUTED_VALUE"""),"04° BBM")</f>
        <v>04° BBM</v>
      </c>
      <c r="B227" s="1" t="str">
        <f>IFERROR(__xludf.DUMMYFUNCTION("""COMPUTED_VALUE"""),"Julio de Castilhos")</f>
        <v>Julio de Castilhos</v>
      </c>
      <c r="C227" s="119" t="str">
        <f>IFERROR(__xludf.DUMMYFUNCTION("""COMPUTED_VALUE"""),"Comunitario")</f>
        <v>Comunitario</v>
      </c>
      <c r="D227" s="1" t="str">
        <f>IFERROR(__xludf.DUMMYFUNCTION("""COMPUTED_VALUE"""),"VAGNER TELLES GOMES")</f>
        <v>VAGNER TELLES GOMES</v>
      </c>
      <c r="E227" s="119" t="str">
        <f>IFERROR(__xludf.DUMMYFUNCTION("""COMPUTED_VALUE"""),"Curso CAB operador concluído")</f>
        <v>Curso CAB operador concluído</v>
      </c>
      <c r="F227" s="1" t="str">
        <f>IFERROR(__xludf.DUMMYFUNCTION("""COMPUTED_VALUE"""),"687.932.430-49")</f>
        <v>687.932.430-49</v>
      </c>
      <c r="G227" s="1">
        <f>IFERROR(__xludf.DUMMYFUNCTION("""COMPUTED_VALUE"""),1059107266)</f>
        <v>1059107266</v>
      </c>
      <c r="H227" s="1" t="str">
        <f>IFERROR(__xludf.DUMMYFUNCTION("""COMPUTED_VALUE"""),"Aux de Linha")</f>
        <v>Aux de Linha</v>
      </c>
      <c r="I227" s="1" t="str">
        <f>IFERROR(__xludf.DUMMYFUNCTION("""COMPUTED_VALUE"""),"Portaria N.º 083/CBMRS/2022-CURSO BÁSICO/OPERADOR")</f>
        <v>Portaria N.º 083/CBMRS/2022-CURSO BÁSICO/OPERADOR</v>
      </c>
      <c r="J227" s="1" t="str">
        <f>IFERROR(__xludf.DUMMYFUNCTION("""COMPUTED_VALUE"""),"Sim")</f>
        <v>Sim</v>
      </c>
      <c r="K227" s="1" t="str">
        <f>IFERROR(__xludf.DUMMYFUNCTION("""COMPUTED_VALUE"""),"Sim")</f>
        <v>Sim</v>
      </c>
      <c r="L227" s="1" t="str">
        <f>IFERROR(__xludf.DUMMYFUNCTION("""COMPUTED_VALUE"""),"O+")</f>
        <v>O+</v>
      </c>
      <c r="M227" s="1" t="str">
        <f>IFERROR(__xludf.DUMMYFUNCTION("""COMPUTED_VALUE"""),"VAGNER")</f>
        <v>VAGNER</v>
      </c>
      <c r="N227" s="120">
        <f>IFERROR(__xludf.DUMMYFUNCTION("""COMPUTED_VALUE"""),27870)</f>
        <v>27870</v>
      </c>
      <c r="O227" s="1" t="str">
        <f>IFERROR(__xludf.DUMMYFUNCTION("""COMPUTED_VALUE"""),"Masculino")</f>
        <v>Masculino</v>
      </c>
      <c r="P227" s="1" t="str">
        <f>IFERROR(__xludf.DUMMYFUNCTION("""COMPUTED_VALUE"""),"Branca")</f>
        <v>Branca</v>
      </c>
      <c r="Q227" s="1" t="str">
        <f>IFERROR(__xludf.DUMMYFUNCTION("""COMPUTED_VALUE"""),"Ensino Médio")</f>
        <v>Ensino Médio</v>
      </c>
      <c r="R227" s="1" t="str">
        <f>IFERROR(__xludf.DUMMYFUNCTION("""COMPUTED_VALUE"""),"vagnertgomes@bol.com.br")</f>
        <v>vagnertgomes@bol.com.br</v>
      </c>
      <c r="S227" s="1">
        <f>IFERROR(__xludf.DUMMYFUNCTION("""COMPUTED_VALUE"""),84)</f>
        <v>84</v>
      </c>
      <c r="T227" s="1" t="str">
        <f>IFERROR(__xludf.DUMMYFUNCTION("""COMPUTED_VALUE"""),"Entre 1,76m e 1,80m")</f>
        <v>Entre 1,76m e 1,80m</v>
      </c>
      <c r="U227" s="1" t="str">
        <f>IFERROR(__xludf.DUMMYFUNCTION("""COMPUTED_VALUE"""),"não possui")</f>
        <v>não possui</v>
      </c>
      <c r="V227" s="1" t="str">
        <f>IFERROR(__xludf.DUMMYFUNCTION("""COMPUTED_VALUE"""),"(55)996900338")</f>
        <v>(55)996900338</v>
      </c>
      <c r="W227" s="1" t="str">
        <f>IFERROR(__xludf.DUMMYFUNCTION("""COMPUTED_VALUE"""),"(55)32712416")</f>
        <v>(55)32712416</v>
      </c>
      <c r="X227" s="1" t="str">
        <f>IFERROR(__xludf.DUMMYFUNCTION("""COMPUTED_VALUE"""),"RS")</f>
        <v>RS</v>
      </c>
      <c r="Y227" s="1" t="str">
        <f>IFERROR(__xludf.DUMMYFUNCTION("""COMPUTED_VALUE"""),"Júlio de Castilhos")</f>
        <v>Júlio de Castilhos</v>
      </c>
      <c r="Z227" s="1">
        <f>IFERROR(__xludf.DUMMYFUNCTION("""COMPUTED_VALUE"""),98130000)</f>
        <v>98130000</v>
      </c>
      <c r="AA227" s="1" t="str">
        <f>IFERROR(__xludf.DUMMYFUNCTION("""COMPUTED_VALUE"""),"Rua Minas Gerais 25")</f>
        <v>Rua Minas Gerais 25</v>
      </c>
      <c r="AB227" s="1" t="str">
        <f>IFERROR(__xludf.DUMMYFUNCTION("""COMPUTED_VALUE"""),"Centro")</f>
        <v>Centro</v>
      </c>
      <c r="AC227" s="1" t="str">
        <f>IFERROR(__xludf.DUMMYFUNCTION("""COMPUTED_VALUE"""),"G")</f>
        <v>G</v>
      </c>
      <c r="AD227" s="1" t="str">
        <f>IFERROR(__xludf.DUMMYFUNCTION("""COMPUTED_VALUE"""),"G")</f>
        <v>G</v>
      </c>
      <c r="AE227" s="1" t="str">
        <f>IFERROR(__xludf.DUMMYFUNCTION("""COMPUTED_VALUE"""),"G")</f>
        <v>G</v>
      </c>
      <c r="AF227" s="1" t="str">
        <f>IFERROR(__xludf.DUMMYFUNCTION("""COMPUTED_VALUE"""),"G")</f>
        <v>G</v>
      </c>
      <c r="AG227" s="1" t="str">
        <f>IFERROR(__xludf.DUMMYFUNCTION("""COMPUTED_VALUE"""),"G")</f>
        <v>G</v>
      </c>
      <c r="AH227" s="1">
        <f>IFERROR(__xludf.DUMMYFUNCTION("""COMPUTED_VALUE"""),40)</f>
        <v>40</v>
      </c>
      <c r="AI227" s="1">
        <f>IFERROR(__xludf.DUMMYFUNCTION("""COMPUTED_VALUE"""),40)</f>
        <v>40</v>
      </c>
      <c r="AJ227" s="1">
        <f>IFERROR(__xludf.DUMMYFUNCTION("""COMPUTED_VALUE"""),40)</f>
        <v>40</v>
      </c>
      <c r="AK227" s="1">
        <f>IFERROR(__xludf.DUMMYFUNCTION("""COMPUTED_VALUE"""),40)</f>
        <v>40</v>
      </c>
      <c r="AL227" s="1" t="str">
        <f>IFERROR(__xludf.DUMMYFUNCTION("""COMPUTED_VALUE"""),"G")</f>
        <v>G</v>
      </c>
      <c r="AM227" s="1" t="str">
        <f>IFERROR(__xludf.DUMMYFUNCTION("""COMPUTED_VALUE"""),"G")</f>
        <v>G</v>
      </c>
      <c r="AN227" s="1" t="str">
        <f>IFERROR(__xludf.DUMMYFUNCTION("""COMPUTED_VALUE"""),"G")</f>
        <v>G</v>
      </c>
    </row>
    <row r="228" customHeight="1" spans="1:40">
      <c r="A228" s="1"/>
      <c r="B228" s="1"/>
      <c r="C228" s="119"/>
      <c r="D228" s="1" t="str">
        <f>IFERROR(__xludf.DUMMYFUNCTION("""COMPUTED_VALUE"""),"VANESSA DA ROSA DOS REIS")</f>
        <v>VANESSA DA ROSA DOS REIS</v>
      </c>
      <c r="E228" s="119" t="str">
        <f>IFERROR(__xludf.DUMMYFUNCTION("""COMPUTED_VALUE"""),"Módulo 1 concluído")</f>
        <v>Módulo 1 concluído</v>
      </c>
      <c r="F228" s="1" t="str">
        <f>IFERROR(__xludf.DUMMYFUNCTION("""COMPUTED_VALUE"""),"002.965.050-05")</f>
        <v>002.965.050-05</v>
      </c>
      <c r="G228" s="1"/>
      <c r="H228" s="1"/>
      <c r="I228" s="1"/>
      <c r="J228" s="1"/>
      <c r="K228" s="1"/>
      <c r="L228" s="1"/>
      <c r="M228" s="1"/>
      <c r="N228" s="120"/>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row>
    <row r="229" customHeight="1" spans="1:40">
      <c r="A229" s="1" t="str">
        <f>IFERROR(__xludf.DUMMYFUNCTION("""COMPUTED_VALUE"""),"04° BBM")</f>
        <v>04° BBM</v>
      </c>
      <c r="B229" s="1" t="str">
        <f>IFERROR(__xludf.DUMMYFUNCTION("""COMPUTED_VALUE"""),"Julio de Castilhos")</f>
        <v>Julio de Castilhos</v>
      </c>
      <c r="C229" s="119" t="str">
        <f>IFERROR(__xludf.DUMMYFUNCTION("""COMPUTED_VALUE"""),"Comunitario")</f>
        <v>Comunitario</v>
      </c>
      <c r="D229" s="1" t="str">
        <f>IFERROR(__xludf.DUMMYFUNCTION("""COMPUTED_VALUE"""),"VITOR PAULO ROSA MARQUES")</f>
        <v>VITOR PAULO ROSA MARQUES</v>
      </c>
      <c r="E229" s="119" t="str">
        <f>IFERROR(__xludf.DUMMYFUNCTION("""COMPUTED_VALUE"""),"Curso CAB operador concluído")</f>
        <v>Curso CAB operador concluído</v>
      </c>
      <c r="F229" s="1" t="str">
        <f>IFERROR(__xludf.DUMMYFUNCTION("""COMPUTED_VALUE"""),"936.218.500-82")</f>
        <v>936.218.500-82</v>
      </c>
      <c r="G229" s="1">
        <f>IFERROR(__xludf.DUMMYFUNCTION("""COMPUTED_VALUE"""),7071443753)</f>
        <v>7071443753</v>
      </c>
      <c r="H229" s="1" t="str">
        <f>IFERROR(__xludf.DUMMYFUNCTION("""COMPUTED_VALUE"""),"Aux de Linha")</f>
        <v>Aux de Linha</v>
      </c>
      <c r="I229" s="1" t="str">
        <f>IFERROR(__xludf.DUMMYFUNCTION("""COMPUTED_VALUE"""),"Portaria N.º 083/CBMRS/2022-CURSO BÁSICO/OPERADOR")</f>
        <v>Portaria N.º 083/CBMRS/2022-CURSO BÁSICO/OPERADOR</v>
      </c>
      <c r="J229" s="1" t="str">
        <f>IFERROR(__xludf.DUMMYFUNCTION("""COMPUTED_VALUE"""),"Sim")</f>
        <v>Sim</v>
      </c>
      <c r="K229" s="1" t="str">
        <f>IFERROR(__xludf.DUMMYFUNCTION("""COMPUTED_VALUE"""),"Sim")</f>
        <v>Sim</v>
      </c>
      <c r="L229" s="1" t="str">
        <f>IFERROR(__xludf.DUMMYFUNCTION("""COMPUTED_VALUE"""),"AB+")</f>
        <v>AB+</v>
      </c>
      <c r="M229" s="1" t="str">
        <f>IFERROR(__xludf.DUMMYFUNCTION("""COMPUTED_VALUE"""),"VITOR")</f>
        <v>VITOR</v>
      </c>
      <c r="N229" s="120">
        <f>IFERROR(__xludf.DUMMYFUNCTION("""COMPUTED_VALUE"""),28542)</f>
        <v>28542</v>
      </c>
      <c r="O229" s="1" t="str">
        <f>IFERROR(__xludf.DUMMYFUNCTION("""COMPUTED_VALUE"""),"Masculino")</f>
        <v>Masculino</v>
      </c>
      <c r="P229" s="1" t="str">
        <f>IFERROR(__xludf.DUMMYFUNCTION("""COMPUTED_VALUE"""),"Parda")</f>
        <v>Parda</v>
      </c>
      <c r="Q229" s="1" t="str">
        <f>IFERROR(__xludf.DUMMYFUNCTION("""COMPUTED_VALUE"""),"Ensino Superior Completo")</f>
        <v>Ensino Superior Completo</v>
      </c>
      <c r="R229" s="1" t="str">
        <f>IFERROR(__xludf.DUMMYFUNCTION("""COMPUTED_VALUE"""),"eletricavipam@hotmail.com")</f>
        <v>eletricavipam@hotmail.com</v>
      </c>
      <c r="S229" s="1">
        <f>IFERROR(__xludf.DUMMYFUNCTION("""COMPUTED_VALUE"""),100)</f>
        <v>100</v>
      </c>
      <c r="T229" s="1" t="str">
        <f>IFERROR(__xludf.DUMMYFUNCTION("""COMPUTED_VALUE"""),"Entre 1,71m e 1,75m")</f>
        <v>Entre 1,71m e 1,75m</v>
      </c>
      <c r="U229" s="1">
        <f>IFERROR(__xludf.DUMMYFUNCTION("""COMPUTED_VALUE"""),5532719003)</f>
        <v>5532719003</v>
      </c>
      <c r="V229" s="1" t="str">
        <f>IFERROR(__xludf.DUMMYFUNCTION("""COMPUTED_VALUE"""),"(55)999851717")</f>
        <v>(55)999851717</v>
      </c>
      <c r="W229" s="1" t="str">
        <f>IFERROR(__xludf.DUMMYFUNCTION("""COMPUTED_VALUE"""),"(55)999001568")</f>
        <v>(55)999001568</v>
      </c>
      <c r="X229" s="1" t="str">
        <f>IFERROR(__xludf.DUMMYFUNCTION("""COMPUTED_VALUE"""),"RS")</f>
        <v>RS</v>
      </c>
      <c r="Y229" s="1" t="str">
        <f>IFERROR(__xludf.DUMMYFUNCTION("""COMPUTED_VALUE"""),"Júlio de Castilhos")</f>
        <v>Júlio de Castilhos</v>
      </c>
      <c r="Z229" s="1">
        <f>IFERROR(__xludf.DUMMYFUNCTION("""COMPUTED_VALUE"""),98130000)</f>
        <v>98130000</v>
      </c>
      <c r="AA229" s="1" t="str">
        <f>IFERROR(__xludf.DUMMYFUNCTION("""COMPUTED_VALUE"""),"Rua Cipriano Mascarenhas 143")</f>
        <v>Rua Cipriano Mascarenhas 143</v>
      </c>
      <c r="AB229" s="1" t="str">
        <f>IFERROR(__xludf.DUMMYFUNCTION("""COMPUTED_VALUE"""),"Maria de Jesus")</f>
        <v>Maria de Jesus</v>
      </c>
      <c r="AC229" s="1" t="str">
        <f>IFERROR(__xludf.DUMMYFUNCTION("""COMPUTED_VALUE"""),"GG")</f>
        <v>GG</v>
      </c>
      <c r="AD229" s="1" t="str">
        <f>IFERROR(__xludf.DUMMYFUNCTION("""COMPUTED_VALUE"""),"GG")</f>
        <v>GG</v>
      </c>
      <c r="AE229" s="1" t="str">
        <f>IFERROR(__xludf.DUMMYFUNCTION("""COMPUTED_VALUE"""),"GG")</f>
        <v>GG</v>
      </c>
      <c r="AF229" s="1" t="str">
        <f>IFERROR(__xludf.DUMMYFUNCTION("""COMPUTED_VALUE"""),"EXG")</f>
        <v>EXG</v>
      </c>
      <c r="AG229" s="1" t="str">
        <f>IFERROR(__xludf.DUMMYFUNCTION("""COMPUTED_VALUE"""),"EXG")</f>
        <v>EXG</v>
      </c>
      <c r="AH229" s="1">
        <f>IFERROR(__xludf.DUMMYFUNCTION("""COMPUTED_VALUE"""),42)</f>
        <v>42</v>
      </c>
      <c r="AI229" s="1">
        <f>IFERROR(__xludf.DUMMYFUNCTION("""COMPUTED_VALUE"""),42)</f>
        <v>42</v>
      </c>
      <c r="AJ229" s="1">
        <f>IFERROR(__xludf.DUMMYFUNCTION("""COMPUTED_VALUE"""),42)</f>
        <v>42</v>
      </c>
      <c r="AK229" s="1">
        <f>IFERROR(__xludf.DUMMYFUNCTION("""COMPUTED_VALUE"""),42)</f>
        <v>42</v>
      </c>
      <c r="AL229" s="1" t="str">
        <f>IFERROR(__xludf.DUMMYFUNCTION("""COMPUTED_VALUE"""),"GG")</f>
        <v>GG</v>
      </c>
      <c r="AM229" s="1" t="str">
        <f>IFERROR(__xludf.DUMMYFUNCTION("""COMPUTED_VALUE"""),"GG")</f>
        <v>GG</v>
      </c>
      <c r="AN229" s="1" t="str">
        <f>IFERROR(__xludf.DUMMYFUNCTION("""COMPUTED_VALUE"""),"G")</f>
        <v>G</v>
      </c>
    </row>
    <row r="259" customHeight="1" spans="1:40">
      <c r="A259" s="126" t="str">
        <f>IFERROR(__xludf.DUMMYFUNCTION("IMPORTRANGE(""1uCBYq_B1noXDnZ2hAWfjmyqidVGOrreR1eUpbj41kZg/edit?gid=516654854"",""5BBM!A2:AN"")"),"")</f>
        <v/>
      </c>
      <c r="B259" s="1"/>
      <c r="C259" s="119"/>
      <c r="D259" s="1" t="str">
        <f>IFERROR(__xludf.DUMMYFUNCTION("""COMPUTED_VALUE"""),"ADELAR HUFF")</f>
        <v>ADELAR HUFF</v>
      </c>
      <c r="E259" s="1" t="str">
        <f>IFERROR(__xludf.DUMMYFUNCTION("""COMPUTED_VALUE"""),"Módulo 1 concluído")</f>
        <v>Módulo 1 concluído</v>
      </c>
      <c r="F259" s="1" t="str">
        <f>IFERROR(__xludf.DUMMYFUNCTION("""COMPUTED_VALUE"""),"377.455.490-00")</f>
        <v>377.455.490-00</v>
      </c>
      <c r="G259" s="1"/>
      <c r="H259" s="1"/>
      <c r="I259" s="1"/>
      <c r="J259" s="1"/>
      <c r="K259" s="1"/>
      <c r="L259" s="1"/>
      <c r="M259" s="1"/>
      <c r="N259" s="120"/>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row>
    <row r="260" customHeight="1" spans="1:40">
      <c r="A260" s="1"/>
      <c r="B260" s="1"/>
      <c r="C260" s="119"/>
      <c r="D260" s="1" t="str">
        <f>IFERROR(__xludf.DUMMYFUNCTION("""COMPUTED_VALUE"""),"ALEX DOS SANTOS DOMINGUES")</f>
        <v>ALEX DOS SANTOS DOMINGUES</v>
      </c>
      <c r="E260" s="1" t="str">
        <f>IFERROR(__xludf.DUMMYFUNCTION("""COMPUTED_VALUE"""),"Módulo 1 concluído")</f>
        <v>Módulo 1 concluído</v>
      </c>
      <c r="F260" s="1" t="str">
        <f>IFERROR(__xludf.DUMMYFUNCTION("""COMPUTED_VALUE"""),"013.785.210-05")</f>
        <v>013.785.210-05</v>
      </c>
      <c r="G260" s="1"/>
      <c r="H260" s="1"/>
      <c r="I260" s="1"/>
      <c r="J260" s="1"/>
      <c r="K260" s="1"/>
      <c r="L260" s="1"/>
      <c r="M260" s="1"/>
      <c r="N260" s="120"/>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row>
    <row r="261" customHeight="1" spans="1:40">
      <c r="A261" s="1"/>
      <c r="B261" s="1"/>
      <c r="C261" s="119"/>
      <c r="D261" s="1" t="str">
        <f>IFERROR(__xludf.DUMMYFUNCTION("""COMPUTED_VALUE"""),"ALEXANDRE ARCARI BECKER")</f>
        <v>ALEXANDRE ARCARI BECKER</v>
      </c>
      <c r="E261" s="1" t="str">
        <f>IFERROR(__xludf.DUMMYFUNCTION("""COMPUTED_VALUE"""),"Módulo 1 concluído")</f>
        <v>Módulo 1 concluído</v>
      </c>
      <c r="F261" s="1" t="str">
        <f>IFERROR(__xludf.DUMMYFUNCTION("""COMPUTED_VALUE"""),"960.874.040-15")</f>
        <v>960.874.040-15</v>
      </c>
      <c r="G261" s="1"/>
      <c r="H261" s="1"/>
      <c r="I261" s="1"/>
      <c r="J261" s="1"/>
      <c r="K261" s="1"/>
      <c r="L261" s="1"/>
      <c r="M261" s="1"/>
      <c r="N261" s="120"/>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row>
    <row r="262" customHeight="1" spans="1:40">
      <c r="A262" s="1" t="str">
        <f>IFERROR(__xludf.DUMMYFUNCTION("""COMPUTED_VALUE"""),"05° BBM")</f>
        <v>05° BBM</v>
      </c>
      <c r="B262" s="1" t="str">
        <f>IFERROR(__xludf.DUMMYFUNCTION("""COMPUTED_VALUE"""),"Feliz")</f>
        <v>Feliz</v>
      </c>
      <c r="C262" s="119" t="str">
        <f>IFERROR(__xludf.DUMMYFUNCTION("""COMPUTED_VALUE"""),"CAB")</f>
        <v>CAB</v>
      </c>
      <c r="D262" s="1" t="str">
        <f>IFERROR(__xludf.DUMMYFUNCTION("""COMPUTED_VALUE"""),"ALINE BENDER")</f>
        <v>ALINE BENDER</v>
      </c>
      <c r="E262" s="119" t="str">
        <f>IFERROR(__xludf.DUMMYFUNCTION("""COMPUTED_VALUE"""),"Módulo 1 concluído")</f>
        <v>Módulo 1 concluído</v>
      </c>
      <c r="F262" s="1" t="str">
        <f>IFERROR(__xludf.DUMMYFUNCTION("""COMPUTED_VALUE"""),"953.818.640-00")</f>
        <v>953.818.640-00</v>
      </c>
      <c r="G262" s="1">
        <f>IFERROR(__xludf.DUMMYFUNCTION("""COMPUTED_VALUE"""),5065873241)</f>
        <v>5065873241</v>
      </c>
      <c r="H262" s="1" t="str">
        <f>IFERROR(__xludf.DUMMYFUNCTION("""COMPUTED_VALUE"""),"Atendente e Operador")</f>
        <v>Atendente e Operador</v>
      </c>
      <c r="I262" s="1"/>
      <c r="J262" s="1" t="str">
        <f>IFERROR(__xludf.DUMMYFUNCTION("""COMPUTED_VALUE"""),"Sim")</f>
        <v>Sim</v>
      </c>
      <c r="K262" s="1" t="str">
        <f>IFERROR(__xludf.DUMMYFUNCTION("""COMPUTED_VALUE"""),"Não")</f>
        <v>Não</v>
      </c>
      <c r="L262" s="1" t="str">
        <f>IFERROR(__xludf.DUMMYFUNCTION("""COMPUTED_VALUE"""),"O+")</f>
        <v>O+</v>
      </c>
      <c r="M262" s="1" t="str">
        <f>IFERROR(__xludf.DUMMYFUNCTION("""COMPUTED_VALUE"""),"ALINE")</f>
        <v>ALINE</v>
      </c>
      <c r="N262" s="120">
        <f>IFERROR(__xludf.DUMMYFUNCTION("""COMPUTED_VALUE"""),29243)</f>
        <v>29243</v>
      </c>
      <c r="O262" s="1" t="str">
        <f>IFERROR(__xludf.DUMMYFUNCTION("""COMPUTED_VALUE"""),"Feminino")</f>
        <v>Feminino</v>
      </c>
      <c r="P262" s="1" t="str">
        <f>IFERROR(__xludf.DUMMYFUNCTION("""COMPUTED_VALUE"""),"Branca")</f>
        <v>Branca</v>
      </c>
      <c r="Q262" s="1" t="str">
        <f>IFERROR(__xludf.DUMMYFUNCTION("""COMPUTED_VALUE"""),"Ensino Médio")</f>
        <v>Ensino Médio</v>
      </c>
      <c r="R262" s="1" t="str">
        <f>IFERROR(__xludf.DUMMYFUNCTION("""COMPUTED_VALUE"""),"alinebender23@yahoo.com.br")</f>
        <v>alinebender23@yahoo.com.br</v>
      </c>
      <c r="S262" s="1">
        <f>IFERROR(__xludf.DUMMYFUNCTION("""COMPUTED_VALUE"""),72)</f>
        <v>72</v>
      </c>
      <c r="T262" s="1" t="str">
        <f>IFERROR(__xludf.DUMMYFUNCTION("""COMPUTED_VALUE"""),"Entre 1,66m e 1,70m")</f>
        <v>Entre 1,66m e 1,70m</v>
      </c>
      <c r="U262" s="1"/>
      <c r="V262" s="1" t="str">
        <f>IFERROR(__xludf.DUMMYFUNCTION("""COMPUTED_VALUE"""),"(51)9990689889")</f>
        <v>(51)9990689889</v>
      </c>
      <c r="W262" s="1" t="str">
        <f>IFERROR(__xludf.DUMMYFUNCTION("""COMPUTED_VALUE"""),"(51)3637-1500")</f>
        <v>(51)3637-1500</v>
      </c>
      <c r="X262" s="1" t="str">
        <f>IFERROR(__xludf.DUMMYFUNCTION("""COMPUTED_VALUE"""),"RS")</f>
        <v>RS</v>
      </c>
      <c r="Y262" s="1" t="str">
        <f>IFERROR(__xludf.DUMMYFUNCTION("""COMPUTED_VALUE"""),"Feliz")</f>
        <v>Feliz</v>
      </c>
      <c r="Z262" s="1" t="str">
        <f>IFERROR(__xludf.DUMMYFUNCTION("""COMPUTED_VALUE"""),"95770-000")</f>
        <v>95770-000</v>
      </c>
      <c r="AA262" s="1" t="str">
        <f>IFERROR(__xludf.DUMMYFUNCTION("""COMPUTED_VALUE"""),"Rua Campo Bom, 301")</f>
        <v>Rua Campo Bom, 301</v>
      </c>
      <c r="AB262" s="1" t="str">
        <f>IFERROR(__xludf.DUMMYFUNCTION("""COMPUTED_VALUE"""),"Matiel")</f>
        <v>Matiel</v>
      </c>
      <c r="AC262" s="1" t="str">
        <f>IFERROR(__xludf.DUMMYFUNCTION("""COMPUTED_VALUE"""),"M")</f>
        <v>M</v>
      </c>
      <c r="AD262" s="1" t="str">
        <f>IFERROR(__xludf.DUMMYFUNCTION("""COMPUTED_VALUE"""),"M")</f>
        <v>M</v>
      </c>
      <c r="AE262" s="1" t="str">
        <f>IFERROR(__xludf.DUMMYFUNCTION("""COMPUTED_VALUE"""),"M")</f>
        <v>M</v>
      </c>
      <c r="AF262" s="1" t="str">
        <f>IFERROR(__xludf.DUMMYFUNCTION("""COMPUTED_VALUE"""),"M")</f>
        <v>M</v>
      </c>
      <c r="AG262" s="1" t="str">
        <f>IFERROR(__xludf.DUMMYFUNCTION("""COMPUTED_VALUE"""),"M")</f>
        <v>M</v>
      </c>
      <c r="AH262" s="1">
        <f>IFERROR(__xludf.DUMMYFUNCTION("""COMPUTED_VALUE"""),39)</f>
        <v>39</v>
      </c>
      <c r="AI262" s="1">
        <f>IFERROR(__xludf.DUMMYFUNCTION("""COMPUTED_VALUE"""),39)</f>
        <v>39</v>
      </c>
      <c r="AJ262" s="1">
        <f>IFERROR(__xludf.DUMMYFUNCTION("""COMPUTED_VALUE"""),39)</f>
        <v>39</v>
      </c>
      <c r="AK262" s="1">
        <f>IFERROR(__xludf.DUMMYFUNCTION("""COMPUTED_VALUE"""),39)</f>
        <v>39</v>
      </c>
      <c r="AL262" s="1" t="str">
        <f>IFERROR(__xludf.DUMMYFUNCTION("""COMPUTED_VALUE"""),"M")</f>
        <v>M</v>
      </c>
      <c r="AM262" s="1" t="str">
        <f>IFERROR(__xludf.DUMMYFUNCTION("""COMPUTED_VALUE"""),"M")</f>
        <v>M</v>
      </c>
      <c r="AN262" s="1" t="str">
        <f>IFERROR(__xludf.DUMMYFUNCTION("""COMPUTED_VALUE"""),"M")</f>
        <v>M</v>
      </c>
    </row>
    <row r="263" customHeight="1" spans="1:40">
      <c r="A263" s="1" t="str">
        <f>IFERROR(__xludf.DUMMYFUNCTION("""COMPUTED_VALUE"""),"05° BBM")</f>
        <v>05° BBM</v>
      </c>
      <c r="B263" s="1" t="str">
        <f>IFERROR(__xludf.DUMMYFUNCTION("""COMPUTED_VALUE"""),"VACARIA/MUITOS CAPÕES")</f>
        <v>VACARIA/MUITOS CAPÕES</v>
      </c>
      <c r="C263" s="119" t="str">
        <f>IFERROR(__xludf.DUMMYFUNCTION("""COMPUTED_VALUE"""),"Municipal")</f>
        <v>Municipal</v>
      </c>
      <c r="D263" s="1" t="str">
        <f>IFERROR(__xludf.DUMMYFUNCTION("""COMPUTED_VALUE"""),"ALINE OLIVEIRA")</f>
        <v>ALINE OLIVEIRA</v>
      </c>
      <c r="E263" s="119" t="str">
        <f>IFERROR(__xludf.DUMMYFUNCTION("""COMPUTED_VALUE"""),"")</f>
        <v/>
      </c>
      <c r="F263" s="1" t="str">
        <f>IFERROR(__xludf.DUMMYFUNCTION("""COMPUTED_VALUE"""),"016.109.760-02")</f>
        <v>016.109.760-02</v>
      </c>
      <c r="G263" s="1">
        <f>IFERROR(__xludf.DUMMYFUNCTION("""COMPUTED_VALUE"""),2098195239)</f>
        <v>2098195239</v>
      </c>
      <c r="H263" s="1" t="str">
        <f>IFERROR(__xludf.DUMMYFUNCTION("""COMPUTED_VALUE"""),"COMBATENTE")</f>
        <v>COMBATENTE</v>
      </c>
      <c r="I263" s="1" t="str">
        <f>IFERROR(__xludf.DUMMYFUNCTION("""COMPUTED_VALUE"""),"ENSINO SUPERIOR COMPLETO")</f>
        <v>ENSINO SUPERIOR COMPLETO</v>
      </c>
      <c r="J263" s="1" t="str">
        <f>IFERROR(__xludf.DUMMYFUNCTION("""COMPUTED_VALUE"""),"Não")</f>
        <v>Não</v>
      </c>
      <c r="K263" s="1" t="str">
        <f>IFERROR(__xludf.DUMMYFUNCTION("""COMPUTED_VALUE"""),"Não")</f>
        <v>Não</v>
      </c>
      <c r="L263" s="1" t="str">
        <f>IFERROR(__xludf.DUMMYFUNCTION("""COMPUTED_VALUE"""),"A+")</f>
        <v>A+</v>
      </c>
      <c r="M263" s="1" t="str">
        <f>IFERROR(__xludf.DUMMYFUNCTION("""COMPUTED_VALUE"""),"ALINE")</f>
        <v>ALINE</v>
      </c>
      <c r="N263" s="120">
        <f>IFERROR(__xludf.DUMMYFUNCTION("""COMPUTED_VALUE"""),33034)</f>
        <v>33034</v>
      </c>
      <c r="O263" s="1" t="str">
        <f>IFERROR(__xludf.DUMMYFUNCTION("""COMPUTED_VALUE"""),"Feminino")</f>
        <v>Feminino</v>
      </c>
      <c r="P263" s="1" t="str">
        <f>IFERROR(__xludf.DUMMYFUNCTION("""COMPUTED_VALUE"""),"Branca")</f>
        <v>Branca</v>
      </c>
      <c r="Q263" s="1" t="str">
        <f>IFERROR(__xludf.DUMMYFUNCTION("""COMPUTED_VALUE"""),"Ensino Superior Completo")</f>
        <v>Ensino Superior Completo</v>
      </c>
      <c r="R263" s="1" t="str">
        <f>IFERROR(__xludf.DUMMYFUNCTION("""COMPUTED_VALUE"""),"aline1984.oliveira@hotmail.com")</f>
        <v>aline1984.oliveira@hotmail.com</v>
      </c>
      <c r="S263" s="1">
        <f>IFERROR(__xludf.DUMMYFUNCTION("""COMPUTED_VALUE"""),89)</f>
        <v>89</v>
      </c>
      <c r="T263" s="1" t="str">
        <f>IFERROR(__xludf.DUMMYFUNCTION("""COMPUTED_VALUE"""),"Entre 1,66m e 1,70m")</f>
        <v>Entre 1,66m e 1,70m</v>
      </c>
      <c r="U263" s="1"/>
      <c r="V263" s="1" t="str">
        <f>IFERROR(__xludf.DUMMYFUNCTION("""COMPUTED_VALUE"""),"54 996266788")</f>
        <v>54 996266788</v>
      </c>
      <c r="W263" s="1">
        <f>IFERROR(__xludf.DUMMYFUNCTION("""COMPUTED_VALUE"""),54996266788)</f>
        <v>54996266788</v>
      </c>
      <c r="X263" s="1" t="str">
        <f>IFERROR(__xludf.DUMMYFUNCTION("""COMPUTED_VALUE"""),"RS")</f>
        <v>RS</v>
      </c>
      <c r="Y263" s="1" t="str">
        <f>IFERROR(__xludf.DUMMYFUNCTION("""COMPUTED_VALUE"""),"Muitos Capões")</f>
        <v>Muitos Capões</v>
      </c>
      <c r="Z263" s="1" t="str">
        <f>IFERROR(__xludf.DUMMYFUNCTION("""COMPUTED_VALUE"""),"95230-000")</f>
        <v>95230-000</v>
      </c>
      <c r="AA263" s="1" t="str">
        <f>IFERROR(__xludf.DUMMYFUNCTION("""COMPUTED_VALUE"""),"Avenida Progresso")</f>
        <v>Avenida Progresso</v>
      </c>
      <c r="AB263" s="1" t="str">
        <f>IFERROR(__xludf.DUMMYFUNCTION("""COMPUTED_VALUE"""),"CENTRO")</f>
        <v>CENTRO</v>
      </c>
      <c r="AC263" s="1" t="str">
        <f>IFERROR(__xludf.DUMMYFUNCTION("""COMPUTED_VALUE"""),"GG")</f>
        <v>GG</v>
      </c>
      <c r="AD263" s="1" t="str">
        <f>IFERROR(__xludf.DUMMYFUNCTION("""COMPUTED_VALUE"""),"GG")</f>
        <v>GG</v>
      </c>
      <c r="AE263" s="1" t="str">
        <f>IFERROR(__xludf.DUMMYFUNCTION("""COMPUTED_VALUE"""),"GG")</f>
        <v>GG</v>
      </c>
      <c r="AF263" s="1" t="str">
        <f>IFERROR(__xludf.DUMMYFUNCTION("""COMPUTED_VALUE"""),"GG")</f>
        <v>GG</v>
      </c>
      <c r="AG263" s="1" t="str">
        <f>IFERROR(__xludf.DUMMYFUNCTION("""COMPUTED_VALUE"""),"GG")</f>
        <v>GG</v>
      </c>
      <c r="AH263" s="1">
        <f>IFERROR(__xludf.DUMMYFUNCTION("""COMPUTED_VALUE"""),36)</f>
        <v>36</v>
      </c>
      <c r="AI263" s="1">
        <f>IFERROR(__xludf.DUMMYFUNCTION("""COMPUTED_VALUE"""),36)</f>
        <v>36</v>
      </c>
      <c r="AJ263" s="1">
        <f>IFERROR(__xludf.DUMMYFUNCTION("""COMPUTED_VALUE"""),36)</f>
        <v>36</v>
      </c>
      <c r="AK263" s="1">
        <f>IFERROR(__xludf.DUMMYFUNCTION("""COMPUTED_VALUE"""),36)</f>
        <v>36</v>
      </c>
      <c r="AL263" s="1" t="str">
        <f>IFERROR(__xludf.DUMMYFUNCTION("""COMPUTED_VALUE"""),"GG")</f>
        <v>GG</v>
      </c>
      <c r="AM263" s="1" t="str">
        <f>IFERROR(__xludf.DUMMYFUNCTION("""COMPUTED_VALUE"""),"GG")</f>
        <v>GG</v>
      </c>
      <c r="AN263" s="1" t="str">
        <f>IFERROR(__xludf.DUMMYFUNCTION("""COMPUTED_VALUE"""),"M")</f>
        <v>M</v>
      </c>
    </row>
    <row r="264" customHeight="1" spans="1:40">
      <c r="A264" s="1"/>
      <c r="B264" s="1"/>
      <c r="C264" s="119"/>
      <c r="D264" s="1" t="str">
        <f>IFERROR(__xludf.DUMMYFUNCTION("""COMPUTED_VALUE"""),"ALVARO LICKS DA CRUZ")</f>
        <v>ALVARO LICKS DA CRUZ</v>
      </c>
      <c r="E264" s="1" t="str">
        <f>IFERROR(__xludf.DUMMYFUNCTION("""COMPUTED_VALUE"""),"Módulo 1 concluído")</f>
        <v>Módulo 1 concluído</v>
      </c>
      <c r="F264" s="1" t="str">
        <f>IFERROR(__xludf.DUMMYFUNCTION("""COMPUTED_VALUE"""),"026.332.630-62")</f>
        <v>026.332.630-62</v>
      </c>
      <c r="G264" s="1"/>
      <c r="H264" s="1"/>
      <c r="I264" s="1"/>
      <c r="J264" s="1"/>
      <c r="K264" s="1"/>
      <c r="L264" s="1"/>
      <c r="M264" s="1"/>
      <c r="N264" s="120"/>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row>
    <row r="265" customHeight="1" spans="1:40">
      <c r="A265" s="1"/>
      <c r="B265" s="1"/>
      <c r="C265" s="119"/>
      <c r="D265" s="1" t="str">
        <f>IFERROR(__xludf.DUMMYFUNCTION("""COMPUTED_VALUE"""),"ALZEMIRO TOMAZ DE LIMA PEREIRA")</f>
        <v>ALZEMIRO TOMAZ DE LIMA PEREIRA</v>
      </c>
      <c r="E265" s="1" t="str">
        <f>IFERROR(__xludf.DUMMYFUNCTION("""COMPUTED_VALUE"""),"Curso CAB operador concluído")</f>
        <v>Curso CAB operador concluído</v>
      </c>
      <c r="F265" s="1" t="str">
        <f>IFERROR(__xludf.DUMMYFUNCTION("""COMPUTED_VALUE"""),"022.294.590-74")</f>
        <v>022.294.590-74</v>
      </c>
      <c r="G265" s="1"/>
      <c r="H265" s="1"/>
      <c r="I265" s="1"/>
      <c r="J265" s="1"/>
      <c r="K265" s="1"/>
      <c r="L265" s="1"/>
      <c r="M265" s="1"/>
      <c r="N265" s="120"/>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row>
    <row r="266" customHeight="1" spans="1:40">
      <c r="A266" s="1" t="str">
        <f>IFERROR(__xludf.DUMMYFUNCTION("""COMPUTED_VALUE"""),"05° BBM")</f>
        <v>05° BBM</v>
      </c>
      <c r="B266" s="1" t="str">
        <f>IFERROR(__xludf.DUMMYFUNCTION("""COMPUTED_VALUE"""),"Feliz")</f>
        <v>Feliz</v>
      </c>
      <c r="C266" s="119" t="str">
        <f>IFERROR(__xludf.DUMMYFUNCTION("""COMPUTED_VALUE"""),"CAB")</f>
        <v>CAB</v>
      </c>
      <c r="D266" s="1" t="str">
        <f>IFERROR(__xludf.DUMMYFUNCTION("""COMPUTED_VALUE"""),"AMANDA ANDRÉIA DE VARGAS")</f>
        <v>AMANDA ANDRÉIA DE VARGAS</v>
      </c>
      <c r="E266" s="119" t="str">
        <f>IFERROR(__xludf.DUMMYFUNCTION("""COMPUTED_VALUE"""),"")</f>
        <v/>
      </c>
      <c r="F266" s="1" t="str">
        <f>IFERROR(__xludf.DUMMYFUNCTION("""COMPUTED_VALUE"""),"020.265.230-02")</f>
        <v>020.265.230-02</v>
      </c>
      <c r="G266" s="1">
        <f>IFERROR(__xludf.DUMMYFUNCTION("""COMPUTED_VALUE"""),9105319397)</f>
        <v>9105319397</v>
      </c>
      <c r="H266" s="1" t="str">
        <f>IFERROR(__xludf.DUMMYFUNCTION("""COMPUTED_VALUE"""),"Atendente e Operador")</f>
        <v>Atendente e Operador</v>
      </c>
      <c r="I266" s="1"/>
      <c r="J266" s="1" t="str">
        <f>IFERROR(__xludf.DUMMYFUNCTION("""COMPUTED_VALUE"""),"Não")</f>
        <v>Não</v>
      </c>
      <c r="K266" s="1" t="str">
        <f>IFERROR(__xludf.DUMMYFUNCTION("""COMPUTED_VALUE"""),"Não")</f>
        <v>Não</v>
      </c>
      <c r="L266" s="1"/>
      <c r="M266" s="1" t="str">
        <f>IFERROR(__xludf.DUMMYFUNCTION("""COMPUTED_VALUE"""),"AMANDA")</f>
        <v>AMANDA</v>
      </c>
      <c r="N266" s="120">
        <f>IFERROR(__xludf.DUMMYFUNCTION("""COMPUTED_VALUE"""),35797)</f>
        <v>35797</v>
      </c>
      <c r="O266" s="1" t="str">
        <f>IFERROR(__xludf.DUMMYFUNCTION("""COMPUTED_VALUE"""),"Feminino")</f>
        <v>Feminino</v>
      </c>
      <c r="P266" s="1" t="str">
        <f>IFERROR(__xludf.DUMMYFUNCTION("""COMPUTED_VALUE"""),"Branca")</f>
        <v>Branca</v>
      </c>
      <c r="Q266" s="1" t="str">
        <f>IFERROR(__xludf.DUMMYFUNCTION("""COMPUTED_VALUE"""),"Ensino Médio")</f>
        <v>Ensino Médio</v>
      </c>
      <c r="R266" s="1"/>
      <c r="S266" s="1">
        <f>IFERROR(__xludf.DUMMYFUNCTION("""COMPUTED_VALUE"""),55)</f>
        <v>55</v>
      </c>
      <c r="T266" s="1" t="str">
        <f>IFERROR(__xludf.DUMMYFUNCTION("""COMPUTED_VALUE"""),"Entre 1,61m e 1,65m")</f>
        <v>Entre 1,61m e 1,65m</v>
      </c>
      <c r="U266" s="1"/>
      <c r="V266" s="1" t="str">
        <f>IFERROR(__xludf.DUMMYFUNCTION("""COMPUTED_VALUE"""),"(11)9742288701")</f>
        <v>(11)9742288701</v>
      </c>
      <c r="W266" s="1" t="str">
        <f>IFERROR(__xludf.DUMMYFUNCTION("""COMPUTED_VALUE"""),"(51)3637-1500")</f>
        <v>(51)3637-1500</v>
      </c>
      <c r="X266" s="1" t="str">
        <f>IFERROR(__xludf.DUMMYFUNCTION("""COMPUTED_VALUE"""),"RS")</f>
        <v>RS</v>
      </c>
      <c r="Y266" s="1" t="str">
        <f>IFERROR(__xludf.DUMMYFUNCTION("""COMPUTED_VALUE"""),"Feliz")</f>
        <v>Feliz</v>
      </c>
      <c r="Z266" s="1" t="str">
        <f>IFERROR(__xludf.DUMMYFUNCTION("""COMPUTED_VALUE"""),"95770-000")</f>
        <v>95770-000</v>
      </c>
      <c r="AA266" s="1" t="str">
        <f>IFERROR(__xludf.DUMMYFUNCTION("""COMPUTED_VALUE"""),"Rua Bom Fim/SN")</f>
        <v>Rua Bom Fim/SN</v>
      </c>
      <c r="AB266" s="1" t="str">
        <f>IFERROR(__xludf.DUMMYFUNCTION("""COMPUTED_VALUE"""),"Bom Fim")</f>
        <v>Bom Fim</v>
      </c>
      <c r="AC266" s="1" t="str">
        <f>IFERROR(__xludf.DUMMYFUNCTION("""COMPUTED_VALUE"""),"P")</f>
        <v>P</v>
      </c>
      <c r="AD266" s="1" t="str">
        <f>IFERROR(__xludf.DUMMYFUNCTION("""COMPUTED_VALUE"""),"P")</f>
        <v>P</v>
      </c>
      <c r="AE266" s="1" t="str">
        <f>IFERROR(__xludf.DUMMYFUNCTION("""COMPUTED_VALUE"""),"P")</f>
        <v>P</v>
      </c>
      <c r="AF266" s="1" t="str">
        <f>IFERROR(__xludf.DUMMYFUNCTION("""COMPUTED_VALUE"""),"P")</f>
        <v>P</v>
      </c>
      <c r="AG266" s="1" t="str">
        <f>IFERROR(__xludf.DUMMYFUNCTION("""COMPUTED_VALUE"""),"P")</f>
        <v>P</v>
      </c>
      <c r="AH266" s="1">
        <f>IFERROR(__xludf.DUMMYFUNCTION("""COMPUTED_VALUE"""),35)</f>
        <v>35</v>
      </c>
      <c r="AI266" s="1">
        <f>IFERROR(__xludf.DUMMYFUNCTION("""COMPUTED_VALUE"""),35)</f>
        <v>35</v>
      </c>
      <c r="AJ266" s="1">
        <f>IFERROR(__xludf.DUMMYFUNCTION("""COMPUTED_VALUE"""),35)</f>
        <v>35</v>
      </c>
      <c r="AK266" s="1">
        <f>IFERROR(__xludf.DUMMYFUNCTION("""COMPUTED_VALUE"""),35)</f>
        <v>35</v>
      </c>
      <c r="AL266" s="1" t="str">
        <f>IFERROR(__xludf.DUMMYFUNCTION("""COMPUTED_VALUE"""),"P")</f>
        <v>P</v>
      </c>
      <c r="AM266" s="1" t="str">
        <f>IFERROR(__xludf.DUMMYFUNCTION("""COMPUTED_VALUE"""),"P")</f>
        <v>P</v>
      </c>
      <c r="AN266" s="1" t="str">
        <f>IFERROR(__xludf.DUMMYFUNCTION("""COMPUTED_VALUE"""),"P")</f>
        <v>P</v>
      </c>
    </row>
    <row r="267" customHeight="1" spans="1:40">
      <c r="A267" s="1" t="str">
        <f>IFERROR(__xludf.DUMMYFUNCTION("""COMPUTED_VALUE"""),"05° BBM")</f>
        <v>05° BBM</v>
      </c>
      <c r="B267" s="1" t="str">
        <f>IFERROR(__xludf.DUMMYFUNCTION("""COMPUTED_VALUE"""),"Feliz")</f>
        <v>Feliz</v>
      </c>
      <c r="C267" s="119" t="str">
        <f>IFERROR(__xludf.DUMMYFUNCTION("""COMPUTED_VALUE"""),"CAB")</f>
        <v>CAB</v>
      </c>
      <c r="D267" s="1" t="str">
        <f>IFERROR(__xludf.DUMMYFUNCTION("""COMPUTED_VALUE"""),"ANDERSON COLOMBO")</f>
        <v>ANDERSON COLOMBO</v>
      </c>
      <c r="E267" s="119" t="str">
        <f>IFERROR(__xludf.DUMMYFUNCTION("""COMPUTED_VALUE"""),"Módulo 1 concluído")</f>
        <v>Módulo 1 concluído</v>
      </c>
      <c r="F267" s="1" t="str">
        <f>IFERROR(__xludf.DUMMYFUNCTION("""COMPUTED_VALUE"""),"035.026.210-12")</f>
        <v>035.026.210-12</v>
      </c>
      <c r="G267" s="1">
        <f>IFERROR(__xludf.DUMMYFUNCTION("""COMPUTED_VALUE"""),9099025273)</f>
        <v>9099025273</v>
      </c>
      <c r="H267" s="1" t="str">
        <f>IFERROR(__xludf.DUMMYFUNCTION("""COMPUTED_VALUE"""),"Atendente e Operador")</f>
        <v>Atendente e Operador</v>
      </c>
      <c r="I267" s="1"/>
      <c r="J267" s="1" t="str">
        <f>IFERROR(__xludf.DUMMYFUNCTION("""COMPUTED_VALUE"""),"Sim")</f>
        <v>Sim</v>
      </c>
      <c r="K267" s="1" t="str">
        <f>IFERROR(__xludf.DUMMYFUNCTION("""COMPUTED_VALUE"""),"Não")</f>
        <v>Não</v>
      </c>
      <c r="L267" s="1" t="str">
        <f>IFERROR(__xludf.DUMMYFUNCTION("""COMPUTED_VALUE"""),"O+")</f>
        <v>O+</v>
      </c>
      <c r="M267" s="1" t="str">
        <f>IFERROR(__xludf.DUMMYFUNCTION("""COMPUTED_VALUE"""),"COLOMBO")</f>
        <v>COLOMBO</v>
      </c>
      <c r="N267" s="120">
        <f>IFERROR(__xludf.DUMMYFUNCTION("""COMPUTED_VALUE"""),34662)</f>
        <v>34662</v>
      </c>
      <c r="O267" s="1" t="str">
        <f>IFERROR(__xludf.DUMMYFUNCTION("""COMPUTED_VALUE"""),"Masculino")</f>
        <v>Masculino</v>
      </c>
      <c r="P267" s="1" t="str">
        <f>IFERROR(__xludf.DUMMYFUNCTION("""COMPUTED_VALUE"""),"Branca")</f>
        <v>Branca</v>
      </c>
      <c r="Q267" s="1" t="str">
        <f>IFERROR(__xludf.DUMMYFUNCTION("""COMPUTED_VALUE"""),"Ensino Médio")</f>
        <v>Ensino Médio</v>
      </c>
      <c r="R267" s="1" t="str">
        <f>IFERROR(__xludf.DUMMYFUNCTION("""COMPUTED_VALUE"""),"anderson.colombo2010@hotmail.com")</f>
        <v>anderson.colombo2010@hotmail.com</v>
      </c>
      <c r="S267" s="1">
        <f>IFERROR(__xludf.DUMMYFUNCTION("""COMPUTED_VALUE"""),82)</f>
        <v>82</v>
      </c>
      <c r="T267" s="1" t="str">
        <f>IFERROR(__xludf.DUMMYFUNCTION("""COMPUTED_VALUE"""),"Entre 1,76m e 1,80m")</f>
        <v>Entre 1,76m e 1,80m</v>
      </c>
      <c r="U267" s="1"/>
      <c r="V267" s="1" t="str">
        <f>IFERROR(__xludf.DUMMYFUNCTION("""COMPUTED_VALUE"""),"(51)995224261")</f>
        <v>(51)995224261</v>
      </c>
      <c r="W267" s="1" t="str">
        <f>IFERROR(__xludf.DUMMYFUNCTION("""COMPUTED_VALUE"""),"(51)3637-1500")</f>
        <v>(51)3637-1500</v>
      </c>
      <c r="X267" s="1" t="str">
        <f>IFERROR(__xludf.DUMMYFUNCTION("""COMPUTED_VALUE"""),"RS")</f>
        <v>RS</v>
      </c>
      <c r="Y267" s="1" t="str">
        <f>IFERROR(__xludf.DUMMYFUNCTION("""COMPUTED_VALUE"""),"Feliz")</f>
        <v>Feliz</v>
      </c>
      <c r="Z267" s="1" t="str">
        <f>IFERROR(__xludf.DUMMYFUNCTION("""COMPUTED_VALUE"""),"95770-000")</f>
        <v>95770-000</v>
      </c>
      <c r="AA267" s="1" t="str">
        <f>IFERROR(__xludf.DUMMYFUNCTION("""COMPUTED_VALUE"""),"Rua Júlio de Castilhos, 1085")</f>
        <v>Rua Júlio de Castilhos, 1085</v>
      </c>
      <c r="AB267" s="1" t="str">
        <f>IFERROR(__xludf.DUMMYFUNCTION("""COMPUTED_VALUE"""),"Matiel")</f>
        <v>Matiel</v>
      </c>
      <c r="AC267" s="1" t="str">
        <f>IFERROR(__xludf.DUMMYFUNCTION("""COMPUTED_VALUE"""),"M")</f>
        <v>M</v>
      </c>
      <c r="AD267" s="1" t="str">
        <f>IFERROR(__xludf.DUMMYFUNCTION("""COMPUTED_VALUE"""),"M")</f>
        <v>M</v>
      </c>
      <c r="AE267" s="1" t="str">
        <f>IFERROR(__xludf.DUMMYFUNCTION("""COMPUTED_VALUE"""),"M")</f>
        <v>M</v>
      </c>
      <c r="AF267" s="1" t="str">
        <f>IFERROR(__xludf.DUMMYFUNCTION("""COMPUTED_VALUE"""),"M")</f>
        <v>M</v>
      </c>
      <c r="AG267" s="1" t="str">
        <f>IFERROR(__xludf.DUMMYFUNCTION("""COMPUTED_VALUE"""),"M")</f>
        <v>M</v>
      </c>
      <c r="AH267" s="1">
        <f>IFERROR(__xludf.DUMMYFUNCTION("""COMPUTED_VALUE"""),41)</f>
        <v>41</v>
      </c>
      <c r="AI267" s="1">
        <f>IFERROR(__xludf.DUMMYFUNCTION("""COMPUTED_VALUE"""),41)</f>
        <v>41</v>
      </c>
      <c r="AJ267" s="1">
        <f>IFERROR(__xludf.DUMMYFUNCTION("""COMPUTED_VALUE"""),41)</f>
        <v>41</v>
      </c>
      <c r="AK267" s="1">
        <f>IFERROR(__xludf.DUMMYFUNCTION("""COMPUTED_VALUE"""),41)</f>
        <v>41</v>
      </c>
      <c r="AL267" s="1" t="str">
        <f>IFERROR(__xludf.DUMMYFUNCTION("""COMPUTED_VALUE"""),"M")</f>
        <v>M</v>
      </c>
      <c r="AM267" s="1" t="str">
        <f>IFERROR(__xludf.DUMMYFUNCTION("""COMPUTED_VALUE"""),"M")</f>
        <v>M</v>
      </c>
      <c r="AN267" s="1" t="str">
        <f>IFERROR(__xludf.DUMMYFUNCTION("""COMPUTED_VALUE"""),"P")</f>
        <v>P</v>
      </c>
    </row>
    <row r="268" customHeight="1" spans="1:40">
      <c r="A268" s="1"/>
      <c r="B268" s="1"/>
      <c r="C268" s="119"/>
      <c r="D268" s="1" t="str">
        <f>IFERROR(__xludf.DUMMYFUNCTION("""COMPUTED_VALUE"""),"ANDRÉ ISOPPO")</f>
        <v>ANDRÉ ISOPPO</v>
      </c>
      <c r="E268" s="1" t="str">
        <f>IFERROR(__xludf.DUMMYFUNCTION("""COMPUTED_VALUE"""),"Módulo 1 concluído")</f>
        <v>Módulo 1 concluído</v>
      </c>
      <c r="F268" s="1" t="str">
        <f>IFERROR(__xludf.DUMMYFUNCTION("""COMPUTED_VALUE"""),"952.674.090-49")</f>
        <v>952.674.090-49</v>
      </c>
      <c r="G268" s="1"/>
      <c r="H268" s="1"/>
      <c r="I268" s="1"/>
      <c r="J268" s="1"/>
      <c r="K268" s="1"/>
      <c r="L268" s="1"/>
      <c r="M268" s="1"/>
      <c r="N268" s="120"/>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row>
    <row r="269" customHeight="1" spans="1:40">
      <c r="A269" s="1"/>
      <c r="B269" s="1"/>
      <c r="C269" s="119"/>
      <c r="D269" s="1" t="str">
        <f>IFERROR(__xludf.DUMMYFUNCTION("""COMPUTED_VALUE"""),"ANGELA MACHADO RIBEIRO")</f>
        <v>ANGELA MACHADO RIBEIRO</v>
      </c>
      <c r="E269" s="1" t="str">
        <f>IFERROR(__xludf.DUMMYFUNCTION("""COMPUTED_VALUE"""),"Módulo 1 concluído")</f>
        <v>Módulo 1 concluído</v>
      </c>
      <c r="F269" s="1" t="str">
        <f>IFERROR(__xludf.DUMMYFUNCTION("""COMPUTED_VALUE"""),"025.415.630-43")</f>
        <v>025.415.630-43</v>
      </c>
      <c r="G269" s="1"/>
      <c r="H269" s="1"/>
      <c r="I269" s="1"/>
      <c r="J269" s="1"/>
      <c r="K269" s="1"/>
      <c r="L269" s="1"/>
      <c r="M269" s="1"/>
      <c r="N269" s="120"/>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row>
    <row r="270" customHeight="1" spans="1:40">
      <c r="A270" s="1" t="str">
        <f>IFERROR(__xludf.DUMMYFUNCTION("""COMPUTED_VALUE"""),"05° BBM")</f>
        <v>05° BBM</v>
      </c>
      <c r="B270" s="1" t="str">
        <f>IFERROR(__xludf.DUMMYFUNCTION("""COMPUTED_VALUE"""),"VACARIA/MUITOS CAPÕES")</f>
        <v>VACARIA/MUITOS CAPÕES</v>
      </c>
      <c r="C270" s="119" t="str">
        <f>IFERROR(__xludf.DUMMYFUNCTION("""COMPUTED_VALUE"""),"Municipal")</f>
        <v>Municipal</v>
      </c>
      <c r="D270" s="1" t="str">
        <f>IFERROR(__xludf.DUMMYFUNCTION("""COMPUTED_VALUE"""),"ANTONIO CARLOS VIEIRA DE MELO")</f>
        <v>ANTONIO CARLOS VIEIRA DE MELO</v>
      </c>
      <c r="E270" s="119" t="str">
        <f>IFERROR(__xludf.DUMMYFUNCTION("""COMPUTED_VALUE"""),"")</f>
        <v/>
      </c>
      <c r="F270" s="1" t="str">
        <f>IFERROR(__xludf.DUMMYFUNCTION("""COMPUTED_VALUE"""),"661.504.000-00")</f>
        <v>661.504.000-00</v>
      </c>
      <c r="G270" s="1">
        <f>IFERROR(__xludf.DUMMYFUNCTION("""COMPUTED_VALUE"""),9058379141)</f>
        <v>9058379141</v>
      </c>
      <c r="H270" s="1" t="str">
        <f>IFERROR(__xludf.DUMMYFUNCTION("""COMPUTED_VALUE"""),"COMBATENTE-MOTORISTA")</f>
        <v>COMBATENTE-MOTORISTA</v>
      </c>
      <c r="I270" s="1" t="str">
        <f>IFERROR(__xludf.DUMMYFUNCTION("""COMPUTED_VALUE"""),"Cursos CETCP, CETVE e Técnico em eletromecânica")</f>
        <v>Cursos CETCP, CETVE e Técnico em eletromecânica</v>
      </c>
      <c r="J270" s="1" t="str">
        <f>IFERROR(__xludf.DUMMYFUNCTION("""COMPUTED_VALUE"""),"Não")</f>
        <v>Não</v>
      </c>
      <c r="K270" s="1" t="str">
        <f>IFERROR(__xludf.DUMMYFUNCTION("""COMPUTED_VALUE"""),"Não")</f>
        <v>Não</v>
      </c>
      <c r="L270" s="1" t="str">
        <f>IFERROR(__xludf.DUMMYFUNCTION("""COMPUTED_VALUE"""),"O+")</f>
        <v>O+</v>
      </c>
      <c r="M270" s="1" t="str">
        <f>IFERROR(__xludf.DUMMYFUNCTION("""COMPUTED_VALUE"""),"ANTONIO MELO")</f>
        <v>ANTONIO MELO</v>
      </c>
      <c r="N270" s="120">
        <f>IFERROR(__xludf.DUMMYFUNCTION("""COMPUTED_VALUE"""),26786)</f>
        <v>26786</v>
      </c>
      <c r="O270" s="1" t="str">
        <f>IFERROR(__xludf.DUMMYFUNCTION("""COMPUTED_VALUE"""),"Masculino")</f>
        <v>Masculino</v>
      </c>
      <c r="P270" s="1" t="str">
        <f>IFERROR(__xludf.DUMMYFUNCTION("""COMPUTED_VALUE"""),"Branca")</f>
        <v>Branca</v>
      </c>
      <c r="Q270" s="1" t="str">
        <f>IFERROR(__xludf.DUMMYFUNCTION("""COMPUTED_VALUE"""),"Ensino Médio")</f>
        <v>Ensino Médio</v>
      </c>
      <c r="R270" s="1" t="str">
        <f>IFERROR(__xludf.DUMMYFUNCTION("""COMPUTED_VALUE"""),"Juliasmelo24@gmail.com")</f>
        <v>Juliasmelo24@gmail.com</v>
      </c>
      <c r="S270" s="1">
        <f>IFERROR(__xludf.DUMMYFUNCTION("""COMPUTED_VALUE"""),85)</f>
        <v>85</v>
      </c>
      <c r="T270" s="1" t="str">
        <f>IFERROR(__xludf.DUMMYFUNCTION("""COMPUTED_VALUE"""),"Entre 1,76m e 1,80m")</f>
        <v>Entre 1,76m e 1,80m</v>
      </c>
      <c r="U270" s="1"/>
      <c r="V270" s="1" t="str">
        <f>IFERROR(__xludf.DUMMYFUNCTION("""COMPUTED_VALUE"""),"54 999178164")</f>
        <v>54 999178164</v>
      </c>
      <c r="W270" s="1" t="str">
        <f>IFERROR(__xludf.DUMMYFUNCTION("""COMPUTED_VALUE"""),"54 999993585")</f>
        <v>54 999993585</v>
      </c>
      <c r="X270" s="1" t="str">
        <f>IFERROR(__xludf.DUMMYFUNCTION("""COMPUTED_VALUE"""),"RS")</f>
        <v>RS</v>
      </c>
      <c r="Y270" s="1" t="str">
        <f>IFERROR(__xludf.DUMMYFUNCTION("""COMPUTED_VALUE"""),"Muitos Capões")</f>
        <v>Muitos Capões</v>
      </c>
      <c r="Z270" s="1" t="str">
        <f>IFERROR(__xludf.DUMMYFUNCTION("""COMPUTED_VALUE"""),"95230-000")</f>
        <v>95230-000</v>
      </c>
      <c r="AA270" s="1" t="str">
        <f>IFERROR(__xludf.DUMMYFUNCTION("""COMPUTED_VALUE"""),"Rua Elton Luís Osório, n 69")</f>
        <v>Rua Elton Luís Osório, n 69</v>
      </c>
      <c r="AB270" s="1" t="str">
        <f>IFERROR(__xludf.DUMMYFUNCTION("""COMPUTED_VALUE"""),"CENTRO")</f>
        <v>CENTRO</v>
      </c>
      <c r="AC270" s="1" t="str">
        <f>IFERROR(__xludf.DUMMYFUNCTION("""COMPUTED_VALUE"""),"GG")</f>
        <v>GG</v>
      </c>
      <c r="AD270" s="1" t="str">
        <f>IFERROR(__xludf.DUMMYFUNCTION("""COMPUTED_VALUE"""),"GG")</f>
        <v>GG</v>
      </c>
      <c r="AE270" s="1" t="str">
        <f>IFERROR(__xludf.DUMMYFUNCTION("""COMPUTED_VALUE"""),"G")</f>
        <v>G</v>
      </c>
      <c r="AF270" s="1" t="str">
        <f>IFERROR(__xludf.DUMMYFUNCTION("""COMPUTED_VALUE"""),"G")</f>
        <v>G</v>
      </c>
      <c r="AG270" s="1" t="str">
        <f>IFERROR(__xludf.DUMMYFUNCTION("""COMPUTED_VALUE"""),"GG")</f>
        <v>GG</v>
      </c>
      <c r="AH270" s="1">
        <f>IFERROR(__xludf.DUMMYFUNCTION("""COMPUTED_VALUE"""),41)</f>
        <v>41</v>
      </c>
      <c r="AI270" s="1">
        <f>IFERROR(__xludf.DUMMYFUNCTION("""COMPUTED_VALUE"""),41)</f>
        <v>41</v>
      </c>
      <c r="AJ270" s="1">
        <f>IFERROR(__xludf.DUMMYFUNCTION("""COMPUTED_VALUE"""),41)</f>
        <v>41</v>
      </c>
      <c r="AK270" s="1">
        <f>IFERROR(__xludf.DUMMYFUNCTION("""COMPUTED_VALUE"""),41)</f>
        <v>41</v>
      </c>
      <c r="AL270" s="1" t="str">
        <f>IFERROR(__xludf.DUMMYFUNCTION("""COMPUTED_VALUE"""),"GG")</f>
        <v>GG</v>
      </c>
      <c r="AM270" s="1" t="str">
        <f>IFERROR(__xludf.DUMMYFUNCTION("""COMPUTED_VALUE"""),"G")</f>
        <v>G</v>
      </c>
      <c r="AN270" s="1" t="str">
        <f>IFERROR(__xludf.DUMMYFUNCTION("""COMPUTED_VALUE"""),"G")</f>
        <v>G</v>
      </c>
    </row>
    <row r="271" customHeight="1" spans="1:40">
      <c r="A271" s="1" t="str">
        <f>IFERROR(__xludf.DUMMYFUNCTION("""COMPUTED_VALUE"""),"05° BBM")</f>
        <v>05° BBM</v>
      </c>
      <c r="B271" s="1" t="str">
        <f>IFERROR(__xludf.DUMMYFUNCTION("""COMPUTED_VALUE"""),"Feliz")</f>
        <v>Feliz</v>
      </c>
      <c r="C271" s="119" t="str">
        <f>IFERROR(__xludf.DUMMYFUNCTION("""COMPUTED_VALUE"""),"CAB")</f>
        <v>CAB</v>
      </c>
      <c r="D271" s="1" t="str">
        <f>IFERROR(__xludf.DUMMYFUNCTION("""COMPUTED_VALUE"""),"BIANCA MARIA RAUBER CABRAL")</f>
        <v>BIANCA MARIA RAUBER CABRAL</v>
      </c>
      <c r="E271" s="119" t="str">
        <f>IFERROR(__xludf.DUMMYFUNCTION("""COMPUTED_VALUE"""),"Módulo 1 concluído")</f>
        <v>Módulo 1 concluído</v>
      </c>
      <c r="F271" s="1" t="str">
        <f>IFERROR(__xludf.DUMMYFUNCTION("""COMPUTED_VALUE"""),"038.552.610-59")</f>
        <v>038.552.610-59</v>
      </c>
      <c r="G271" s="1">
        <f>IFERROR(__xludf.DUMMYFUNCTION("""COMPUTED_VALUE"""),1114018731)</f>
        <v>1114018731</v>
      </c>
      <c r="H271" s="1" t="str">
        <f>IFERROR(__xludf.DUMMYFUNCTION("""COMPUTED_VALUE"""),"Atendente e Operador")</f>
        <v>Atendente e Operador</v>
      </c>
      <c r="I271" s="1"/>
      <c r="J271" s="1" t="str">
        <f>IFERROR(__xludf.DUMMYFUNCTION("""COMPUTED_VALUE"""),"Sim")</f>
        <v>Sim</v>
      </c>
      <c r="K271" s="1" t="str">
        <f>IFERROR(__xludf.DUMMYFUNCTION("""COMPUTED_VALUE"""),"Não")</f>
        <v>Não</v>
      </c>
      <c r="L271" s="1" t="str">
        <f>IFERROR(__xludf.DUMMYFUNCTION("""COMPUTED_VALUE"""),"O+")</f>
        <v>O+</v>
      </c>
      <c r="M271" s="1" t="str">
        <f>IFERROR(__xludf.DUMMYFUNCTION("""COMPUTED_VALUE"""),"BIANCA")</f>
        <v>BIANCA</v>
      </c>
      <c r="N271" s="120">
        <f>IFERROR(__xludf.DUMMYFUNCTION("""COMPUTED_VALUE"""),34715)</f>
        <v>34715</v>
      </c>
      <c r="O271" s="1" t="str">
        <f>IFERROR(__xludf.DUMMYFUNCTION("""COMPUTED_VALUE"""),"Feminino")</f>
        <v>Feminino</v>
      </c>
      <c r="P271" s="1" t="str">
        <f>IFERROR(__xludf.DUMMYFUNCTION("""COMPUTED_VALUE"""),"Branca")</f>
        <v>Branca</v>
      </c>
      <c r="Q271" s="1" t="str">
        <f>IFERROR(__xludf.DUMMYFUNCTION("""COMPUTED_VALUE"""),"Superior Completo")</f>
        <v>Superior Completo</v>
      </c>
      <c r="R271" s="1" t="str">
        <f>IFERROR(__xludf.DUMMYFUNCTION("""COMPUTED_VALUE"""),"biah-np@hotmail.com")</f>
        <v>biah-np@hotmail.com</v>
      </c>
      <c r="S271" s="1">
        <f>IFERROR(__xludf.DUMMYFUNCTION("""COMPUTED_VALUE"""),58)</f>
        <v>58</v>
      </c>
      <c r="T271" s="1" t="str">
        <f>IFERROR(__xludf.DUMMYFUNCTION("""COMPUTED_VALUE"""),"Entre 1,61m e 1,65m")</f>
        <v>Entre 1,61m e 1,65m</v>
      </c>
      <c r="U271" s="1"/>
      <c r="V271" s="1" t="str">
        <f>IFERROR(__xludf.DUMMYFUNCTION("""COMPUTED_VALUE"""),"(51)997604550")</f>
        <v>(51)997604550</v>
      </c>
      <c r="W271" s="1" t="str">
        <f>IFERROR(__xludf.DUMMYFUNCTION("""COMPUTED_VALUE"""),"(51)3637-1500")</f>
        <v>(51)3637-1500</v>
      </c>
      <c r="X271" s="1" t="str">
        <f>IFERROR(__xludf.DUMMYFUNCTION("""COMPUTED_VALUE"""),"RS")</f>
        <v>RS</v>
      </c>
      <c r="Y271" s="1" t="str">
        <f>IFERROR(__xludf.DUMMYFUNCTION("""COMPUTED_VALUE"""),"Feliz")</f>
        <v>Feliz</v>
      </c>
      <c r="Z271" s="1" t="str">
        <f>IFERROR(__xludf.DUMMYFUNCTION("""COMPUTED_VALUE"""),"95770-000")</f>
        <v>95770-000</v>
      </c>
      <c r="AA271" s="1" t="str">
        <f>IFERROR(__xludf.DUMMYFUNCTION("""COMPUTED_VALUE"""),"Rua Lepoldo carlos Luft, 225")</f>
        <v>Rua Lepoldo carlos Luft, 225</v>
      </c>
      <c r="AB271" s="1" t="str">
        <f>IFERROR(__xludf.DUMMYFUNCTION("""COMPUTED_VALUE"""),"Centro")</f>
        <v>Centro</v>
      </c>
      <c r="AC271" s="1" t="str">
        <f>IFERROR(__xludf.DUMMYFUNCTION("""COMPUTED_VALUE"""),"P")</f>
        <v>P</v>
      </c>
      <c r="AD271" s="1" t="str">
        <f>IFERROR(__xludf.DUMMYFUNCTION("""COMPUTED_VALUE"""),"P")</f>
        <v>P</v>
      </c>
      <c r="AE271" s="1" t="str">
        <f>IFERROR(__xludf.DUMMYFUNCTION("""COMPUTED_VALUE"""),"M")</f>
        <v>M</v>
      </c>
      <c r="AF271" s="1" t="str">
        <f>IFERROR(__xludf.DUMMYFUNCTION("""COMPUTED_VALUE"""),"M")</f>
        <v>M</v>
      </c>
      <c r="AG271" s="1" t="str">
        <f>IFERROR(__xludf.DUMMYFUNCTION("""COMPUTED_VALUE"""),"P")</f>
        <v>P</v>
      </c>
      <c r="AH271" s="1">
        <f>IFERROR(__xludf.DUMMYFUNCTION("""COMPUTED_VALUE"""),37)</f>
        <v>37</v>
      </c>
      <c r="AI271" s="1">
        <f>IFERROR(__xludf.DUMMYFUNCTION("""COMPUTED_VALUE"""),37)</f>
        <v>37</v>
      </c>
      <c r="AJ271" s="1">
        <f>IFERROR(__xludf.DUMMYFUNCTION("""COMPUTED_VALUE"""),37)</f>
        <v>37</v>
      </c>
      <c r="AK271" s="1">
        <f>IFERROR(__xludf.DUMMYFUNCTION("""COMPUTED_VALUE"""),37)</f>
        <v>37</v>
      </c>
      <c r="AL271" s="1" t="str">
        <f>IFERROR(__xludf.DUMMYFUNCTION("""COMPUTED_VALUE"""),"P")</f>
        <v>P</v>
      </c>
      <c r="AM271" s="1" t="str">
        <f>IFERROR(__xludf.DUMMYFUNCTION("""COMPUTED_VALUE"""),"P")</f>
        <v>P</v>
      </c>
      <c r="AN271" s="1" t="str">
        <f>IFERROR(__xludf.DUMMYFUNCTION("""COMPUTED_VALUE"""),"P")</f>
        <v>P</v>
      </c>
    </row>
    <row r="272" customHeight="1" spans="1:40">
      <c r="A272" s="1"/>
      <c r="B272" s="1"/>
      <c r="C272" s="119"/>
      <c r="D272" s="1" t="str">
        <f>IFERROR(__xludf.DUMMYFUNCTION("""COMPUTED_VALUE"""),"CAMILA FELICETTI")</f>
        <v>CAMILA FELICETTI</v>
      </c>
      <c r="E272" s="1" t="str">
        <f>IFERROR(__xludf.DUMMYFUNCTION("""COMPUTED_VALUE"""),"Módulo 1 concluído")</f>
        <v>Módulo 1 concluído</v>
      </c>
      <c r="F272" s="1" t="str">
        <f>IFERROR(__xludf.DUMMYFUNCTION("""COMPUTED_VALUE"""),"017.918.150-57")</f>
        <v>017.918.150-57</v>
      </c>
      <c r="G272" s="1"/>
      <c r="H272" s="1"/>
      <c r="I272" s="1"/>
      <c r="J272" s="1"/>
      <c r="K272" s="1"/>
      <c r="L272" s="1"/>
      <c r="M272" s="1"/>
      <c r="N272" s="120"/>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row>
    <row r="273" customHeight="1" spans="1:40">
      <c r="A273" s="1"/>
      <c r="B273" s="1"/>
      <c r="C273" s="119"/>
      <c r="D273" s="1" t="str">
        <f>IFERROR(__xludf.DUMMYFUNCTION("""COMPUTED_VALUE"""),"CARLA ADRIANA DE OLIVEIRA LISBOA")</f>
        <v>CARLA ADRIANA DE OLIVEIRA LISBOA</v>
      </c>
      <c r="E273" s="1" t="str">
        <f>IFERROR(__xludf.DUMMYFUNCTION("""COMPUTED_VALUE"""),"Módulo 1 concluído")</f>
        <v>Módulo 1 concluído</v>
      </c>
      <c r="F273" s="1" t="str">
        <f>IFERROR(__xludf.DUMMYFUNCTION("""COMPUTED_VALUE"""),"809.514.900-44")</f>
        <v>809.514.900-44</v>
      </c>
      <c r="G273" s="1"/>
      <c r="H273" s="1"/>
      <c r="I273" s="1"/>
      <c r="J273" s="1"/>
      <c r="K273" s="1"/>
      <c r="L273" s="1"/>
      <c r="M273" s="1"/>
      <c r="N273" s="120"/>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row>
    <row r="274" customHeight="1" spans="1:40">
      <c r="A274" s="1" t="str">
        <f>IFERROR(__xludf.DUMMYFUNCTION("""COMPUTED_VALUE"""),"05° BBM")</f>
        <v>05° BBM</v>
      </c>
      <c r="B274" s="1" t="str">
        <f>IFERROR(__xludf.DUMMYFUNCTION("""COMPUTED_VALUE"""),"VACARIA/MUITOS CAPÕES")</f>
        <v>VACARIA/MUITOS CAPÕES</v>
      </c>
      <c r="C274" s="119" t="str">
        <f>IFERROR(__xludf.DUMMYFUNCTION("""COMPUTED_VALUE"""),"Municipal")</f>
        <v>Municipal</v>
      </c>
      <c r="D274" s="1" t="str">
        <f>IFERROR(__xludf.DUMMYFUNCTION("""COMPUTED_VALUE"""),"CATIA CHAGAS")</f>
        <v>CATIA CHAGAS</v>
      </c>
      <c r="E274" s="119" t="str">
        <f>IFERROR(__xludf.DUMMYFUNCTION("""COMPUTED_VALUE"""),"")</f>
        <v/>
      </c>
      <c r="F274" s="1">
        <f>IFERROR(__xludf.DUMMYFUNCTION("""COMPUTED_VALUE"""),203825030)</f>
        <v>203825030</v>
      </c>
      <c r="G274" s="1">
        <f>IFERROR(__xludf.DUMMYFUNCTION("""COMPUTED_VALUE"""),5079756473)</f>
        <v>5079756473</v>
      </c>
      <c r="H274" s="1" t="str">
        <f>IFERROR(__xludf.DUMMYFUNCTION("""COMPUTED_VALUE"""),"COMBATENTE")</f>
        <v>COMBATENTE</v>
      </c>
      <c r="I274" s="1" t="str">
        <f>IFERROR(__xludf.DUMMYFUNCTION("""COMPUTED_VALUE"""),"ENSINO SUPERIOR COMPLETO")</f>
        <v>ENSINO SUPERIOR COMPLETO</v>
      </c>
      <c r="J274" s="1" t="str">
        <f>IFERROR(__xludf.DUMMYFUNCTION("""COMPUTED_VALUE"""),"Sim")</f>
        <v>Sim</v>
      </c>
      <c r="K274" s="1" t="str">
        <f>IFERROR(__xludf.DUMMYFUNCTION("""COMPUTED_VALUE"""),"Não")</f>
        <v>Não</v>
      </c>
      <c r="L274" s="1" t="str">
        <f>IFERROR(__xludf.DUMMYFUNCTION("""COMPUTED_VALUE"""),"B+")</f>
        <v>B+</v>
      </c>
      <c r="M274" s="1" t="str">
        <f>IFERROR(__xludf.DUMMYFUNCTION("""COMPUTED_VALUE"""),"CATIA")</f>
        <v>CATIA</v>
      </c>
      <c r="N274" s="120">
        <f>IFERROR(__xludf.DUMMYFUNCTION("""COMPUTED_VALUE"""),30189)</f>
        <v>30189</v>
      </c>
      <c r="O274" s="1" t="str">
        <f>IFERROR(__xludf.DUMMYFUNCTION("""COMPUTED_VALUE"""),"Feminino")</f>
        <v>Feminino</v>
      </c>
      <c r="P274" s="1" t="str">
        <f>IFERROR(__xludf.DUMMYFUNCTION("""COMPUTED_VALUE"""),"Branca")</f>
        <v>Branca</v>
      </c>
      <c r="Q274" s="1" t="str">
        <f>IFERROR(__xludf.DUMMYFUNCTION("""COMPUTED_VALUE"""),"Ensino Superior Completo")</f>
        <v>Ensino Superior Completo</v>
      </c>
      <c r="R274" s="1" t="str">
        <f>IFERROR(__xludf.DUMMYFUNCTION("""COMPUTED_VALUE"""),"secado@muitoscapoes.rs.gov.br")</f>
        <v>secado@muitoscapoes.rs.gov.br</v>
      </c>
      <c r="S274" s="1">
        <f>IFERROR(__xludf.DUMMYFUNCTION("""COMPUTED_VALUE"""),67)</f>
        <v>67</v>
      </c>
      <c r="T274" s="1" t="str">
        <f>IFERROR(__xludf.DUMMYFUNCTION("""COMPUTED_VALUE"""),"Entre 1,61m e 1,65m")</f>
        <v>Entre 1,61m e 1,65m</v>
      </c>
      <c r="U274" s="1"/>
      <c r="V274" s="1" t="str">
        <f>IFERROR(__xludf.DUMMYFUNCTION("""COMPUTED_VALUE"""),"54 999178123")</f>
        <v>54 999178123</v>
      </c>
      <c r="W274" s="1" t="str">
        <f>IFERROR(__xludf.DUMMYFUNCTION("""COMPUTED_VALUE"""),"54 999432495")</f>
        <v>54 999432495</v>
      </c>
      <c r="X274" s="1" t="str">
        <f>IFERROR(__xludf.DUMMYFUNCTION("""COMPUTED_VALUE"""),"RS")</f>
        <v>RS</v>
      </c>
      <c r="Y274" s="1" t="str">
        <f>IFERROR(__xludf.DUMMYFUNCTION("""COMPUTED_VALUE"""),"Muitos Capões")</f>
        <v>Muitos Capões</v>
      </c>
      <c r="Z274" s="1" t="str">
        <f>IFERROR(__xludf.DUMMYFUNCTION("""COMPUTED_VALUE"""),"95230-000")</f>
        <v>95230-000</v>
      </c>
      <c r="AA274" s="1" t="str">
        <f>IFERROR(__xludf.DUMMYFUNCTION("""COMPUTED_VALUE"""),"Emílio Tschoepk 255")</f>
        <v>Emílio Tschoepk 255</v>
      </c>
      <c r="AB274" s="1" t="str">
        <f>IFERROR(__xludf.DUMMYFUNCTION("""COMPUTED_VALUE"""),"CENTRO")</f>
        <v>CENTRO</v>
      </c>
      <c r="AC274" s="1" t="str">
        <f>IFERROR(__xludf.DUMMYFUNCTION("""COMPUTED_VALUE"""),"M")</f>
        <v>M</v>
      </c>
      <c r="AD274" s="1" t="str">
        <f>IFERROR(__xludf.DUMMYFUNCTION("""COMPUTED_VALUE"""),"M")</f>
        <v>M</v>
      </c>
      <c r="AE274" s="1" t="str">
        <f>IFERROR(__xludf.DUMMYFUNCTION("""COMPUTED_VALUE"""),"M")</f>
        <v>M</v>
      </c>
      <c r="AF274" s="1" t="str">
        <f>IFERROR(__xludf.DUMMYFUNCTION("""COMPUTED_VALUE"""),"M")</f>
        <v>M</v>
      </c>
      <c r="AG274" s="1" t="str">
        <f>IFERROR(__xludf.DUMMYFUNCTION("""COMPUTED_VALUE"""),"M")</f>
        <v>M</v>
      </c>
      <c r="AH274" s="1">
        <f>IFERROR(__xludf.DUMMYFUNCTION("""COMPUTED_VALUE"""),36)</f>
        <v>36</v>
      </c>
      <c r="AI274" s="1">
        <f>IFERROR(__xludf.DUMMYFUNCTION("""COMPUTED_VALUE"""),36)</f>
        <v>36</v>
      </c>
      <c r="AJ274" s="1">
        <f>IFERROR(__xludf.DUMMYFUNCTION("""COMPUTED_VALUE"""),36)</f>
        <v>36</v>
      </c>
      <c r="AK274" s="1">
        <f>IFERROR(__xludf.DUMMYFUNCTION("""COMPUTED_VALUE"""),36)</f>
        <v>36</v>
      </c>
      <c r="AL274" s="1" t="str">
        <f>IFERROR(__xludf.DUMMYFUNCTION("""COMPUTED_VALUE"""),"M")</f>
        <v>M</v>
      </c>
      <c r="AM274" s="1" t="str">
        <f>IFERROR(__xludf.DUMMYFUNCTION("""COMPUTED_VALUE"""),"M")</f>
        <v>M</v>
      </c>
      <c r="AN274" s="1" t="str">
        <f>IFERROR(__xludf.DUMMYFUNCTION("""COMPUTED_VALUE"""),"M")</f>
        <v>M</v>
      </c>
    </row>
    <row r="275" customHeight="1" spans="1:40">
      <c r="A275" s="1"/>
      <c r="B275" s="1"/>
      <c r="C275" s="119"/>
      <c r="D275" s="1" t="str">
        <f>IFERROR(__xludf.DUMMYFUNCTION("""COMPUTED_VALUE"""),"CATIA MALVINA APARECIDA DAS CHAGAS")</f>
        <v>CATIA MALVINA APARECIDA DAS CHAGAS</v>
      </c>
      <c r="E275" s="1" t="str">
        <f>IFERROR(__xludf.DUMMYFUNCTION("""COMPUTED_VALUE"""),"Módulo 1 concluído")</f>
        <v>Módulo 1 concluído</v>
      </c>
      <c r="F275" s="1" t="str">
        <f>IFERROR(__xludf.DUMMYFUNCTION("""COMPUTED_VALUE"""),"002.038.250-20")</f>
        <v>002.038.250-20</v>
      </c>
      <c r="G275" s="1"/>
      <c r="H275" s="1"/>
      <c r="I275" s="1"/>
      <c r="J275" s="1"/>
      <c r="K275" s="1"/>
      <c r="L275" s="1"/>
      <c r="M275" s="1"/>
      <c r="N275" s="120"/>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row>
    <row r="276" customHeight="1" spans="1:40">
      <c r="A276" s="1" t="str">
        <f>IFERROR(__xludf.DUMMYFUNCTION("""COMPUTED_VALUE"""),"05° BBM")</f>
        <v>05° BBM</v>
      </c>
      <c r="B276" s="1" t="str">
        <f>IFERROR(__xludf.DUMMYFUNCTION("""COMPUTED_VALUE"""),"Feliz")</f>
        <v>Feliz</v>
      </c>
      <c r="C276" s="119" t="str">
        <f>IFERROR(__xludf.DUMMYFUNCTION("""COMPUTED_VALUE"""),"CAB")</f>
        <v>CAB</v>
      </c>
      <c r="D276" s="1" t="str">
        <f>IFERROR(__xludf.DUMMYFUNCTION("""COMPUTED_VALUE"""),"CELSO NERI DE ANDRADE")</f>
        <v>CELSO NERI DE ANDRADE</v>
      </c>
      <c r="E276" s="119" t="str">
        <f>IFERROR(__xludf.DUMMYFUNCTION("""COMPUTED_VALUE"""),"Módulo 1 concluído")</f>
        <v>Módulo 1 concluído</v>
      </c>
      <c r="F276" s="1" t="str">
        <f>IFERROR(__xludf.DUMMYFUNCTION("""COMPUTED_VALUE"""),"638.010.351-15")</f>
        <v>638.010.351-15</v>
      </c>
      <c r="G276" s="1">
        <f>IFERROR(__xludf.DUMMYFUNCTION("""COMPUTED_VALUE"""),6078163935)</f>
        <v>6078163935</v>
      </c>
      <c r="H276" s="1" t="str">
        <f>IFERROR(__xludf.DUMMYFUNCTION("""COMPUTED_VALUE"""),"Atendente e Operador")</f>
        <v>Atendente e Operador</v>
      </c>
      <c r="I276" s="1"/>
      <c r="J276" s="1" t="str">
        <f>IFERROR(__xludf.DUMMYFUNCTION("""COMPUTED_VALUE"""),"Sim")</f>
        <v>Sim</v>
      </c>
      <c r="K276" s="1" t="str">
        <f>IFERROR(__xludf.DUMMYFUNCTION("""COMPUTED_VALUE"""),"Não")</f>
        <v>Não</v>
      </c>
      <c r="L276" s="1" t="str">
        <f>IFERROR(__xludf.DUMMYFUNCTION("""COMPUTED_VALUE"""),"A+")</f>
        <v>A+</v>
      </c>
      <c r="M276" s="1" t="str">
        <f>IFERROR(__xludf.DUMMYFUNCTION("""COMPUTED_VALUE"""),"CELSO")</f>
        <v>CELSO</v>
      </c>
      <c r="N276" s="120">
        <f>IFERROR(__xludf.DUMMYFUNCTION("""COMPUTED_VALUE"""),27465)</f>
        <v>27465</v>
      </c>
      <c r="O276" s="1" t="str">
        <f>IFERROR(__xludf.DUMMYFUNCTION("""COMPUTED_VALUE"""),"Masculino")</f>
        <v>Masculino</v>
      </c>
      <c r="P276" s="1" t="str">
        <f>IFERROR(__xludf.DUMMYFUNCTION("""COMPUTED_VALUE"""),"Branca")</f>
        <v>Branca</v>
      </c>
      <c r="Q276" s="1" t="str">
        <f>IFERROR(__xludf.DUMMYFUNCTION("""COMPUTED_VALUE"""),"Ensino Médio")</f>
        <v>Ensino Médio</v>
      </c>
      <c r="R276" s="1" t="str">
        <f>IFERROR(__xludf.DUMMYFUNCTION("""COMPUTED_VALUE"""),"pgotto@hotmail.com")</f>
        <v>pgotto@hotmail.com</v>
      </c>
      <c r="S276" s="1">
        <f>IFERROR(__xludf.DUMMYFUNCTION("""COMPUTED_VALUE"""),70)</f>
        <v>70</v>
      </c>
      <c r="T276" s="1" t="str">
        <f>IFERROR(__xludf.DUMMYFUNCTION("""COMPUTED_VALUE"""),"Entre 1,81m e 1,85m")</f>
        <v>Entre 1,81m e 1,85m</v>
      </c>
      <c r="U276" s="1"/>
      <c r="V276" s="1" t="str">
        <f>IFERROR(__xludf.DUMMYFUNCTION("""COMPUTED_VALUE"""),"(51)997803497")</f>
        <v>(51)997803497</v>
      </c>
      <c r="W276" s="1" t="str">
        <f>IFERROR(__xludf.DUMMYFUNCTION("""COMPUTED_VALUE"""),"(51)3637-1500")</f>
        <v>(51)3637-1500</v>
      </c>
      <c r="X276" s="1" t="str">
        <f>IFERROR(__xludf.DUMMYFUNCTION("""COMPUTED_VALUE"""),"RS")</f>
        <v>RS</v>
      </c>
      <c r="Y276" s="1" t="str">
        <f>IFERROR(__xludf.DUMMYFUNCTION("""COMPUTED_VALUE"""),"Feliz")</f>
        <v>Feliz</v>
      </c>
      <c r="Z276" s="1" t="str">
        <f>IFERROR(__xludf.DUMMYFUNCTION("""COMPUTED_VALUE"""),"95770-000")</f>
        <v>95770-000</v>
      </c>
      <c r="AA276" s="1" t="str">
        <f>IFERROR(__xludf.DUMMYFUNCTION("""COMPUTED_VALUE"""),"Rua Lauro Bruno Rott, SN")</f>
        <v>Rua Lauro Bruno Rott, SN</v>
      </c>
      <c r="AB276" s="1" t="str">
        <f>IFERROR(__xludf.DUMMYFUNCTION("""COMPUTED_VALUE"""),"Matiel")</f>
        <v>Matiel</v>
      </c>
      <c r="AC276" s="1" t="str">
        <f>IFERROR(__xludf.DUMMYFUNCTION("""COMPUTED_VALUE"""),"G")</f>
        <v>G</v>
      </c>
      <c r="AD276" s="1" t="str">
        <f>IFERROR(__xludf.DUMMYFUNCTION("""COMPUTED_VALUE"""),"G")</f>
        <v>G</v>
      </c>
      <c r="AE276" s="1" t="str">
        <f>IFERROR(__xludf.DUMMYFUNCTION("""COMPUTED_VALUE"""),"G")</f>
        <v>G</v>
      </c>
      <c r="AF276" s="1" t="str">
        <f>IFERROR(__xludf.DUMMYFUNCTION("""COMPUTED_VALUE"""),"G")</f>
        <v>G</v>
      </c>
      <c r="AG276" s="1" t="str">
        <f>IFERROR(__xludf.DUMMYFUNCTION("""COMPUTED_VALUE"""),"G")</f>
        <v>G</v>
      </c>
      <c r="AH276" s="1">
        <f>IFERROR(__xludf.DUMMYFUNCTION("""COMPUTED_VALUE"""),45)</f>
        <v>45</v>
      </c>
      <c r="AI276" s="1">
        <f>IFERROR(__xludf.DUMMYFUNCTION("""COMPUTED_VALUE"""),45)</f>
        <v>45</v>
      </c>
      <c r="AJ276" s="1">
        <f>IFERROR(__xludf.DUMMYFUNCTION("""COMPUTED_VALUE"""),45)</f>
        <v>45</v>
      </c>
      <c r="AK276" s="1">
        <f>IFERROR(__xludf.DUMMYFUNCTION("""COMPUTED_VALUE"""),45)</f>
        <v>45</v>
      </c>
      <c r="AL276" s="1" t="str">
        <f>IFERROR(__xludf.DUMMYFUNCTION("""COMPUTED_VALUE"""),"G")</f>
        <v>G</v>
      </c>
      <c r="AM276" s="1" t="str">
        <f>IFERROR(__xludf.DUMMYFUNCTION("""COMPUTED_VALUE"""),"G")</f>
        <v>G</v>
      </c>
      <c r="AN276" s="1" t="str">
        <f>IFERROR(__xludf.DUMMYFUNCTION("""COMPUTED_VALUE"""),"G")</f>
        <v>G</v>
      </c>
    </row>
    <row r="277" customHeight="1" spans="1:40">
      <c r="A277" s="1" t="str">
        <f>IFERROR(__xludf.DUMMYFUNCTION("""COMPUTED_VALUE"""),"05° BBM")</f>
        <v>05° BBM</v>
      </c>
      <c r="B277" s="1" t="str">
        <f>IFERROR(__xludf.DUMMYFUNCTION("""COMPUTED_VALUE"""),"Farroupilha")</f>
        <v>Farroupilha</v>
      </c>
      <c r="C277" s="119" t="str">
        <f>IFERROR(__xludf.DUMMYFUNCTION("""COMPUTED_VALUE"""),"CAB")</f>
        <v>CAB</v>
      </c>
      <c r="D277" s="1" t="str">
        <f>IFERROR(__xludf.DUMMYFUNCTION("""COMPUTED_VALUE"""),"CESAR DALZOCHIO")</f>
        <v>CESAR DALZOCHIO</v>
      </c>
      <c r="E277" s="119" t="str">
        <f>IFERROR(__xludf.DUMMYFUNCTION("""COMPUTED_VALUE"""),"Módulo 1 concluído")</f>
        <v>Módulo 1 concluído</v>
      </c>
      <c r="F277" s="1" t="str">
        <f>IFERROR(__xludf.DUMMYFUNCTION("""COMPUTED_VALUE"""),"013.406.020-24")</f>
        <v>013.406.020-24</v>
      </c>
      <c r="G277" s="1">
        <f>IFERROR(__xludf.DUMMYFUNCTION("""COMPUTED_VALUE"""),2093468847)</f>
        <v>2093468847</v>
      </c>
      <c r="H277" s="1" t="str">
        <f>IFERROR(__xludf.DUMMYFUNCTION("""COMPUTED_VALUE"""),"Atendente e Operador")</f>
        <v>Atendente e Operador</v>
      </c>
      <c r="I277" s="1"/>
      <c r="J277" s="1" t="str">
        <f>IFERROR(__xludf.DUMMYFUNCTION("""COMPUTED_VALUE"""),"Sim")</f>
        <v>Sim</v>
      </c>
      <c r="K277" s="1" t="str">
        <f>IFERROR(__xludf.DUMMYFUNCTION("""COMPUTED_VALUE"""),"Não")</f>
        <v>Não</v>
      </c>
      <c r="L277" s="1" t="str">
        <f>IFERROR(__xludf.DUMMYFUNCTION("""COMPUTED_VALUE"""),"A+")</f>
        <v>A+</v>
      </c>
      <c r="M277" s="1" t="str">
        <f>IFERROR(__xludf.DUMMYFUNCTION("""COMPUTED_VALUE"""),"DALZOCHIO")</f>
        <v>DALZOCHIO</v>
      </c>
      <c r="N277" s="120" t="str">
        <f>IFERROR(__xludf.DUMMYFUNCTION("""COMPUTED_VALUE"""),"4/26/1989")</f>
        <v>4/26/1989</v>
      </c>
      <c r="O277" s="1" t="str">
        <f>IFERROR(__xludf.DUMMYFUNCTION("""COMPUTED_VALUE"""),"Masculino")</f>
        <v>Masculino</v>
      </c>
      <c r="P277" s="1" t="str">
        <f>IFERROR(__xludf.DUMMYFUNCTION("""COMPUTED_VALUE"""),"Branca")</f>
        <v>Branca</v>
      </c>
      <c r="Q277" s="1" t="str">
        <f>IFERROR(__xludf.DUMMYFUNCTION("""COMPUTED_VALUE"""),"Ensino Superior Incompleto")</f>
        <v>Ensino Superior Incompleto</v>
      </c>
      <c r="R277" s="1" t="str">
        <f>IFERROR(__xludf.DUMMYFUNCTION("""COMPUTED_VALUE"""),"dalzochio29@gmail.com")</f>
        <v>dalzochio29@gmail.com</v>
      </c>
      <c r="S277" s="1">
        <f>IFERROR(__xludf.DUMMYFUNCTION("""COMPUTED_VALUE"""),85)</f>
        <v>85</v>
      </c>
      <c r="T277" s="1" t="str">
        <f>IFERROR(__xludf.DUMMYFUNCTION("""COMPUTED_VALUE"""),"Entre 1,71m e 1,75m")</f>
        <v>Entre 1,71m e 1,75m</v>
      </c>
      <c r="U277" s="1"/>
      <c r="V277" s="1" t="str">
        <f>IFERROR(__xludf.DUMMYFUNCTION("""COMPUTED_VALUE"""),"(54)99979-7460")</f>
        <v>(54)99979-7460</v>
      </c>
      <c r="W277" s="1" t="str">
        <f>IFERROR(__xludf.DUMMYFUNCTION("""COMPUTED_VALUE"""),"(54)99979-7460")</f>
        <v>(54)99979-7460</v>
      </c>
      <c r="X277" s="1" t="str">
        <f>IFERROR(__xludf.DUMMYFUNCTION("""COMPUTED_VALUE"""),"RS")</f>
        <v>RS</v>
      </c>
      <c r="Y277" s="1" t="str">
        <f>IFERROR(__xludf.DUMMYFUNCTION("""COMPUTED_VALUE"""),"Farroupilha")</f>
        <v>Farroupilha</v>
      </c>
      <c r="Z277" s="119" t="str">
        <f>IFERROR(__xludf.DUMMYFUNCTION("""COMPUTED_VALUE"""),"95180-314")</f>
        <v>95180-314</v>
      </c>
      <c r="AA277" s="1" t="str">
        <f>IFERROR(__xludf.DUMMYFUNCTION("""COMPUTED_VALUE"""),"Rua Basílio Chile, 26")</f>
        <v>Rua Basílio Chile, 26</v>
      </c>
      <c r="AB277" s="1" t="str">
        <f>IFERROR(__xludf.DUMMYFUNCTION("""COMPUTED_VALUE"""),"Imigrante")</f>
        <v>Imigrante</v>
      </c>
      <c r="AC277" s="1" t="str">
        <f>IFERROR(__xludf.DUMMYFUNCTION("""COMPUTED_VALUE"""),"G")</f>
        <v>G</v>
      </c>
      <c r="AD277" s="1" t="str">
        <f>IFERROR(__xludf.DUMMYFUNCTION("""COMPUTED_VALUE"""),"G")</f>
        <v>G</v>
      </c>
      <c r="AE277" s="1" t="str">
        <f>IFERROR(__xludf.DUMMYFUNCTION("""COMPUTED_VALUE"""),"G")</f>
        <v>G</v>
      </c>
      <c r="AF277" s="1" t="str">
        <f>IFERROR(__xludf.DUMMYFUNCTION("""COMPUTED_VALUE"""),"G")</f>
        <v>G</v>
      </c>
      <c r="AG277" s="1" t="str">
        <f>IFERROR(__xludf.DUMMYFUNCTION("""COMPUTED_VALUE"""),"G")</f>
        <v>G</v>
      </c>
      <c r="AH277" s="1">
        <f>IFERROR(__xludf.DUMMYFUNCTION("""COMPUTED_VALUE"""),41)</f>
        <v>41</v>
      </c>
      <c r="AI277" s="1">
        <f>IFERROR(__xludf.DUMMYFUNCTION("""COMPUTED_VALUE"""),41)</f>
        <v>41</v>
      </c>
      <c r="AJ277" s="1">
        <f>IFERROR(__xludf.DUMMYFUNCTION("""COMPUTED_VALUE"""),41)</f>
        <v>41</v>
      </c>
      <c r="AK277" s="1">
        <f>IFERROR(__xludf.DUMMYFUNCTION("""COMPUTED_VALUE"""),41)</f>
        <v>41</v>
      </c>
      <c r="AL277" s="1" t="str">
        <f>IFERROR(__xludf.DUMMYFUNCTION("""COMPUTED_VALUE"""),"G")</f>
        <v>G</v>
      </c>
      <c r="AM277" s="1" t="str">
        <f>IFERROR(__xludf.DUMMYFUNCTION("""COMPUTED_VALUE"""),"G")</f>
        <v>G</v>
      </c>
      <c r="AN277" s="1" t="str">
        <f>IFERROR(__xludf.DUMMYFUNCTION("""COMPUTED_VALUE"""),"G")</f>
        <v>G</v>
      </c>
    </row>
    <row r="278" customHeight="1" spans="1:40">
      <c r="A278" s="1" t="str">
        <f>IFERROR(__xludf.DUMMYFUNCTION("""COMPUTED_VALUE"""),"05° BBM")</f>
        <v>05° BBM</v>
      </c>
      <c r="B278" s="1" t="str">
        <f>IFERROR(__xludf.DUMMYFUNCTION("""COMPUTED_VALUE"""),"CANELA")</f>
        <v>CANELA</v>
      </c>
      <c r="C278" s="119" t="str">
        <f>IFERROR(__xludf.DUMMYFUNCTION("""COMPUTED_VALUE"""),"Municipal")</f>
        <v>Municipal</v>
      </c>
      <c r="D278" s="1" t="str">
        <f>IFERROR(__xludf.DUMMYFUNCTION("""COMPUTED_VALUE"""),"CLAUDINEI JOEL DA SILVA")</f>
        <v>CLAUDINEI JOEL DA SILVA</v>
      </c>
      <c r="E278" s="119" t="str">
        <f>IFERROR(__xludf.DUMMYFUNCTION("""COMPUTED_VALUE"""),"Módulo 1 concluído")</f>
        <v>Módulo 1 concluído</v>
      </c>
      <c r="F278" s="1">
        <f>IFERROR(__xludf.DUMMYFUNCTION("""COMPUTED_VALUE"""),57737614087)</f>
        <v>57737614087</v>
      </c>
      <c r="G278" s="1">
        <f>IFERROR(__xludf.DUMMYFUNCTION("""COMPUTED_VALUE"""),7043841555)</f>
        <v>7043841555</v>
      </c>
      <c r="H278" s="1" t="str">
        <f>IFERROR(__xludf.DUMMYFUNCTION("""COMPUTED_VALUE"""),"CONDUTOR OPERADOR DE VIATURA")</f>
        <v>CONDUTOR OPERADOR DE VIATURA</v>
      </c>
      <c r="I278" s="1" t="str">
        <f>IFERROR(__xludf.DUMMYFUNCTION("""COMPUTED_VALUE"""),"curso APH, curso BLS, concurso público prefeitura de Canela")</f>
        <v>curso APH, curso BLS, concurso público prefeitura de Canela</v>
      </c>
      <c r="J278" s="1" t="str">
        <f>IFERROR(__xludf.DUMMYFUNCTION("""COMPUTED_VALUE"""),"Sim")</f>
        <v>Sim</v>
      </c>
      <c r="K278" s="1" t="str">
        <f>IFERROR(__xludf.DUMMYFUNCTION("""COMPUTED_VALUE"""),"Não")</f>
        <v>Não</v>
      </c>
      <c r="L278" s="1" t="str">
        <f>IFERROR(__xludf.DUMMYFUNCTION("""COMPUTED_VALUE"""),"A+")</f>
        <v>A+</v>
      </c>
      <c r="M278" s="1" t="str">
        <f>IFERROR(__xludf.DUMMYFUNCTION("""COMPUTED_VALUE"""),"CLAUDINEI")</f>
        <v>CLAUDINEI</v>
      </c>
      <c r="N278" s="120">
        <f>IFERROR(__xludf.DUMMYFUNCTION("""COMPUTED_VALUE"""),25862)</f>
        <v>25862</v>
      </c>
      <c r="O278" s="1" t="str">
        <f>IFERROR(__xludf.DUMMYFUNCTION("""COMPUTED_VALUE"""),"Masculino")</f>
        <v>Masculino</v>
      </c>
      <c r="P278" s="1" t="str">
        <f>IFERROR(__xludf.DUMMYFUNCTION("""COMPUTED_VALUE"""),"Branca")</f>
        <v>Branca</v>
      </c>
      <c r="Q278" s="1" t="str">
        <f>IFERROR(__xludf.DUMMYFUNCTION("""COMPUTED_VALUE"""),"Ensino Superior Completo")</f>
        <v>Ensino Superior Completo</v>
      </c>
      <c r="R278" s="1" t="str">
        <f>IFERROR(__xludf.DUMMYFUNCTION("""COMPUTED_VALUE"""),"claudineijoel@gmail.com")</f>
        <v>claudineijoel@gmail.com</v>
      </c>
      <c r="S278" s="1">
        <f>IFERROR(__xludf.DUMMYFUNCTION("""COMPUTED_VALUE"""),80)</f>
        <v>80</v>
      </c>
      <c r="T278" s="1" t="str">
        <f>IFERROR(__xludf.DUMMYFUNCTION("""COMPUTED_VALUE"""),"Entre 1,66m e 1,70m")</f>
        <v>Entre 1,66m e 1,70m</v>
      </c>
      <c r="U278" s="1"/>
      <c r="V278" s="1">
        <f>IFERROR(__xludf.DUMMYFUNCTION("""COMPUTED_VALUE"""),54999853031)</f>
        <v>54999853031</v>
      </c>
      <c r="W278" s="1" t="str">
        <f>IFERROR(__xludf.DUMMYFUNCTION("""COMPUTED_VALUE"""),"54 981476072")</f>
        <v>54 981476072</v>
      </c>
      <c r="X278" s="1" t="str">
        <f>IFERROR(__xludf.DUMMYFUNCTION("""COMPUTED_VALUE"""),"RS")</f>
        <v>RS</v>
      </c>
      <c r="Y278" s="1" t="str">
        <f>IFERROR(__xludf.DUMMYFUNCTION("""COMPUTED_VALUE"""),"Canela")</f>
        <v>Canela</v>
      </c>
      <c r="Z278" s="1">
        <f>IFERROR(__xludf.DUMMYFUNCTION("""COMPUTED_VALUE"""),95683314)</f>
        <v>95683314</v>
      </c>
      <c r="AA278" s="1" t="str">
        <f>IFERROR(__xludf.DUMMYFUNCTION("""COMPUTED_VALUE"""),"Rua da Igreja, 553")</f>
        <v>Rua da Igreja, 553</v>
      </c>
      <c r="AB278" s="1" t="str">
        <f>IFERROR(__xludf.DUMMYFUNCTION("""COMPUTED_VALUE"""),"Santa Marta")</f>
        <v>Santa Marta</v>
      </c>
      <c r="AC278" s="1" t="str">
        <f>IFERROR(__xludf.DUMMYFUNCTION("""COMPUTED_VALUE"""),"M")</f>
        <v>M</v>
      </c>
      <c r="AD278" s="1" t="str">
        <f>IFERROR(__xludf.DUMMYFUNCTION("""COMPUTED_VALUE"""),"M")</f>
        <v>M</v>
      </c>
      <c r="AE278" s="1" t="str">
        <f>IFERROR(__xludf.DUMMYFUNCTION("""COMPUTED_VALUE"""),"M")</f>
        <v>M</v>
      </c>
      <c r="AF278" s="1" t="str">
        <f>IFERROR(__xludf.DUMMYFUNCTION("""COMPUTED_VALUE"""),"M")</f>
        <v>M</v>
      </c>
      <c r="AG278" s="1" t="str">
        <f>IFERROR(__xludf.DUMMYFUNCTION("""COMPUTED_VALUE"""),"M")</f>
        <v>M</v>
      </c>
      <c r="AH278" s="1">
        <f>IFERROR(__xludf.DUMMYFUNCTION("""COMPUTED_VALUE"""),39)</f>
        <v>39</v>
      </c>
      <c r="AI278" s="1">
        <f>IFERROR(__xludf.DUMMYFUNCTION("""COMPUTED_VALUE"""),39)</f>
        <v>39</v>
      </c>
      <c r="AJ278" s="1">
        <f>IFERROR(__xludf.DUMMYFUNCTION("""COMPUTED_VALUE"""),39)</f>
        <v>39</v>
      </c>
      <c r="AK278" s="1">
        <f>IFERROR(__xludf.DUMMYFUNCTION("""COMPUTED_VALUE"""),39)</f>
        <v>39</v>
      </c>
      <c r="AL278" s="1" t="str">
        <f>IFERROR(__xludf.DUMMYFUNCTION("""COMPUTED_VALUE"""),"M")</f>
        <v>M</v>
      </c>
      <c r="AM278" s="1" t="str">
        <f>IFERROR(__xludf.DUMMYFUNCTION("""COMPUTED_VALUE"""),"M")</f>
        <v>M</v>
      </c>
      <c r="AN278" s="1" t="str">
        <f>IFERROR(__xludf.DUMMYFUNCTION("""COMPUTED_VALUE"""),"M")</f>
        <v>M</v>
      </c>
    </row>
    <row r="279" customHeight="1" spans="1:40">
      <c r="A279" s="1" t="str">
        <f>IFERROR(__xludf.DUMMYFUNCTION("""COMPUTED_VALUE"""),"05° BBM")</f>
        <v>05° BBM</v>
      </c>
      <c r="B279" s="1" t="str">
        <f>IFERROR(__xludf.DUMMYFUNCTION("""COMPUTED_VALUE"""),"Feliz")</f>
        <v>Feliz</v>
      </c>
      <c r="C279" s="119" t="str">
        <f>IFERROR(__xludf.DUMMYFUNCTION("""COMPUTED_VALUE"""),"Municipal")</f>
        <v>Municipal</v>
      </c>
      <c r="D279" s="1" t="str">
        <f>IFERROR(__xludf.DUMMYFUNCTION("""COMPUTED_VALUE"""),"CLAUDINEI STURMER")</f>
        <v>CLAUDINEI STURMER</v>
      </c>
      <c r="E279" s="119" t="str">
        <f>IFERROR(__xludf.DUMMYFUNCTION("""COMPUTED_VALUE"""),"Módulo 1 concluído")</f>
        <v>Módulo 1 concluído</v>
      </c>
      <c r="F279" s="1" t="str">
        <f>IFERROR(__xludf.DUMMYFUNCTION("""COMPUTED_VALUE"""),"951.832.640-15")</f>
        <v>951.832.640-15</v>
      </c>
      <c r="G279" s="1">
        <f>IFERROR(__xludf.DUMMYFUNCTION("""COMPUTED_VALUE"""),2076830658)</f>
        <v>2076830658</v>
      </c>
      <c r="H279" s="1" t="str">
        <f>IFERROR(__xludf.DUMMYFUNCTION("""COMPUTED_VALUE"""),"Atendente e Operador")</f>
        <v>Atendente e Operador</v>
      </c>
      <c r="I279" s="1"/>
      <c r="J279" s="1" t="str">
        <f>IFERROR(__xludf.DUMMYFUNCTION("""COMPUTED_VALUE"""),"Sim")</f>
        <v>Sim</v>
      </c>
      <c r="K279" s="1" t="str">
        <f>IFERROR(__xludf.DUMMYFUNCTION("""COMPUTED_VALUE"""),"Não")</f>
        <v>Não</v>
      </c>
      <c r="L279" s="1" t="str">
        <f>IFERROR(__xludf.DUMMYFUNCTION("""COMPUTED_VALUE"""),"B-")</f>
        <v>B-</v>
      </c>
      <c r="M279" s="1" t="str">
        <f>IFERROR(__xludf.DUMMYFUNCTION("""COMPUTED_VALUE"""),"CLAUDINEI")</f>
        <v>CLAUDINEI</v>
      </c>
      <c r="N279" s="120">
        <f>IFERROR(__xludf.DUMMYFUNCTION("""COMPUTED_VALUE"""),28895)</f>
        <v>28895</v>
      </c>
      <c r="O279" s="1" t="str">
        <f>IFERROR(__xludf.DUMMYFUNCTION("""COMPUTED_VALUE"""),"Masculino")</f>
        <v>Masculino</v>
      </c>
      <c r="P279" s="1" t="str">
        <f>IFERROR(__xludf.DUMMYFUNCTION("""COMPUTED_VALUE"""),"Branca")</f>
        <v>Branca</v>
      </c>
      <c r="Q279" s="1" t="str">
        <f>IFERROR(__xludf.DUMMYFUNCTION("""COMPUTED_VALUE"""),"Pós-graduação")</f>
        <v>Pós-graduação</v>
      </c>
      <c r="R279" s="1" t="str">
        <f>IFERROR(__xludf.DUMMYFUNCTION("""COMPUTED_VALUE"""),"claudineisturmer79@gmail.com")</f>
        <v>claudineisturmer79@gmail.com</v>
      </c>
      <c r="S279" s="1">
        <f>IFERROR(__xludf.DUMMYFUNCTION("""COMPUTED_VALUE"""),84)</f>
        <v>84</v>
      </c>
      <c r="T279" s="1" t="str">
        <f>IFERROR(__xludf.DUMMYFUNCTION("""COMPUTED_VALUE"""),"Entre 1,71m e 1,75m")</f>
        <v>Entre 1,71m e 1,75m</v>
      </c>
      <c r="U279" s="1"/>
      <c r="V279" s="1" t="str">
        <f>IFERROR(__xludf.DUMMYFUNCTION("""COMPUTED_VALUE"""),"(51)99698-2170")</f>
        <v>(51)99698-2170</v>
      </c>
      <c r="W279" s="1" t="str">
        <f>IFERROR(__xludf.DUMMYFUNCTION("""COMPUTED_VALUE"""),"(51)3637-1500")</f>
        <v>(51)3637-1500</v>
      </c>
      <c r="X279" s="1" t="str">
        <f>IFERROR(__xludf.DUMMYFUNCTION("""COMPUTED_VALUE"""),"RS")</f>
        <v>RS</v>
      </c>
      <c r="Y279" s="1" t="str">
        <f>IFERROR(__xludf.DUMMYFUNCTION("""COMPUTED_VALUE"""),"Feliz")</f>
        <v>Feliz</v>
      </c>
      <c r="Z279" s="1" t="str">
        <f>IFERROR(__xludf.DUMMYFUNCTION("""COMPUTED_VALUE"""),"95770-000")</f>
        <v>95770-000</v>
      </c>
      <c r="AA279" s="1" t="str">
        <f>IFERROR(__xludf.DUMMYFUNCTION("""COMPUTED_VALUE"""),"Rua Osvaldo Glaeser, 407")</f>
        <v>Rua Osvaldo Glaeser, 407</v>
      </c>
      <c r="AB279" s="1" t="str">
        <f>IFERROR(__xludf.DUMMYFUNCTION("""COMPUTED_VALUE"""),"Picada Cara")</f>
        <v>Picada Cara</v>
      </c>
      <c r="AC279" s="1" t="str">
        <f>IFERROR(__xludf.DUMMYFUNCTION("""COMPUTED_VALUE"""),"G")</f>
        <v>G</v>
      </c>
      <c r="AD279" s="1" t="str">
        <f>IFERROR(__xludf.DUMMYFUNCTION("""COMPUTED_VALUE"""),"G")</f>
        <v>G</v>
      </c>
      <c r="AE279" s="1" t="str">
        <f>IFERROR(__xludf.DUMMYFUNCTION("""COMPUTED_VALUE"""),"G")</f>
        <v>G</v>
      </c>
      <c r="AF279" s="1" t="str">
        <f>IFERROR(__xludf.DUMMYFUNCTION("""COMPUTED_VALUE"""),"G")</f>
        <v>G</v>
      </c>
      <c r="AG279" s="1" t="str">
        <f>IFERROR(__xludf.DUMMYFUNCTION("""COMPUTED_VALUE"""),"G")</f>
        <v>G</v>
      </c>
      <c r="AH279" s="1">
        <f>IFERROR(__xludf.DUMMYFUNCTION("""COMPUTED_VALUE"""),42)</f>
        <v>42</v>
      </c>
      <c r="AI279" s="1">
        <f>IFERROR(__xludf.DUMMYFUNCTION("""COMPUTED_VALUE"""),41)</f>
        <v>41</v>
      </c>
      <c r="AJ279" s="1">
        <f>IFERROR(__xludf.DUMMYFUNCTION("""COMPUTED_VALUE"""),41)</f>
        <v>41</v>
      </c>
      <c r="AK279" s="1">
        <f>IFERROR(__xludf.DUMMYFUNCTION("""COMPUTED_VALUE"""),41)</f>
        <v>41</v>
      </c>
      <c r="AL279" s="1" t="str">
        <f>IFERROR(__xludf.DUMMYFUNCTION("""COMPUTED_VALUE"""),"G")</f>
        <v>G</v>
      </c>
      <c r="AM279" s="1" t="str">
        <f>IFERROR(__xludf.DUMMYFUNCTION("""COMPUTED_VALUE"""),"G")</f>
        <v>G</v>
      </c>
      <c r="AN279" s="1" t="str">
        <f>IFERROR(__xludf.DUMMYFUNCTION("""COMPUTED_VALUE"""),"G")</f>
        <v>G</v>
      </c>
    </row>
    <row r="280" customHeight="1" spans="1:40">
      <c r="A280" s="1" t="str">
        <f>IFERROR(__xludf.DUMMYFUNCTION("""COMPUTED_VALUE"""),"05° BBM")</f>
        <v>05° BBM</v>
      </c>
      <c r="B280" s="1" t="str">
        <f>IFERROR(__xludf.DUMMYFUNCTION("""COMPUTED_VALUE"""),"VACARIA/MUITOS CAPÕES")</f>
        <v>VACARIA/MUITOS CAPÕES</v>
      </c>
      <c r="C280" s="119" t="str">
        <f>IFERROR(__xludf.DUMMYFUNCTION("""COMPUTED_VALUE"""),"Municipal")</f>
        <v>Municipal</v>
      </c>
      <c r="D280" s="1" t="str">
        <f>IFERROR(__xludf.DUMMYFUNCTION("""COMPUTED_VALUE"""),"CLEBER COSTA")</f>
        <v>CLEBER COSTA</v>
      </c>
      <c r="E280" s="119" t="str">
        <f>IFERROR(__xludf.DUMMYFUNCTION("""COMPUTED_VALUE"""),"")</f>
        <v/>
      </c>
      <c r="F280" s="1">
        <f>IFERROR(__xludf.DUMMYFUNCTION("""COMPUTED_VALUE"""),104561041)</f>
        <v>104561041</v>
      </c>
      <c r="G280" s="119">
        <f>IFERROR(__xludf.DUMMYFUNCTION("""COMPUTED_VALUE"""),1082803685)</f>
        <v>1082803685</v>
      </c>
      <c r="H280" s="1" t="str">
        <f>IFERROR(__xludf.DUMMYFUNCTION("""COMPUTED_VALUE"""),"COMBATENTE ")</f>
        <v>COMBATENTE </v>
      </c>
      <c r="I280" s="1" t="str">
        <f>IFERROR(__xludf.DUMMYFUNCTION("""COMPUTED_VALUE"""),"Ensino médio")</f>
        <v>Ensino médio</v>
      </c>
      <c r="J280" s="1" t="str">
        <f>IFERROR(__xludf.DUMMYFUNCTION("""COMPUTED_VALUE"""),"Não")</f>
        <v>Não</v>
      </c>
      <c r="K280" s="1" t="str">
        <f>IFERROR(__xludf.DUMMYFUNCTION("""COMPUTED_VALUE"""),"Não")</f>
        <v>Não</v>
      </c>
      <c r="L280" s="1" t="str">
        <f>IFERROR(__xludf.DUMMYFUNCTION("""COMPUTED_VALUE"""),"O+")</f>
        <v>O+</v>
      </c>
      <c r="M280" s="1" t="str">
        <f>IFERROR(__xludf.DUMMYFUNCTION("""COMPUTED_VALUE"""),"CLEBER")</f>
        <v>CLEBER</v>
      </c>
      <c r="N280" s="120">
        <f>IFERROR(__xludf.DUMMYFUNCTION("""COMPUTED_VALUE"""),30114)</f>
        <v>30114</v>
      </c>
      <c r="O280" s="1" t="str">
        <f>IFERROR(__xludf.DUMMYFUNCTION("""COMPUTED_VALUE"""),"Masculino")</f>
        <v>Masculino</v>
      </c>
      <c r="P280" s="1" t="str">
        <f>IFERROR(__xludf.DUMMYFUNCTION("""COMPUTED_VALUE"""),"Branca")</f>
        <v>Branca</v>
      </c>
      <c r="Q280" s="1" t="str">
        <f>IFERROR(__xludf.DUMMYFUNCTION("""COMPUTED_VALUE"""),"Ensino Médio")</f>
        <v>Ensino Médio</v>
      </c>
      <c r="R280" s="1" t="str">
        <f>IFERROR(__xludf.DUMMYFUNCTION("""COMPUTED_VALUE"""),"clebercosta04@hotmail.com")</f>
        <v>clebercosta04@hotmail.com</v>
      </c>
      <c r="S280" s="1">
        <f>IFERROR(__xludf.DUMMYFUNCTION("""COMPUTED_VALUE"""),74)</f>
        <v>74</v>
      </c>
      <c r="T280" s="1" t="str">
        <f>IFERROR(__xludf.DUMMYFUNCTION("""COMPUTED_VALUE"""),"Entre 1,71m e 1,75m")</f>
        <v>Entre 1,71m e 1,75m</v>
      </c>
      <c r="U280" s="1"/>
      <c r="V280" s="1" t="str">
        <f>IFERROR(__xludf.DUMMYFUNCTION("""COMPUTED_VALUE"""),"54 99623.9333")</f>
        <v>54 99623.9333</v>
      </c>
      <c r="W280" s="1" t="str">
        <f>IFERROR(__xludf.DUMMYFUNCTION("""COMPUTED_VALUE"""),"54 99950.3084")</f>
        <v>54 99950.3084</v>
      </c>
      <c r="X280" s="1" t="str">
        <f>IFERROR(__xludf.DUMMYFUNCTION("""COMPUTED_VALUE"""),"RS")</f>
        <v>RS</v>
      </c>
      <c r="Y280" s="1" t="str">
        <f>IFERROR(__xludf.DUMMYFUNCTION("""COMPUTED_VALUE"""),"Muitos Capões")</f>
        <v>Muitos Capões</v>
      </c>
      <c r="Z280" s="1" t="str">
        <f>IFERROR(__xludf.DUMMYFUNCTION("""COMPUTED_VALUE"""),"95230-000")</f>
        <v>95230-000</v>
      </c>
      <c r="AA280" s="1" t="str">
        <f>IFERROR(__xludf.DUMMYFUNCTION("""COMPUTED_VALUE"""),"CENTRO")</f>
        <v>CENTRO</v>
      </c>
      <c r="AB280" s="1" t="str">
        <f>IFERROR(__xludf.DUMMYFUNCTION("""COMPUTED_VALUE"""),"CENTRO")</f>
        <v>CENTRO</v>
      </c>
      <c r="AC280" s="1" t="str">
        <f>IFERROR(__xludf.DUMMYFUNCTION("""COMPUTED_VALUE"""),"M")</f>
        <v>M</v>
      </c>
      <c r="AD280" s="1" t="str">
        <f>IFERROR(__xludf.DUMMYFUNCTION("""COMPUTED_VALUE"""),"M")</f>
        <v>M</v>
      </c>
      <c r="AE280" s="1" t="str">
        <f>IFERROR(__xludf.DUMMYFUNCTION("""COMPUTED_VALUE"""),"M")</f>
        <v>M</v>
      </c>
      <c r="AF280" s="1" t="str">
        <f>IFERROR(__xludf.DUMMYFUNCTION("""COMPUTED_VALUE"""),"M")</f>
        <v>M</v>
      </c>
      <c r="AG280" s="1" t="str">
        <f>IFERROR(__xludf.DUMMYFUNCTION("""COMPUTED_VALUE"""),"M")</f>
        <v>M</v>
      </c>
      <c r="AH280" s="1">
        <f>IFERROR(__xludf.DUMMYFUNCTION("""COMPUTED_VALUE"""),40)</f>
        <v>40</v>
      </c>
      <c r="AI280" s="1">
        <f>IFERROR(__xludf.DUMMYFUNCTION("""COMPUTED_VALUE"""),40)</f>
        <v>40</v>
      </c>
      <c r="AJ280" s="1">
        <f>IFERROR(__xludf.DUMMYFUNCTION("""COMPUTED_VALUE"""),40)</f>
        <v>40</v>
      </c>
      <c r="AK280" s="1">
        <f>IFERROR(__xludf.DUMMYFUNCTION("""COMPUTED_VALUE"""),40)</f>
        <v>40</v>
      </c>
      <c r="AL280" s="1" t="str">
        <f>IFERROR(__xludf.DUMMYFUNCTION("""COMPUTED_VALUE"""),"M")</f>
        <v>M</v>
      </c>
      <c r="AM280" s="1" t="str">
        <f>IFERROR(__xludf.DUMMYFUNCTION("""COMPUTED_VALUE"""),"M")</f>
        <v>M</v>
      </c>
      <c r="AN280" s="1" t="str">
        <f>IFERROR(__xludf.DUMMYFUNCTION("""COMPUTED_VALUE"""),"M")</f>
        <v>M</v>
      </c>
    </row>
    <row r="281" customHeight="1" spans="1:40">
      <c r="A281" s="1"/>
      <c r="B281" s="1"/>
      <c r="C281" s="119"/>
      <c r="D281" s="1" t="str">
        <f>IFERROR(__xludf.DUMMYFUNCTION("""COMPUTED_VALUE"""),"CLEBER DA SILVA COSTA")</f>
        <v>CLEBER DA SILVA COSTA</v>
      </c>
      <c r="E281" s="1" t="str">
        <f>IFERROR(__xludf.DUMMYFUNCTION("""COMPUTED_VALUE"""),"Módulo 1 concluído")</f>
        <v>Módulo 1 concluído</v>
      </c>
      <c r="F281" s="1" t="str">
        <f>IFERROR(__xludf.DUMMYFUNCTION("""COMPUTED_VALUE"""),"001.045.610-41")</f>
        <v>001.045.610-41</v>
      </c>
      <c r="G281" s="1"/>
      <c r="H281" s="1"/>
      <c r="I281" s="1"/>
      <c r="J281" s="1"/>
      <c r="K281" s="1"/>
      <c r="L281" s="1"/>
      <c r="M281" s="1"/>
      <c r="N281" s="120"/>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row>
    <row r="282" customHeight="1" spans="1:40">
      <c r="A282" s="1"/>
      <c r="B282" s="1"/>
      <c r="C282" s="119"/>
      <c r="D282" s="1" t="str">
        <f>IFERROR(__xludf.DUMMYFUNCTION("""COMPUTED_VALUE"""),"CRISTIAN ZINI")</f>
        <v>CRISTIAN ZINI</v>
      </c>
      <c r="E282" s="1" t="str">
        <f>IFERROR(__xludf.DUMMYFUNCTION("""COMPUTED_VALUE"""),"Módulo 1 concluído")</f>
        <v>Módulo 1 concluído</v>
      </c>
      <c r="F282" s="1" t="str">
        <f>IFERROR(__xludf.DUMMYFUNCTION("""COMPUTED_VALUE"""),"015.268.100-00")</f>
        <v>015.268.100-00</v>
      </c>
      <c r="G282" s="1"/>
      <c r="H282" s="1"/>
      <c r="I282" s="1"/>
      <c r="J282" s="1"/>
      <c r="K282" s="1"/>
      <c r="L282" s="1"/>
      <c r="M282" s="1"/>
      <c r="N282" s="120"/>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row>
    <row r="283" customHeight="1" spans="1:40">
      <c r="A283" s="1" t="str">
        <f>IFERROR(__xludf.DUMMYFUNCTION("""COMPUTED_VALUE"""),"05° BBM")</f>
        <v>05° BBM</v>
      </c>
      <c r="B283" s="1" t="str">
        <f>IFERROR(__xludf.DUMMYFUNCTION("""COMPUTED_VALUE"""),"Feliz")</f>
        <v>Feliz</v>
      </c>
      <c r="C283" s="119" t="str">
        <f>IFERROR(__xludf.DUMMYFUNCTION("""COMPUTED_VALUE"""),"CAB")</f>
        <v>CAB</v>
      </c>
      <c r="D283" s="1" t="str">
        <f>IFERROR(__xludf.DUMMYFUNCTION("""COMPUTED_VALUE"""),"CRISTIÉLI GONÇALVES CRESTANI")</f>
        <v>CRISTIÉLI GONÇALVES CRESTANI</v>
      </c>
      <c r="E283" s="119" t="str">
        <f>IFERROR(__xludf.DUMMYFUNCTION("""COMPUTED_VALUE"""),"Módulo 1 concluído")</f>
        <v>Módulo 1 concluído</v>
      </c>
      <c r="F283" s="1" t="str">
        <f>IFERROR(__xludf.DUMMYFUNCTION("""COMPUTED_VALUE"""),"035.127.810-98")</f>
        <v>035.127.810-98</v>
      </c>
      <c r="G283" s="1">
        <f>IFERROR(__xludf.DUMMYFUNCTION("""COMPUTED_VALUE"""),1111080808)</f>
        <v>1111080808</v>
      </c>
      <c r="H283" s="1" t="str">
        <f>IFERROR(__xludf.DUMMYFUNCTION("""COMPUTED_VALUE"""),"Atendente e Operador")</f>
        <v>Atendente e Operador</v>
      </c>
      <c r="I283" s="1"/>
      <c r="J283" s="1" t="str">
        <f>IFERROR(__xludf.DUMMYFUNCTION("""COMPUTED_VALUE"""),"Sim")</f>
        <v>Sim</v>
      </c>
      <c r="K283" s="1" t="str">
        <f>IFERROR(__xludf.DUMMYFUNCTION("""COMPUTED_VALUE"""),"Não")</f>
        <v>Não</v>
      </c>
      <c r="L283" s="1" t="str">
        <f>IFERROR(__xludf.DUMMYFUNCTION("""COMPUTED_VALUE"""),"O+")</f>
        <v>O+</v>
      </c>
      <c r="M283" s="1" t="str">
        <f>IFERROR(__xludf.DUMMYFUNCTION("""COMPUTED_VALUE"""),"CRISTIÉLI")</f>
        <v>CRISTIÉLI</v>
      </c>
      <c r="N283" s="120">
        <f>IFERROR(__xludf.DUMMYFUNCTION("""COMPUTED_VALUE"""),35079)</f>
        <v>35079</v>
      </c>
      <c r="O283" s="1" t="str">
        <f>IFERROR(__xludf.DUMMYFUNCTION("""COMPUTED_VALUE"""),"Feminino")</f>
        <v>Feminino</v>
      </c>
      <c r="P283" s="1" t="str">
        <f>IFERROR(__xludf.DUMMYFUNCTION("""COMPUTED_VALUE"""),"Branca")</f>
        <v>Branca</v>
      </c>
      <c r="Q283" s="1" t="str">
        <f>IFERROR(__xludf.DUMMYFUNCTION("""COMPUTED_VALUE"""),"Pós-graduação")</f>
        <v>Pós-graduação</v>
      </c>
      <c r="R283" s="1" t="str">
        <f>IFERROR(__xludf.DUMMYFUNCTION("""COMPUTED_VALUE"""),"cristielicrestani1@hotmail.com")</f>
        <v>cristielicrestani1@hotmail.com</v>
      </c>
      <c r="S283" s="1">
        <f>IFERROR(__xludf.DUMMYFUNCTION("""COMPUTED_VALUE"""),77)</f>
        <v>77</v>
      </c>
      <c r="T283" s="1" t="str">
        <f>IFERROR(__xludf.DUMMYFUNCTION("""COMPUTED_VALUE"""),"Entre 1,66m e 1,70m")</f>
        <v>Entre 1,66m e 1,70m</v>
      </c>
      <c r="U283" s="1"/>
      <c r="V283" s="1" t="str">
        <f>IFERROR(__xludf.DUMMYFUNCTION("""COMPUTED_VALUE"""),"(51)996362397")</f>
        <v>(51)996362397</v>
      </c>
      <c r="W283" s="1" t="str">
        <f>IFERROR(__xludf.DUMMYFUNCTION("""COMPUTED_VALUE"""),"(51)3637-1500")</f>
        <v>(51)3637-1500</v>
      </c>
      <c r="X283" s="1" t="str">
        <f>IFERROR(__xludf.DUMMYFUNCTION("""COMPUTED_VALUE"""),"RS")</f>
        <v>RS</v>
      </c>
      <c r="Y283" s="1" t="str">
        <f>IFERROR(__xludf.DUMMYFUNCTION("""COMPUTED_VALUE"""),"Alto Feliz")</f>
        <v>Alto Feliz</v>
      </c>
      <c r="Z283" s="1" t="str">
        <f>IFERROR(__xludf.DUMMYFUNCTION("""COMPUTED_VALUE"""),"95773-000")</f>
        <v>95773-000</v>
      </c>
      <c r="AA283" s="1" t="str">
        <f>IFERROR(__xludf.DUMMYFUNCTION("""COMPUTED_VALUE"""),"Rua Vila Sucesso,3340")</f>
        <v>Rua Vila Sucesso,3340</v>
      </c>
      <c r="AB283" s="1" t="str">
        <f>IFERROR(__xludf.DUMMYFUNCTION("""COMPUTED_VALUE"""),"São Pedro")</f>
        <v>São Pedro</v>
      </c>
      <c r="AC283" s="1" t="str">
        <f>IFERROR(__xludf.DUMMYFUNCTION("""COMPUTED_VALUE"""),"G")</f>
        <v>G</v>
      </c>
      <c r="AD283" s="1" t="str">
        <f>IFERROR(__xludf.DUMMYFUNCTION("""COMPUTED_VALUE"""),"G")</f>
        <v>G</v>
      </c>
      <c r="AE283" s="1" t="str">
        <f>IFERROR(__xludf.DUMMYFUNCTION("""COMPUTED_VALUE"""),"G")</f>
        <v>G</v>
      </c>
      <c r="AF283" s="1" t="str">
        <f>IFERROR(__xludf.DUMMYFUNCTION("""COMPUTED_VALUE"""),"G")</f>
        <v>G</v>
      </c>
      <c r="AG283" s="1" t="str">
        <f>IFERROR(__xludf.DUMMYFUNCTION("""COMPUTED_VALUE"""),"G")</f>
        <v>G</v>
      </c>
      <c r="AH283" s="1">
        <f>IFERROR(__xludf.DUMMYFUNCTION("""COMPUTED_VALUE"""),38)</f>
        <v>38</v>
      </c>
      <c r="AI283" s="1">
        <f>IFERROR(__xludf.DUMMYFUNCTION("""COMPUTED_VALUE"""),38)</f>
        <v>38</v>
      </c>
      <c r="AJ283" s="1">
        <f>IFERROR(__xludf.DUMMYFUNCTION("""COMPUTED_VALUE"""),38)</f>
        <v>38</v>
      </c>
      <c r="AK283" s="1">
        <f>IFERROR(__xludf.DUMMYFUNCTION("""COMPUTED_VALUE"""),38)</f>
        <v>38</v>
      </c>
      <c r="AL283" s="1" t="str">
        <f>IFERROR(__xludf.DUMMYFUNCTION("""COMPUTED_VALUE"""),"M")</f>
        <v>M</v>
      </c>
      <c r="AM283" s="1" t="str">
        <f>IFERROR(__xludf.DUMMYFUNCTION("""COMPUTED_VALUE"""),"G")</f>
        <v>G</v>
      </c>
      <c r="AN283" s="1" t="str">
        <f>IFERROR(__xludf.DUMMYFUNCTION("""COMPUTED_VALUE"""),"G")</f>
        <v>G</v>
      </c>
    </row>
    <row r="284" customHeight="1" spans="1:40">
      <c r="A284" s="1"/>
      <c r="B284" s="1"/>
      <c r="C284" s="119"/>
      <c r="D284" s="1" t="str">
        <f>IFERROR(__xludf.DUMMYFUNCTION("""COMPUTED_VALUE"""),"DAIANE SILVEIRA")</f>
        <v>DAIANE SILVEIRA</v>
      </c>
      <c r="E284" s="1" t="str">
        <f>IFERROR(__xludf.DUMMYFUNCTION("""COMPUTED_VALUE"""),"Curso CAB operador concluído")</f>
        <v>Curso CAB operador concluído</v>
      </c>
      <c r="F284" s="1" t="str">
        <f>IFERROR(__xludf.DUMMYFUNCTION("""COMPUTED_VALUE"""),"016.448.600-31")</f>
        <v>016.448.600-31</v>
      </c>
      <c r="G284" s="1"/>
      <c r="H284" s="1"/>
      <c r="I284" s="1"/>
      <c r="J284" s="1"/>
      <c r="K284" s="1"/>
      <c r="L284" s="1"/>
      <c r="M284" s="1"/>
      <c r="N284" s="120"/>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row>
    <row r="285" customHeight="1" spans="1:40">
      <c r="A285" s="1" t="str">
        <f>IFERROR(__xludf.DUMMYFUNCTION("""COMPUTED_VALUE"""),"05° BBM")</f>
        <v>05° BBM</v>
      </c>
      <c r="B285" s="1" t="str">
        <f>IFERROR(__xludf.DUMMYFUNCTION("""COMPUTED_VALUE"""),"Farroupilha")</f>
        <v>Farroupilha</v>
      </c>
      <c r="C285" s="119" t="str">
        <f>IFERROR(__xludf.DUMMYFUNCTION("""COMPUTED_VALUE"""),"CAB")</f>
        <v>CAB</v>
      </c>
      <c r="D285" s="1" t="str">
        <f>IFERROR(__xludf.DUMMYFUNCTION("""COMPUTED_VALUE"""),"DANIEL PEGORARO SPINELLI")</f>
        <v>DANIEL PEGORARO SPINELLI</v>
      </c>
      <c r="E285" s="119" t="str">
        <f>IFERROR(__xludf.DUMMYFUNCTION("""COMPUTED_VALUE"""),"Módulo 1 concluído")</f>
        <v>Módulo 1 concluído</v>
      </c>
      <c r="F285" s="1" t="str">
        <f>IFERROR(__xludf.DUMMYFUNCTION("""COMPUTED_VALUE"""),"019.285.060-11")</f>
        <v>019.285.060-11</v>
      </c>
      <c r="G285" s="1">
        <f>IFERROR(__xludf.DUMMYFUNCTION("""COMPUTED_VALUE"""),1100334661)</f>
        <v>1100334661</v>
      </c>
      <c r="H285" s="1" t="str">
        <f>IFERROR(__xludf.DUMMYFUNCTION("""COMPUTED_VALUE"""),"Atendente e Operador")</f>
        <v>Atendente e Operador</v>
      </c>
      <c r="I285" s="1"/>
      <c r="J285" s="1" t="str">
        <f>IFERROR(__xludf.DUMMYFUNCTION("""COMPUTED_VALUE"""),"Sim")</f>
        <v>Sim</v>
      </c>
      <c r="K285" s="1" t="str">
        <f>IFERROR(__xludf.DUMMYFUNCTION("""COMPUTED_VALUE"""),"Não")</f>
        <v>Não</v>
      </c>
      <c r="L285" s="1" t="str">
        <f>IFERROR(__xludf.DUMMYFUNCTION("""COMPUTED_VALUE"""),"B+")</f>
        <v>B+</v>
      </c>
      <c r="M285" s="1" t="str">
        <f>IFERROR(__xludf.DUMMYFUNCTION("""COMPUTED_VALUE"""),"SPINELLI")</f>
        <v>SPINELLI</v>
      </c>
      <c r="N285" s="120">
        <f>IFERROR(__xludf.DUMMYFUNCTION("""COMPUTED_VALUE"""),34067)</f>
        <v>34067</v>
      </c>
      <c r="O285" s="1" t="str">
        <f>IFERROR(__xludf.DUMMYFUNCTION("""COMPUTED_VALUE"""),"Masculino")</f>
        <v>Masculino</v>
      </c>
      <c r="P285" s="1" t="str">
        <f>IFERROR(__xludf.DUMMYFUNCTION("""COMPUTED_VALUE"""),"Branca")</f>
        <v>Branca</v>
      </c>
      <c r="Q285" s="1" t="str">
        <f>IFERROR(__xludf.DUMMYFUNCTION("""COMPUTED_VALUE"""),"Ensino Médio")</f>
        <v>Ensino Médio</v>
      </c>
      <c r="R285" s="1" t="str">
        <f>IFERROR(__xludf.DUMMYFUNCTION("""COMPUTED_VALUE"""),"abdanielspinellin05@gmail.com")</f>
        <v>abdanielspinellin05@gmail.com</v>
      </c>
      <c r="S285" s="1">
        <f>IFERROR(__xludf.DUMMYFUNCTION("""COMPUTED_VALUE"""),82)</f>
        <v>82</v>
      </c>
      <c r="T285" s="1" t="str">
        <f>IFERROR(__xludf.DUMMYFUNCTION("""COMPUTED_VALUE"""),"Entre 1,71m e 1,75m")</f>
        <v>Entre 1,71m e 1,75m</v>
      </c>
      <c r="U285" s="1"/>
      <c r="V285" s="1" t="str">
        <f>IFERROR(__xludf.DUMMYFUNCTION("""COMPUTED_VALUE"""),"(54)99144-8477")</f>
        <v>(54)99144-8477</v>
      </c>
      <c r="W285" s="1" t="str">
        <f>IFERROR(__xludf.DUMMYFUNCTION("""COMPUTED_VALUE"""),"(54)99696-4099")</f>
        <v>(54)99696-4099</v>
      </c>
      <c r="X285" s="1" t="str">
        <f>IFERROR(__xludf.DUMMYFUNCTION("""COMPUTED_VALUE"""),"RS")</f>
        <v>RS</v>
      </c>
      <c r="Y285" s="1" t="str">
        <f>IFERROR(__xludf.DUMMYFUNCTION("""COMPUTED_VALUE"""),"Farroupilha")</f>
        <v>Farroupilha</v>
      </c>
      <c r="Z285" s="1" t="str">
        <f>IFERROR(__xludf.DUMMYFUNCTION("""COMPUTED_VALUE"""),"95180-312")</f>
        <v>95180-312</v>
      </c>
      <c r="AA285" s="1" t="str">
        <f>IFERROR(__xludf.DUMMYFUNCTION("""COMPUTED_VALUE"""),"Rua Sete de Setembro, 860")</f>
        <v>Rua Sete de Setembro, 860</v>
      </c>
      <c r="AB285" s="1" t="str">
        <f>IFERROR(__xludf.DUMMYFUNCTION("""COMPUTED_VALUE"""),"Imigrante")</f>
        <v>Imigrante</v>
      </c>
      <c r="AC285" s="1" t="str">
        <f>IFERROR(__xludf.DUMMYFUNCTION("""COMPUTED_VALUE"""),"G")</f>
        <v>G</v>
      </c>
      <c r="AD285" s="1" t="str">
        <f>IFERROR(__xludf.DUMMYFUNCTION("""COMPUTED_VALUE"""),"G")</f>
        <v>G</v>
      </c>
      <c r="AE285" s="1" t="str">
        <f>IFERROR(__xludf.DUMMYFUNCTION("""COMPUTED_VALUE"""),"G")</f>
        <v>G</v>
      </c>
      <c r="AF285" s="1" t="str">
        <f>IFERROR(__xludf.DUMMYFUNCTION("""COMPUTED_VALUE"""),"G")</f>
        <v>G</v>
      </c>
      <c r="AG285" s="1" t="str">
        <f>IFERROR(__xludf.DUMMYFUNCTION("""COMPUTED_VALUE"""),"G")</f>
        <v>G</v>
      </c>
      <c r="AH285" s="1">
        <f>IFERROR(__xludf.DUMMYFUNCTION("""COMPUTED_VALUE"""),41)</f>
        <v>41</v>
      </c>
      <c r="AI285" s="1">
        <f>IFERROR(__xludf.DUMMYFUNCTION("""COMPUTED_VALUE"""),41)</f>
        <v>41</v>
      </c>
      <c r="AJ285" s="1">
        <f>IFERROR(__xludf.DUMMYFUNCTION("""COMPUTED_VALUE"""),41)</f>
        <v>41</v>
      </c>
      <c r="AK285" s="1">
        <f>IFERROR(__xludf.DUMMYFUNCTION("""COMPUTED_VALUE"""),41)</f>
        <v>41</v>
      </c>
      <c r="AL285" s="1" t="str">
        <f>IFERROR(__xludf.DUMMYFUNCTION("""COMPUTED_VALUE"""),"G")</f>
        <v>G</v>
      </c>
      <c r="AM285" s="1" t="str">
        <f>IFERROR(__xludf.DUMMYFUNCTION("""COMPUTED_VALUE"""),"G")</f>
        <v>G</v>
      </c>
      <c r="AN285" s="1" t="str">
        <f>IFERROR(__xludf.DUMMYFUNCTION("""COMPUTED_VALUE"""),"G")</f>
        <v>G</v>
      </c>
    </row>
    <row r="286" customHeight="1" spans="1:40">
      <c r="A286" s="1" t="str">
        <f>IFERROR(__xludf.DUMMYFUNCTION("""COMPUTED_VALUE"""),"05° BBM")</f>
        <v>05° BBM</v>
      </c>
      <c r="B286" s="1" t="str">
        <f>IFERROR(__xludf.DUMMYFUNCTION("""COMPUTED_VALUE"""),"Farroupilha")</f>
        <v>Farroupilha</v>
      </c>
      <c r="C286" s="119" t="str">
        <f>IFERROR(__xludf.DUMMYFUNCTION("""COMPUTED_VALUE"""),"CAB")</f>
        <v>CAB</v>
      </c>
      <c r="D286" s="1" t="str">
        <f>IFERROR(__xludf.DUMMYFUNCTION("""COMPUTED_VALUE"""),"DANIELA POZZA")</f>
        <v>DANIELA POZZA</v>
      </c>
      <c r="E286" s="119" t="str">
        <f>IFERROR(__xludf.DUMMYFUNCTION("""COMPUTED_VALUE"""),"Módulo 1 concluído")</f>
        <v>Módulo 1 concluído</v>
      </c>
      <c r="F286" s="1" t="str">
        <f>IFERROR(__xludf.DUMMYFUNCTION("""COMPUTED_VALUE"""),"987.038.620-20")</f>
        <v>987.038.620-20</v>
      </c>
      <c r="G286" s="1">
        <f>IFERROR(__xludf.DUMMYFUNCTION("""COMPUTED_VALUE"""),1085492054)</f>
        <v>1085492054</v>
      </c>
      <c r="H286" s="1" t="str">
        <f>IFERROR(__xludf.DUMMYFUNCTION("""COMPUTED_VALUE"""),"Atendente e Operador")</f>
        <v>Atendente e Operador</v>
      </c>
      <c r="I286" s="1"/>
      <c r="J286" s="1" t="str">
        <f>IFERROR(__xludf.DUMMYFUNCTION("""COMPUTED_VALUE"""),"Sim")</f>
        <v>Sim</v>
      </c>
      <c r="K286" s="1" t="str">
        <f>IFERROR(__xludf.DUMMYFUNCTION("""COMPUTED_VALUE"""),"Sim")</f>
        <v>Sim</v>
      </c>
      <c r="L286" s="1" t="str">
        <f>IFERROR(__xludf.DUMMYFUNCTION("""COMPUTED_VALUE"""),"A+")</f>
        <v>A+</v>
      </c>
      <c r="M286" s="1" t="str">
        <f>IFERROR(__xludf.DUMMYFUNCTION("""COMPUTED_VALUE"""),"POZZA")</f>
        <v>POZZA</v>
      </c>
      <c r="N286" s="120" t="str">
        <f>IFERROR(__xludf.DUMMYFUNCTION("""COMPUTED_VALUE"""),"12/30/1981")</f>
        <v>12/30/1981</v>
      </c>
      <c r="O286" s="1" t="str">
        <f>IFERROR(__xludf.DUMMYFUNCTION("""COMPUTED_VALUE"""),"Feminino")</f>
        <v>Feminino</v>
      </c>
      <c r="P286" s="1" t="str">
        <f>IFERROR(__xludf.DUMMYFUNCTION("""COMPUTED_VALUE"""),"Branca")</f>
        <v>Branca</v>
      </c>
      <c r="Q286" s="1" t="str">
        <f>IFERROR(__xludf.DUMMYFUNCTION("""COMPUTED_VALUE"""),"Pós-graduação")</f>
        <v>Pós-graduação</v>
      </c>
      <c r="R286" s="1" t="str">
        <f>IFERROR(__xludf.DUMMYFUNCTION("""COMPUTED_VALUE"""),"danypozza@gmail.com")</f>
        <v>danypozza@gmail.com</v>
      </c>
      <c r="S286" s="1">
        <f>IFERROR(__xludf.DUMMYFUNCTION("""COMPUTED_VALUE"""),92)</f>
        <v>92</v>
      </c>
      <c r="T286" s="1" t="str">
        <f>IFERROR(__xludf.DUMMYFUNCTION("""COMPUTED_VALUE"""),"Entre 1,66m e 1,70m")</f>
        <v>Entre 1,66m e 1,70m</v>
      </c>
      <c r="U286" s="1"/>
      <c r="V286" s="1" t="str">
        <f>IFERROR(__xludf.DUMMYFUNCTION("""COMPUTED_VALUE"""),"(54)99984-2284")</f>
        <v>(54)99984-2284</v>
      </c>
      <c r="W286" s="1" t="str">
        <f>IFERROR(__xludf.DUMMYFUNCTION("""COMPUTED_VALUE"""),"(54)3260-3049")</f>
        <v>(54)3260-3049</v>
      </c>
      <c r="X286" s="1" t="str">
        <f>IFERROR(__xludf.DUMMYFUNCTION("""COMPUTED_VALUE"""),"RS")</f>
        <v>RS</v>
      </c>
      <c r="Y286" s="1" t="str">
        <f>IFERROR(__xludf.DUMMYFUNCTION("""COMPUTED_VALUE"""),"Farroupilha")</f>
        <v>Farroupilha</v>
      </c>
      <c r="Z286" s="119" t="str">
        <f>IFERROR(__xludf.DUMMYFUNCTION("""COMPUTED_VALUE"""),"95170-180")</f>
        <v>95170-180</v>
      </c>
      <c r="AA286" s="1" t="str">
        <f>IFERROR(__xludf.DUMMYFUNCTION("""COMPUTED_VALUE"""),"Rua Abele José Deimoni, 233 AP 203")</f>
        <v>Rua Abele José Deimoni, 233 AP 203</v>
      </c>
      <c r="AB286" s="1" t="str">
        <f>IFERROR(__xludf.DUMMYFUNCTION("""COMPUTED_VALUE"""),"do Parque")</f>
        <v>do Parque</v>
      </c>
      <c r="AC286" s="1" t="str">
        <f>IFERROR(__xludf.DUMMYFUNCTION("""COMPUTED_VALUE"""),"M")</f>
        <v>M</v>
      </c>
      <c r="AD286" s="1" t="str">
        <f>IFERROR(__xludf.DUMMYFUNCTION("""COMPUTED_VALUE"""),"M")</f>
        <v>M</v>
      </c>
      <c r="AE286" s="1" t="str">
        <f>IFERROR(__xludf.DUMMYFUNCTION("""COMPUTED_VALUE"""),"M")</f>
        <v>M</v>
      </c>
      <c r="AF286" s="1" t="str">
        <f>IFERROR(__xludf.DUMMYFUNCTION("""COMPUTED_VALUE"""),"M")</f>
        <v>M</v>
      </c>
      <c r="AG286" s="1" t="str">
        <f>IFERROR(__xludf.DUMMYFUNCTION("""COMPUTED_VALUE"""),"G")</f>
        <v>G</v>
      </c>
      <c r="AH286" s="1">
        <f>IFERROR(__xludf.DUMMYFUNCTION("""COMPUTED_VALUE"""),38)</f>
        <v>38</v>
      </c>
      <c r="AI286" s="1">
        <f>IFERROR(__xludf.DUMMYFUNCTION("""COMPUTED_VALUE"""),38)</f>
        <v>38</v>
      </c>
      <c r="AJ286" s="1">
        <f>IFERROR(__xludf.DUMMYFUNCTION("""COMPUTED_VALUE"""),38)</f>
        <v>38</v>
      </c>
      <c r="AK286" s="1">
        <f>IFERROR(__xludf.DUMMYFUNCTION("""COMPUTED_VALUE"""),38)</f>
        <v>38</v>
      </c>
      <c r="AL286" s="1" t="str">
        <f>IFERROR(__xludf.DUMMYFUNCTION("""COMPUTED_VALUE"""),"M")</f>
        <v>M</v>
      </c>
      <c r="AM286" s="1" t="str">
        <f>IFERROR(__xludf.DUMMYFUNCTION("""COMPUTED_VALUE"""),"M")</f>
        <v>M</v>
      </c>
      <c r="AN286" s="1" t="str">
        <f>IFERROR(__xludf.DUMMYFUNCTION("""COMPUTED_VALUE"""),"G")</f>
        <v>G</v>
      </c>
    </row>
    <row r="287" customHeight="1" spans="1:40">
      <c r="A287" s="1"/>
      <c r="B287" s="1"/>
      <c r="C287" s="119"/>
      <c r="D287" s="1" t="str">
        <f>IFERROR(__xludf.DUMMYFUNCTION("""COMPUTED_VALUE"""),"DÉBORA CRISTIAN NUNES")</f>
        <v>DÉBORA CRISTIAN NUNES</v>
      </c>
      <c r="E287" s="1" t="str">
        <f>IFERROR(__xludf.DUMMYFUNCTION("""COMPUTED_VALUE"""),"Curso CAB operador concluído")</f>
        <v>Curso CAB operador concluído</v>
      </c>
      <c r="F287" s="1" t="str">
        <f>IFERROR(__xludf.DUMMYFUNCTION("""COMPUTED_VALUE"""),"815.411.710-04")</f>
        <v>815.411.710-04</v>
      </c>
      <c r="G287" s="1"/>
      <c r="H287" s="1"/>
      <c r="I287" s="1"/>
      <c r="J287" s="1"/>
      <c r="K287" s="1"/>
      <c r="L287" s="1"/>
      <c r="M287" s="1"/>
      <c r="N287" s="120"/>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row>
    <row r="288" customHeight="1" spans="1:40">
      <c r="A288" s="1" t="str">
        <f>IFERROR(__xludf.DUMMYFUNCTION("""COMPUTED_VALUE"""),"05° BBM")</f>
        <v>05° BBM</v>
      </c>
      <c r="B288" s="1" t="str">
        <f>IFERROR(__xludf.DUMMYFUNCTION("""COMPUTED_VALUE"""),"CANELA")</f>
        <v>CANELA</v>
      </c>
      <c r="C288" s="119" t="str">
        <f>IFERROR(__xludf.DUMMYFUNCTION("""COMPUTED_VALUE"""),"Municipal")</f>
        <v>Municipal</v>
      </c>
      <c r="D288" s="1" t="str">
        <f>IFERROR(__xludf.DUMMYFUNCTION("""COMPUTED_VALUE"""),"DENISE TERESINHA ZINI")</f>
        <v>DENISE TERESINHA ZINI</v>
      </c>
      <c r="E288" s="119" t="str">
        <f>IFERROR(__xludf.DUMMYFUNCTION("""COMPUTED_VALUE"""),"")</f>
        <v/>
      </c>
      <c r="F288" s="1"/>
      <c r="G288" s="1"/>
      <c r="H288" s="1" t="str">
        <f>IFERROR(__xludf.DUMMYFUNCTION("""COMPUTED_VALUE"""),"AUX ADMINISTRATIVA")</f>
        <v>AUX ADMINISTRATIVA</v>
      </c>
      <c r="I288" s="1" t="str">
        <f>IFERROR(__xludf.DUMMYFUNCTION("""COMPUTED_VALUE"""),"APH,Defesa civil, RT 14")</f>
        <v>APH,Defesa civil, RT 14</v>
      </c>
      <c r="J288" s="1" t="str">
        <f>IFERROR(__xludf.DUMMYFUNCTION("""COMPUTED_VALUE"""),"Não")</f>
        <v>Não</v>
      </c>
      <c r="K288" s="1" t="str">
        <f>IFERROR(__xludf.DUMMYFUNCTION("""COMPUTED_VALUE"""),"Não")</f>
        <v>Não</v>
      </c>
      <c r="L288" s="1" t="str">
        <f>IFERROR(__xludf.DUMMYFUNCTION("""COMPUTED_VALUE"""),"B+")</f>
        <v>B+</v>
      </c>
      <c r="M288" s="1" t="str">
        <f>IFERROR(__xludf.DUMMYFUNCTION("""COMPUTED_VALUE"""),"DENISE")</f>
        <v>DENISE</v>
      </c>
      <c r="N288" s="120">
        <f>IFERROR(__xludf.DUMMYFUNCTION("""COMPUTED_VALUE"""),25380)</f>
        <v>25380</v>
      </c>
      <c r="O288" s="1" t="str">
        <f>IFERROR(__xludf.DUMMYFUNCTION("""COMPUTED_VALUE"""),"Feminino")</f>
        <v>Feminino</v>
      </c>
      <c r="P288" s="1" t="str">
        <f>IFERROR(__xludf.DUMMYFUNCTION("""COMPUTED_VALUE"""),"Branca")</f>
        <v>Branca</v>
      </c>
      <c r="Q288" s="1" t="str">
        <f>IFERROR(__xludf.DUMMYFUNCTION("""COMPUTED_VALUE"""),"Ensino Médio")</f>
        <v>Ensino Médio</v>
      </c>
      <c r="R288" s="1" t="str">
        <f>IFERROR(__xludf.DUMMYFUNCTION("""COMPUTED_VALUE"""),"denise.zini2018@gmail.com")</f>
        <v>denise.zini2018@gmail.com</v>
      </c>
      <c r="S288" s="1">
        <f>IFERROR(__xludf.DUMMYFUNCTION("""COMPUTED_VALUE"""),71)</f>
        <v>71</v>
      </c>
      <c r="T288" s="1" t="str">
        <f>IFERROR(__xludf.DUMMYFUNCTION("""COMPUTED_VALUE"""),"Entre 1,61m e 1,65m")</f>
        <v>Entre 1,61m e 1,65m</v>
      </c>
      <c r="U288" s="1"/>
      <c r="V288" s="1">
        <f>IFERROR(__xludf.DUMMYFUNCTION("""COMPUTED_VALUE"""),54981187086)</f>
        <v>54981187086</v>
      </c>
      <c r="W288" s="1">
        <f>IFERROR(__xludf.DUMMYFUNCTION("""COMPUTED_VALUE"""),5432825177)</f>
        <v>5432825177</v>
      </c>
      <c r="X288" s="1" t="str">
        <f>IFERROR(__xludf.DUMMYFUNCTION("""COMPUTED_VALUE"""),"RS")</f>
        <v>RS</v>
      </c>
      <c r="Y288" s="1" t="str">
        <f>IFERROR(__xludf.DUMMYFUNCTION("""COMPUTED_VALUE"""),"Canela")</f>
        <v>Canela</v>
      </c>
      <c r="Z288" s="1">
        <f>IFERROR(__xludf.DUMMYFUNCTION("""COMPUTED_VALUE"""),95680000)</f>
        <v>95680000</v>
      </c>
      <c r="AA288" s="1" t="str">
        <f>IFERROR(__xludf.DUMMYFUNCTION("""COMPUTED_VALUE"""),"rua tenente manoel correa ")</f>
        <v>rua tenente manoel correa </v>
      </c>
      <c r="AB288" s="1" t="str">
        <f>IFERROR(__xludf.DUMMYFUNCTION("""COMPUTED_VALUE"""),"vila suzana")</f>
        <v>vila suzana</v>
      </c>
      <c r="AC288" s="1" t="str">
        <f>IFERROR(__xludf.DUMMYFUNCTION("""COMPUTED_VALUE"""),"M")</f>
        <v>M</v>
      </c>
      <c r="AD288" s="1" t="str">
        <f>IFERROR(__xludf.DUMMYFUNCTION("""COMPUTED_VALUE"""),"M")</f>
        <v>M</v>
      </c>
      <c r="AE288" s="1" t="str">
        <f>IFERROR(__xludf.DUMMYFUNCTION("""COMPUTED_VALUE"""),"M")</f>
        <v>M</v>
      </c>
      <c r="AF288" s="1" t="str">
        <f>IFERROR(__xludf.DUMMYFUNCTION("""COMPUTED_VALUE"""),"M")</f>
        <v>M</v>
      </c>
      <c r="AG288" s="1" t="str">
        <f>IFERROR(__xludf.DUMMYFUNCTION("""COMPUTED_VALUE"""),"M")</f>
        <v>M</v>
      </c>
      <c r="AH288" s="1">
        <f>IFERROR(__xludf.DUMMYFUNCTION("""COMPUTED_VALUE"""),37)</f>
        <v>37</v>
      </c>
      <c r="AI288" s="1">
        <f>IFERROR(__xludf.DUMMYFUNCTION("""COMPUTED_VALUE"""),37)</f>
        <v>37</v>
      </c>
      <c r="AJ288" s="1">
        <f>IFERROR(__xludf.DUMMYFUNCTION("""COMPUTED_VALUE"""),37)</f>
        <v>37</v>
      </c>
      <c r="AK288" s="1">
        <f>IFERROR(__xludf.DUMMYFUNCTION("""COMPUTED_VALUE"""),37)</f>
        <v>37</v>
      </c>
      <c r="AL288" s="1" t="str">
        <f>IFERROR(__xludf.DUMMYFUNCTION("""COMPUTED_VALUE"""),"M")</f>
        <v>M</v>
      </c>
      <c r="AM288" s="1" t="str">
        <f>IFERROR(__xludf.DUMMYFUNCTION("""COMPUTED_VALUE"""),"M")</f>
        <v>M</v>
      </c>
      <c r="AN288" s="1" t="str">
        <f>IFERROR(__xludf.DUMMYFUNCTION("""COMPUTED_VALUE"""),"M")</f>
        <v>M</v>
      </c>
    </row>
    <row r="289" customHeight="1" spans="1:40">
      <c r="A289" s="1"/>
      <c r="B289" s="1"/>
      <c r="C289" s="119"/>
      <c r="D289" s="1" t="str">
        <f>IFERROR(__xludf.DUMMYFUNCTION("""COMPUTED_VALUE"""),"DIEGO LEONARDO MONTEIRO ALVES")</f>
        <v>DIEGO LEONARDO MONTEIRO ALVES</v>
      </c>
      <c r="E289" s="1" t="str">
        <f>IFERROR(__xludf.DUMMYFUNCTION("""COMPUTED_VALUE"""),"Curso CAB operador concluído")</f>
        <v>Curso CAB operador concluído</v>
      </c>
      <c r="F289" s="1" t="str">
        <f>IFERROR(__xludf.DUMMYFUNCTION("""COMPUTED_VALUE"""),"020.028.560-29")</f>
        <v>020.028.560-29</v>
      </c>
      <c r="G289" s="1"/>
      <c r="H289" s="1"/>
      <c r="I289" s="1"/>
      <c r="J289" s="1"/>
      <c r="K289" s="1"/>
      <c r="L289" s="1"/>
      <c r="M289" s="1"/>
      <c r="N289" s="120"/>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row>
    <row r="290" customHeight="1" spans="1:40">
      <c r="A290" s="1"/>
      <c r="B290" s="1"/>
      <c r="C290" s="119"/>
      <c r="D290" s="1" t="str">
        <f>IFERROR(__xludf.DUMMYFUNCTION("""COMPUTED_VALUE"""),"DIEGO SILVA")</f>
        <v>DIEGO SILVA</v>
      </c>
      <c r="E290" s="1" t="str">
        <f>IFERROR(__xludf.DUMMYFUNCTION("""COMPUTED_VALUE"""),"Curso CAB operador concluído")</f>
        <v>Curso CAB operador concluído</v>
      </c>
      <c r="F290" s="1" t="str">
        <f>IFERROR(__xludf.DUMMYFUNCTION("""COMPUTED_VALUE"""),"014.017.510-59")</f>
        <v>014.017.510-59</v>
      </c>
      <c r="G290" s="1"/>
      <c r="H290" s="1"/>
      <c r="I290" s="1"/>
      <c r="J290" s="1"/>
      <c r="K290" s="1"/>
      <c r="L290" s="1"/>
      <c r="M290" s="1"/>
      <c r="N290" s="120"/>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row>
    <row r="291" customHeight="1" spans="1:40">
      <c r="A291" s="1" t="str">
        <f>IFERROR(__xludf.DUMMYFUNCTION("""COMPUTED_VALUE"""),"05° BBM")</f>
        <v>05° BBM</v>
      </c>
      <c r="B291" s="1" t="str">
        <f>IFERROR(__xludf.DUMMYFUNCTION("""COMPUTED_VALUE"""),"VACARIA/MUITOS CAPÕES")</f>
        <v>VACARIA/MUITOS CAPÕES</v>
      </c>
      <c r="C291" s="119" t="str">
        <f>IFERROR(__xludf.DUMMYFUNCTION("""COMPUTED_VALUE"""),"Municipal")</f>
        <v>Municipal</v>
      </c>
      <c r="D291" s="1" t="str">
        <f>IFERROR(__xludf.DUMMYFUNCTION("""COMPUTED_VALUE"""),"DIENIFER OLIVEIRA")</f>
        <v>DIENIFER OLIVEIRA</v>
      </c>
      <c r="E291" s="119" t="str">
        <f>IFERROR(__xludf.DUMMYFUNCTION("""COMPUTED_VALUE"""),"Módulo 1 concluído")</f>
        <v>Módulo 1 concluído</v>
      </c>
      <c r="F291" s="1" t="str">
        <f>IFERROR(__xludf.DUMMYFUNCTION("""COMPUTED_VALUE"""),"048.873.410-08")</f>
        <v>048.873.410-08</v>
      </c>
      <c r="G291" s="1">
        <f>IFERROR(__xludf.DUMMYFUNCTION("""COMPUTED_VALUE"""),4104655438)</f>
        <v>4104655438</v>
      </c>
      <c r="H291" s="1" t="str">
        <f>IFERROR(__xludf.DUMMYFUNCTION("""COMPUTED_VALUE"""),"COMBATENTE")</f>
        <v>COMBATENTE</v>
      </c>
      <c r="I291" s="1" t="str">
        <f>IFERROR(__xludf.DUMMYFUNCTION("""COMPUTED_VALUE"""),"Ensino médio")</f>
        <v>Ensino médio</v>
      </c>
      <c r="J291" s="1" t="str">
        <f>IFERROR(__xludf.DUMMYFUNCTION("""COMPUTED_VALUE"""),"Sim")</f>
        <v>Sim</v>
      </c>
      <c r="K291" s="1" t="str">
        <f>IFERROR(__xludf.DUMMYFUNCTION("""COMPUTED_VALUE"""),"Não")</f>
        <v>Não</v>
      </c>
      <c r="L291" s="1" t="str">
        <f>IFERROR(__xludf.DUMMYFUNCTION("""COMPUTED_VALUE"""),"A+")</f>
        <v>A+</v>
      </c>
      <c r="M291" s="1" t="str">
        <f>IFERROR(__xludf.DUMMYFUNCTION("""COMPUTED_VALUE"""),"OLIVEIRA")</f>
        <v>OLIVEIRA</v>
      </c>
      <c r="N291" s="120">
        <f>IFERROR(__xludf.DUMMYFUNCTION("""COMPUTED_VALUE"""),36220)</f>
        <v>36220</v>
      </c>
      <c r="O291" s="1" t="str">
        <f>IFERROR(__xludf.DUMMYFUNCTION("""COMPUTED_VALUE"""),"Feminino")</f>
        <v>Feminino</v>
      </c>
      <c r="P291" s="1" t="str">
        <f>IFERROR(__xludf.DUMMYFUNCTION("""COMPUTED_VALUE"""),"Parda")</f>
        <v>Parda</v>
      </c>
      <c r="Q291" s="1" t="str">
        <f>IFERROR(__xludf.DUMMYFUNCTION("""COMPUTED_VALUE"""),"Ensino Superior Incompleto")</f>
        <v>Ensino Superior Incompleto</v>
      </c>
      <c r="R291" s="128" t="str">
        <f>IFERROR(__xludf.DUMMYFUNCTION("""COMPUTED_VALUE"""),"dieniferoliveira194@gmail.com")</f>
        <v>dieniferoliveira194@gmail.com</v>
      </c>
      <c r="S291" s="1">
        <f>IFERROR(__xludf.DUMMYFUNCTION("""COMPUTED_VALUE"""),60)</f>
        <v>60</v>
      </c>
      <c r="T291" s="1" t="str">
        <f>IFERROR(__xludf.DUMMYFUNCTION("""COMPUTED_VALUE"""),"Entre 1,61m e 1,65m")</f>
        <v>Entre 1,61m e 1,65m</v>
      </c>
      <c r="U291" s="1"/>
      <c r="V291" s="1" t="str">
        <f>IFERROR(__xludf.DUMMYFUNCTION("""COMPUTED_VALUE"""),"54 999143840")</f>
        <v>54 999143840</v>
      </c>
      <c r="W291" s="1" t="str">
        <f>IFERROR(__xludf.DUMMYFUNCTION("""COMPUTED_VALUE"""),"54 996574174")</f>
        <v>54 996574174</v>
      </c>
      <c r="X291" s="1" t="str">
        <f>IFERROR(__xludf.DUMMYFUNCTION("""COMPUTED_VALUE"""),"RS")</f>
        <v>RS</v>
      </c>
      <c r="Y291" s="1" t="str">
        <f>IFERROR(__xludf.DUMMYFUNCTION("""COMPUTED_VALUE"""),"Muitos Capões")</f>
        <v>Muitos Capões</v>
      </c>
      <c r="Z291" s="1" t="str">
        <f>IFERROR(__xludf.DUMMYFUNCTION("""COMPUTED_VALUE"""),"95230-000")</f>
        <v>95230-000</v>
      </c>
      <c r="AA291" s="1" t="str">
        <f>IFERROR(__xludf.DUMMYFUNCTION("""COMPUTED_VALUE"""),"BR 285, KM 159")</f>
        <v>BR 285, KM 159</v>
      </c>
      <c r="AB291" s="1" t="str">
        <f>IFERROR(__xludf.DUMMYFUNCTION("""COMPUTED_VALUE"""),"CENTRO")</f>
        <v>CENTRO</v>
      </c>
      <c r="AC291" s="1" t="str">
        <f>IFERROR(__xludf.DUMMYFUNCTION("""COMPUTED_VALUE"""),"P")</f>
        <v>P</v>
      </c>
      <c r="AD291" s="1" t="str">
        <f>IFERROR(__xludf.DUMMYFUNCTION("""COMPUTED_VALUE"""),"P")</f>
        <v>P</v>
      </c>
      <c r="AE291" s="1" t="str">
        <f>IFERROR(__xludf.DUMMYFUNCTION("""COMPUTED_VALUE"""),"P")</f>
        <v>P</v>
      </c>
      <c r="AF291" s="1" t="str">
        <f>IFERROR(__xludf.DUMMYFUNCTION("""COMPUTED_VALUE"""),"P")</f>
        <v>P</v>
      </c>
      <c r="AG291" s="1" t="str">
        <f>IFERROR(__xludf.DUMMYFUNCTION("""COMPUTED_VALUE"""),"P")</f>
        <v>P</v>
      </c>
      <c r="AH291" s="1">
        <f>IFERROR(__xludf.DUMMYFUNCTION("""COMPUTED_VALUE"""),37)</f>
        <v>37</v>
      </c>
      <c r="AI291" s="1">
        <f>IFERROR(__xludf.DUMMYFUNCTION("""COMPUTED_VALUE"""),37)</f>
        <v>37</v>
      </c>
      <c r="AJ291" s="1">
        <f>IFERROR(__xludf.DUMMYFUNCTION("""COMPUTED_VALUE"""),37)</f>
        <v>37</v>
      </c>
      <c r="AK291" s="1">
        <f>IFERROR(__xludf.DUMMYFUNCTION("""COMPUTED_VALUE"""),37)</f>
        <v>37</v>
      </c>
      <c r="AL291" s="1" t="str">
        <f>IFERROR(__xludf.DUMMYFUNCTION("""COMPUTED_VALUE"""),"P")</f>
        <v>P</v>
      </c>
      <c r="AM291" s="1" t="str">
        <f>IFERROR(__xludf.DUMMYFUNCTION("""COMPUTED_VALUE"""),"P")</f>
        <v>P</v>
      </c>
      <c r="AN291" s="1" t="str">
        <f>IFERROR(__xludf.DUMMYFUNCTION("""COMPUTED_VALUE"""),"P")</f>
        <v>P</v>
      </c>
    </row>
    <row r="292" customHeight="1" spans="1:40">
      <c r="A292" s="1"/>
      <c r="B292" s="1"/>
      <c r="C292" s="119"/>
      <c r="D292" s="1" t="str">
        <f>IFERROR(__xludf.DUMMYFUNCTION("""COMPUTED_VALUE"""),"DIOZAS SILVA OLIVEIRA")</f>
        <v>DIOZAS SILVA OLIVEIRA</v>
      </c>
      <c r="E292" s="1" t="str">
        <f>IFERROR(__xludf.DUMMYFUNCTION("""COMPUTED_VALUE"""),"Módulo 1 concluído")</f>
        <v>Módulo 1 concluído</v>
      </c>
      <c r="F292" s="1" t="str">
        <f>IFERROR(__xludf.DUMMYFUNCTION("""COMPUTED_VALUE"""),"007.944.850-06")</f>
        <v>007.944.850-06</v>
      </c>
      <c r="G292" s="1"/>
      <c r="H292" s="1"/>
      <c r="I292" s="1"/>
      <c r="J292" s="1"/>
      <c r="K292" s="1"/>
      <c r="L292" s="1"/>
      <c r="M292" s="1"/>
      <c r="N292" s="120"/>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row>
    <row r="293" customHeight="1" spans="1:40">
      <c r="A293" s="1"/>
      <c r="B293" s="1"/>
      <c r="C293" s="119"/>
      <c r="D293" s="1" t="str">
        <f>IFERROR(__xludf.DUMMYFUNCTION("""COMPUTED_VALUE"""),"DJAVAN LIMA DA SILVA")</f>
        <v>DJAVAN LIMA DA SILVA</v>
      </c>
      <c r="E293" s="1" t="str">
        <f>IFERROR(__xludf.DUMMYFUNCTION("""COMPUTED_VALUE"""),"Curso CAB operador concluído")</f>
        <v>Curso CAB operador concluído</v>
      </c>
      <c r="F293" s="1" t="str">
        <f>IFERROR(__xludf.DUMMYFUNCTION("""COMPUTED_VALUE"""),"033.068.180-03")</f>
        <v>033.068.180-03</v>
      </c>
      <c r="G293" s="1"/>
      <c r="H293" s="1"/>
      <c r="I293" s="1"/>
      <c r="J293" s="1"/>
      <c r="K293" s="1"/>
      <c r="L293" s="1"/>
      <c r="M293" s="1"/>
      <c r="N293" s="120"/>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row>
    <row r="294" customHeight="1" spans="1:40">
      <c r="A294" s="1" t="str">
        <f>IFERROR(__xludf.DUMMYFUNCTION("""COMPUTED_VALUE"""),"05° BBM")</f>
        <v>05° BBM</v>
      </c>
      <c r="B294" s="1" t="str">
        <f>IFERROR(__xludf.DUMMYFUNCTION("""COMPUTED_VALUE"""),"VACARIA/MUITOS CAPÕES")</f>
        <v>VACARIA/MUITOS CAPÕES</v>
      </c>
      <c r="C294" s="119" t="str">
        <f>IFERROR(__xludf.DUMMYFUNCTION("""COMPUTED_VALUE"""),"Municipal")</f>
        <v>Municipal</v>
      </c>
      <c r="D294" s="1" t="str">
        <f>IFERROR(__xludf.DUMMYFUNCTION("""COMPUTED_VALUE"""),"DOUGLAS PINTER MOREIRA")</f>
        <v>DOUGLAS PINTER MOREIRA</v>
      </c>
      <c r="E294" s="119" t="str">
        <f>IFERROR(__xludf.DUMMYFUNCTION("""COMPUTED_VALUE"""),"Módulo 1 concluído")</f>
        <v>Módulo 1 concluído</v>
      </c>
      <c r="F294" s="1" t="str">
        <f>IFERROR(__xludf.DUMMYFUNCTION("""COMPUTED_VALUE"""),"995 434 270 20")</f>
        <v>995 434 270 20</v>
      </c>
      <c r="G294" s="1">
        <f>IFERROR(__xludf.DUMMYFUNCTION("""COMPUTED_VALUE"""),6063370081)</f>
        <v>6063370081</v>
      </c>
      <c r="H294" s="1" t="str">
        <f>IFERROR(__xludf.DUMMYFUNCTION("""COMPUTED_VALUE"""),"COORDENADOR SCAB MUITOS CAPÕES / MOTORISTA/ COMBATENTE")</f>
        <v>COORDENADOR SCAB MUITOS CAPÕES / MOTORISTA/ COMBATENTE</v>
      </c>
      <c r="I294" s="1" t="str">
        <f>IFERROR(__xludf.DUMMYFUNCTION("""COMPUTED_VALUE"""),"ENSINO SUPERIOR COMPLETO")</f>
        <v>ENSINO SUPERIOR COMPLETO</v>
      </c>
      <c r="J294" s="1" t="str">
        <f>IFERROR(__xludf.DUMMYFUNCTION("""COMPUTED_VALUE"""),"Sim")</f>
        <v>Sim</v>
      </c>
      <c r="K294" s="1" t="str">
        <f>IFERROR(__xludf.DUMMYFUNCTION("""COMPUTED_VALUE"""),"Não")</f>
        <v>Não</v>
      </c>
      <c r="L294" s="1" t="str">
        <f>IFERROR(__xludf.DUMMYFUNCTION("""COMPUTED_VALUE"""),"B+")</f>
        <v>B+</v>
      </c>
      <c r="M294" s="1" t="str">
        <f>IFERROR(__xludf.DUMMYFUNCTION("""COMPUTED_VALUE"""),"DOUGLAS")</f>
        <v>DOUGLAS</v>
      </c>
      <c r="N294" s="120">
        <f>IFERROR(__xludf.DUMMYFUNCTION("""COMPUTED_VALUE"""),29781)</f>
        <v>29781</v>
      </c>
      <c r="O294" s="1" t="str">
        <f>IFERROR(__xludf.DUMMYFUNCTION("""COMPUTED_VALUE"""),"Masculino")</f>
        <v>Masculino</v>
      </c>
      <c r="P294" s="1" t="str">
        <f>IFERROR(__xludf.DUMMYFUNCTION("""COMPUTED_VALUE"""),"Branca")</f>
        <v>Branca</v>
      </c>
      <c r="Q294" s="1" t="str">
        <f>IFERROR(__xludf.DUMMYFUNCTION("""COMPUTED_VALUE"""),"Ensino Superior Completo")</f>
        <v>Ensino Superior Completo</v>
      </c>
      <c r="R294" s="128" t="str">
        <f>IFERROR(__xludf.DUMMYFUNCTION("""COMPUTED_VALUE"""),"douglas.pinter@hotmail.com")</f>
        <v>douglas.pinter@hotmail.com</v>
      </c>
      <c r="S294" s="1">
        <f>IFERROR(__xludf.DUMMYFUNCTION("""COMPUTED_VALUE"""),128)</f>
        <v>128</v>
      </c>
      <c r="T294" s="1" t="str">
        <f>IFERROR(__xludf.DUMMYFUNCTION("""COMPUTED_VALUE"""),"Entre 1,86m e 1,90m")</f>
        <v>Entre 1,86m e 1,90m</v>
      </c>
      <c r="U294" s="1"/>
      <c r="V294" s="1" t="str">
        <f>IFERROR(__xludf.DUMMYFUNCTION("""COMPUTED_VALUE"""),"54 9 9943 2495")</f>
        <v>54 9 9943 2495</v>
      </c>
      <c r="W294" s="1" t="str">
        <f>IFERROR(__xludf.DUMMYFUNCTION("""COMPUTED_VALUE"""),"54 9 9917 8123")</f>
        <v>54 9 9917 8123</v>
      </c>
      <c r="X294" s="1" t="str">
        <f>IFERROR(__xludf.DUMMYFUNCTION("""COMPUTED_VALUE"""),"RS")</f>
        <v>RS</v>
      </c>
      <c r="Y294" s="1" t="str">
        <f>IFERROR(__xludf.DUMMYFUNCTION("""COMPUTED_VALUE"""),"Muitos Capões")</f>
        <v>Muitos Capões</v>
      </c>
      <c r="Z294" s="1" t="str">
        <f>IFERROR(__xludf.DUMMYFUNCTION("""COMPUTED_VALUE"""),"95230-000")</f>
        <v>95230-000</v>
      </c>
      <c r="AA294" s="1" t="str">
        <f>IFERROR(__xludf.DUMMYFUNCTION("""COMPUTED_VALUE"""),"RUA EMILIO TSCHOEPK 255")</f>
        <v>RUA EMILIO TSCHOEPK 255</v>
      </c>
      <c r="AB294" s="1" t="str">
        <f>IFERROR(__xludf.DUMMYFUNCTION("""COMPUTED_VALUE"""),"CENTRO")</f>
        <v>CENTRO</v>
      </c>
      <c r="AC294" s="1" t="str">
        <f>IFERROR(__xludf.DUMMYFUNCTION("""COMPUTED_VALUE"""),"EXG")</f>
        <v>EXG</v>
      </c>
      <c r="AD294" s="1" t="str">
        <f>IFERROR(__xludf.DUMMYFUNCTION("""COMPUTED_VALUE"""),"EXG")</f>
        <v>EXG</v>
      </c>
      <c r="AE294" s="1" t="str">
        <f>IFERROR(__xludf.DUMMYFUNCTION("""COMPUTED_VALUE"""),"EXG")</f>
        <v>EXG</v>
      </c>
      <c r="AF294" s="1" t="str">
        <f>IFERROR(__xludf.DUMMYFUNCTION("""COMPUTED_VALUE"""),"EXG")</f>
        <v>EXG</v>
      </c>
      <c r="AG294" s="1" t="str">
        <f>IFERROR(__xludf.DUMMYFUNCTION("""COMPUTED_VALUE"""),"EXG")</f>
        <v>EXG</v>
      </c>
      <c r="AH294" s="1">
        <f>IFERROR(__xludf.DUMMYFUNCTION("""COMPUTED_VALUE"""),43)</f>
        <v>43</v>
      </c>
      <c r="AI294" s="1">
        <f>IFERROR(__xludf.DUMMYFUNCTION("""COMPUTED_VALUE"""),43)</f>
        <v>43</v>
      </c>
      <c r="AJ294" s="1">
        <f>IFERROR(__xludf.DUMMYFUNCTION("""COMPUTED_VALUE"""),43)</f>
        <v>43</v>
      </c>
      <c r="AK294" s="1">
        <f>IFERROR(__xludf.DUMMYFUNCTION("""COMPUTED_VALUE"""),43)</f>
        <v>43</v>
      </c>
      <c r="AL294" s="1" t="str">
        <f>IFERROR(__xludf.DUMMYFUNCTION("""COMPUTED_VALUE"""),"EXG")</f>
        <v>EXG</v>
      </c>
      <c r="AM294" s="1" t="str">
        <f>IFERROR(__xludf.DUMMYFUNCTION("""COMPUTED_VALUE"""),"EXG")</f>
        <v>EXG</v>
      </c>
      <c r="AN294" s="1" t="str">
        <f>IFERROR(__xludf.DUMMYFUNCTION("""COMPUTED_VALUE"""),"G")</f>
        <v>G</v>
      </c>
    </row>
    <row r="295" customHeight="1" spans="1:40">
      <c r="A295" s="1" t="str">
        <f>IFERROR(__xludf.DUMMYFUNCTION("""COMPUTED_VALUE"""),"05° BBM")</f>
        <v>05° BBM</v>
      </c>
      <c r="B295" s="1" t="str">
        <f>IFERROR(__xludf.DUMMYFUNCTION("""COMPUTED_VALUE"""),"Feliz")</f>
        <v>Feliz</v>
      </c>
      <c r="C295" s="119" t="str">
        <f>IFERROR(__xludf.DUMMYFUNCTION("""COMPUTED_VALUE"""),"CAB")</f>
        <v>CAB</v>
      </c>
      <c r="D295" s="1" t="str">
        <f>IFERROR(__xludf.DUMMYFUNCTION("""COMPUTED_VALUE"""),"EDELVAIS HAHN")</f>
        <v>EDELVAIS HAHN</v>
      </c>
      <c r="E295" s="119" t="str">
        <f>IFERROR(__xludf.DUMMYFUNCTION("""COMPUTED_VALUE"""),"Módulo 1 concluído")</f>
        <v>Módulo 1 concluído</v>
      </c>
      <c r="F295" s="1" t="str">
        <f>IFERROR(__xludf.DUMMYFUNCTION("""COMPUTED_VALUE"""),"943.981.350-49")</f>
        <v>943.981.350-49</v>
      </c>
      <c r="G295" s="1">
        <f>IFERROR(__xludf.DUMMYFUNCTION("""COMPUTED_VALUE"""),4040747149)</f>
        <v>4040747149</v>
      </c>
      <c r="H295" s="1" t="str">
        <f>IFERROR(__xludf.DUMMYFUNCTION("""COMPUTED_VALUE"""),"Atendente e Operador")</f>
        <v>Atendente e Operador</v>
      </c>
      <c r="I295" s="1"/>
      <c r="J295" s="1" t="str">
        <f>IFERROR(__xludf.DUMMYFUNCTION("""COMPUTED_VALUE"""),"Sim")</f>
        <v>Sim</v>
      </c>
      <c r="K295" s="1" t="str">
        <f>IFERROR(__xludf.DUMMYFUNCTION("""COMPUTED_VALUE"""),"Não")</f>
        <v>Não</v>
      </c>
      <c r="L295" s="1" t="str">
        <f>IFERROR(__xludf.DUMMYFUNCTION("""COMPUTED_VALUE"""),"O+")</f>
        <v>O+</v>
      </c>
      <c r="M295" s="1" t="str">
        <f>IFERROR(__xludf.DUMMYFUNCTION("""COMPUTED_VALUE"""),"EDELVAIS")</f>
        <v>EDELVAIS</v>
      </c>
      <c r="N295" s="120">
        <f>IFERROR(__xludf.DUMMYFUNCTION("""COMPUTED_VALUE"""),27147)</f>
        <v>27147</v>
      </c>
      <c r="O295" s="1" t="str">
        <f>IFERROR(__xludf.DUMMYFUNCTION("""COMPUTED_VALUE"""),"Feminino")</f>
        <v>Feminino</v>
      </c>
      <c r="P295" s="1" t="str">
        <f>IFERROR(__xludf.DUMMYFUNCTION("""COMPUTED_VALUE"""),"Branca")</f>
        <v>Branca</v>
      </c>
      <c r="Q295" s="1" t="str">
        <f>IFERROR(__xludf.DUMMYFUNCTION("""COMPUTED_VALUE"""),"Superior Completo")</f>
        <v>Superior Completo</v>
      </c>
      <c r="R295" s="1" t="str">
        <f>IFERROR(__xludf.DUMMYFUNCTION("""COMPUTED_VALUE"""),"edelvaishahn21@gmail.com")</f>
        <v>edelvaishahn21@gmail.com</v>
      </c>
      <c r="S295" s="1">
        <f>IFERROR(__xludf.DUMMYFUNCTION("""COMPUTED_VALUE"""),65)</f>
        <v>65</v>
      </c>
      <c r="T295" s="1" t="str">
        <f>IFERROR(__xludf.DUMMYFUNCTION("""COMPUTED_VALUE"""),"Entre 1,61m e 1,65m")</f>
        <v>Entre 1,61m e 1,65m</v>
      </c>
      <c r="U295" s="1"/>
      <c r="V295" s="1" t="str">
        <f>IFERROR(__xludf.DUMMYFUNCTION("""COMPUTED_VALUE"""),"(51)998557745")</f>
        <v>(51)998557745</v>
      </c>
      <c r="W295" s="1" t="str">
        <f>IFERROR(__xludf.DUMMYFUNCTION("""COMPUTED_VALUE"""),"(51)3637-1500")</f>
        <v>(51)3637-1500</v>
      </c>
      <c r="X295" s="1" t="str">
        <f>IFERROR(__xludf.DUMMYFUNCTION("""COMPUTED_VALUE"""),"RS")</f>
        <v>RS</v>
      </c>
      <c r="Y295" s="1" t="str">
        <f>IFERROR(__xludf.DUMMYFUNCTION("""COMPUTED_VALUE"""),"Feliz")</f>
        <v>Feliz</v>
      </c>
      <c r="Z295" s="1" t="str">
        <f>IFERROR(__xludf.DUMMYFUNCTION("""COMPUTED_VALUE"""),"95770-000")</f>
        <v>95770-000</v>
      </c>
      <c r="AA295" s="1" t="str">
        <f>IFERROR(__xludf.DUMMYFUNCTION("""COMPUTED_VALUE"""),"Rua Lauro Bruno Rott, 27")</f>
        <v>Rua Lauro Bruno Rott, 27</v>
      </c>
      <c r="AB295" s="1" t="str">
        <f>IFERROR(__xludf.DUMMYFUNCTION("""COMPUTED_VALUE"""),"Matiel")</f>
        <v>Matiel</v>
      </c>
      <c r="AC295" s="1" t="str">
        <f>IFERROR(__xludf.DUMMYFUNCTION("""COMPUTED_VALUE"""),"G")</f>
        <v>G</v>
      </c>
      <c r="AD295" s="1" t="str">
        <f>IFERROR(__xludf.DUMMYFUNCTION("""COMPUTED_VALUE"""),"G")</f>
        <v>G</v>
      </c>
      <c r="AE295" s="1" t="str">
        <f>IFERROR(__xludf.DUMMYFUNCTION("""COMPUTED_VALUE"""),"G")</f>
        <v>G</v>
      </c>
      <c r="AF295" s="1" t="str">
        <f>IFERROR(__xludf.DUMMYFUNCTION("""COMPUTED_VALUE"""),"G")</f>
        <v>G</v>
      </c>
      <c r="AG295" s="1" t="str">
        <f>IFERROR(__xludf.DUMMYFUNCTION("""COMPUTED_VALUE"""),"M")</f>
        <v>M</v>
      </c>
      <c r="AH295" s="1">
        <f>IFERROR(__xludf.DUMMYFUNCTION("""COMPUTED_VALUE"""),37)</f>
        <v>37</v>
      </c>
      <c r="AI295" s="1">
        <f>IFERROR(__xludf.DUMMYFUNCTION("""COMPUTED_VALUE"""),37)</f>
        <v>37</v>
      </c>
      <c r="AJ295" s="1">
        <f>IFERROR(__xludf.DUMMYFUNCTION("""COMPUTED_VALUE"""),37)</f>
        <v>37</v>
      </c>
      <c r="AK295" s="1">
        <f>IFERROR(__xludf.DUMMYFUNCTION("""COMPUTED_VALUE"""),37)</f>
        <v>37</v>
      </c>
      <c r="AL295" s="1" t="str">
        <f>IFERROR(__xludf.DUMMYFUNCTION("""COMPUTED_VALUE"""),"P")</f>
        <v>P</v>
      </c>
      <c r="AM295" s="1" t="str">
        <f>IFERROR(__xludf.DUMMYFUNCTION("""COMPUTED_VALUE"""),"M")</f>
        <v>M</v>
      </c>
      <c r="AN295" s="1" t="str">
        <f>IFERROR(__xludf.DUMMYFUNCTION("""COMPUTED_VALUE"""),"M")</f>
        <v>M</v>
      </c>
    </row>
    <row r="296" customHeight="1" spans="1:40">
      <c r="A296" s="1"/>
      <c r="B296" s="1"/>
      <c r="C296" s="119"/>
      <c r="D296" s="1" t="str">
        <f>IFERROR(__xludf.DUMMYFUNCTION("""COMPUTED_VALUE"""),"EDEVALDO ANTONIO MORAIS TRAMONTIN")</f>
        <v>EDEVALDO ANTONIO MORAIS TRAMONTIN</v>
      </c>
      <c r="E296" s="1" t="str">
        <f>IFERROR(__xludf.DUMMYFUNCTION("""COMPUTED_VALUE"""),"Módulo 1 concluído")</f>
        <v>Módulo 1 concluído</v>
      </c>
      <c r="F296" s="1" t="str">
        <f>IFERROR(__xludf.DUMMYFUNCTION("""COMPUTED_VALUE"""),"985.182.160-87")</f>
        <v>985.182.160-87</v>
      </c>
      <c r="G296" s="1"/>
      <c r="H296" s="1"/>
      <c r="I296" s="1"/>
      <c r="J296" s="1"/>
      <c r="K296" s="1"/>
      <c r="L296" s="1"/>
      <c r="M296" s="1"/>
      <c r="N296" s="120"/>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row>
    <row r="297" customHeight="1" spans="1:40">
      <c r="A297" s="1" t="str">
        <f>IFERROR(__xludf.DUMMYFUNCTION("""COMPUTED_VALUE"""),"05° BBM")</f>
        <v>05° BBM</v>
      </c>
      <c r="B297" s="1" t="str">
        <f>IFERROR(__xludf.DUMMYFUNCTION("""COMPUTED_VALUE"""),"Feliz")</f>
        <v>Feliz</v>
      </c>
      <c r="C297" s="119" t="str">
        <f>IFERROR(__xludf.DUMMYFUNCTION("""COMPUTED_VALUE"""),"Municipal")</f>
        <v>Municipal</v>
      </c>
      <c r="D297" s="1" t="str">
        <f>IFERROR(__xludf.DUMMYFUNCTION("""COMPUTED_VALUE"""),"EDIRAN PETTER MENDES")</f>
        <v>EDIRAN PETTER MENDES</v>
      </c>
      <c r="E297" s="119" t="str">
        <f>IFERROR(__xludf.DUMMYFUNCTION("""COMPUTED_VALUE"""),"Módulo 1 concluído")</f>
        <v>Módulo 1 concluído</v>
      </c>
      <c r="F297" s="1" t="str">
        <f>IFERROR(__xludf.DUMMYFUNCTION("""COMPUTED_VALUE"""),"032.561.500-47")</f>
        <v>032.561.500-47</v>
      </c>
      <c r="G297" s="1">
        <f>IFERROR(__xludf.DUMMYFUNCTION("""COMPUTED_VALUE"""),1113097982)</f>
        <v>1113097982</v>
      </c>
      <c r="H297" s="1" t="str">
        <f>IFERROR(__xludf.DUMMYFUNCTION("""COMPUTED_VALUE"""),"Atendente e Operador")</f>
        <v>Atendente e Operador</v>
      </c>
      <c r="I297" s="1"/>
      <c r="J297" s="1" t="str">
        <f>IFERROR(__xludf.DUMMYFUNCTION("""COMPUTED_VALUE"""),"Sim")</f>
        <v>Sim</v>
      </c>
      <c r="K297" s="1" t="str">
        <f>IFERROR(__xludf.DUMMYFUNCTION("""COMPUTED_VALUE"""),"Não")</f>
        <v>Não</v>
      </c>
      <c r="L297" s="1" t="str">
        <f>IFERROR(__xludf.DUMMYFUNCTION("""COMPUTED_VALUE"""),"A-")</f>
        <v>A-</v>
      </c>
      <c r="M297" s="1" t="str">
        <f>IFERROR(__xludf.DUMMYFUNCTION("""COMPUTED_VALUE"""),"EDIRAN")</f>
        <v>EDIRAN</v>
      </c>
      <c r="N297" s="120" t="str">
        <f>IFERROR(__xludf.DUMMYFUNCTION("""COMPUTED_VALUE"""),"9/22/1994")</f>
        <v>9/22/1994</v>
      </c>
      <c r="O297" s="1" t="str">
        <f>IFERROR(__xludf.DUMMYFUNCTION("""COMPUTED_VALUE"""),"Masculino")</f>
        <v>Masculino</v>
      </c>
      <c r="P297" s="1" t="str">
        <f>IFERROR(__xludf.DUMMYFUNCTION("""COMPUTED_VALUE"""),"Branca")</f>
        <v>Branca</v>
      </c>
      <c r="Q297" s="1" t="str">
        <f>IFERROR(__xludf.DUMMYFUNCTION("""COMPUTED_VALUE"""),"Pós-graduação")</f>
        <v>Pós-graduação</v>
      </c>
      <c r="R297" s="1" t="str">
        <f>IFERROR(__xludf.DUMMYFUNCTION("""COMPUTED_VALUE"""),"ediranmendes@hotmail.com")</f>
        <v>ediranmendes@hotmail.com</v>
      </c>
      <c r="S297" s="1">
        <f>IFERROR(__xludf.DUMMYFUNCTION("""COMPUTED_VALUE"""),100)</f>
        <v>100</v>
      </c>
      <c r="T297" s="1" t="str">
        <f>IFERROR(__xludf.DUMMYFUNCTION("""COMPUTED_VALUE"""),"Entre 1,81m e 1,85m")</f>
        <v>Entre 1,81m e 1,85m</v>
      </c>
      <c r="U297" s="1"/>
      <c r="V297" s="1" t="str">
        <f>IFERROR(__xludf.DUMMYFUNCTION("""COMPUTED_VALUE"""),"(51)99898-9994")</f>
        <v>(51)99898-9994</v>
      </c>
      <c r="W297" s="1" t="str">
        <f>IFERROR(__xludf.DUMMYFUNCTION("""COMPUTED_VALUE"""),"(51)3637-1500")</f>
        <v>(51)3637-1500</v>
      </c>
      <c r="X297" s="1" t="str">
        <f>IFERROR(__xludf.DUMMYFUNCTION("""COMPUTED_VALUE"""),"RS")</f>
        <v>RS</v>
      </c>
      <c r="Y297" s="1" t="str">
        <f>IFERROR(__xludf.DUMMYFUNCTION("""COMPUTED_VALUE"""),"Feliz")</f>
        <v>Feliz</v>
      </c>
      <c r="Z297" s="1" t="str">
        <f>IFERROR(__xludf.DUMMYFUNCTION("""COMPUTED_VALUE"""),"95770-000")</f>
        <v>95770-000</v>
      </c>
      <c r="AA297" s="1" t="str">
        <f>IFERROR(__xludf.DUMMYFUNCTION("""COMPUTED_VALUE"""),"Rua Lauro Bruno Rott, 316")</f>
        <v>Rua Lauro Bruno Rott, 316</v>
      </c>
      <c r="AB297" s="1" t="str">
        <f>IFERROR(__xludf.DUMMYFUNCTION("""COMPUTED_VALUE"""),"Matiel")</f>
        <v>Matiel</v>
      </c>
      <c r="AC297" s="1" t="str">
        <f>IFERROR(__xludf.DUMMYFUNCTION("""COMPUTED_VALUE"""),"GG")</f>
        <v>GG</v>
      </c>
      <c r="AD297" s="1" t="str">
        <f>IFERROR(__xludf.DUMMYFUNCTION("""COMPUTED_VALUE"""),"GG")</f>
        <v>GG</v>
      </c>
      <c r="AE297" s="1" t="str">
        <f>IFERROR(__xludf.DUMMYFUNCTION("""COMPUTED_VALUE"""),"G")</f>
        <v>G</v>
      </c>
      <c r="AF297" s="1" t="str">
        <f>IFERROR(__xludf.DUMMYFUNCTION("""COMPUTED_VALUE"""),"GG")</f>
        <v>GG</v>
      </c>
      <c r="AG297" s="1" t="str">
        <f>IFERROR(__xludf.DUMMYFUNCTION("""COMPUTED_VALUE"""),"GG")</f>
        <v>GG</v>
      </c>
      <c r="AH297" s="1">
        <f>IFERROR(__xludf.DUMMYFUNCTION("""COMPUTED_VALUE"""),43)</f>
        <v>43</v>
      </c>
      <c r="AI297" s="1">
        <f>IFERROR(__xludf.DUMMYFUNCTION("""COMPUTED_VALUE"""),43)</f>
        <v>43</v>
      </c>
      <c r="AJ297" s="1">
        <f>IFERROR(__xludf.DUMMYFUNCTION("""COMPUTED_VALUE"""),43)</f>
        <v>43</v>
      </c>
      <c r="AK297" s="1">
        <f>IFERROR(__xludf.DUMMYFUNCTION("""COMPUTED_VALUE"""),43)</f>
        <v>43</v>
      </c>
      <c r="AL297" s="1" t="str">
        <f>IFERROR(__xludf.DUMMYFUNCTION("""COMPUTED_VALUE"""),"G")</f>
        <v>G</v>
      </c>
      <c r="AM297" s="1" t="str">
        <f>IFERROR(__xludf.DUMMYFUNCTION("""COMPUTED_VALUE"""),"G")</f>
        <v>G</v>
      </c>
      <c r="AN297" s="1" t="str">
        <f>IFERROR(__xludf.DUMMYFUNCTION("""COMPUTED_VALUE"""),"GG")</f>
        <v>GG</v>
      </c>
    </row>
    <row r="298" customHeight="1" spans="1:40">
      <c r="A298" s="1"/>
      <c r="B298" s="1"/>
      <c r="C298" s="119"/>
      <c r="D298" s="1" t="str">
        <f>IFERROR(__xludf.DUMMYFUNCTION("""COMPUTED_VALUE"""),"EDUARDO ARAUJO DA ROSA")</f>
        <v>EDUARDO ARAUJO DA ROSA</v>
      </c>
      <c r="E298" s="1" t="str">
        <f>IFERROR(__xludf.DUMMYFUNCTION("""COMPUTED_VALUE"""),"Módulo 1 concluído")</f>
        <v>Módulo 1 concluído</v>
      </c>
      <c r="F298" s="1" t="str">
        <f>IFERROR(__xludf.DUMMYFUNCTION("""COMPUTED_VALUE"""),"026.536.360-85")</f>
        <v>026.536.360-85</v>
      </c>
      <c r="G298" s="1"/>
      <c r="H298" s="1"/>
      <c r="I298" s="1"/>
      <c r="J298" s="1"/>
      <c r="K298" s="1"/>
      <c r="L298" s="1"/>
      <c r="M298" s="1"/>
      <c r="N298" s="120"/>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row>
    <row r="299" customHeight="1" spans="1:40">
      <c r="A299" s="1" t="str">
        <f>IFERROR(__xludf.DUMMYFUNCTION("""COMPUTED_VALUE"""),"05° BBM")</f>
        <v>05° BBM</v>
      </c>
      <c r="B299" s="1" t="str">
        <f>IFERROR(__xludf.DUMMYFUNCTION("""COMPUTED_VALUE"""),"VACARIA/MUITOS CAPÕES")</f>
        <v>VACARIA/MUITOS CAPÕES</v>
      </c>
      <c r="C299" s="119" t="str">
        <f>IFERROR(__xludf.DUMMYFUNCTION("""COMPUTED_VALUE"""),"Municipal")</f>
        <v>Municipal</v>
      </c>
      <c r="D299" s="1" t="str">
        <f>IFERROR(__xludf.DUMMYFUNCTION("""COMPUTED_VALUE"""),"ELENISE ALVES CABRAL PEREIRA")</f>
        <v>ELENISE ALVES CABRAL PEREIRA</v>
      </c>
      <c r="E299" s="119" t="str">
        <f>IFERROR(__xludf.DUMMYFUNCTION("""COMPUTED_VALUE"""),"Módulo 1 concluído")</f>
        <v>Módulo 1 concluído</v>
      </c>
      <c r="F299" s="119">
        <f>IFERROR(__xludf.DUMMYFUNCTION("""COMPUTED_VALUE"""),97016900010)</f>
        <v>97016900010</v>
      </c>
      <c r="G299" s="1">
        <f>IFERROR(__xludf.DUMMYFUNCTION("""COMPUTED_VALUE"""),6094234033)</f>
        <v>6094234033</v>
      </c>
      <c r="H299" s="1" t="str">
        <f>IFERROR(__xludf.DUMMYFUNCTION("""COMPUTED_VALUE"""),"COMBATENTE")</f>
        <v>COMBATENTE</v>
      </c>
      <c r="I299" s="1" t="str">
        <f>IFERROR(__xludf.DUMMYFUNCTION("""COMPUTED_VALUE"""),"ENSINO SUPERIOR COMPLETO")</f>
        <v>ENSINO SUPERIOR COMPLETO</v>
      </c>
      <c r="J299" s="1" t="str">
        <f>IFERROR(__xludf.DUMMYFUNCTION("""COMPUTED_VALUE"""),"Sim")</f>
        <v>Sim</v>
      </c>
      <c r="K299" s="1" t="str">
        <f>IFERROR(__xludf.DUMMYFUNCTION("""COMPUTED_VALUE"""),"Não")</f>
        <v>Não</v>
      </c>
      <c r="L299" s="1" t="str">
        <f>IFERROR(__xludf.DUMMYFUNCTION("""COMPUTED_VALUE"""),"A+")</f>
        <v>A+</v>
      </c>
      <c r="M299" s="1" t="str">
        <f>IFERROR(__xludf.DUMMYFUNCTION("""COMPUTED_VALUE"""),"ELENISE")</f>
        <v>ELENISE</v>
      </c>
      <c r="N299" s="120">
        <f>IFERROR(__xludf.DUMMYFUNCTION("""COMPUTED_VALUE"""),30913)</f>
        <v>30913</v>
      </c>
      <c r="O299" s="1" t="str">
        <f>IFERROR(__xludf.DUMMYFUNCTION("""COMPUTED_VALUE"""),"Feminino")</f>
        <v>Feminino</v>
      </c>
      <c r="P299" s="1" t="str">
        <f>IFERROR(__xludf.DUMMYFUNCTION("""COMPUTED_VALUE"""),"Branca")</f>
        <v>Branca</v>
      </c>
      <c r="Q299" s="1" t="str">
        <f>IFERROR(__xludf.DUMMYFUNCTION("""COMPUTED_VALUE"""),"Ensino Superior Completo")</f>
        <v>Ensino Superior Completo</v>
      </c>
      <c r="R299" s="128" t="str">
        <f>IFERROR(__xludf.DUMMYFUNCTION("""COMPUTED_VALUE"""),"elenisecabral@hotmail.com")</f>
        <v>elenisecabral@hotmail.com</v>
      </c>
      <c r="S299" s="1">
        <f>IFERROR(__xludf.DUMMYFUNCTION("""COMPUTED_VALUE"""),64)</f>
        <v>64</v>
      </c>
      <c r="T299" s="1" t="str">
        <f>IFERROR(__xludf.DUMMYFUNCTION("""COMPUTED_VALUE"""),"Entre 1,61m e 1,65m")</f>
        <v>Entre 1,61m e 1,65m</v>
      </c>
      <c r="U299" s="1"/>
      <c r="V299" s="1" t="str">
        <f>IFERROR(__xludf.DUMMYFUNCTION("""COMPUTED_VALUE"""),"54 999178157")</f>
        <v>54 999178157</v>
      </c>
      <c r="W299" s="1" t="str">
        <f>IFERROR(__xludf.DUMMYFUNCTION("""COMPUTED_VALUE"""),"54 996601854")</f>
        <v>54 996601854</v>
      </c>
      <c r="X299" s="1" t="str">
        <f>IFERROR(__xludf.DUMMYFUNCTION("""COMPUTED_VALUE"""),"RS")</f>
        <v>RS</v>
      </c>
      <c r="Y299" s="1" t="str">
        <f>IFERROR(__xludf.DUMMYFUNCTION("""COMPUTED_VALUE"""),"Muitos Capões")</f>
        <v>Muitos Capões</v>
      </c>
      <c r="Z299" s="1" t="str">
        <f>IFERROR(__xludf.DUMMYFUNCTION("""COMPUTED_VALUE"""),"95230-000")</f>
        <v>95230-000</v>
      </c>
      <c r="AA299" s="1" t="str">
        <f>IFERROR(__xludf.DUMMYFUNCTION("""COMPUTED_VALUE"""),"Rua Dorval Antunes Pereira 205")</f>
        <v>Rua Dorval Antunes Pereira 205</v>
      </c>
      <c r="AB299" s="1" t="str">
        <f>IFERROR(__xludf.DUMMYFUNCTION("""COMPUTED_VALUE"""),"CENTRO")</f>
        <v>CENTRO</v>
      </c>
      <c r="AC299" s="1" t="str">
        <f>IFERROR(__xludf.DUMMYFUNCTION("""COMPUTED_VALUE"""),"M")</f>
        <v>M</v>
      </c>
      <c r="AD299" s="1" t="str">
        <f>IFERROR(__xludf.DUMMYFUNCTION("""COMPUTED_VALUE"""),"M")</f>
        <v>M</v>
      </c>
      <c r="AE299" s="1" t="str">
        <f>IFERROR(__xludf.DUMMYFUNCTION("""COMPUTED_VALUE"""),"M")</f>
        <v>M</v>
      </c>
      <c r="AF299" s="1" t="str">
        <f>IFERROR(__xludf.DUMMYFUNCTION("""COMPUTED_VALUE"""),"M")</f>
        <v>M</v>
      </c>
      <c r="AG299" s="1" t="str">
        <f>IFERROR(__xludf.DUMMYFUNCTION("""COMPUTED_VALUE"""),"M")</f>
        <v>M</v>
      </c>
      <c r="AH299" s="1">
        <f>IFERROR(__xludf.DUMMYFUNCTION("""COMPUTED_VALUE"""),37)</f>
        <v>37</v>
      </c>
      <c r="AI299" s="1">
        <f>IFERROR(__xludf.DUMMYFUNCTION("""COMPUTED_VALUE"""),37)</f>
        <v>37</v>
      </c>
      <c r="AJ299" s="1">
        <f>IFERROR(__xludf.DUMMYFUNCTION("""COMPUTED_VALUE"""),37)</f>
        <v>37</v>
      </c>
      <c r="AK299" s="1">
        <f>IFERROR(__xludf.DUMMYFUNCTION("""COMPUTED_VALUE"""),37)</f>
        <v>37</v>
      </c>
      <c r="AL299" s="1" t="str">
        <f>IFERROR(__xludf.DUMMYFUNCTION("""COMPUTED_VALUE"""),"M")</f>
        <v>M</v>
      </c>
      <c r="AM299" s="1" t="str">
        <f>IFERROR(__xludf.DUMMYFUNCTION("""COMPUTED_VALUE"""),"M")</f>
        <v>M</v>
      </c>
      <c r="AN299" s="1" t="str">
        <f>IFERROR(__xludf.DUMMYFUNCTION("""COMPUTED_VALUE"""),"M")</f>
        <v>M</v>
      </c>
    </row>
    <row r="300" customHeight="1" spans="1:40">
      <c r="A300" s="1" t="str">
        <f>IFERROR(__xludf.DUMMYFUNCTION("""COMPUTED_VALUE"""),"05° BBM")</f>
        <v>05° BBM</v>
      </c>
      <c r="B300" s="1" t="str">
        <f>IFERROR(__xludf.DUMMYFUNCTION("""COMPUTED_VALUE"""),"Feliz")</f>
        <v>Feliz</v>
      </c>
      <c r="C300" s="119" t="str">
        <f>IFERROR(__xludf.DUMMYFUNCTION("""COMPUTED_VALUE"""),"CAB")</f>
        <v>CAB</v>
      </c>
      <c r="D300" s="1" t="str">
        <f>IFERROR(__xludf.DUMMYFUNCTION("""COMPUTED_VALUE"""),"ELONIR ROHLING")</f>
        <v>ELONIR ROHLING</v>
      </c>
      <c r="E300" s="119" t="str">
        <f>IFERROR(__xludf.DUMMYFUNCTION("""COMPUTED_VALUE"""),"Módulo 1 concluído")</f>
        <v>Módulo 1 concluído</v>
      </c>
      <c r="F300" s="1" t="str">
        <f>IFERROR(__xludf.DUMMYFUNCTION("""COMPUTED_VALUE"""),"072.278.089-39")</f>
        <v>072.278.089-39</v>
      </c>
      <c r="G300" s="1">
        <f>IFERROR(__xludf.DUMMYFUNCTION("""COMPUTED_VALUE"""),6096994188)</f>
        <v>6096994188</v>
      </c>
      <c r="H300" s="1" t="str">
        <f>IFERROR(__xludf.DUMMYFUNCTION("""COMPUTED_VALUE"""),"Atendente e Operador")</f>
        <v>Atendente e Operador</v>
      </c>
      <c r="I300" s="1"/>
      <c r="J300" s="1" t="str">
        <f>IFERROR(__xludf.DUMMYFUNCTION("""COMPUTED_VALUE"""),"Sim")</f>
        <v>Sim</v>
      </c>
      <c r="K300" s="1" t="str">
        <f>IFERROR(__xludf.DUMMYFUNCTION("""COMPUTED_VALUE"""),"Não")</f>
        <v>Não</v>
      </c>
      <c r="L300" s="1" t="str">
        <f>IFERROR(__xludf.DUMMYFUNCTION("""COMPUTED_VALUE"""),"A+")</f>
        <v>A+</v>
      </c>
      <c r="M300" s="1" t="str">
        <f>IFERROR(__xludf.DUMMYFUNCTION("""COMPUTED_VALUE"""),"ELONIR")</f>
        <v>ELONIR</v>
      </c>
      <c r="N300" s="120">
        <f>IFERROR(__xludf.DUMMYFUNCTION("""COMPUTED_VALUE"""),32824)</f>
        <v>32824</v>
      </c>
      <c r="O300" s="1" t="str">
        <f>IFERROR(__xludf.DUMMYFUNCTION("""COMPUTED_VALUE"""),"Masculino")</f>
        <v>Masculino</v>
      </c>
      <c r="P300" s="1" t="str">
        <f>IFERROR(__xludf.DUMMYFUNCTION("""COMPUTED_VALUE"""),"Branca")</f>
        <v>Branca</v>
      </c>
      <c r="Q300" s="1" t="str">
        <f>IFERROR(__xludf.DUMMYFUNCTION("""COMPUTED_VALUE"""),"Ensino Médio")</f>
        <v>Ensino Médio</v>
      </c>
      <c r="R300" s="123" t="str">
        <f>IFERROR(__xludf.DUMMYFUNCTION("""COMPUTED_VALUE"""),"elonirro@gmail.com")</f>
        <v>elonirro@gmail.com</v>
      </c>
      <c r="S300" s="1">
        <f>IFERROR(__xludf.DUMMYFUNCTION("""COMPUTED_VALUE"""),115)</f>
        <v>115</v>
      </c>
      <c r="T300" s="1" t="str">
        <f>IFERROR(__xludf.DUMMYFUNCTION("""COMPUTED_VALUE"""),"Entre 1,86m e 1,90m")</f>
        <v>Entre 1,86m e 1,90m</v>
      </c>
      <c r="U300" s="1"/>
      <c r="V300" s="1" t="str">
        <f>IFERROR(__xludf.DUMMYFUNCTION("""COMPUTED_VALUE"""),"(51)999822987")</f>
        <v>(51)999822987</v>
      </c>
      <c r="W300" s="1" t="str">
        <f>IFERROR(__xludf.DUMMYFUNCTION("""COMPUTED_VALUE"""),"(51)3637-1500")</f>
        <v>(51)3637-1500</v>
      </c>
      <c r="X300" s="1" t="str">
        <f>IFERROR(__xludf.DUMMYFUNCTION("""COMPUTED_VALUE"""),"RS")</f>
        <v>RS</v>
      </c>
      <c r="Y300" s="1" t="str">
        <f>IFERROR(__xludf.DUMMYFUNCTION("""COMPUTED_VALUE"""),"Feliz")</f>
        <v>Feliz</v>
      </c>
      <c r="Z300" s="1" t="str">
        <f>IFERROR(__xludf.DUMMYFUNCTION("""COMPUTED_VALUE"""),"95770-000")</f>
        <v>95770-000</v>
      </c>
      <c r="AA300" s="1" t="str">
        <f>IFERROR(__xludf.DUMMYFUNCTION("""COMPUTED_VALUE"""),"Estrada Júlio de Castilhos,800")</f>
        <v>Estrada Júlio de Castilhos,800</v>
      </c>
      <c r="AB300" s="1" t="str">
        <f>IFERROR(__xludf.DUMMYFUNCTION("""COMPUTED_VALUE"""),"Escadinhas")</f>
        <v>Escadinhas</v>
      </c>
      <c r="AC300" s="1" t="str">
        <f>IFERROR(__xludf.DUMMYFUNCTION("""COMPUTED_VALUE"""),"EXG")</f>
        <v>EXG</v>
      </c>
      <c r="AD300" s="1" t="str">
        <f>IFERROR(__xludf.DUMMYFUNCTION("""COMPUTED_VALUE"""),"EXG")</f>
        <v>EXG</v>
      </c>
      <c r="AE300" s="1" t="str">
        <f>IFERROR(__xludf.DUMMYFUNCTION("""COMPUTED_VALUE"""),"EXG")</f>
        <v>EXG</v>
      </c>
      <c r="AF300" s="1" t="str">
        <f>IFERROR(__xludf.DUMMYFUNCTION("""COMPUTED_VALUE"""),"EXG")</f>
        <v>EXG</v>
      </c>
      <c r="AG300" s="1" t="str">
        <f>IFERROR(__xludf.DUMMYFUNCTION("""COMPUTED_VALUE"""),"GG")</f>
        <v>GG</v>
      </c>
      <c r="AH300" s="1">
        <f>IFERROR(__xludf.DUMMYFUNCTION("""COMPUTED_VALUE"""),46)</f>
        <v>46</v>
      </c>
      <c r="AI300" s="1">
        <f>IFERROR(__xludf.DUMMYFUNCTION("""COMPUTED_VALUE"""),46)</f>
        <v>46</v>
      </c>
      <c r="AJ300" s="1">
        <f>IFERROR(__xludf.DUMMYFUNCTION("""COMPUTED_VALUE"""),46)</f>
        <v>46</v>
      </c>
      <c r="AK300" s="1">
        <f>IFERROR(__xludf.DUMMYFUNCTION("""COMPUTED_VALUE"""),46)</f>
        <v>46</v>
      </c>
      <c r="AL300" s="1" t="str">
        <f>IFERROR(__xludf.DUMMYFUNCTION("""COMPUTED_VALUE"""),"GG")</f>
        <v>GG</v>
      </c>
      <c r="AM300" s="1" t="str">
        <f>IFERROR(__xludf.DUMMYFUNCTION("""COMPUTED_VALUE"""),"EXG")</f>
        <v>EXG</v>
      </c>
      <c r="AN300" s="1" t="str">
        <f>IFERROR(__xludf.DUMMYFUNCTION("""COMPUTED_VALUE"""),"G")</f>
        <v>G</v>
      </c>
    </row>
    <row r="301" customHeight="1" spans="1:40">
      <c r="A301" s="1"/>
      <c r="B301" s="1"/>
      <c r="C301" s="119"/>
      <c r="D301" s="1" t="str">
        <f>IFERROR(__xludf.DUMMYFUNCTION("""COMPUTED_VALUE"""),"ELVIO LUIS FARIAS")</f>
        <v>ELVIO LUIS FARIAS</v>
      </c>
      <c r="E301" s="1" t="str">
        <f>IFERROR(__xludf.DUMMYFUNCTION("""COMPUTED_VALUE"""),"Curso CAB operador concluído")</f>
        <v>Curso CAB operador concluído</v>
      </c>
      <c r="F301" s="1" t="str">
        <f>IFERROR(__xludf.DUMMYFUNCTION("""COMPUTED_VALUE"""),"534.502.050-72")</f>
        <v>534.502.050-72</v>
      </c>
      <c r="G301" s="1"/>
      <c r="H301" s="1"/>
      <c r="I301" s="1"/>
      <c r="J301" s="1"/>
      <c r="K301" s="1"/>
      <c r="L301" s="1"/>
      <c r="M301" s="1"/>
      <c r="N301" s="120"/>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row>
    <row r="302" customHeight="1" spans="1:40">
      <c r="A302" s="1" t="str">
        <f>IFERROR(__xludf.DUMMYFUNCTION("""COMPUTED_VALUE"""),"05° BBM")</f>
        <v>05° BBM</v>
      </c>
      <c r="B302" s="1" t="str">
        <f>IFERROR(__xludf.DUMMYFUNCTION("""COMPUTED_VALUE"""),"Feliz")</f>
        <v>Feliz</v>
      </c>
      <c r="C302" s="119" t="str">
        <f>IFERROR(__xludf.DUMMYFUNCTION("""COMPUTED_VALUE"""),"CAB")</f>
        <v>CAB</v>
      </c>
      <c r="D302" s="1" t="str">
        <f>IFERROR(__xludf.DUMMYFUNCTION("""COMPUTED_VALUE"""),"ERASMO CARLOS POSTAL BRUNELLI")</f>
        <v>ERASMO CARLOS POSTAL BRUNELLI</v>
      </c>
      <c r="E302" s="119" t="str">
        <f>IFERROR(__xludf.DUMMYFUNCTION("""COMPUTED_VALUE"""),"Módulo 1 concluído")</f>
        <v>Módulo 1 concluído</v>
      </c>
      <c r="F302" s="1" t="str">
        <f>IFERROR(__xludf.DUMMYFUNCTION("""COMPUTED_VALUE"""),"048.399.280-10")</f>
        <v>048.399.280-10</v>
      </c>
      <c r="G302" s="1">
        <f>IFERROR(__xludf.DUMMYFUNCTION("""COMPUTED_VALUE"""),1132170406)</f>
        <v>1132170406</v>
      </c>
      <c r="H302" s="1" t="str">
        <f>IFERROR(__xludf.DUMMYFUNCTION("""COMPUTED_VALUE"""),"Atendente e Operador")</f>
        <v>Atendente e Operador</v>
      </c>
      <c r="I302" s="1"/>
      <c r="J302" s="1" t="str">
        <f>IFERROR(__xludf.DUMMYFUNCTION("""COMPUTED_VALUE"""),"Sim")</f>
        <v>Sim</v>
      </c>
      <c r="K302" s="1" t="str">
        <f>IFERROR(__xludf.DUMMYFUNCTION("""COMPUTED_VALUE"""),"Não")</f>
        <v>Não</v>
      </c>
      <c r="L302" s="1" t="str">
        <f>IFERROR(__xludf.DUMMYFUNCTION("""COMPUTED_VALUE"""),"B+")</f>
        <v>B+</v>
      </c>
      <c r="M302" s="1" t="str">
        <f>IFERROR(__xludf.DUMMYFUNCTION("""COMPUTED_VALUE"""),"BRUNELLI")</f>
        <v>BRUNELLI</v>
      </c>
      <c r="N302" s="120" t="str">
        <f>IFERROR(__xludf.DUMMYFUNCTION("""COMPUTED_VALUE"""),"27/04/  2000")</f>
        <v>27/04/  2000</v>
      </c>
      <c r="O302" s="1" t="str">
        <f>IFERROR(__xludf.DUMMYFUNCTION("""COMPUTED_VALUE"""),"Masculino")</f>
        <v>Masculino</v>
      </c>
      <c r="P302" s="1" t="str">
        <f>IFERROR(__xludf.DUMMYFUNCTION("""COMPUTED_VALUE"""),"Branca")</f>
        <v>Branca</v>
      </c>
      <c r="Q302" s="1" t="str">
        <f>IFERROR(__xludf.DUMMYFUNCTION("""COMPUTED_VALUE"""),"Ensino Médio")</f>
        <v>Ensino Médio</v>
      </c>
      <c r="R302" s="1" t="str">
        <f>IFERROR(__xludf.DUMMYFUNCTION("""COMPUTED_VALUE"""),"carlosbrunelli27@gmail.com")</f>
        <v>carlosbrunelli27@gmail.com</v>
      </c>
      <c r="S302" s="1">
        <f>IFERROR(__xludf.DUMMYFUNCTION("""COMPUTED_VALUE"""),86)</f>
        <v>86</v>
      </c>
      <c r="T302" s="1" t="str">
        <f>IFERROR(__xludf.DUMMYFUNCTION("""COMPUTED_VALUE"""),"Entre 1,76m e 1,80m")</f>
        <v>Entre 1,76m e 1,80m</v>
      </c>
      <c r="U302" s="1"/>
      <c r="V302" s="1" t="str">
        <f>IFERROR(__xludf.DUMMYFUNCTION("""COMPUTED_VALUE"""),"(51)995438388")</f>
        <v>(51)995438388</v>
      </c>
      <c r="W302" s="1" t="str">
        <f>IFERROR(__xludf.DUMMYFUNCTION("""COMPUTED_VALUE"""),"(51)3637-1500")</f>
        <v>(51)3637-1500</v>
      </c>
      <c r="X302" s="1" t="str">
        <f>IFERROR(__xludf.DUMMYFUNCTION("""COMPUTED_VALUE"""),"RS")</f>
        <v>RS</v>
      </c>
      <c r="Y302" s="1" t="str">
        <f>IFERROR(__xludf.DUMMYFUNCTION("""COMPUTED_VALUE"""),"Bento Gonçalves")</f>
        <v>Bento Gonçalves</v>
      </c>
      <c r="Z302" s="1" t="str">
        <f>IFERROR(__xludf.DUMMYFUNCTION("""COMPUTED_VALUE"""),"95708-610")</f>
        <v>95708-610</v>
      </c>
      <c r="AA302" s="1" t="str">
        <f>IFERROR(__xludf.DUMMYFUNCTION("""COMPUTED_VALUE"""),"Avenida São Roque, SN")</f>
        <v>Avenida São Roque, SN</v>
      </c>
      <c r="AB302" s="1" t="str">
        <f>IFERROR(__xludf.DUMMYFUNCTION("""COMPUTED_VALUE"""),"São Roque")</f>
        <v>São Roque</v>
      </c>
      <c r="AC302" s="1" t="str">
        <f>IFERROR(__xludf.DUMMYFUNCTION("""COMPUTED_VALUE"""),"M")</f>
        <v>M</v>
      </c>
      <c r="AD302" s="1" t="str">
        <f>IFERROR(__xludf.DUMMYFUNCTION("""COMPUTED_VALUE"""),"M")</f>
        <v>M</v>
      </c>
      <c r="AE302" s="1" t="str">
        <f>IFERROR(__xludf.DUMMYFUNCTION("""COMPUTED_VALUE"""),"G")</f>
        <v>G</v>
      </c>
      <c r="AF302" s="1" t="str">
        <f>IFERROR(__xludf.DUMMYFUNCTION("""COMPUTED_VALUE"""),"G")</f>
        <v>G</v>
      </c>
      <c r="AG302" s="1" t="str">
        <f>IFERROR(__xludf.DUMMYFUNCTION("""COMPUTED_VALUE"""),"M")</f>
        <v>M</v>
      </c>
      <c r="AH302" s="1">
        <f>IFERROR(__xludf.DUMMYFUNCTION("""COMPUTED_VALUE"""),45)</f>
        <v>45</v>
      </c>
      <c r="AI302" s="1">
        <f>IFERROR(__xludf.DUMMYFUNCTION("""COMPUTED_VALUE"""),45)</f>
        <v>45</v>
      </c>
      <c r="AJ302" s="1">
        <f>IFERROR(__xludf.DUMMYFUNCTION("""COMPUTED_VALUE"""),45)</f>
        <v>45</v>
      </c>
      <c r="AK302" s="1">
        <f>IFERROR(__xludf.DUMMYFUNCTION("""COMPUTED_VALUE"""),45)</f>
        <v>45</v>
      </c>
      <c r="AL302" s="1" t="str">
        <f>IFERROR(__xludf.DUMMYFUNCTION("""COMPUTED_VALUE"""),"G")</f>
        <v>G</v>
      </c>
      <c r="AM302" s="1" t="str">
        <f>IFERROR(__xludf.DUMMYFUNCTION("""COMPUTED_VALUE"""),"G")</f>
        <v>G</v>
      </c>
      <c r="AN302" s="1" t="str">
        <f>IFERROR(__xludf.DUMMYFUNCTION("""COMPUTED_VALUE"""),"M")</f>
        <v>M</v>
      </c>
    </row>
    <row r="303" customHeight="1" spans="1:40">
      <c r="A303" s="1"/>
      <c r="B303" s="1"/>
      <c r="C303" s="119"/>
      <c r="D303" s="1" t="str">
        <f>IFERROR(__xludf.DUMMYFUNCTION("""COMPUTED_VALUE"""),"ESTERLANO SANTOS PEREIRA")</f>
        <v>ESTERLANO SANTOS PEREIRA</v>
      </c>
      <c r="E303" s="1" t="str">
        <f>IFERROR(__xludf.DUMMYFUNCTION("""COMPUTED_VALUE"""),"Módulo 1 concluído")</f>
        <v>Módulo 1 concluído</v>
      </c>
      <c r="F303" s="1" t="str">
        <f>IFERROR(__xludf.DUMMYFUNCTION("""COMPUTED_VALUE"""),"732.204.000-78")</f>
        <v>732.204.000-78</v>
      </c>
      <c r="G303" s="1"/>
      <c r="H303" s="1"/>
      <c r="I303" s="1"/>
      <c r="J303" s="1"/>
      <c r="K303" s="1"/>
      <c r="L303" s="1"/>
      <c r="M303" s="1"/>
      <c r="N303" s="120"/>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row>
    <row r="304" customHeight="1" spans="1:40">
      <c r="A304" s="1"/>
      <c r="B304" s="1"/>
      <c r="C304" s="119"/>
      <c r="D304" s="1" t="str">
        <f>IFERROR(__xludf.DUMMYFUNCTION("""COMPUTED_VALUE"""),"FABIO BAGGIO")</f>
        <v>FABIO BAGGIO</v>
      </c>
      <c r="E304" s="1" t="str">
        <f>IFERROR(__xludf.DUMMYFUNCTION("""COMPUTED_VALUE"""),"Módulo 1 concluído")</f>
        <v>Módulo 1 concluído</v>
      </c>
      <c r="F304" s="1" t="str">
        <f>IFERROR(__xludf.DUMMYFUNCTION("""COMPUTED_VALUE"""),"009.017.290-60")</f>
        <v>009.017.290-60</v>
      </c>
      <c r="G304" s="1"/>
      <c r="H304" s="1"/>
      <c r="I304" s="1"/>
      <c r="J304" s="1"/>
      <c r="K304" s="1"/>
      <c r="L304" s="1"/>
      <c r="M304" s="1"/>
      <c r="N304" s="120"/>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row>
    <row r="305" customHeight="1" spans="1:40">
      <c r="A305" s="1" t="str">
        <f>IFERROR(__xludf.DUMMYFUNCTION("""COMPUTED_VALUE"""),"05° BBM")</f>
        <v>05° BBM</v>
      </c>
      <c r="B305" s="1" t="str">
        <f>IFERROR(__xludf.DUMMYFUNCTION("""COMPUTED_VALUE"""),"Farroupilha")</f>
        <v>Farroupilha</v>
      </c>
      <c r="C305" s="119" t="str">
        <f>IFERROR(__xludf.DUMMYFUNCTION("""COMPUTED_VALUE"""),"CAB")</f>
        <v>CAB</v>
      </c>
      <c r="D305" s="1" t="str">
        <f>IFERROR(__xludf.DUMMYFUNCTION("""COMPUTED_VALUE"""),"FABIO DA ROSA SCHIAM")</f>
        <v>FABIO DA ROSA SCHIAM</v>
      </c>
      <c r="E305" s="119" t="str">
        <f>IFERROR(__xludf.DUMMYFUNCTION("""COMPUTED_VALUE"""),"Módulo 1 concluído")</f>
        <v>Módulo 1 concluído</v>
      </c>
      <c r="F305" s="1" t="str">
        <f>IFERROR(__xludf.DUMMYFUNCTION("""COMPUTED_VALUE"""),"000.168.840-51")</f>
        <v>000.168.840-51</v>
      </c>
      <c r="G305" s="1">
        <f>IFERROR(__xludf.DUMMYFUNCTION("""COMPUTED_VALUE"""),5076532356)</f>
        <v>5076532356</v>
      </c>
      <c r="H305" s="1" t="str">
        <f>IFERROR(__xludf.DUMMYFUNCTION("""COMPUTED_VALUE"""),"Atendente e Operador")</f>
        <v>Atendente e Operador</v>
      </c>
      <c r="I305" s="1"/>
      <c r="J305" s="1" t="str">
        <f>IFERROR(__xludf.DUMMYFUNCTION("""COMPUTED_VALUE"""),"Sim")</f>
        <v>Sim</v>
      </c>
      <c r="K305" s="1" t="str">
        <f>IFERROR(__xludf.DUMMYFUNCTION("""COMPUTED_VALUE"""),"Não")</f>
        <v>Não</v>
      </c>
      <c r="L305" s="1" t="str">
        <f>IFERROR(__xludf.DUMMYFUNCTION("""COMPUTED_VALUE"""),"A+")</f>
        <v>A+</v>
      </c>
      <c r="M305" s="1" t="str">
        <f>IFERROR(__xludf.DUMMYFUNCTION("""COMPUTED_VALUE"""),"SCHIAM")</f>
        <v>SCHIAM</v>
      </c>
      <c r="N305" s="121" t="str">
        <f>IFERROR(__xludf.DUMMYFUNCTION("""COMPUTED_VALUE"""),"9/13/1982")</f>
        <v>9/13/1982</v>
      </c>
      <c r="O305" s="1" t="str">
        <f>IFERROR(__xludf.DUMMYFUNCTION("""COMPUTED_VALUE"""),"Masculino")</f>
        <v>Masculino</v>
      </c>
      <c r="P305" s="1" t="str">
        <f>IFERROR(__xludf.DUMMYFUNCTION("""COMPUTED_VALUE"""),"Branca")</f>
        <v>Branca</v>
      </c>
      <c r="Q305" s="1" t="str">
        <f>IFERROR(__xludf.DUMMYFUNCTION("""COMPUTED_VALUE"""),"Ensino Médio")</f>
        <v>Ensino Médio</v>
      </c>
      <c r="R305" s="1" t="str">
        <f>IFERROR(__xludf.DUMMYFUNCTION("""COMPUTED_VALUE"""),"fschiam@gmail.com")</f>
        <v>fschiam@gmail.com</v>
      </c>
      <c r="S305" s="1">
        <f>IFERROR(__xludf.DUMMYFUNCTION("""COMPUTED_VALUE"""),96)</f>
        <v>96</v>
      </c>
      <c r="T305" s="1" t="str">
        <f>IFERROR(__xludf.DUMMYFUNCTION("""COMPUTED_VALUE"""),"Entre 1,66m e 1,70m")</f>
        <v>Entre 1,66m e 1,70m</v>
      </c>
      <c r="U305" s="1"/>
      <c r="V305" s="1" t="str">
        <f>IFERROR(__xludf.DUMMYFUNCTION("""COMPUTED_VALUE"""),"(54)99104-5387")</f>
        <v>(54)99104-5387</v>
      </c>
      <c r="W305" s="1" t="str">
        <f>IFERROR(__xludf.DUMMYFUNCTION("""COMPUTED_VALUE"""),"(54)99181-5620")</f>
        <v>(54)99181-5620</v>
      </c>
      <c r="X305" s="1" t="str">
        <f>IFERROR(__xludf.DUMMYFUNCTION("""COMPUTED_VALUE"""),"RS")</f>
        <v>RS</v>
      </c>
      <c r="Y305" s="1" t="str">
        <f>IFERROR(__xludf.DUMMYFUNCTION("""COMPUTED_VALUE"""),"Caxias do Sul")</f>
        <v>Caxias do Sul</v>
      </c>
      <c r="Z305" s="1" t="str">
        <f>IFERROR(__xludf.DUMMYFUNCTION("""COMPUTED_VALUE"""),"95110-483")</f>
        <v>95110-483</v>
      </c>
      <c r="AA305" s="1" t="str">
        <f>IFERROR(__xludf.DUMMYFUNCTION("""COMPUTED_VALUE"""),"Rua Joanna Toscana Mezzomo Lora, 902 APTO 516 BLC D")</f>
        <v>Rua Joanna Toscana Mezzomo Lora, 902 APTO 516 BLC D</v>
      </c>
      <c r="AB305" s="1" t="str">
        <f>IFERROR(__xludf.DUMMYFUNCTION("""COMPUTED_VALUE"""),"Desvio Rizzo")</f>
        <v>Desvio Rizzo</v>
      </c>
      <c r="AC305" s="1" t="str">
        <f>IFERROR(__xludf.DUMMYFUNCTION("""COMPUTED_VALUE"""),"G")</f>
        <v>G</v>
      </c>
      <c r="AD305" s="1" t="str">
        <f>IFERROR(__xludf.DUMMYFUNCTION("""COMPUTED_VALUE"""),"G")</f>
        <v>G</v>
      </c>
      <c r="AE305" s="1" t="str">
        <f>IFERROR(__xludf.DUMMYFUNCTION("""COMPUTED_VALUE"""),"G")</f>
        <v>G</v>
      </c>
      <c r="AF305" s="1" t="str">
        <f>IFERROR(__xludf.DUMMYFUNCTION("""COMPUTED_VALUE"""),"G")</f>
        <v>G</v>
      </c>
      <c r="AG305" s="1" t="str">
        <f>IFERROR(__xludf.DUMMYFUNCTION("""COMPUTED_VALUE"""),"G")</f>
        <v>G</v>
      </c>
      <c r="AH305" s="1">
        <f>IFERROR(__xludf.DUMMYFUNCTION("""COMPUTED_VALUE"""),39)</f>
        <v>39</v>
      </c>
      <c r="AI305" s="1">
        <f>IFERROR(__xludf.DUMMYFUNCTION("""COMPUTED_VALUE"""),39)</f>
        <v>39</v>
      </c>
      <c r="AJ305" s="1">
        <f>IFERROR(__xludf.DUMMYFUNCTION("""COMPUTED_VALUE"""),39)</f>
        <v>39</v>
      </c>
      <c r="AK305" s="1">
        <f>IFERROR(__xludf.DUMMYFUNCTION("""COMPUTED_VALUE"""),39)</f>
        <v>39</v>
      </c>
      <c r="AL305" s="1" t="str">
        <f>IFERROR(__xludf.DUMMYFUNCTION("""COMPUTED_VALUE"""),"G")</f>
        <v>G</v>
      </c>
      <c r="AM305" s="1" t="str">
        <f>IFERROR(__xludf.DUMMYFUNCTION("""COMPUTED_VALUE"""),"G")</f>
        <v>G</v>
      </c>
      <c r="AN305" s="1" t="str">
        <f>IFERROR(__xludf.DUMMYFUNCTION("""COMPUTED_VALUE"""),"G")</f>
        <v>G</v>
      </c>
    </row>
    <row r="306" customHeight="1" spans="1:40">
      <c r="A306" s="1"/>
      <c r="B306" s="1"/>
      <c r="C306" s="119"/>
      <c r="D306" s="1" t="str">
        <f>IFERROR(__xludf.DUMMYFUNCTION("""COMPUTED_VALUE"""),"FABIO PROPICIO DA COSTA")</f>
        <v>FABIO PROPICIO DA COSTA</v>
      </c>
      <c r="E306" s="1" t="str">
        <f>IFERROR(__xludf.DUMMYFUNCTION("""COMPUTED_VALUE"""),"Módulo 1 concluído")</f>
        <v>Módulo 1 concluído</v>
      </c>
      <c r="F306" s="1" t="str">
        <f>IFERROR(__xludf.DUMMYFUNCTION("""COMPUTED_VALUE"""),"002.493.890-45")</f>
        <v>002.493.890-45</v>
      </c>
      <c r="G306" s="1"/>
      <c r="H306" s="1"/>
      <c r="I306" s="1"/>
      <c r="J306" s="1"/>
      <c r="K306" s="1"/>
      <c r="L306" s="1"/>
      <c r="M306" s="1"/>
      <c r="N306" s="120"/>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row>
    <row r="307" customHeight="1" spans="1:40">
      <c r="A307" s="1"/>
      <c r="B307" s="1"/>
      <c r="C307" s="119"/>
      <c r="D307" s="1" t="str">
        <f>IFERROR(__xludf.DUMMYFUNCTION("""COMPUTED_VALUE"""),"FABRÍCIO PRESTES IORI")</f>
        <v>FABRÍCIO PRESTES IORI</v>
      </c>
      <c r="E307" s="1" t="str">
        <f>IFERROR(__xludf.DUMMYFUNCTION("""COMPUTED_VALUE"""),"Curso CAB operador concluído")</f>
        <v>Curso CAB operador concluído</v>
      </c>
      <c r="F307" s="1" t="str">
        <f>IFERROR(__xludf.DUMMYFUNCTION("""COMPUTED_VALUE"""),"029.913.870-41")</f>
        <v>029.913.870-41</v>
      </c>
      <c r="G307" s="1"/>
      <c r="H307" s="1"/>
      <c r="I307" s="1"/>
      <c r="J307" s="1"/>
      <c r="K307" s="1"/>
      <c r="L307" s="1"/>
      <c r="M307" s="1"/>
      <c r="N307" s="120"/>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row>
    <row r="308" customHeight="1" spans="1:40">
      <c r="A308" s="1"/>
      <c r="B308" s="1"/>
      <c r="C308" s="119"/>
      <c r="D308" s="1" t="str">
        <f>IFERROR(__xludf.DUMMYFUNCTION("""COMPUTED_VALUE"""),"FERNANDA ISABEL WEIMANN")</f>
        <v>FERNANDA ISABEL WEIMANN</v>
      </c>
      <c r="E308" s="1" t="str">
        <f>IFERROR(__xludf.DUMMYFUNCTION("""COMPUTED_VALUE"""),"Curso CAB operador concluído")</f>
        <v>Curso CAB operador concluído</v>
      </c>
      <c r="F308" s="1" t="str">
        <f>IFERROR(__xludf.DUMMYFUNCTION("""COMPUTED_VALUE"""),"030.599.470-07")</f>
        <v>030.599.470-07</v>
      </c>
      <c r="G308" s="1"/>
      <c r="H308" s="1"/>
      <c r="I308" s="1"/>
      <c r="J308" s="1"/>
      <c r="K308" s="1"/>
      <c r="L308" s="1"/>
      <c r="M308" s="1"/>
      <c r="N308" s="120"/>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row>
    <row r="309" customHeight="1" spans="1:40">
      <c r="A309" s="1"/>
      <c r="B309" s="1"/>
      <c r="C309" s="119"/>
      <c r="D309" s="1" t="str">
        <f>IFERROR(__xludf.DUMMYFUNCTION("""COMPUTED_VALUE"""),"FERNANDA POHLMANN ALVARES")</f>
        <v>FERNANDA POHLMANN ALVARES</v>
      </c>
      <c r="E309" s="1" t="str">
        <f>IFERROR(__xludf.DUMMYFUNCTION("""COMPUTED_VALUE"""),"Curso CAB operador concluído")</f>
        <v>Curso CAB operador concluído</v>
      </c>
      <c r="F309" s="1" t="str">
        <f>IFERROR(__xludf.DUMMYFUNCTION("""COMPUTED_VALUE"""),"044.150.980-02")</f>
        <v>044.150.980-02</v>
      </c>
      <c r="G309" s="1"/>
      <c r="H309" s="1"/>
      <c r="I309" s="1"/>
      <c r="J309" s="1"/>
      <c r="K309" s="1"/>
      <c r="L309" s="1"/>
      <c r="M309" s="1"/>
      <c r="N309" s="120"/>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row>
    <row r="310" customHeight="1" spans="1:40">
      <c r="A310" s="1" t="str">
        <f>IFERROR(__xludf.DUMMYFUNCTION("""COMPUTED_VALUE"""),"05° BBM")</f>
        <v>05° BBM</v>
      </c>
      <c r="B310" s="1" t="str">
        <f>IFERROR(__xludf.DUMMYFUNCTION("""COMPUTED_VALUE"""),"CANELA")</f>
        <v>CANELA</v>
      </c>
      <c r="C310" s="119" t="str">
        <f>IFERROR(__xludf.DUMMYFUNCTION("""COMPUTED_VALUE"""),"Municipal")</f>
        <v>Municipal</v>
      </c>
      <c r="D310" s="1" t="str">
        <f>IFERROR(__xludf.DUMMYFUNCTION("""COMPUTED_VALUE"""),"FERNANDO DA SILVA MACIEL")</f>
        <v>FERNANDO DA SILVA MACIEL</v>
      </c>
      <c r="E310" s="119" t="str">
        <f>IFERROR(__xludf.DUMMYFUNCTION("""COMPUTED_VALUE"""),"")</f>
        <v/>
      </c>
      <c r="F310" s="1"/>
      <c r="G310" s="1"/>
      <c r="H310" s="1" t="str">
        <f>IFERROR(__xludf.DUMMYFUNCTION("""COMPUTED_VALUE"""),"AUX ADMINISTRATIVO")</f>
        <v>AUX ADMINISTRATIVO</v>
      </c>
      <c r="I310" s="1"/>
      <c r="J310" s="1" t="str">
        <f>IFERROR(__xludf.DUMMYFUNCTION("""COMPUTED_VALUE"""),"Não")</f>
        <v>Não</v>
      </c>
      <c r="K310" s="1" t="str">
        <f>IFERROR(__xludf.DUMMYFUNCTION("""COMPUTED_VALUE"""),"Não")</f>
        <v>Não</v>
      </c>
      <c r="L310" s="1" t="str">
        <f>IFERROR(__xludf.DUMMYFUNCTION("""COMPUTED_VALUE"""),"O-")</f>
        <v>O-</v>
      </c>
      <c r="M310" s="1" t="str">
        <f>IFERROR(__xludf.DUMMYFUNCTION("""COMPUTED_VALUE"""),"FERNANDO")</f>
        <v>FERNANDO</v>
      </c>
      <c r="N310" s="120">
        <f>IFERROR(__xludf.DUMMYFUNCTION("""COMPUTED_VALUE"""),39300)</f>
        <v>39300</v>
      </c>
      <c r="O310" s="1" t="str">
        <f>IFERROR(__xludf.DUMMYFUNCTION("""COMPUTED_VALUE"""),"Masculino")</f>
        <v>Masculino</v>
      </c>
      <c r="P310" s="1" t="str">
        <f>IFERROR(__xludf.DUMMYFUNCTION("""COMPUTED_VALUE"""),"Branca")</f>
        <v>Branca</v>
      </c>
      <c r="Q310" s="1" t="str">
        <f>IFERROR(__xludf.DUMMYFUNCTION("""COMPUTED_VALUE"""),"Ensino Médio")</f>
        <v>Ensino Médio</v>
      </c>
      <c r="R310" s="1" t="str">
        <f>IFERROR(__xludf.DUMMYFUNCTION("""COMPUTED_VALUE"""),"macielfernando390@gmail.com")</f>
        <v>macielfernando390@gmail.com</v>
      </c>
      <c r="S310" s="1">
        <f>IFERROR(__xludf.DUMMYFUNCTION("""COMPUTED_VALUE"""),66)</f>
        <v>66</v>
      </c>
      <c r="T310" s="1" t="str">
        <f>IFERROR(__xludf.DUMMYFUNCTION("""COMPUTED_VALUE"""),"Entre 1,71m e 1,75m")</f>
        <v>Entre 1,71m e 1,75m</v>
      </c>
      <c r="U310" s="1"/>
      <c r="V310" s="1" t="str">
        <f>IFERROR(__xludf.DUMMYFUNCTION("""COMPUTED_VALUE"""),"(54)992717105")</f>
        <v>(54)992717105</v>
      </c>
      <c r="W310" s="1">
        <f>IFERROR(__xludf.DUMMYFUNCTION("""COMPUTED_VALUE"""),5432825177)</f>
        <v>5432825177</v>
      </c>
      <c r="X310" s="1" t="str">
        <f>IFERROR(__xludf.DUMMYFUNCTION("""COMPUTED_VALUE"""),"RS")</f>
        <v>RS</v>
      </c>
      <c r="Y310" s="1" t="str">
        <f>IFERROR(__xludf.DUMMYFUNCTION("""COMPUTED_VALUE"""),"Canela")</f>
        <v>Canela</v>
      </c>
      <c r="Z310" s="1">
        <f>IFERROR(__xludf.DUMMYFUNCTION("""COMPUTED_VALUE"""),95680708)</f>
        <v>95680708</v>
      </c>
      <c r="AA310" s="1" t="str">
        <f>IFERROR(__xludf.DUMMYFUNCTION("""COMPUTED_VALUE"""),"Rua Benjamin Constant")</f>
        <v>Rua Benjamin Constant</v>
      </c>
      <c r="AB310" s="1" t="str">
        <f>IFERROR(__xludf.DUMMYFUNCTION("""COMPUTED_VALUE"""),"vila maggi")</f>
        <v>vila maggi</v>
      </c>
      <c r="AC310" s="1" t="str">
        <f>IFERROR(__xludf.DUMMYFUNCTION("""COMPUTED_VALUE"""),"M")</f>
        <v>M</v>
      </c>
      <c r="AD310" s="1" t="str">
        <f>IFERROR(__xludf.DUMMYFUNCTION("""COMPUTED_VALUE"""),"M")</f>
        <v>M</v>
      </c>
      <c r="AE310" s="1" t="str">
        <f>IFERROR(__xludf.DUMMYFUNCTION("""COMPUTED_VALUE"""),"M")</f>
        <v>M</v>
      </c>
      <c r="AF310" s="1" t="str">
        <f>IFERROR(__xludf.DUMMYFUNCTION("""COMPUTED_VALUE"""),"M")</f>
        <v>M</v>
      </c>
      <c r="AG310" s="1" t="str">
        <f>IFERROR(__xludf.DUMMYFUNCTION("""COMPUTED_VALUE"""),"M")</f>
        <v>M</v>
      </c>
      <c r="AH310" s="1">
        <f>IFERROR(__xludf.DUMMYFUNCTION("""COMPUTED_VALUE"""),40)</f>
        <v>40</v>
      </c>
      <c r="AI310" s="1">
        <f>IFERROR(__xludf.DUMMYFUNCTION("""COMPUTED_VALUE"""),40)</f>
        <v>40</v>
      </c>
      <c r="AJ310" s="1">
        <f>IFERROR(__xludf.DUMMYFUNCTION("""COMPUTED_VALUE"""),40)</f>
        <v>40</v>
      </c>
      <c r="AK310" s="1">
        <f>IFERROR(__xludf.DUMMYFUNCTION("""COMPUTED_VALUE"""),40)</f>
        <v>40</v>
      </c>
      <c r="AL310" s="1" t="str">
        <f>IFERROR(__xludf.DUMMYFUNCTION("""COMPUTED_VALUE"""),"M")</f>
        <v>M</v>
      </c>
      <c r="AM310" s="1" t="str">
        <f>IFERROR(__xludf.DUMMYFUNCTION("""COMPUTED_VALUE"""),"M")</f>
        <v>M</v>
      </c>
      <c r="AN310" s="1" t="str">
        <f>IFERROR(__xludf.DUMMYFUNCTION("""COMPUTED_VALUE"""),"M")</f>
        <v>M</v>
      </c>
    </row>
    <row r="311" customHeight="1" spans="1:40">
      <c r="A311" s="1"/>
      <c r="B311" s="1"/>
      <c r="C311" s="119"/>
      <c r="D311" s="1" t="str">
        <f>IFERROR(__xludf.DUMMYFUNCTION("""COMPUTED_VALUE"""),"FERNANDO MINHOTTI PEREIRA")</f>
        <v>FERNANDO MINHOTTI PEREIRA</v>
      </c>
      <c r="E311" s="1" t="str">
        <f>IFERROR(__xludf.DUMMYFUNCTION("""COMPUTED_VALUE"""),"Módulo 1 concluído")</f>
        <v>Módulo 1 concluído</v>
      </c>
      <c r="F311" s="1" t="str">
        <f>IFERROR(__xludf.DUMMYFUNCTION("""COMPUTED_VALUE"""),"032.130.580-92")</f>
        <v>032.130.580-92</v>
      </c>
      <c r="G311" s="1"/>
      <c r="H311" s="1"/>
      <c r="I311" s="1"/>
      <c r="J311" s="1"/>
      <c r="K311" s="1"/>
      <c r="L311" s="1"/>
      <c r="M311" s="1"/>
      <c r="N311" s="120"/>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row>
    <row r="312" customHeight="1" spans="1:40">
      <c r="A312" s="1" t="str">
        <f>IFERROR(__xludf.DUMMYFUNCTION("""COMPUTED_VALUE"""),"05° BBM")</f>
        <v>05° BBM</v>
      </c>
      <c r="B312" s="1" t="str">
        <f>IFERROR(__xludf.DUMMYFUNCTION("""COMPUTED_VALUE"""),"VACARIA/MUITOS CAPÕES")</f>
        <v>VACARIA/MUITOS CAPÕES</v>
      </c>
      <c r="C312" s="119" t="str">
        <f>IFERROR(__xludf.DUMMYFUNCTION("""COMPUTED_VALUE"""),"Municipal")</f>
        <v>Municipal</v>
      </c>
      <c r="D312" s="1" t="str">
        <f>IFERROR(__xludf.DUMMYFUNCTION("""COMPUTED_VALUE"""),"FERNANDO RIBEIRO")</f>
        <v>FERNANDO RIBEIRO</v>
      </c>
      <c r="E312" s="119" t="str">
        <f>IFERROR(__xludf.DUMMYFUNCTION("""COMPUTED_VALUE"""),"Módulo 1 concluído")</f>
        <v>Módulo 1 concluído</v>
      </c>
      <c r="F312" s="1" t="str">
        <f>IFERROR(__xludf.DUMMYFUNCTION("""COMPUTED_VALUE"""),"020.039.800-83")</f>
        <v>020.039.800-83</v>
      </c>
      <c r="G312" s="1">
        <f>IFERROR(__xludf.DUMMYFUNCTION("""COMPUTED_VALUE"""),1099110304)</f>
        <v>1099110304</v>
      </c>
      <c r="H312" s="1" t="str">
        <f>IFERROR(__xludf.DUMMYFUNCTION("""COMPUTED_VALUE"""),"COMBATENTE")</f>
        <v>COMBATENTE</v>
      </c>
      <c r="I312" s="1" t="str">
        <f>IFERROR(__xludf.DUMMYFUNCTION("""COMPUTED_VALUE"""),"ENSINO MÉDIO")</f>
        <v>ENSINO MÉDIO</v>
      </c>
      <c r="J312" s="1" t="str">
        <f>IFERROR(__xludf.DUMMYFUNCTION("""COMPUTED_VALUE"""),"Sim")</f>
        <v>Sim</v>
      </c>
      <c r="K312" s="1" t="str">
        <f>IFERROR(__xludf.DUMMYFUNCTION("""COMPUTED_VALUE"""),"Não")</f>
        <v>Não</v>
      </c>
      <c r="L312" s="1"/>
      <c r="M312" s="1" t="str">
        <f>IFERROR(__xludf.DUMMYFUNCTION("""COMPUTED_VALUE"""),"FERNANDO")</f>
        <v>FERNANDO</v>
      </c>
      <c r="N312" s="120">
        <f>IFERROR(__xludf.DUMMYFUNCTION("""COMPUTED_VALUE"""),32087)</f>
        <v>32087</v>
      </c>
      <c r="O312" s="1" t="str">
        <f>IFERROR(__xludf.DUMMYFUNCTION("""COMPUTED_VALUE"""),"Masculino")</f>
        <v>Masculino</v>
      </c>
      <c r="P312" s="1" t="str">
        <f>IFERROR(__xludf.DUMMYFUNCTION("""COMPUTED_VALUE"""),"Branca")</f>
        <v>Branca</v>
      </c>
      <c r="Q312" s="1" t="str">
        <f>IFERROR(__xludf.DUMMYFUNCTION("""COMPUTED_VALUE"""),"Ensino Médio")</f>
        <v>Ensino Médio</v>
      </c>
      <c r="R312" s="128" t="str">
        <f>IFERROR(__xludf.DUMMYFUNCTION("""COMPUTED_VALUE"""),"fernandorubeiro1987@gmail.com")</f>
        <v>fernandorubeiro1987@gmail.com</v>
      </c>
      <c r="S312" s="1">
        <f>IFERROR(__xludf.DUMMYFUNCTION("""COMPUTED_VALUE"""),85)</f>
        <v>85</v>
      </c>
      <c r="T312" s="1" t="str">
        <f>IFERROR(__xludf.DUMMYFUNCTION("""COMPUTED_VALUE"""),"Entre 1,76m e 1,80m")</f>
        <v>Entre 1,76m e 1,80m</v>
      </c>
      <c r="U312" s="1"/>
      <c r="V312" s="1" t="str">
        <f>IFERROR(__xludf.DUMMYFUNCTION("""COMPUTED_VALUE"""),"54 999448010")</f>
        <v>54 999448010</v>
      </c>
      <c r="W312" s="1" t="str">
        <f>IFERROR(__xludf.DUMMYFUNCTION("""COMPUTED_VALUE"""),"54 999448010")</f>
        <v>54 999448010</v>
      </c>
      <c r="X312" s="1" t="str">
        <f>IFERROR(__xludf.DUMMYFUNCTION("""COMPUTED_VALUE"""),"RS")</f>
        <v>RS</v>
      </c>
      <c r="Y312" s="1" t="str">
        <f>IFERROR(__xludf.DUMMYFUNCTION("""COMPUTED_VALUE"""),"Muitos Capões")</f>
        <v>Muitos Capões</v>
      </c>
      <c r="Z312" s="1" t="str">
        <f>IFERROR(__xludf.DUMMYFUNCTION("""COMPUTED_VALUE"""),"95230-000")</f>
        <v>95230-000</v>
      </c>
      <c r="AA312" s="1" t="str">
        <f>IFERROR(__xludf.DUMMYFUNCTION("""COMPUTED_VALUE"""),"Estrada Vila Ituim")</f>
        <v>Estrada Vila Ituim</v>
      </c>
      <c r="AB312" s="1" t="str">
        <f>IFERROR(__xludf.DUMMYFUNCTION("""COMPUTED_VALUE"""),"INTERIOR")</f>
        <v>INTERIOR</v>
      </c>
      <c r="AC312" s="1" t="str">
        <f>IFERROR(__xludf.DUMMYFUNCTION("""COMPUTED_VALUE"""),"G")</f>
        <v>G</v>
      </c>
      <c r="AD312" s="1" t="str">
        <f>IFERROR(__xludf.DUMMYFUNCTION("""COMPUTED_VALUE"""),"G")</f>
        <v>G</v>
      </c>
      <c r="AE312" s="1" t="str">
        <f>IFERROR(__xludf.DUMMYFUNCTION("""COMPUTED_VALUE"""),"G")</f>
        <v>G</v>
      </c>
      <c r="AF312" s="1" t="str">
        <f>IFERROR(__xludf.DUMMYFUNCTION("""COMPUTED_VALUE"""),"G")</f>
        <v>G</v>
      </c>
      <c r="AG312" s="1" t="str">
        <f>IFERROR(__xludf.DUMMYFUNCTION("""COMPUTED_VALUE"""),"G")</f>
        <v>G</v>
      </c>
      <c r="AH312" s="1">
        <f>IFERROR(__xludf.DUMMYFUNCTION("""COMPUTED_VALUE"""),41)</f>
        <v>41</v>
      </c>
      <c r="AI312" s="1">
        <f>IFERROR(__xludf.DUMMYFUNCTION("""COMPUTED_VALUE"""),41)</f>
        <v>41</v>
      </c>
      <c r="AJ312" s="1">
        <f>IFERROR(__xludf.DUMMYFUNCTION("""COMPUTED_VALUE"""),41)</f>
        <v>41</v>
      </c>
      <c r="AK312" s="1">
        <f>IFERROR(__xludf.DUMMYFUNCTION("""COMPUTED_VALUE"""),41)</f>
        <v>41</v>
      </c>
      <c r="AL312" s="1" t="str">
        <f>IFERROR(__xludf.DUMMYFUNCTION("""COMPUTED_VALUE"""),"G")</f>
        <v>G</v>
      </c>
      <c r="AM312" s="1" t="str">
        <f>IFERROR(__xludf.DUMMYFUNCTION("""COMPUTED_VALUE"""),"G")</f>
        <v>G</v>
      </c>
      <c r="AN312" s="1" t="str">
        <f>IFERROR(__xludf.DUMMYFUNCTION("""COMPUTED_VALUE"""),"G")</f>
        <v>G</v>
      </c>
    </row>
    <row r="313" customHeight="1" spans="1:40">
      <c r="A313" s="1" t="str">
        <f>IFERROR(__xludf.DUMMYFUNCTION("""COMPUTED_VALUE"""),"05° BBM")</f>
        <v>05° BBM</v>
      </c>
      <c r="B313" s="1" t="str">
        <f>IFERROR(__xludf.DUMMYFUNCTION("""COMPUTED_VALUE"""),"Feliz")</f>
        <v>Feliz</v>
      </c>
      <c r="C313" s="119" t="str">
        <f>IFERROR(__xludf.DUMMYFUNCTION("""COMPUTED_VALUE"""),"CAB")</f>
        <v>CAB</v>
      </c>
      <c r="D313" s="1" t="str">
        <f>IFERROR(__xludf.DUMMYFUNCTION("""COMPUTED_VALUE"""),"FRANCIELE TAÍS MARTINY")</f>
        <v>FRANCIELE TAÍS MARTINY</v>
      </c>
      <c r="E313" s="119" t="str">
        <f>IFERROR(__xludf.DUMMYFUNCTION("""COMPUTED_VALUE"""),"Módulo 1 concluído")</f>
        <v>Módulo 1 concluído</v>
      </c>
      <c r="F313" s="1" t="str">
        <f>IFERROR(__xludf.DUMMYFUNCTION("""COMPUTED_VALUE"""),"024.671.160-42")</f>
        <v>024.671.160-42</v>
      </c>
      <c r="G313" s="1">
        <f>IFERROR(__xludf.DUMMYFUNCTION("""COMPUTED_VALUE"""),4100308934)</f>
        <v>4100308934</v>
      </c>
      <c r="H313" s="1" t="str">
        <f>IFERROR(__xludf.DUMMYFUNCTION("""COMPUTED_VALUE"""),"Atendente e Operador")</f>
        <v>Atendente e Operador</v>
      </c>
      <c r="I313" s="1"/>
      <c r="J313" s="1" t="str">
        <f>IFERROR(__xludf.DUMMYFUNCTION("""COMPUTED_VALUE"""),"Sim")</f>
        <v>Sim</v>
      </c>
      <c r="K313" s="1" t="str">
        <f>IFERROR(__xludf.DUMMYFUNCTION("""COMPUTED_VALUE"""),"Não")</f>
        <v>Não</v>
      </c>
      <c r="L313" s="1" t="str">
        <f>IFERROR(__xludf.DUMMYFUNCTION("""COMPUTED_VALUE"""),"AB+")</f>
        <v>AB+</v>
      </c>
      <c r="M313" s="1" t="str">
        <f>IFERROR(__xludf.DUMMYFUNCTION("""COMPUTED_VALUE"""),"FRANCIELE")</f>
        <v>FRANCIELE</v>
      </c>
      <c r="N313" s="120">
        <f>IFERROR(__xludf.DUMMYFUNCTION("""COMPUTED_VALUE"""),33819)</f>
        <v>33819</v>
      </c>
      <c r="O313" s="1" t="str">
        <f>IFERROR(__xludf.DUMMYFUNCTION("""COMPUTED_VALUE"""),"Feminino")</f>
        <v>Feminino</v>
      </c>
      <c r="P313" s="1" t="str">
        <f>IFERROR(__xludf.DUMMYFUNCTION("""COMPUTED_VALUE"""),"Branca")</f>
        <v>Branca</v>
      </c>
      <c r="Q313" s="1" t="str">
        <f>IFERROR(__xludf.DUMMYFUNCTION("""COMPUTED_VALUE"""),"Superior Completo")</f>
        <v>Superior Completo</v>
      </c>
      <c r="R313" s="1" t="str">
        <f>IFERROR(__xludf.DUMMYFUNCTION("""COMPUTED_VALUE"""),"ft.martiny@hotmail.com")</f>
        <v>ft.martiny@hotmail.com</v>
      </c>
      <c r="S313" s="1">
        <f>IFERROR(__xludf.DUMMYFUNCTION("""COMPUTED_VALUE"""),70)</f>
        <v>70</v>
      </c>
      <c r="T313" s="1" t="str">
        <f>IFERROR(__xludf.DUMMYFUNCTION("""COMPUTED_VALUE"""),"Entre 1,66m e 1,70m")</f>
        <v>Entre 1,66m e 1,70m</v>
      </c>
      <c r="U313" s="1"/>
      <c r="V313" s="1" t="str">
        <f>IFERROR(__xludf.DUMMYFUNCTION("""COMPUTED_VALUE"""),"(51) 991789385")</f>
        <v>(51) 991789385</v>
      </c>
      <c r="W313" s="1" t="str">
        <f>IFERROR(__xludf.DUMMYFUNCTION("""COMPUTED_VALUE"""),"(51)3637-1500")</f>
        <v>(51)3637-1500</v>
      </c>
      <c r="X313" s="1" t="str">
        <f>IFERROR(__xludf.DUMMYFUNCTION("""COMPUTED_VALUE"""),"RS")</f>
        <v>RS</v>
      </c>
      <c r="Y313" s="1" t="str">
        <f>IFERROR(__xludf.DUMMYFUNCTION("""COMPUTED_VALUE"""),"Vale Real")</f>
        <v>Vale Real</v>
      </c>
      <c r="Z313" s="1" t="str">
        <f>IFERROR(__xludf.DUMMYFUNCTION("""COMPUTED_VALUE"""),"95778-000")</f>
        <v>95778-000</v>
      </c>
      <c r="AA313" s="1" t="str">
        <f>IFERROR(__xludf.DUMMYFUNCTION("""COMPUTED_VALUE"""),"Estrada Morro Gaúcho, SN")</f>
        <v>Estrada Morro Gaúcho, SN</v>
      </c>
      <c r="AB313" s="1" t="str">
        <f>IFERROR(__xludf.DUMMYFUNCTION("""COMPUTED_VALUE"""),"Morro Gaúcho")</f>
        <v>Morro Gaúcho</v>
      </c>
      <c r="AC313" s="1" t="str">
        <f>IFERROR(__xludf.DUMMYFUNCTION("""COMPUTED_VALUE"""),"M")</f>
        <v>M</v>
      </c>
      <c r="AD313" s="1" t="str">
        <f>IFERROR(__xludf.DUMMYFUNCTION("""COMPUTED_VALUE"""),"M")</f>
        <v>M</v>
      </c>
      <c r="AE313" s="1" t="str">
        <f>IFERROR(__xludf.DUMMYFUNCTION("""COMPUTED_VALUE"""),"M")</f>
        <v>M</v>
      </c>
      <c r="AF313" s="1" t="str">
        <f>IFERROR(__xludf.DUMMYFUNCTION("""COMPUTED_VALUE"""),"M")</f>
        <v>M</v>
      </c>
      <c r="AG313" s="1" t="str">
        <f>IFERROR(__xludf.DUMMYFUNCTION("""COMPUTED_VALUE"""),"M")</f>
        <v>M</v>
      </c>
      <c r="AH313" s="1">
        <f>IFERROR(__xludf.DUMMYFUNCTION("""COMPUTED_VALUE"""),38)</f>
        <v>38</v>
      </c>
      <c r="AI313" s="1">
        <f>IFERROR(__xludf.DUMMYFUNCTION("""COMPUTED_VALUE"""),38)</f>
        <v>38</v>
      </c>
      <c r="AJ313" s="1">
        <f>IFERROR(__xludf.DUMMYFUNCTION("""COMPUTED_VALUE"""),38)</f>
        <v>38</v>
      </c>
      <c r="AK313" s="1">
        <f>IFERROR(__xludf.DUMMYFUNCTION("""COMPUTED_VALUE"""),38)</f>
        <v>38</v>
      </c>
      <c r="AL313" s="1" t="str">
        <f>IFERROR(__xludf.DUMMYFUNCTION("""COMPUTED_VALUE"""),"M")</f>
        <v>M</v>
      </c>
      <c r="AM313" s="1" t="str">
        <f>IFERROR(__xludf.DUMMYFUNCTION("""COMPUTED_VALUE"""),"M")</f>
        <v>M</v>
      </c>
      <c r="AN313" s="1" t="str">
        <f>IFERROR(__xludf.DUMMYFUNCTION("""COMPUTED_VALUE"""),"M")</f>
        <v>M</v>
      </c>
    </row>
    <row r="314" customHeight="1" spans="1:40">
      <c r="A314" s="1"/>
      <c r="B314" s="1"/>
      <c r="C314" s="119"/>
      <c r="D314" s="1" t="str">
        <f>IFERROR(__xludf.DUMMYFUNCTION("""COMPUTED_VALUE"""),"FRANCISCO EDGAR DA COSTA")</f>
        <v>FRANCISCO EDGAR DA COSTA</v>
      </c>
      <c r="E314" s="1" t="str">
        <f>IFERROR(__xludf.DUMMYFUNCTION("""COMPUTED_VALUE"""),"Módulo 1 concluído")</f>
        <v>Módulo 1 concluído</v>
      </c>
      <c r="F314" s="1" t="str">
        <f>IFERROR(__xludf.DUMMYFUNCTION("""COMPUTED_VALUE"""),"039.852.208-03")</f>
        <v>039.852.208-03</v>
      </c>
      <c r="G314" s="1"/>
      <c r="H314" s="1"/>
      <c r="I314" s="1"/>
      <c r="J314" s="1"/>
      <c r="K314" s="1"/>
      <c r="L314" s="1"/>
      <c r="M314" s="1"/>
      <c r="N314" s="120"/>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row>
    <row r="315" customHeight="1" spans="1:40">
      <c r="A315" s="1"/>
      <c r="B315" s="1"/>
      <c r="C315" s="119"/>
      <c r="D315" s="1" t="str">
        <f>IFERROR(__xludf.DUMMYFUNCTION("""COMPUTED_VALUE"""),"FRANCYELLI POLLI")</f>
        <v>FRANCYELLI POLLI</v>
      </c>
      <c r="E315" s="1" t="str">
        <f>IFERROR(__xludf.DUMMYFUNCTION("""COMPUTED_VALUE"""),"Curso CAB operador concluído")</f>
        <v>Curso CAB operador concluído</v>
      </c>
      <c r="F315" s="1" t="str">
        <f>IFERROR(__xludf.DUMMYFUNCTION("""COMPUTED_VALUE"""),"031.426.080-36")</f>
        <v>031.426.080-36</v>
      </c>
      <c r="G315" s="1"/>
      <c r="H315" s="1"/>
      <c r="I315" s="1"/>
      <c r="J315" s="1"/>
      <c r="K315" s="1"/>
      <c r="L315" s="1"/>
      <c r="M315" s="1"/>
      <c r="N315" s="120"/>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row>
    <row r="316" customHeight="1" spans="1:40">
      <c r="A316" s="1"/>
      <c r="B316" s="1"/>
      <c r="C316" s="119"/>
      <c r="D316" s="1" t="str">
        <f>IFERROR(__xludf.DUMMYFUNCTION("""COMPUTED_VALUE"""),"GABRIELA PEREIRA DAMINIS")</f>
        <v>GABRIELA PEREIRA DAMINIS</v>
      </c>
      <c r="E316" s="1" t="str">
        <f>IFERROR(__xludf.DUMMYFUNCTION("""COMPUTED_VALUE"""),"Curso CAB operador concluído")</f>
        <v>Curso CAB operador concluído</v>
      </c>
      <c r="F316" s="1" t="str">
        <f>IFERROR(__xludf.DUMMYFUNCTION("""COMPUTED_VALUE"""),"030.138.880-67")</f>
        <v>030.138.880-67</v>
      </c>
      <c r="G316" s="1"/>
      <c r="H316" s="1"/>
      <c r="I316" s="1"/>
      <c r="J316" s="1"/>
      <c r="K316" s="1"/>
      <c r="L316" s="1"/>
      <c r="M316" s="1"/>
      <c r="N316" s="120"/>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row>
    <row r="317" customHeight="1" spans="1:40">
      <c r="A317" s="1"/>
      <c r="B317" s="1"/>
      <c r="C317" s="119"/>
      <c r="D317" s="1" t="str">
        <f>IFERROR(__xludf.DUMMYFUNCTION("""COMPUTED_VALUE"""),"GILMAR LOURENÇO JARDIM")</f>
        <v>GILMAR LOURENÇO JARDIM</v>
      </c>
      <c r="E317" s="1" t="str">
        <f>IFERROR(__xludf.DUMMYFUNCTION("""COMPUTED_VALUE"""),"Módulo 1 concluído")</f>
        <v>Módulo 1 concluído</v>
      </c>
      <c r="F317" s="1" t="str">
        <f>IFERROR(__xludf.DUMMYFUNCTION("""COMPUTED_VALUE"""),"025.511.590-32")</f>
        <v>025.511.590-32</v>
      </c>
      <c r="G317" s="1"/>
      <c r="H317" s="1"/>
      <c r="I317" s="1"/>
      <c r="J317" s="1"/>
      <c r="K317" s="1"/>
      <c r="L317" s="1"/>
      <c r="M317" s="1"/>
      <c r="N317" s="120"/>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row>
    <row r="318" customHeight="1" spans="1:40">
      <c r="A318" s="1" t="str">
        <f>IFERROR(__xludf.DUMMYFUNCTION("""COMPUTED_VALUE"""),"05° BBM")</f>
        <v>05° BBM</v>
      </c>
      <c r="B318" s="1" t="str">
        <f>IFERROR(__xludf.DUMMYFUNCTION("""COMPUTED_VALUE"""),"Farroupilha")</f>
        <v>Farroupilha</v>
      </c>
      <c r="C318" s="119" t="str">
        <f>IFERROR(__xludf.DUMMYFUNCTION("""COMPUTED_VALUE"""),"CAB")</f>
        <v>CAB</v>
      </c>
      <c r="D318" s="1" t="str">
        <f>IFERROR(__xludf.DUMMYFUNCTION("""COMPUTED_VALUE"""),"GILSON CESAR BORTOLI")</f>
        <v>GILSON CESAR BORTOLI</v>
      </c>
      <c r="E318" s="119" t="str">
        <f>IFERROR(__xludf.DUMMYFUNCTION("""COMPUTED_VALUE"""),"Módulo 1 concluído")</f>
        <v>Módulo 1 concluído</v>
      </c>
      <c r="F318" s="1" t="str">
        <f>IFERROR(__xludf.DUMMYFUNCTION("""COMPUTED_VALUE"""),"583.064.120-87")</f>
        <v>583.064.120-87</v>
      </c>
      <c r="G318" s="1">
        <f>IFERROR(__xludf.DUMMYFUNCTION("""COMPUTED_VALUE"""),1050584885)</f>
        <v>1050584885</v>
      </c>
      <c r="H318" s="1" t="str">
        <f>IFERROR(__xludf.DUMMYFUNCTION("""COMPUTED_VALUE"""),"Atendente e Operador")</f>
        <v>Atendente e Operador</v>
      </c>
      <c r="I318" s="1"/>
      <c r="J318" s="1" t="str">
        <f>IFERROR(__xludf.DUMMYFUNCTION("""COMPUTED_VALUE"""),"Sim")</f>
        <v>Sim</v>
      </c>
      <c r="K318" s="1" t="str">
        <f>IFERROR(__xludf.DUMMYFUNCTION("""COMPUTED_VALUE"""),"Não")</f>
        <v>Não</v>
      </c>
      <c r="L318" s="1" t="str">
        <f>IFERROR(__xludf.DUMMYFUNCTION("""COMPUTED_VALUE"""),"O+")</f>
        <v>O+</v>
      </c>
      <c r="M318" s="1" t="str">
        <f>IFERROR(__xludf.DUMMYFUNCTION("""COMPUTED_VALUE"""),"BORTOLI")</f>
        <v>BORTOLI</v>
      </c>
      <c r="N318" s="120">
        <f>IFERROR(__xludf.DUMMYFUNCTION("""COMPUTED_VALUE"""),25731)</f>
        <v>25731</v>
      </c>
      <c r="O318" s="1" t="str">
        <f>IFERROR(__xludf.DUMMYFUNCTION("""COMPUTED_VALUE"""),"Masculino")</f>
        <v>Masculino</v>
      </c>
      <c r="P318" s="1" t="str">
        <f>IFERROR(__xludf.DUMMYFUNCTION("""COMPUTED_VALUE"""),"Branca")</f>
        <v>Branca</v>
      </c>
      <c r="Q318" s="1" t="str">
        <f>IFERROR(__xludf.DUMMYFUNCTION("""COMPUTED_VALUE"""),"Ensino Médio")</f>
        <v>Ensino Médio</v>
      </c>
      <c r="R318" s="1" t="str">
        <f>IFERROR(__xludf.DUMMYFUNCTION("""COMPUTED_VALUE"""),"bortoli1067@gmail.com")</f>
        <v>bortoli1067@gmail.com</v>
      </c>
      <c r="S318" s="1">
        <f>IFERROR(__xludf.DUMMYFUNCTION("""COMPUTED_VALUE"""),87)</f>
        <v>87</v>
      </c>
      <c r="T318" s="1" t="str">
        <f>IFERROR(__xludf.DUMMYFUNCTION("""COMPUTED_VALUE"""),"Entre 1,71m e 1,75m")</f>
        <v>Entre 1,71m e 1,75m</v>
      </c>
      <c r="U318" s="1"/>
      <c r="V318" s="1" t="str">
        <f>IFERROR(__xludf.DUMMYFUNCTION("""COMPUTED_VALUE"""),"(54)98431-3862")</f>
        <v>(54)98431-3862</v>
      </c>
      <c r="W318" s="1" t="str">
        <f>IFERROR(__xludf.DUMMYFUNCTION("""COMPUTED_VALUE"""),"(54)98435-5140")</f>
        <v>(54)98435-5140</v>
      </c>
      <c r="X318" s="1" t="str">
        <f>IFERROR(__xludf.DUMMYFUNCTION("""COMPUTED_VALUE"""),"RS")</f>
        <v>RS</v>
      </c>
      <c r="Y318" s="1" t="str">
        <f>IFERROR(__xludf.DUMMYFUNCTION("""COMPUTED_VALUE"""),"Farroupilha")</f>
        <v>Farroupilha</v>
      </c>
      <c r="Z318" s="1" t="str">
        <f>IFERROR(__xludf.DUMMYFUNCTION("""COMPUTED_VALUE"""),"95170-156")</f>
        <v>95170-156</v>
      </c>
      <c r="AA318" s="1" t="str">
        <f>IFERROR(__xludf.DUMMYFUNCTION("""COMPUTED_VALUE"""),"Rua Pref Baumgarten,31")</f>
        <v>Rua Pref Baumgarten,31</v>
      </c>
      <c r="AB318" s="1" t="str">
        <f>IFERROR(__xludf.DUMMYFUNCTION("""COMPUTED_VALUE"""),"do Parque")</f>
        <v>do Parque</v>
      </c>
      <c r="AC318" s="1" t="str">
        <f>IFERROR(__xludf.DUMMYFUNCTION("""COMPUTED_VALUE"""),"GG")</f>
        <v>GG</v>
      </c>
      <c r="AD318" s="1" t="str">
        <f>IFERROR(__xludf.DUMMYFUNCTION("""COMPUTED_VALUE"""),"GG")</f>
        <v>GG</v>
      </c>
      <c r="AE318" s="1" t="str">
        <f>IFERROR(__xludf.DUMMYFUNCTION("""COMPUTED_VALUE"""),"GG")</f>
        <v>GG</v>
      </c>
      <c r="AF318" s="1" t="str">
        <f>IFERROR(__xludf.DUMMYFUNCTION("""COMPUTED_VALUE"""),"GG")</f>
        <v>GG</v>
      </c>
      <c r="AG318" s="1" t="str">
        <f>IFERROR(__xludf.DUMMYFUNCTION("""COMPUTED_VALUE"""),"GG")</f>
        <v>GG</v>
      </c>
      <c r="AH318" s="1">
        <f>IFERROR(__xludf.DUMMYFUNCTION("""COMPUTED_VALUE"""),41)</f>
        <v>41</v>
      </c>
      <c r="AI318" s="1">
        <f>IFERROR(__xludf.DUMMYFUNCTION("""COMPUTED_VALUE"""),41)</f>
        <v>41</v>
      </c>
      <c r="AJ318" s="1">
        <f>IFERROR(__xludf.DUMMYFUNCTION("""COMPUTED_VALUE"""),41)</f>
        <v>41</v>
      </c>
      <c r="AK318" s="1">
        <f>IFERROR(__xludf.DUMMYFUNCTION("""COMPUTED_VALUE"""),41)</f>
        <v>41</v>
      </c>
      <c r="AL318" s="1" t="str">
        <f>IFERROR(__xludf.DUMMYFUNCTION("""COMPUTED_VALUE"""),"GG")</f>
        <v>GG</v>
      </c>
      <c r="AM318" s="1" t="str">
        <f>IFERROR(__xludf.DUMMYFUNCTION("""COMPUTED_VALUE"""),"GG")</f>
        <v>GG</v>
      </c>
      <c r="AN318" s="1" t="str">
        <f>IFERROR(__xludf.DUMMYFUNCTION("""COMPUTED_VALUE"""),"G")</f>
        <v>G</v>
      </c>
    </row>
    <row r="319" customHeight="1" spans="1:40">
      <c r="A319" s="1"/>
      <c r="B319" s="1"/>
      <c r="C319" s="119"/>
      <c r="D319" s="1" t="str">
        <f>IFERROR(__xludf.DUMMYFUNCTION("""COMPUTED_VALUE"""),"GILSON DORISETE SIMIANO SANTOS")</f>
        <v>GILSON DORISETE SIMIANO SANTOS</v>
      </c>
      <c r="E319" s="1" t="str">
        <f>IFERROR(__xludf.DUMMYFUNCTION("""COMPUTED_VALUE"""),"Módulo 1 concluído")</f>
        <v>Módulo 1 concluído</v>
      </c>
      <c r="F319" s="1" t="str">
        <f>IFERROR(__xludf.DUMMYFUNCTION("""COMPUTED_VALUE"""),"828.713.880-91")</f>
        <v>828.713.880-91</v>
      </c>
      <c r="G319" s="1"/>
      <c r="H319" s="1"/>
      <c r="I319" s="1"/>
      <c r="J319" s="1"/>
      <c r="K319" s="1"/>
      <c r="L319" s="1"/>
      <c r="M319" s="1"/>
      <c r="N319" s="120"/>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row>
    <row r="320" customHeight="1" spans="1:40">
      <c r="A320" s="1" t="str">
        <f>IFERROR(__xludf.DUMMYFUNCTION("""COMPUTED_VALUE"""),"05° BBM")</f>
        <v>05° BBM</v>
      </c>
      <c r="B320" s="1" t="str">
        <f>IFERROR(__xludf.DUMMYFUNCTION("""COMPUTED_VALUE"""),"Feliz")</f>
        <v>Feliz</v>
      </c>
      <c r="C320" s="119" t="str">
        <f>IFERROR(__xludf.DUMMYFUNCTION("""COMPUTED_VALUE"""),"CAB")</f>
        <v>CAB</v>
      </c>
      <c r="D320" s="1" t="str">
        <f>IFERROR(__xludf.DUMMYFUNCTION("""COMPUTED_VALUE"""),"GISIANE FRANZEN")</f>
        <v>GISIANE FRANZEN</v>
      </c>
      <c r="E320" s="119" t="str">
        <f>IFERROR(__xludf.DUMMYFUNCTION("""COMPUTED_VALUE"""),"Módulo 1 concluído")</f>
        <v>Módulo 1 concluído</v>
      </c>
      <c r="F320" s="1" t="str">
        <f>IFERROR(__xludf.DUMMYFUNCTION("""COMPUTED_VALUE"""),"017.791.400-96")</f>
        <v>017.791.400-96</v>
      </c>
      <c r="G320" s="1">
        <f>IFERROR(__xludf.DUMMYFUNCTION("""COMPUTED_VALUE"""),6076832151)</f>
        <v>6076832151</v>
      </c>
      <c r="H320" s="1" t="str">
        <f>IFERROR(__xludf.DUMMYFUNCTION("""COMPUTED_VALUE"""),"Atendente e Operador")</f>
        <v>Atendente e Operador</v>
      </c>
      <c r="I320" s="1"/>
      <c r="J320" s="1" t="str">
        <f>IFERROR(__xludf.DUMMYFUNCTION("""COMPUTED_VALUE"""),"Sim")</f>
        <v>Sim</v>
      </c>
      <c r="K320" s="1" t="str">
        <f>IFERROR(__xludf.DUMMYFUNCTION("""COMPUTED_VALUE"""),"Não")</f>
        <v>Não</v>
      </c>
      <c r="L320" s="1" t="str">
        <f>IFERROR(__xludf.DUMMYFUNCTION("""COMPUTED_VALUE"""),"A+")</f>
        <v>A+</v>
      </c>
      <c r="M320" s="1" t="str">
        <f>IFERROR(__xludf.DUMMYFUNCTION("""COMPUTED_VALUE"""),"GISIANE")</f>
        <v>GISIANE</v>
      </c>
      <c r="N320" s="120">
        <f>IFERROR(__xludf.DUMMYFUNCTION("""COMPUTED_VALUE"""),33158)</f>
        <v>33158</v>
      </c>
      <c r="O320" s="1" t="str">
        <f>IFERROR(__xludf.DUMMYFUNCTION("""COMPUTED_VALUE"""),"Feminino")</f>
        <v>Feminino</v>
      </c>
      <c r="P320" s="1" t="str">
        <f>IFERROR(__xludf.DUMMYFUNCTION("""COMPUTED_VALUE"""),"Branca")</f>
        <v>Branca</v>
      </c>
      <c r="Q320" s="1" t="str">
        <f>IFERROR(__xludf.DUMMYFUNCTION("""COMPUTED_VALUE"""),"Superior Completo")</f>
        <v>Superior Completo</v>
      </c>
      <c r="R320" s="1" t="str">
        <f>IFERROR(__xludf.DUMMYFUNCTION("""COMPUTED_VALUE"""),"gisi240@gmail.com")</f>
        <v>gisi240@gmail.com</v>
      </c>
      <c r="S320" s="1">
        <f>IFERROR(__xludf.DUMMYFUNCTION("""COMPUTED_VALUE"""),73)</f>
        <v>73</v>
      </c>
      <c r="T320" s="1" t="str">
        <f>IFERROR(__xludf.DUMMYFUNCTION("""COMPUTED_VALUE"""),"Entre 1,71m e 1,75m")</f>
        <v>Entre 1,71m e 1,75m</v>
      </c>
      <c r="U320" s="1"/>
      <c r="V320" s="1" t="str">
        <f>IFERROR(__xludf.DUMMYFUNCTION("""COMPUTED_VALUE"""),"(51)997426325")</f>
        <v>(51)997426325</v>
      </c>
      <c r="W320" s="1" t="str">
        <f>IFERROR(__xludf.DUMMYFUNCTION("""COMPUTED_VALUE"""),"(51)3637-1500")</f>
        <v>(51)3637-1500</v>
      </c>
      <c r="X320" s="1" t="str">
        <f>IFERROR(__xludf.DUMMYFUNCTION("""COMPUTED_VALUE"""),"RS")</f>
        <v>RS</v>
      </c>
      <c r="Y320" s="1" t="str">
        <f>IFERROR(__xludf.DUMMYFUNCTION("""COMPUTED_VALUE"""),"Feliz")</f>
        <v>Feliz</v>
      </c>
      <c r="Z320" s="1" t="str">
        <f>IFERROR(__xludf.DUMMYFUNCTION("""COMPUTED_VALUE"""),"95770-000")</f>
        <v>95770-000</v>
      </c>
      <c r="AA320" s="1" t="str">
        <f>IFERROR(__xludf.DUMMYFUNCTION("""COMPUTED_VALUE"""),"Rua João Fridolino Bennemann, 68")</f>
        <v>Rua João Fridolino Bennemann, 68</v>
      </c>
      <c r="AB320" s="1" t="str">
        <f>IFERROR(__xludf.DUMMYFUNCTION("""COMPUTED_VALUE"""),"Vila Rica")</f>
        <v>Vila Rica</v>
      </c>
      <c r="AC320" s="1" t="str">
        <f>IFERROR(__xludf.DUMMYFUNCTION("""COMPUTED_VALUE"""),"P")</f>
        <v>P</v>
      </c>
      <c r="AD320" s="1" t="str">
        <f>IFERROR(__xludf.DUMMYFUNCTION("""COMPUTED_VALUE"""),"P")</f>
        <v>P</v>
      </c>
      <c r="AE320" s="1" t="str">
        <f>IFERROR(__xludf.DUMMYFUNCTION("""COMPUTED_VALUE"""),"P")</f>
        <v>P</v>
      </c>
      <c r="AF320" s="1" t="str">
        <f>IFERROR(__xludf.DUMMYFUNCTION("""COMPUTED_VALUE"""),"P")</f>
        <v>P</v>
      </c>
      <c r="AG320" s="1" t="str">
        <f>IFERROR(__xludf.DUMMYFUNCTION("""COMPUTED_VALUE"""),"P")</f>
        <v>P</v>
      </c>
      <c r="AH320" s="1">
        <f>IFERROR(__xludf.DUMMYFUNCTION("""COMPUTED_VALUE"""),38)</f>
        <v>38</v>
      </c>
      <c r="AI320" s="1">
        <f>IFERROR(__xludf.DUMMYFUNCTION("""COMPUTED_VALUE"""),38)</f>
        <v>38</v>
      </c>
      <c r="AJ320" s="1">
        <f>IFERROR(__xludf.DUMMYFUNCTION("""COMPUTED_VALUE"""),38)</f>
        <v>38</v>
      </c>
      <c r="AK320" s="1">
        <f>IFERROR(__xludf.DUMMYFUNCTION("""COMPUTED_VALUE"""),38)</f>
        <v>38</v>
      </c>
      <c r="AL320" s="1" t="str">
        <f>IFERROR(__xludf.DUMMYFUNCTION("""COMPUTED_VALUE"""),"P")</f>
        <v>P</v>
      </c>
      <c r="AM320" s="1" t="str">
        <f>IFERROR(__xludf.DUMMYFUNCTION("""COMPUTED_VALUE"""),"P")</f>
        <v>P</v>
      </c>
      <c r="AN320" s="1" t="str">
        <f>IFERROR(__xludf.DUMMYFUNCTION("""COMPUTED_VALUE"""),"P")</f>
        <v>P</v>
      </c>
    </row>
    <row r="321" customHeight="1" spans="1:40">
      <c r="A321" s="1"/>
      <c r="B321" s="1"/>
      <c r="C321" s="119"/>
      <c r="D321" s="1" t="str">
        <f>IFERROR(__xludf.DUMMYFUNCTION("""COMPUTED_VALUE"""),"GIULIANO CORREA LIMA")</f>
        <v>GIULIANO CORREA LIMA</v>
      </c>
      <c r="E321" s="1" t="str">
        <f>IFERROR(__xludf.DUMMYFUNCTION("""COMPUTED_VALUE"""),"Curso CAB operador concluído")</f>
        <v>Curso CAB operador concluído</v>
      </c>
      <c r="F321" s="1" t="str">
        <f>IFERROR(__xludf.DUMMYFUNCTION("""COMPUTED_VALUE"""),"778.785.820-68")</f>
        <v>778.785.820-68</v>
      </c>
      <c r="G321" s="1"/>
      <c r="H321" s="1"/>
      <c r="I321" s="1"/>
      <c r="J321" s="1"/>
      <c r="K321" s="1"/>
      <c r="L321" s="1"/>
      <c r="M321" s="1"/>
      <c r="N321" s="120"/>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row>
    <row r="322" customHeight="1" spans="1:40">
      <c r="A322" s="1"/>
      <c r="B322" s="1"/>
      <c r="C322" s="119"/>
      <c r="D322" s="1" t="str">
        <f>IFERROR(__xludf.DUMMYFUNCTION("""COMPUTED_VALUE"""),"ISMAEL MACEDO DA SILVA")</f>
        <v>ISMAEL MACEDO DA SILVA</v>
      </c>
      <c r="E322" s="1" t="str">
        <f>IFERROR(__xludf.DUMMYFUNCTION("""COMPUTED_VALUE"""),"Módulo 1 concluído")</f>
        <v>Módulo 1 concluído</v>
      </c>
      <c r="F322" s="1" t="str">
        <f>IFERROR(__xludf.DUMMYFUNCTION("""COMPUTED_VALUE"""),"032.648.540-66")</f>
        <v>032.648.540-66</v>
      </c>
      <c r="G322" s="1"/>
      <c r="H322" s="1"/>
      <c r="I322" s="1"/>
      <c r="J322" s="1"/>
      <c r="K322" s="1"/>
      <c r="L322" s="1"/>
      <c r="M322" s="1"/>
      <c r="N322" s="120"/>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row>
    <row r="323" customHeight="1" spans="1:40">
      <c r="A323" s="1" t="str">
        <f>IFERROR(__xludf.DUMMYFUNCTION("""COMPUTED_VALUE"""),"05° BBM")</f>
        <v>05° BBM</v>
      </c>
      <c r="B323" s="1" t="str">
        <f>IFERROR(__xludf.DUMMYFUNCTION("""COMPUTED_VALUE"""),"Feliz")</f>
        <v>Feliz</v>
      </c>
      <c r="C323" s="119" t="str">
        <f>IFERROR(__xludf.DUMMYFUNCTION("""COMPUTED_VALUE"""),"CAB")</f>
        <v>CAB</v>
      </c>
      <c r="D323" s="1" t="str">
        <f>IFERROR(__xludf.DUMMYFUNCTION("""COMPUTED_VALUE"""),"IURI AFONSO DA SILVEIRA")</f>
        <v>IURI AFONSO DA SILVEIRA</v>
      </c>
      <c r="E323" s="119" t="str">
        <f>IFERROR(__xludf.DUMMYFUNCTION("""COMPUTED_VALUE"""),"Módulo 1 concluído")</f>
        <v>Módulo 1 concluído</v>
      </c>
      <c r="F323" s="1" t="str">
        <f>IFERROR(__xludf.DUMMYFUNCTION("""COMPUTED_VALUE"""),"848.723.060-15")</f>
        <v>848.723.060-15</v>
      </c>
      <c r="G323" s="1">
        <f>IFERROR(__xludf.DUMMYFUNCTION("""COMPUTED_VALUE"""),4115182216)</f>
        <v>4115182216</v>
      </c>
      <c r="H323" s="1" t="str">
        <f>IFERROR(__xludf.DUMMYFUNCTION("""COMPUTED_VALUE"""),"Atendente e Operador")</f>
        <v>Atendente e Operador</v>
      </c>
      <c r="I323" s="1"/>
      <c r="J323" s="1" t="str">
        <f>IFERROR(__xludf.DUMMYFUNCTION("""COMPUTED_VALUE"""),"Sim")</f>
        <v>Sim</v>
      </c>
      <c r="K323" s="1" t="str">
        <f>IFERROR(__xludf.DUMMYFUNCTION("""COMPUTED_VALUE"""),"Não")</f>
        <v>Não</v>
      </c>
      <c r="L323" s="1" t="str">
        <f>IFERROR(__xludf.DUMMYFUNCTION("""COMPUTED_VALUE"""),"A+")</f>
        <v>A+</v>
      </c>
      <c r="M323" s="1" t="str">
        <f>IFERROR(__xludf.DUMMYFUNCTION("""COMPUTED_VALUE"""),"SILVEIRA")</f>
        <v>SILVEIRA</v>
      </c>
      <c r="N323" s="120">
        <f>IFERROR(__xludf.DUMMYFUNCTION("""COMPUTED_VALUE"""),35161)</f>
        <v>35161</v>
      </c>
      <c r="O323" s="1" t="str">
        <f>IFERROR(__xludf.DUMMYFUNCTION("""COMPUTED_VALUE"""),"Masculino")</f>
        <v>Masculino</v>
      </c>
      <c r="P323" s="1" t="str">
        <f>IFERROR(__xludf.DUMMYFUNCTION("""COMPUTED_VALUE"""),"Branca")</f>
        <v>Branca</v>
      </c>
      <c r="Q323" s="1" t="str">
        <f>IFERROR(__xludf.DUMMYFUNCTION("""COMPUTED_VALUE"""),"Ensino Médio")</f>
        <v>Ensino Médio</v>
      </c>
      <c r="R323" s="1" t="str">
        <f>IFERROR(__xludf.DUMMYFUNCTION("""COMPUTED_VALUE"""),"iure.afonso0409@gmail.com")</f>
        <v>iure.afonso0409@gmail.com</v>
      </c>
      <c r="S323" s="1">
        <f>IFERROR(__xludf.DUMMYFUNCTION("""COMPUTED_VALUE"""),78)</f>
        <v>78</v>
      </c>
      <c r="T323" s="1" t="str">
        <f>IFERROR(__xludf.DUMMYFUNCTION("""COMPUTED_VALUE"""),"Entre 1,61m e 1,65m")</f>
        <v>Entre 1,61m e 1,65m</v>
      </c>
      <c r="U323" s="1"/>
      <c r="V323" s="1" t="str">
        <f>IFERROR(__xludf.DUMMYFUNCTION("""COMPUTED_VALUE"""),"(51)993718961")</f>
        <v>(51)993718961</v>
      </c>
      <c r="W323" s="1" t="str">
        <f>IFERROR(__xludf.DUMMYFUNCTION("""COMPUTED_VALUE"""),"(51)3637-1500")</f>
        <v>(51)3637-1500</v>
      </c>
      <c r="X323" s="1" t="str">
        <f>IFERROR(__xludf.DUMMYFUNCTION("""COMPUTED_VALUE"""),"RS")</f>
        <v>RS</v>
      </c>
      <c r="Y323" s="1" t="str">
        <f>IFERROR(__xludf.DUMMYFUNCTION("""COMPUTED_VALUE"""),"Porto Alegre")</f>
        <v>Porto Alegre</v>
      </c>
      <c r="Z323" s="1" t="str">
        <f>IFERROR(__xludf.DUMMYFUNCTION("""COMPUTED_VALUE"""),"91510-311")</f>
        <v>91510-311</v>
      </c>
      <c r="AA323" s="1" t="str">
        <f>IFERROR(__xludf.DUMMYFUNCTION("""COMPUTED_VALUE"""),"Rua Tancredo Neves,143")</f>
        <v>Rua Tancredo Neves,143</v>
      </c>
      <c r="AB323" s="1" t="str">
        <f>IFERROR(__xludf.DUMMYFUNCTION("""COMPUTED_VALUE"""),"Aparício Borges")</f>
        <v>Aparício Borges</v>
      </c>
      <c r="AC323" s="1" t="str">
        <f>IFERROR(__xludf.DUMMYFUNCTION("""COMPUTED_VALUE"""),"M")</f>
        <v>M</v>
      </c>
      <c r="AD323" s="1" t="str">
        <f>IFERROR(__xludf.DUMMYFUNCTION("""COMPUTED_VALUE"""),"M")</f>
        <v>M</v>
      </c>
      <c r="AE323" s="1" t="str">
        <f>IFERROR(__xludf.DUMMYFUNCTION("""COMPUTED_VALUE"""),"M")</f>
        <v>M</v>
      </c>
      <c r="AF323" s="1" t="str">
        <f>IFERROR(__xludf.DUMMYFUNCTION("""COMPUTED_VALUE"""),"G")</f>
        <v>G</v>
      </c>
      <c r="AG323" s="1" t="str">
        <f>IFERROR(__xludf.DUMMYFUNCTION("""COMPUTED_VALUE"""),"M")</f>
        <v>M</v>
      </c>
      <c r="AH323" s="1">
        <f>IFERROR(__xludf.DUMMYFUNCTION("""COMPUTED_VALUE"""),39)</f>
        <v>39</v>
      </c>
      <c r="AI323" s="1">
        <f>IFERROR(__xludf.DUMMYFUNCTION("""COMPUTED_VALUE"""),39)</f>
        <v>39</v>
      </c>
      <c r="AJ323" s="1">
        <f>IFERROR(__xludf.DUMMYFUNCTION("""COMPUTED_VALUE"""),39)</f>
        <v>39</v>
      </c>
      <c r="AK323" s="1">
        <f>IFERROR(__xludf.DUMMYFUNCTION("""COMPUTED_VALUE"""),39)</f>
        <v>39</v>
      </c>
      <c r="AL323" s="1" t="str">
        <f>IFERROR(__xludf.DUMMYFUNCTION("""COMPUTED_VALUE"""),"M")</f>
        <v>M</v>
      </c>
      <c r="AM323" s="1" t="str">
        <f>IFERROR(__xludf.DUMMYFUNCTION("""COMPUTED_VALUE"""),"M")</f>
        <v>M</v>
      </c>
      <c r="AN323" s="1" t="str">
        <f>IFERROR(__xludf.DUMMYFUNCTION("""COMPUTED_VALUE"""),"M")</f>
        <v>M</v>
      </c>
    </row>
    <row r="324" customHeight="1" spans="1:40">
      <c r="A324" s="1" t="str">
        <f>IFERROR(__xludf.DUMMYFUNCTION("""COMPUTED_VALUE"""),"05° BBM")</f>
        <v>05° BBM</v>
      </c>
      <c r="B324" s="1" t="str">
        <f>IFERROR(__xludf.DUMMYFUNCTION("""COMPUTED_VALUE"""),"Farroupilha")</f>
        <v>Farroupilha</v>
      </c>
      <c r="C324" s="119" t="str">
        <f>IFERROR(__xludf.DUMMYFUNCTION("""COMPUTED_VALUE"""),"CAB")</f>
        <v>CAB</v>
      </c>
      <c r="D324" s="1" t="str">
        <f>IFERROR(__xludf.DUMMYFUNCTION("""COMPUTED_VALUE"""),"IVANI DE GREGORI TONIN")</f>
        <v>IVANI DE GREGORI TONIN</v>
      </c>
      <c r="E324" s="119" t="str">
        <f>IFERROR(__xludf.DUMMYFUNCTION("""COMPUTED_VALUE"""),"Módulo 1 concluído")</f>
        <v>Módulo 1 concluído</v>
      </c>
      <c r="F324" s="1" t="str">
        <f>IFERROR(__xludf.DUMMYFUNCTION("""COMPUTED_VALUE"""),"499.065.850-72")</f>
        <v>499.065.850-72</v>
      </c>
      <c r="G324" s="1">
        <f>IFERROR(__xludf.DUMMYFUNCTION("""COMPUTED_VALUE"""),1028797841)</f>
        <v>1028797841</v>
      </c>
      <c r="H324" s="1" t="str">
        <f>IFERROR(__xludf.DUMMYFUNCTION("""COMPUTED_VALUE"""),"Atendente e Operador")</f>
        <v>Atendente e Operador</v>
      </c>
      <c r="I324" s="1"/>
      <c r="J324" s="1" t="str">
        <f>IFERROR(__xludf.DUMMYFUNCTION("""COMPUTED_VALUE"""),"Sim")</f>
        <v>Sim</v>
      </c>
      <c r="K324" s="1" t="str">
        <f>IFERROR(__xludf.DUMMYFUNCTION("""COMPUTED_VALUE"""),"Sim")</f>
        <v>Sim</v>
      </c>
      <c r="L324" s="1" t="str">
        <f>IFERROR(__xludf.DUMMYFUNCTION("""COMPUTED_VALUE"""),"B+")</f>
        <v>B+</v>
      </c>
      <c r="M324" s="1" t="str">
        <f>IFERROR(__xludf.DUMMYFUNCTION("""COMPUTED_VALUE"""),"IVANI")</f>
        <v>IVANI</v>
      </c>
      <c r="N324" s="120">
        <f>IFERROR(__xludf.DUMMYFUNCTION("""COMPUTED_VALUE"""),23416)</f>
        <v>23416</v>
      </c>
      <c r="O324" s="1" t="str">
        <f>IFERROR(__xludf.DUMMYFUNCTION("""COMPUTED_VALUE"""),"Feminino")</f>
        <v>Feminino</v>
      </c>
      <c r="P324" s="1" t="str">
        <f>IFERROR(__xludf.DUMMYFUNCTION("""COMPUTED_VALUE"""),"Branca")</f>
        <v>Branca</v>
      </c>
      <c r="Q324" s="1" t="str">
        <f>IFERROR(__xludf.DUMMYFUNCTION("""COMPUTED_VALUE"""),"Ensino Superior Completo")</f>
        <v>Ensino Superior Completo</v>
      </c>
      <c r="R324" s="1" t="str">
        <f>IFERROR(__xludf.DUMMYFUNCTION("""COMPUTED_VALUE"""),"ivanidegregori@gmail.com")</f>
        <v>ivanidegregori@gmail.com</v>
      </c>
      <c r="S324" s="1">
        <f>IFERROR(__xludf.DUMMYFUNCTION("""COMPUTED_VALUE"""),64)</f>
        <v>64</v>
      </c>
      <c r="T324" s="1" t="str">
        <f>IFERROR(__xludf.DUMMYFUNCTION("""COMPUTED_VALUE"""),"Entre 1,71m e 1,75m")</f>
        <v>Entre 1,71m e 1,75m</v>
      </c>
      <c r="U324" s="1"/>
      <c r="V324" s="1" t="str">
        <f>IFERROR(__xludf.DUMMYFUNCTION("""COMPUTED_VALUE"""),"(54)99935-6524")</f>
        <v>(54)99935-6524</v>
      </c>
      <c r="W324" s="1" t="str">
        <f>IFERROR(__xludf.DUMMYFUNCTION("""COMPUTED_VALUE"""),"(54)99963-7878")</f>
        <v>(54)99963-7878</v>
      </c>
      <c r="X324" s="1" t="str">
        <f>IFERROR(__xludf.DUMMYFUNCTION("""COMPUTED_VALUE"""),"RS")</f>
        <v>RS</v>
      </c>
      <c r="Y324" s="1" t="str">
        <f>IFERROR(__xludf.DUMMYFUNCTION("""COMPUTED_VALUE"""),"Farroupilha")</f>
        <v>Farroupilha</v>
      </c>
      <c r="Z324" s="1" t="str">
        <f>IFERROR(__xludf.DUMMYFUNCTION("""COMPUTED_VALUE"""),"95170-464")</f>
        <v>95170-464</v>
      </c>
      <c r="AA324" s="1" t="str">
        <f>IFERROR(__xludf.DUMMYFUNCTION("""COMPUTED_VALUE"""),"Rua Carlos Fetter, 127 A")</f>
        <v>Rua Carlos Fetter, 127 A</v>
      </c>
      <c r="AB324" s="1" t="str">
        <f>IFERROR(__xludf.DUMMYFUNCTION("""COMPUTED_VALUE"""),"Centro")</f>
        <v>Centro</v>
      </c>
      <c r="AC324" s="1" t="str">
        <f>IFERROR(__xludf.DUMMYFUNCTION("""COMPUTED_VALUE"""),"M")</f>
        <v>M</v>
      </c>
      <c r="AD324" s="1" t="str">
        <f>IFERROR(__xludf.DUMMYFUNCTION("""COMPUTED_VALUE"""),"M")</f>
        <v>M</v>
      </c>
      <c r="AE324" s="1" t="str">
        <f>IFERROR(__xludf.DUMMYFUNCTION("""COMPUTED_VALUE"""),"M")</f>
        <v>M</v>
      </c>
      <c r="AF324" s="1" t="str">
        <f>IFERROR(__xludf.DUMMYFUNCTION("""COMPUTED_VALUE"""),"M")</f>
        <v>M</v>
      </c>
      <c r="AG324" s="1" t="str">
        <f>IFERROR(__xludf.DUMMYFUNCTION("""COMPUTED_VALUE"""),"M")</f>
        <v>M</v>
      </c>
      <c r="AH324" s="1">
        <f>IFERROR(__xludf.DUMMYFUNCTION("""COMPUTED_VALUE"""),38)</f>
        <v>38</v>
      </c>
      <c r="AI324" s="1">
        <f>IFERROR(__xludf.DUMMYFUNCTION("""COMPUTED_VALUE"""),38)</f>
        <v>38</v>
      </c>
      <c r="AJ324" s="1">
        <f>IFERROR(__xludf.DUMMYFUNCTION("""COMPUTED_VALUE"""),38)</f>
        <v>38</v>
      </c>
      <c r="AK324" s="1">
        <f>IFERROR(__xludf.DUMMYFUNCTION("""COMPUTED_VALUE"""),39)</f>
        <v>39</v>
      </c>
      <c r="AL324" s="1" t="str">
        <f>IFERROR(__xludf.DUMMYFUNCTION("""COMPUTED_VALUE"""),"M")</f>
        <v>M</v>
      </c>
      <c r="AM324" s="1" t="str">
        <f>IFERROR(__xludf.DUMMYFUNCTION("""COMPUTED_VALUE"""),"M")</f>
        <v>M</v>
      </c>
      <c r="AN324" s="1" t="str">
        <f>IFERROR(__xludf.DUMMYFUNCTION("""COMPUTED_VALUE"""),"G")</f>
        <v>G</v>
      </c>
    </row>
    <row r="325" customHeight="1" spans="1:40">
      <c r="A325" s="1" t="str">
        <f>IFERROR(__xludf.DUMMYFUNCTION("""COMPUTED_VALUE"""),"05° BBM")</f>
        <v>05° BBM</v>
      </c>
      <c r="B325" s="1" t="str">
        <f>IFERROR(__xludf.DUMMYFUNCTION("""COMPUTED_VALUE"""),"Feliz")</f>
        <v>Feliz</v>
      </c>
      <c r="C325" s="119" t="str">
        <f>IFERROR(__xludf.DUMMYFUNCTION("""COMPUTED_VALUE"""),"CAB")</f>
        <v>CAB</v>
      </c>
      <c r="D325" s="1" t="str">
        <f>IFERROR(__xludf.DUMMYFUNCTION("""COMPUTED_VALUE"""),"JACKSON PINHEIRO SCHUTZ")</f>
        <v>JACKSON PINHEIRO SCHUTZ</v>
      </c>
      <c r="E325" s="119" t="str">
        <f>IFERROR(__xludf.DUMMYFUNCTION("""COMPUTED_VALUE"""),"")</f>
        <v/>
      </c>
      <c r="F325" s="1" t="str">
        <f>IFERROR(__xludf.DUMMYFUNCTION("""COMPUTED_VALUE"""),"029.774.470-40")</f>
        <v>029.774.470-40</v>
      </c>
      <c r="G325" s="1">
        <f>IFERROR(__xludf.DUMMYFUNCTION("""COMPUTED_VALUE"""),6107299891)</f>
        <v>6107299891</v>
      </c>
      <c r="H325" s="1" t="str">
        <f>IFERROR(__xludf.DUMMYFUNCTION("""COMPUTED_VALUE"""),"Atendente e Operador")</f>
        <v>Atendente e Operador</v>
      </c>
      <c r="I325" s="1"/>
      <c r="J325" s="1" t="str">
        <f>IFERROR(__xludf.DUMMYFUNCTION("""COMPUTED_VALUE"""),"Não")</f>
        <v>Não</v>
      </c>
      <c r="K325" s="1" t="str">
        <f>IFERROR(__xludf.DUMMYFUNCTION("""COMPUTED_VALUE"""),"Não")</f>
        <v>Não</v>
      </c>
      <c r="L325" s="1" t="str">
        <f>IFERROR(__xludf.DUMMYFUNCTION("""COMPUTED_VALUE"""),"A+")</f>
        <v>A+</v>
      </c>
      <c r="M325" s="1" t="str">
        <f>IFERROR(__xludf.DUMMYFUNCTION("""COMPUTED_VALUE"""),"SCHUTZ")</f>
        <v>SCHUTZ</v>
      </c>
      <c r="N325" s="120">
        <f>IFERROR(__xludf.DUMMYFUNCTION("""COMPUTED_VALUE"""),34785)</f>
        <v>34785</v>
      </c>
      <c r="O325" s="1" t="str">
        <f>IFERROR(__xludf.DUMMYFUNCTION("""COMPUTED_VALUE"""),"Masculino")</f>
        <v>Masculino</v>
      </c>
      <c r="P325" s="1" t="str">
        <f>IFERROR(__xludf.DUMMYFUNCTION("""COMPUTED_VALUE"""),"Branca")</f>
        <v>Branca</v>
      </c>
      <c r="Q325" s="1" t="str">
        <f>IFERROR(__xludf.DUMMYFUNCTION("""COMPUTED_VALUE"""),"Ensino Médio")</f>
        <v>Ensino Médio</v>
      </c>
      <c r="R325" s="1" t="str">
        <f>IFERROR(__xludf.DUMMYFUNCTION("""COMPUTED_VALUE"""),"jacksonpschutz@gmail.com")</f>
        <v>jacksonpschutz@gmail.com</v>
      </c>
      <c r="S325" s="1">
        <f>IFERROR(__xludf.DUMMYFUNCTION("""COMPUTED_VALUE"""),80)</f>
        <v>80</v>
      </c>
      <c r="T325" s="1" t="str">
        <f>IFERROR(__xludf.DUMMYFUNCTION("""COMPUTED_VALUE"""),"Entre 1,66m e 1,70m")</f>
        <v>Entre 1,66m e 1,70m</v>
      </c>
      <c r="U325" s="1"/>
      <c r="V325" s="1" t="str">
        <f>IFERROR(__xludf.DUMMYFUNCTION("""COMPUTED_VALUE"""),"(54)999694551")</f>
        <v>(54)999694551</v>
      </c>
      <c r="W325" s="1" t="str">
        <f>IFERROR(__xludf.DUMMYFUNCTION("""COMPUTED_VALUE"""),"(51)3637-1500")</f>
        <v>(51)3637-1500</v>
      </c>
      <c r="X325" s="1" t="str">
        <f>IFERROR(__xludf.DUMMYFUNCTION("""COMPUTED_VALUE"""),"RS")</f>
        <v>RS</v>
      </c>
      <c r="Y325" s="1" t="str">
        <f>IFERROR(__xludf.DUMMYFUNCTION("""COMPUTED_VALUE"""),"Caxias do Sul")</f>
        <v>Caxias do Sul</v>
      </c>
      <c r="Z325" s="1" t="str">
        <f>IFERROR(__xludf.DUMMYFUNCTION("""COMPUTED_VALUE"""),"95030-810")</f>
        <v>95030-810</v>
      </c>
      <c r="AA325" s="1" t="str">
        <f>IFERROR(__xludf.DUMMYFUNCTION("""COMPUTED_VALUE"""),"Rua Victor Sanvitto, 189")</f>
        <v>Rua Victor Sanvitto, 189</v>
      </c>
      <c r="AB325" s="1" t="str">
        <f>IFERROR(__xludf.DUMMYFUNCTION("""COMPUTED_VALUE"""),"Centro")</f>
        <v>Centro</v>
      </c>
      <c r="AC325" s="1" t="str">
        <f>IFERROR(__xludf.DUMMYFUNCTION("""COMPUTED_VALUE"""),"G")</f>
        <v>G</v>
      </c>
      <c r="AD325" s="1" t="str">
        <f>IFERROR(__xludf.DUMMYFUNCTION("""COMPUTED_VALUE"""),"G")</f>
        <v>G</v>
      </c>
      <c r="AE325" s="1" t="str">
        <f>IFERROR(__xludf.DUMMYFUNCTION("""COMPUTED_VALUE"""),"G")</f>
        <v>G</v>
      </c>
      <c r="AF325" s="1" t="str">
        <f>IFERROR(__xludf.DUMMYFUNCTION("""COMPUTED_VALUE"""),"G")</f>
        <v>G</v>
      </c>
      <c r="AG325" s="1" t="str">
        <f>IFERROR(__xludf.DUMMYFUNCTION("""COMPUTED_VALUE"""),"G")</f>
        <v>G</v>
      </c>
      <c r="AH325" s="1">
        <f>IFERROR(__xludf.DUMMYFUNCTION("""COMPUTED_VALUE"""),42)</f>
        <v>42</v>
      </c>
      <c r="AI325" s="1">
        <f>IFERROR(__xludf.DUMMYFUNCTION("""COMPUTED_VALUE"""),42)</f>
        <v>42</v>
      </c>
      <c r="AJ325" s="1">
        <f>IFERROR(__xludf.DUMMYFUNCTION("""COMPUTED_VALUE"""),42)</f>
        <v>42</v>
      </c>
      <c r="AK325" s="1">
        <f>IFERROR(__xludf.DUMMYFUNCTION("""COMPUTED_VALUE"""),42)</f>
        <v>42</v>
      </c>
      <c r="AL325" s="1" t="str">
        <f>IFERROR(__xludf.DUMMYFUNCTION("""COMPUTED_VALUE"""),"M")</f>
        <v>M</v>
      </c>
      <c r="AM325" s="1" t="str">
        <f>IFERROR(__xludf.DUMMYFUNCTION("""COMPUTED_VALUE"""),"G")</f>
        <v>G</v>
      </c>
      <c r="AN325" s="1" t="str">
        <f>IFERROR(__xludf.DUMMYFUNCTION("""COMPUTED_VALUE"""),"M")</f>
        <v>M</v>
      </c>
    </row>
    <row r="326" customHeight="1" spans="1:40">
      <c r="A326" s="1"/>
      <c r="B326" s="1"/>
      <c r="C326" s="119"/>
      <c r="D326" s="1" t="str">
        <f>IFERROR(__xludf.DUMMYFUNCTION("""COMPUTED_VALUE"""),"JAIR ABEL PEREIRA")</f>
        <v>JAIR ABEL PEREIRA</v>
      </c>
      <c r="E326" s="1" t="str">
        <f>IFERROR(__xludf.DUMMYFUNCTION("""COMPUTED_VALUE"""),"Módulo 1 concluído")</f>
        <v>Módulo 1 concluído</v>
      </c>
      <c r="F326" s="1" t="str">
        <f>IFERROR(__xludf.DUMMYFUNCTION("""COMPUTED_VALUE"""),"988.568.200-72")</f>
        <v>988.568.200-72</v>
      </c>
      <c r="G326" s="1"/>
      <c r="H326" s="1"/>
      <c r="I326" s="1"/>
      <c r="J326" s="1"/>
      <c r="K326" s="1"/>
      <c r="L326" s="1"/>
      <c r="M326" s="1"/>
      <c r="N326" s="120"/>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row>
    <row r="327" customHeight="1" spans="1:40">
      <c r="A327" s="1" t="str">
        <f>IFERROR(__xludf.DUMMYFUNCTION("""COMPUTED_VALUE"""),"05° BBM")</f>
        <v>05° BBM</v>
      </c>
      <c r="B327" s="1" t="str">
        <f>IFERROR(__xludf.DUMMYFUNCTION("""COMPUTED_VALUE"""),"Farroupilha")</f>
        <v>Farroupilha</v>
      </c>
      <c r="C327" s="119" t="str">
        <f>IFERROR(__xludf.DUMMYFUNCTION("""COMPUTED_VALUE"""),"CAB")</f>
        <v>CAB</v>
      </c>
      <c r="D327" s="1" t="str">
        <f>IFERROR(__xludf.DUMMYFUNCTION("""COMPUTED_VALUE"""),"JAISON ANTÔNIO CAPITANI")</f>
        <v>JAISON ANTÔNIO CAPITANI</v>
      </c>
      <c r="E327" s="119" t="str">
        <f>IFERROR(__xludf.DUMMYFUNCTION("""COMPUTED_VALUE"""),"Módulo 1 concluído")</f>
        <v>Módulo 1 concluído</v>
      </c>
      <c r="F327" s="1" t="str">
        <f>IFERROR(__xludf.DUMMYFUNCTION("""COMPUTED_VALUE"""),"812.299.500-44")</f>
        <v>812.299.500-44</v>
      </c>
      <c r="G327" s="1">
        <f>IFERROR(__xludf.DUMMYFUNCTION("""COMPUTED_VALUE"""),8078341181)</f>
        <v>8078341181</v>
      </c>
      <c r="H327" s="1" t="str">
        <f>IFERROR(__xludf.DUMMYFUNCTION("""COMPUTED_VALUE"""),"Atendente e Operador")</f>
        <v>Atendente e Operador</v>
      </c>
      <c r="I327" s="1"/>
      <c r="J327" s="1" t="str">
        <f>IFERROR(__xludf.DUMMYFUNCTION("""COMPUTED_VALUE"""),"Sim")</f>
        <v>Sim</v>
      </c>
      <c r="K327" s="1" t="str">
        <f>IFERROR(__xludf.DUMMYFUNCTION("""COMPUTED_VALUE"""),"Não")</f>
        <v>Não</v>
      </c>
      <c r="L327" s="1" t="str">
        <f>IFERROR(__xludf.DUMMYFUNCTION("""COMPUTED_VALUE"""),"B+")</f>
        <v>B+</v>
      </c>
      <c r="M327" s="1" t="str">
        <f>IFERROR(__xludf.DUMMYFUNCTION("""COMPUTED_VALUE"""),"CAPITANI")</f>
        <v>CAPITANI</v>
      </c>
      <c r="N327" s="120">
        <f>IFERROR(__xludf.DUMMYFUNCTION("""COMPUTED_VALUE"""),29963)</f>
        <v>29963</v>
      </c>
      <c r="O327" s="1" t="str">
        <f>IFERROR(__xludf.DUMMYFUNCTION("""COMPUTED_VALUE"""),"Masculino")</f>
        <v>Masculino</v>
      </c>
      <c r="P327" s="1" t="str">
        <f>IFERROR(__xludf.DUMMYFUNCTION("""COMPUTED_VALUE"""),"Branca")</f>
        <v>Branca</v>
      </c>
      <c r="Q327" s="1" t="str">
        <f>IFERROR(__xludf.DUMMYFUNCTION("""COMPUTED_VALUE"""),"Ensino Superior Incompleto")</f>
        <v>Ensino Superior Incompleto</v>
      </c>
      <c r="R327" s="1" t="str">
        <f>IFERROR(__xludf.DUMMYFUNCTION("""COMPUTED_VALUE"""),"treinamentos.hangar@gmail.com")</f>
        <v>treinamentos.hangar@gmail.com</v>
      </c>
      <c r="S327" s="1">
        <f>IFERROR(__xludf.DUMMYFUNCTION("""COMPUTED_VALUE"""),72)</f>
        <v>72</v>
      </c>
      <c r="T327" s="1" t="str">
        <f>IFERROR(__xludf.DUMMYFUNCTION("""COMPUTED_VALUE"""),"Entre 1,71m e 1,75m")</f>
        <v>Entre 1,71m e 1,75m</v>
      </c>
      <c r="U327" s="1"/>
      <c r="V327" s="1" t="str">
        <f>IFERROR(__xludf.DUMMYFUNCTION("""COMPUTED_VALUE"""),"(54)99132-7587")</f>
        <v>(54)99132-7587</v>
      </c>
      <c r="W327" s="1" t="str">
        <f>IFERROR(__xludf.DUMMYFUNCTION("""COMPUTED_VALUE"""),"(54) 99116-5296")</f>
        <v>(54) 99116-5296</v>
      </c>
      <c r="X327" s="1" t="str">
        <f>IFERROR(__xludf.DUMMYFUNCTION("""COMPUTED_VALUE"""),"RS")</f>
        <v>RS</v>
      </c>
      <c r="Y327" s="1" t="str">
        <f>IFERROR(__xludf.DUMMYFUNCTION("""COMPUTED_VALUE"""),"Caxias do Sul")</f>
        <v>Caxias do Sul</v>
      </c>
      <c r="Z327" s="119" t="str">
        <f>IFERROR(__xludf.DUMMYFUNCTION("""COMPUTED_VALUE"""),"95059-000")</f>
        <v>95059-000</v>
      </c>
      <c r="AA327" s="1" t="str">
        <f>IFERROR(__xludf.DUMMYFUNCTION("""COMPUTED_VALUE"""),"Rua Armando Claudino Canali, 782, apto 302")</f>
        <v>Rua Armando Claudino Canali, 782, apto 302</v>
      </c>
      <c r="AB327" s="1" t="str">
        <f>IFERROR(__xludf.DUMMYFUNCTION("""COMPUTED_VALUE"""),"Jardim Eldorado")</f>
        <v>Jardim Eldorado</v>
      </c>
      <c r="AC327" s="1" t="str">
        <f>IFERROR(__xludf.DUMMYFUNCTION("""COMPUTED_VALUE"""),"M")</f>
        <v>M</v>
      </c>
      <c r="AD327" s="1" t="str">
        <f>IFERROR(__xludf.DUMMYFUNCTION("""COMPUTED_VALUE"""),"M")</f>
        <v>M</v>
      </c>
      <c r="AE327" s="1" t="str">
        <f>IFERROR(__xludf.DUMMYFUNCTION("""COMPUTED_VALUE"""),"M")</f>
        <v>M</v>
      </c>
      <c r="AF327" s="1" t="str">
        <f>IFERROR(__xludf.DUMMYFUNCTION("""COMPUTED_VALUE"""),"P")</f>
        <v>P</v>
      </c>
      <c r="AG327" s="1" t="str">
        <f>IFERROR(__xludf.DUMMYFUNCTION("""COMPUTED_VALUE"""),"M")</f>
        <v>M</v>
      </c>
      <c r="AH327" s="1">
        <f>IFERROR(__xludf.DUMMYFUNCTION("""COMPUTED_VALUE"""),39)</f>
        <v>39</v>
      </c>
      <c r="AI327" s="1">
        <f>IFERROR(__xludf.DUMMYFUNCTION("""COMPUTED_VALUE"""),39)</f>
        <v>39</v>
      </c>
      <c r="AJ327" s="1">
        <f>IFERROR(__xludf.DUMMYFUNCTION("""COMPUTED_VALUE"""),39)</f>
        <v>39</v>
      </c>
      <c r="AK327" s="1">
        <f>IFERROR(__xludf.DUMMYFUNCTION("""COMPUTED_VALUE"""),39)</f>
        <v>39</v>
      </c>
      <c r="AL327" s="1" t="str">
        <f>IFERROR(__xludf.DUMMYFUNCTION("""COMPUTED_VALUE"""),"M")</f>
        <v>M</v>
      </c>
      <c r="AM327" s="1" t="str">
        <f>IFERROR(__xludf.DUMMYFUNCTION("""COMPUTED_VALUE"""),"M")</f>
        <v>M</v>
      </c>
      <c r="AN327" s="1" t="str">
        <f>IFERROR(__xludf.DUMMYFUNCTION("""COMPUTED_VALUE"""),"M")</f>
        <v>M</v>
      </c>
    </row>
    <row r="328" customHeight="1" spans="1:40">
      <c r="A328" s="1"/>
      <c r="B328" s="1"/>
      <c r="C328" s="119"/>
      <c r="D328" s="1" t="str">
        <f>IFERROR(__xludf.DUMMYFUNCTION("""COMPUTED_VALUE"""),"JEAN VARGAS SIMÃO")</f>
        <v>JEAN VARGAS SIMÃO</v>
      </c>
      <c r="E328" s="1" t="str">
        <f>IFERROR(__xludf.DUMMYFUNCTION("""COMPUTED_VALUE"""),"Curso CAB operador concluído")</f>
        <v>Curso CAB operador concluído</v>
      </c>
      <c r="F328" s="1" t="str">
        <f>IFERROR(__xludf.DUMMYFUNCTION("""COMPUTED_VALUE"""),"026.378.510-66")</f>
        <v>026.378.510-66</v>
      </c>
      <c r="G328" s="1"/>
      <c r="H328" s="1"/>
      <c r="I328" s="1"/>
      <c r="J328" s="1"/>
      <c r="K328" s="1"/>
      <c r="L328" s="1"/>
      <c r="M328" s="1"/>
      <c r="N328" s="120"/>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row>
    <row r="329" customHeight="1" spans="1:40">
      <c r="A329" s="1"/>
      <c r="B329" s="1"/>
      <c r="C329" s="119"/>
      <c r="D329" s="1" t="str">
        <f>IFERROR(__xludf.DUMMYFUNCTION("""COMPUTED_VALUE"""),"JEFERSON COSTA MOREIRA")</f>
        <v>JEFERSON COSTA MOREIRA</v>
      </c>
      <c r="E329" s="1" t="str">
        <f>IFERROR(__xludf.DUMMYFUNCTION("""COMPUTED_VALUE"""),"Módulo 1 concluído")</f>
        <v>Módulo 1 concluído</v>
      </c>
      <c r="F329" s="1" t="str">
        <f>IFERROR(__xludf.DUMMYFUNCTION("""COMPUTED_VALUE"""),"011.285.510-55")</f>
        <v>011.285.510-55</v>
      </c>
      <c r="G329" s="1"/>
      <c r="H329" s="1"/>
      <c r="I329" s="1"/>
      <c r="J329" s="1"/>
      <c r="K329" s="1"/>
      <c r="L329" s="1"/>
      <c r="M329" s="1"/>
      <c r="N329" s="120"/>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row>
    <row r="330" customHeight="1" spans="1:40">
      <c r="A330" s="1" t="str">
        <f>IFERROR(__xludf.DUMMYFUNCTION("""COMPUTED_VALUE"""),"05° BBM")</f>
        <v>05° BBM</v>
      </c>
      <c r="B330" s="1" t="str">
        <f>IFERROR(__xludf.DUMMYFUNCTION("""COMPUTED_VALUE"""),"VACARIA/MUITOS CAPÕES")</f>
        <v>VACARIA/MUITOS CAPÕES</v>
      </c>
      <c r="C330" s="119" t="str">
        <f>IFERROR(__xludf.DUMMYFUNCTION("""COMPUTED_VALUE"""),"Municipal")</f>
        <v>Municipal</v>
      </c>
      <c r="D330" s="1" t="str">
        <f>IFERROR(__xludf.DUMMYFUNCTION("""COMPUTED_VALUE"""),"JEFERSON DA COSTA MOREIRA")</f>
        <v>JEFERSON DA COSTA MOREIRA</v>
      </c>
      <c r="E330" s="119" t="str">
        <f>IFERROR(__xludf.DUMMYFUNCTION("""COMPUTED_VALUE"""),"")</f>
        <v/>
      </c>
      <c r="F330" s="1">
        <f>IFERROR(__xludf.DUMMYFUNCTION("""COMPUTED_VALUE"""),1128551055)</f>
        <v>1128551055</v>
      </c>
      <c r="G330" s="1">
        <f>IFERROR(__xludf.DUMMYFUNCTION("""COMPUTED_VALUE"""),6098117788)</f>
        <v>6098117788</v>
      </c>
      <c r="H330" s="1" t="str">
        <f>IFERROR(__xludf.DUMMYFUNCTION("""COMPUTED_VALUE"""),"COMBATENTE")</f>
        <v>COMBATENTE</v>
      </c>
      <c r="I330" s="1" t="str">
        <f>IFERROR(__xludf.DUMMYFUNCTION("""COMPUTED_VALUE"""),"ENSINO MÉDIO COMPLETO")</f>
        <v>ENSINO MÉDIO COMPLETO</v>
      </c>
      <c r="J330" s="1" t="str">
        <f>IFERROR(__xludf.DUMMYFUNCTION("""COMPUTED_VALUE"""),"Sim")</f>
        <v>Sim</v>
      </c>
      <c r="K330" s="1" t="str">
        <f>IFERROR(__xludf.DUMMYFUNCTION("""COMPUTED_VALUE"""),"Não")</f>
        <v>Não</v>
      </c>
      <c r="L330" s="1"/>
      <c r="M330" s="1" t="str">
        <f>IFERROR(__xludf.DUMMYFUNCTION("""COMPUTED_VALUE"""),"COSTA")</f>
        <v>COSTA</v>
      </c>
      <c r="N330" s="120">
        <f>IFERROR(__xludf.DUMMYFUNCTION("""COMPUTED_VALUE"""),30466)</f>
        <v>30466</v>
      </c>
      <c r="O330" s="1" t="str">
        <f>IFERROR(__xludf.DUMMYFUNCTION("""COMPUTED_VALUE"""),"Masculino")</f>
        <v>Masculino</v>
      </c>
      <c r="P330" s="1" t="str">
        <f>IFERROR(__xludf.DUMMYFUNCTION("""COMPUTED_VALUE"""),"Branca")</f>
        <v>Branca</v>
      </c>
      <c r="Q330" s="1" t="str">
        <f>IFERROR(__xludf.DUMMYFUNCTION("""COMPUTED_VALUE"""),"Ensino Médio")</f>
        <v>Ensino Médio</v>
      </c>
      <c r="R330" s="128" t="str">
        <f>IFERROR(__xludf.DUMMYFUNCTION("""COMPUTED_VALUE"""),"jefersoncosta802@gmail.com")</f>
        <v>jefersoncosta802@gmail.com</v>
      </c>
      <c r="S330" s="1">
        <f>IFERROR(__xludf.DUMMYFUNCTION("""COMPUTED_VALUE"""),80)</f>
        <v>80</v>
      </c>
      <c r="T330" s="1" t="str">
        <f>IFERROR(__xludf.DUMMYFUNCTION("""COMPUTED_VALUE"""),"Entre 1,71m e 1,75m")</f>
        <v>Entre 1,71m e 1,75m</v>
      </c>
      <c r="U330" s="1"/>
      <c r="V330" s="1" t="str">
        <f>IFERROR(__xludf.DUMMYFUNCTION("""COMPUTED_VALUE"""),"54 999255539")</f>
        <v>54 999255539</v>
      </c>
      <c r="W330" s="1"/>
      <c r="X330" s="1" t="str">
        <f>IFERROR(__xludf.DUMMYFUNCTION("""COMPUTED_VALUE"""),"RS")</f>
        <v>RS</v>
      </c>
      <c r="Y330" s="1" t="str">
        <f>IFERROR(__xludf.DUMMYFUNCTION("""COMPUTED_VALUE"""),"Muitos Capões")</f>
        <v>Muitos Capões</v>
      </c>
      <c r="Z330" s="1" t="str">
        <f>IFERROR(__xludf.DUMMYFUNCTION("""COMPUTED_VALUE"""),"95230-000")</f>
        <v>95230-000</v>
      </c>
      <c r="AA330" s="1" t="str">
        <f>IFERROR(__xludf.DUMMYFUNCTION("""COMPUTED_VALUE"""),"Avenida Coronel Avelino Paim número 313")</f>
        <v>Avenida Coronel Avelino Paim número 313</v>
      </c>
      <c r="AB330" s="1" t="str">
        <f>IFERROR(__xludf.DUMMYFUNCTION("""COMPUTED_VALUE"""),"CENTRO")</f>
        <v>CENTRO</v>
      </c>
      <c r="AC330" s="1" t="str">
        <f>IFERROR(__xludf.DUMMYFUNCTION("""COMPUTED_VALUE"""),"G")</f>
        <v>G</v>
      </c>
      <c r="AD330" s="1" t="str">
        <f>IFERROR(__xludf.DUMMYFUNCTION("""COMPUTED_VALUE"""),"G")</f>
        <v>G</v>
      </c>
      <c r="AE330" s="1" t="str">
        <f>IFERROR(__xludf.DUMMYFUNCTION("""COMPUTED_VALUE"""),"G")</f>
        <v>G</v>
      </c>
      <c r="AF330" s="1" t="str">
        <f>IFERROR(__xludf.DUMMYFUNCTION("""COMPUTED_VALUE"""),"G")</f>
        <v>G</v>
      </c>
      <c r="AG330" s="1" t="str">
        <f>IFERROR(__xludf.DUMMYFUNCTION("""COMPUTED_VALUE"""),"G")</f>
        <v>G</v>
      </c>
      <c r="AH330" s="1">
        <f>IFERROR(__xludf.DUMMYFUNCTION("""COMPUTED_VALUE"""),39)</f>
        <v>39</v>
      </c>
      <c r="AI330" s="1">
        <f>IFERROR(__xludf.DUMMYFUNCTION("""COMPUTED_VALUE"""),39)</f>
        <v>39</v>
      </c>
      <c r="AJ330" s="1">
        <f>IFERROR(__xludf.DUMMYFUNCTION("""COMPUTED_VALUE"""),39)</f>
        <v>39</v>
      </c>
      <c r="AK330" s="1">
        <f>IFERROR(__xludf.DUMMYFUNCTION("""COMPUTED_VALUE"""),39)</f>
        <v>39</v>
      </c>
      <c r="AL330" s="1" t="str">
        <f>IFERROR(__xludf.DUMMYFUNCTION("""COMPUTED_VALUE"""),"G")</f>
        <v>G</v>
      </c>
      <c r="AM330" s="1" t="str">
        <f>IFERROR(__xludf.DUMMYFUNCTION("""COMPUTED_VALUE"""),"G")</f>
        <v>G</v>
      </c>
      <c r="AN330" s="1" t="str">
        <f>IFERROR(__xludf.DUMMYFUNCTION("""COMPUTED_VALUE"""),"M")</f>
        <v>M</v>
      </c>
    </row>
    <row r="331" customHeight="1" spans="1:40">
      <c r="A331" s="1"/>
      <c r="B331" s="1"/>
      <c r="C331" s="119"/>
      <c r="D331" s="1" t="str">
        <f>IFERROR(__xludf.DUMMYFUNCTION("""COMPUTED_VALUE"""),"JÉSSICA ALVES MOURA")</f>
        <v>JÉSSICA ALVES MOURA</v>
      </c>
      <c r="E331" s="1" t="str">
        <f>IFERROR(__xludf.DUMMYFUNCTION("""COMPUTED_VALUE"""),"Curso CAB operador concluído")</f>
        <v>Curso CAB operador concluído</v>
      </c>
      <c r="F331" s="1" t="str">
        <f>IFERROR(__xludf.DUMMYFUNCTION("""COMPUTED_VALUE"""),"035.482.840-19")</f>
        <v>035.482.840-19</v>
      </c>
      <c r="G331" s="1"/>
      <c r="H331" s="1"/>
      <c r="I331" s="1"/>
      <c r="J331" s="1"/>
      <c r="K331" s="1"/>
      <c r="L331" s="1"/>
      <c r="M331" s="1"/>
      <c r="N331" s="120"/>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row>
    <row r="332" customHeight="1" spans="1:40">
      <c r="A332" s="1"/>
      <c r="B332" s="1"/>
      <c r="C332" s="119"/>
      <c r="D332" s="1" t="str">
        <f>IFERROR(__xludf.DUMMYFUNCTION("""COMPUTED_VALUE"""),"JÉSSICA WERNER PEREIRA")</f>
        <v>JÉSSICA WERNER PEREIRA</v>
      </c>
      <c r="E332" s="1" t="str">
        <f>IFERROR(__xludf.DUMMYFUNCTION("""COMPUTED_VALUE"""),"Curso CAB operador concluído")</f>
        <v>Curso CAB operador concluído</v>
      </c>
      <c r="F332" s="1" t="str">
        <f>IFERROR(__xludf.DUMMYFUNCTION("""COMPUTED_VALUE"""),"015.323.870-40")</f>
        <v>015.323.870-40</v>
      </c>
      <c r="G332" s="1"/>
      <c r="H332" s="1"/>
      <c r="I332" s="1"/>
      <c r="J332" s="1"/>
      <c r="K332" s="1"/>
      <c r="L332" s="1"/>
      <c r="M332" s="1"/>
      <c r="N332" s="120"/>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row>
    <row r="333" customHeight="1" spans="1:40">
      <c r="A333" s="1" t="str">
        <f>IFERROR(__xludf.DUMMYFUNCTION("""COMPUTED_VALUE"""),"05° BBM")</f>
        <v>05° BBM</v>
      </c>
      <c r="B333" s="1" t="str">
        <f>IFERROR(__xludf.DUMMYFUNCTION("""COMPUTED_VALUE"""),"Feliz")</f>
        <v>Feliz</v>
      </c>
      <c r="C333" s="119" t="str">
        <f>IFERROR(__xludf.DUMMYFUNCTION("""COMPUTED_VALUE"""),"CAB")</f>
        <v>CAB</v>
      </c>
      <c r="D333" s="1" t="str">
        <f>IFERROR(__xludf.DUMMYFUNCTION("""COMPUTED_VALUE"""),"JOÃO BATISTA CRUZ")</f>
        <v>JOÃO BATISTA CRUZ</v>
      </c>
      <c r="E333" s="119" t="str">
        <f>IFERROR(__xludf.DUMMYFUNCTION("""COMPUTED_VALUE"""),"Módulo 1 concluído")</f>
        <v>Módulo 1 concluído</v>
      </c>
      <c r="F333" s="1" t="str">
        <f>IFERROR(__xludf.DUMMYFUNCTION("""COMPUTED_VALUE"""),"000.599.020-35")</f>
        <v>000.599.020-35</v>
      </c>
      <c r="G333" s="1">
        <f>IFERROR(__xludf.DUMMYFUNCTION("""COMPUTED_VALUE"""),5088069033)</f>
        <v>5088069033</v>
      </c>
      <c r="H333" s="1" t="str">
        <f>IFERROR(__xludf.DUMMYFUNCTION("""COMPUTED_VALUE"""),"Atendente e Operador")</f>
        <v>Atendente e Operador</v>
      </c>
      <c r="I333" s="1"/>
      <c r="J333" s="1" t="str">
        <f>IFERROR(__xludf.DUMMYFUNCTION("""COMPUTED_VALUE"""),"Sim")</f>
        <v>Sim</v>
      </c>
      <c r="K333" s="1" t="str">
        <f>IFERROR(__xludf.DUMMYFUNCTION("""COMPUTED_VALUE"""),"Não")</f>
        <v>Não</v>
      </c>
      <c r="L333" s="1" t="str">
        <f>IFERROR(__xludf.DUMMYFUNCTION("""COMPUTED_VALUE"""),"B+")</f>
        <v>B+</v>
      </c>
      <c r="M333" s="1" t="str">
        <f>IFERROR(__xludf.DUMMYFUNCTION("""COMPUTED_VALUE"""),"JOÃO")</f>
        <v>JOÃO</v>
      </c>
      <c r="N333" s="120">
        <f>IFERROR(__xludf.DUMMYFUNCTION("""COMPUTED_VALUE"""),30032)</f>
        <v>30032</v>
      </c>
      <c r="O333" s="1" t="str">
        <f>IFERROR(__xludf.DUMMYFUNCTION("""COMPUTED_VALUE"""),"Masculino")</f>
        <v>Masculino</v>
      </c>
      <c r="P333" s="1" t="str">
        <f>IFERROR(__xludf.DUMMYFUNCTION("""COMPUTED_VALUE"""),"Branca")</f>
        <v>Branca</v>
      </c>
      <c r="Q333" s="1" t="str">
        <f>IFERROR(__xludf.DUMMYFUNCTION("""COMPUTED_VALUE"""),"Ensino Médio")</f>
        <v>Ensino Médio</v>
      </c>
      <c r="R333" s="1" t="str">
        <f>IFERROR(__xludf.DUMMYFUNCTION("""COMPUTED_VALUE"""),"joaobatistacruz82@gmail.com")</f>
        <v>joaobatistacruz82@gmail.com</v>
      </c>
      <c r="S333" s="1">
        <f>IFERROR(__xludf.DUMMYFUNCTION("""COMPUTED_VALUE"""),65)</f>
        <v>65</v>
      </c>
      <c r="T333" s="1" t="str">
        <f>IFERROR(__xludf.DUMMYFUNCTION("""COMPUTED_VALUE"""),"Entre 1,71m e 1,75m")</f>
        <v>Entre 1,71m e 1,75m</v>
      </c>
      <c r="U333" s="1"/>
      <c r="V333" s="1" t="str">
        <f>IFERROR(__xludf.DUMMYFUNCTION("""COMPUTED_VALUE"""),"(51)995050333")</f>
        <v>(51)995050333</v>
      </c>
      <c r="W333" s="1" t="str">
        <f>IFERROR(__xludf.DUMMYFUNCTION("""COMPUTED_VALUE"""),"(51)3637-1500")</f>
        <v>(51)3637-1500</v>
      </c>
      <c r="X333" s="1" t="str">
        <f>IFERROR(__xludf.DUMMYFUNCTION("""COMPUTED_VALUE"""),"RS")</f>
        <v>RS</v>
      </c>
      <c r="Y333" s="1" t="str">
        <f>IFERROR(__xludf.DUMMYFUNCTION("""COMPUTED_VALUE"""),"Feliz")</f>
        <v>Feliz</v>
      </c>
      <c r="Z333" s="1" t="str">
        <f>IFERROR(__xludf.DUMMYFUNCTION("""COMPUTED_VALUE"""),"95770-000")</f>
        <v>95770-000</v>
      </c>
      <c r="AA333" s="1" t="str">
        <f>IFERROR(__xludf.DUMMYFUNCTION("""COMPUTED_VALUE"""),"Rua Princesa Isabel, SN")</f>
        <v>Rua Princesa Isabel, SN</v>
      </c>
      <c r="AB333" s="1" t="str">
        <f>IFERROR(__xludf.DUMMYFUNCTION("""COMPUTED_VALUE"""),"Vila Rica")</f>
        <v>Vila Rica</v>
      </c>
      <c r="AC333" s="1" t="str">
        <f>IFERROR(__xludf.DUMMYFUNCTION("""COMPUTED_VALUE"""),"M")</f>
        <v>M</v>
      </c>
      <c r="AD333" s="1" t="str">
        <f>IFERROR(__xludf.DUMMYFUNCTION("""COMPUTED_VALUE"""),"M")</f>
        <v>M</v>
      </c>
      <c r="AE333" s="1" t="str">
        <f>IFERROR(__xludf.DUMMYFUNCTION("""COMPUTED_VALUE"""),"M")</f>
        <v>M</v>
      </c>
      <c r="AF333" s="1" t="str">
        <f>IFERROR(__xludf.DUMMYFUNCTION("""COMPUTED_VALUE"""),"M")</f>
        <v>M</v>
      </c>
      <c r="AG333" s="1" t="str">
        <f>IFERROR(__xludf.DUMMYFUNCTION("""COMPUTED_VALUE"""),"P")</f>
        <v>P</v>
      </c>
      <c r="AH333" s="1">
        <f>IFERROR(__xludf.DUMMYFUNCTION("""COMPUTED_VALUE"""),40)</f>
        <v>40</v>
      </c>
      <c r="AI333" s="1">
        <f>IFERROR(__xludf.DUMMYFUNCTION("""COMPUTED_VALUE"""),40)</f>
        <v>40</v>
      </c>
      <c r="AJ333" s="1">
        <f>IFERROR(__xludf.DUMMYFUNCTION("""COMPUTED_VALUE"""),40)</f>
        <v>40</v>
      </c>
      <c r="AK333" s="1">
        <f>IFERROR(__xludf.DUMMYFUNCTION("""COMPUTED_VALUE"""),40)</f>
        <v>40</v>
      </c>
      <c r="AL333" s="1" t="str">
        <f>IFERROR(__xludf.DUMMYFUNCTION("""COMPUTED_VALUE"""),"M")</f>
        <v>M</v>
      </c>
      <c r="AM333" s="1" t="str">
        <f>IFERROR(__xludf.DUMMYFUNCTION("""COMPUTED_VALUE"""),"G")</f>
        <v>G</v>
      </c>
      <c r="AN333" s="1" t="str">
        <f>IFERROR(__xludf.DUMMYFUNCTION("""COMPUTED_VALUE"""),"M")</f>
        <v>M</v>
      </c>
    </row>
    <row r="334" customHeight="1" spans="1:40">
      <c r="A334" s="1"/>
      <c r="B334" s="1"/>
      <c r="C334" s="119"/>
      <c r="D334" s="1" t="str">
        <f>IFERROR(__xludf.DUMMYFUNCTION("""COMPUTED_VALUE"""),"JOÃO LUIZ DA SILVA GUERREIRO")</f>
        <v>JOÃO LUIZ DA SILVA GUERREIRO</v>
      </c>
      <c r="E334" s="1" t="str">
        <f>IFERROR(__xludf.DUMMYFUNCTION("""COMPUTED_VALUE"""),"Curso CAB operador concluído")</f>
        <v>Curso CAB operador concluído</v>
      </c>
      <c r="F334" s="1" t="str">
        <f>IFERROR(__xludf.DUMMYFUNCTION("""COMPUTED_VALUE"""),"592.008.040-04")</f>
        <v>592.008.040-04</v>
      </c>
      <c r="G334" s="1"/>
      <c r="H334" s="1"/>
      <c r="I334" s="1"/>
      <c r="J334" s="1"/>
      <c r="K334" s="1"/>
      <c r="L334" s="1"/>
      <c r="M334" s="1"/>
      <c r="N334" s="120"/>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row>
    <row r="335" customHeight="1" spans="1:40">
      <c r="A335" s="1" t="str">
        <f>IFERROR(__xludf.DUMMYFUNCTION("""COMPUTED_VALUE"""),"05° BBM")</f>
        <v>05° BBM</v>
      </c>
      <c r="B335" s="1" t="str">
        <f>IFERROR(__xludf.DUMMYFUNCTION("""COMPUTED_VALUE"""),"Farroupilha")</f>
        <v>Farroupilha</v>
      </c>
      <c r="C335" s="119" t="str">
        <f>IFERROR(__xludf.DUMMYFUNCTION("""COMPUTED_VALUE"""),"CAB")</f>
        <v>CAB</v>
      </c>
      <c r="D335" s="1" t="str">
        <f>IFERROR(__xludf.DUMMYFUNCTION("""COMPUTED_VALUE"""),"JOCELITO JOSÉ KNEBEL")</f>
        <v>JOCELITO JOSÉ KNEBEL</v>
      </c>
      <c r="E335" s="119" t="str">
        <f>IFERROR(__xludf.DUMMYFUNCTION("""COMPUTED_VALUE"""),"Módulo 1 concluído")</f>
        <v>Módulo 1 concluído</v>
      </c>
      <c r="F335" s="1" t="str">
        <f>IFERROR(__xludf.DUMMYFUNCTION("""COMPUTED_VALUE"""),"473.200.010-04")</f>
        <v>473.200.010-04</v>
      </c>
      <c r="G335" s="1">
        <f>IFERROR(__xludf.DUMMYFUNCTION("""COMPUTED_VALUE"""),1042107431)</f>
        <v>1042107431</v>
      </c>
      <c r="H335" s="1" t="str">
        <f>IFERROR(__xludf.DUMMYFUNCTION("""COMPUTED_VALUE"""),"Atendente e Operador")</f>
        <v>Atendente e Operador</v>
      </c>
      <c r="I335" s="1"/>
      <c r="J335" s="1" t="str">
        <f>IFERROR(__xludf.DUMMYFUNCTION("""COMPUTED_VALUE"""),"Sim")</f>
        <v>Sim</v>
      </c>
      <c r="K335" s="1" t="str">
        <f>IFERROR(__xludf.DUMMYFUNCTION("""COMPUTED_VALUE"""),"Sim")</f>
        <v>Sim</v>
      </c>
      <c r="L335" s="1" t="str">
        <f>IFERROR(__xludf.DUMMYFUNCTION("""COMPUTED_VALUE"""),"O+")</f>
        <v>O+</v>
      </c>
      <c r="M335" s="1" t="str">
        <f>IFERROR(__xludf.DUMMYFUNCTION("""COMPUTED_VALUE"""),"JOCELITO")</f>
        <v>JOCELITO</v>
      </c>
      <c r="N335" s="120">
        <f>IFERROR(__xludf.DUMMYFUNCTION("""COMPUTED_VALUE"""),24663)</f>
        <v>24663</v>
      </c>
      <c r="O335" s="1" t="str">
        <f>IFERROR(__xludf.DUMMYFUNCTION("""COMPUTED_VALUE"""),"Masculino")</f>
        <v>Masculino</v>
      </c>
      <c r="P335" s="1" t="str">
        <f>IFERROR(__xludf.DUMMYFUNCTION("""COMPUTED_VALUE"""),"Branca")</f>
        <v>Branca</v>
      </c>
      <c r="Q335" s="1" t="str">
        <f>IFERROR(__xludf.DUMMYFUNCTION("""COMPUTED_VALUE"""),"Ensino Médio")</f>
        <v>Ensino Médio</v>
      </c>
      <c r="R335" s="1" t="str">
        <f>IFERROR(__xludf.DUMMYFUNCTION("""COMPUTED_VALUE"""),"jocelitoknebel67@gmail.com")</f>
        <v>jocelitoknebel67@gmail.com</v>
      </c>
      <c r="S335" s="1">
        <f>IFERROR(__xludf.DUMMYFUNCTION("""COMPUTED_VALUE"""),110)</f>
        <v>110</v>
      </c>
      <c r="T335" s="1" t="str">
        <f>IFERROR(__xludf.DUMMYFUNCTION("""COMPUTED_VALUE"""),"Entre 1,66m e 1,70m")</f>
        <v>Entre 1,66m e 1,70m</v>
      </c>
      <c r="U335" s="1"/>
      <c r="V335" s="1" t="str">
        <f>IFERROR(__xludf.DUMMYFUNCTION("""COMPUTED_VALUE"""),"(54)99236-9737")</f>
        <v>(54)99236-9737</v>
      </c>
      <c r="W335" s="1" t="str">
        <f>IFERROR(__xludf.DUMMYFUNCTION("""COMPUTED_VALUE"""),"(54)99236-9737")</f>
        <v>(54)99236-9737</v>
      </c>
      <c r="X335" s="1" t="str">
        <f>IFERROR(__xludf.DUMMYFUNCTION("""COMPUTED_VALUE"""),"RS")</f>
        <v>RS</v>
      </c>
      <c r="Y335" s="1" t="str">
        <f>IFERROR(__xludf.DUMMYFUNCTION("""COMPUTED_VALUE"""),"Farroupilha")</f>
        <v>Farroupilha</v>
      </c>
      <c r="Z335" s="119" t="str">
        <f>IFERROR(__xludf.DUMMYFUNCTION("""COMPUTED_VALUE"""),"95176-106")</f>
        <v>95176-106</v>
      </c>
      <c r="AA335" s="1" t="str">
        <f>IFERROR(__xludf.DUMMYFUNCTION("""COMPUTED_VALUE"""),"Estrada Antônio Tesco, 58")</f>
        <v>Estrada Antônio Tesco, 58</v>
      </c>
      <c r="AB335" s="1" t="str">
        <f>IFERROR(__xludf.DUMMYFUNCTION("""COMPUTED_VALUE"""),"Santa Catarina")</f>
        <v>Santa Catarina</v>
      </c>
      <c r="AC335" s="1" t="str">
        <f>IFERROR(__xludf.DUMMYFUNCTION("""COMPUTED_VALUE"""),"GG")</f>
        <v>GG</v>
      </c>
      <c r="AD335" s="1" t="str">
        <f>IFERROR(__xludf.DUMMYFUNCTION("""COMPUTED_VALUE"""),"GG")</f>
        <v>GG</v>
      </c>
      <c r="AE335" s="1" t="str">
        <f>IFERROR(__xludf.DUMMYFUNCTION("""COMPUTED_VALUE"""),"GG")</f>
        <v>GG</v>
      </c>
      <c r="AF335" s="1" t="str">
        <f>IFERROR(__xludf.DUMMYFUNCTION("""COMPUTED_VALUE"""),"GG")</f>
        <v>GG</v>
      </c>
      <c r="AG335" s="1" t="str">
        <f>IFERROR(__xludf.DUMMYFUNCTION("""COMPUTED_VALUE"""),"GG")</f>
        <v>GG</v>
      </c>
      <c r="AH335" s="1">
        <f>IFERROR(__xludf.DUMMYFUNCTION("""COMPUTED_VALUE"""),44)</f>
        <v>44</v>
      </c>
      <c r="AI335" s="1">
        <f>IFERROR(__xludf.DUMMYFUNCTION("""COMPUTED_VALUE"""),44)</f>
        <v>44</v>
      </c>
      <c r="AJ335" s="1">
        <f>IFERROR(__xludf.DUMMYFUNCTION("""COMPUTED_VALUE"""),44)</f>
        <v>44</v>
      </c>
      <c r="AK335" s="1">
        <f>IFERROR(__xludf.DUMMYFUNCTION("""COMPUTED_VALUE"""),44)</f>
        <v>44</v>
      </c>
      <c r="AL335" s="1" t="str">
        <f>IFERROR(__xludf.DUMMYFUNCTION("""COMPUTED_VALUE"""),"GG")</f>
        <v>GG</v>
      </c>
      <c r="AM335" s="1" t="str">
        <f>IFERROR(__xludf.DUMMYFUNCTION("""COMPUTED_VALUE"""),"GG")</f>
        <v>GG</v>
      </c>
      <c r="AN335" s="1" t="str">
        <f>IFERROR(__xludf.DUMMYFUNCTION("""COMPUTED_VALUE"""),"G")</f>
        <v>G</v>
      </c>
    </row>
    <row r="336" customHeight="1" spans="1:40">
      <c r="A336" s="1"/>
      <c r="B336" s="1"/>
      <c r="C336" s="119"/>
      <c r="D336" s="1" t="str">
        <f>IFERROR(__xludf.DUMMYFUNCTION("""COMPUTED_VALUE"""),"JOELMA RONSSANI MEYER")</f>
        <v>JOELMA RONSSANI MEYER</v>
      </c>
      <c r="E336" s="1" t="str">
        <f>IFERROR(__xludf.DUMMYFUNCTION("""COMPUTED_VALUE"""),"Curso CAB operador concluído")</f>
        <v>Curso CAB operador concluído</v>
      </c>
      <c r="F336" s="1" t="str">
        <f>IFERROR(__xludf.DUMMYFUNCTION("""COMPUTED_VALUE"""),"025.224.850-32")</f>
        <v>025.224.850-32</v>
      </c>
      <c r="G336" s="1"/>
      <c r="H336" s="1"/>
      <c r="I336" s="1"/>
      <c r="J336" s="1"/>
      <c r="K336" s="1"/>
      <c r="L336" s="1"/>
      <c r="M336" s="1"/>
      <c r="N336" s="120"/>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row>
    <row r="337" customHeight="1" spans="1:40">
      <c r="A337" s="1" t="str">
        <f>IFERROR(__xludf.DUMMYFUNCTION("""COMPUTED_VALUE"""),"05° BBM")</f>
        <v>05° BBM</v>
      </c>
      <c r="B337" s="1" t="str">
        <f>IFERROR(__xludf.DUMMYFUNCTION("""COMPUTED_VALUE"""),"Farroupilha")</f>
        <v>Farroupilha</v>
      </c>
      <c r="C337" s="119" t="str">
        <f>IFERROR(__xludf.DUMMYFUNCTION("""COMPUTED_VALUE"""),"CAB")</f>
        <v>CAB</v>
      </c>
      <c r="D337" s="1" t="str">
        <f>IFERROR(__xludf.DUMMYFUNCTION("""COMPUTED_VALUE"""),"JORGE PEDRO LAMB")</f>
        <v>JORGE PEDRO LAMB</v>
      </c>
      <c r="E337" s="119" t="str">
        <f>IFERROR(__xludf.DUMMYFUNCTION("""COMPUTED_VALUE"""),"Módulo 1 concluído")</f>
        <v>Módulo 1 concluído</v>
      </c>
      <c r="F337" s="1" t="str">
        <f>IFERROR(__xludf.DUMMYFUNCTION("""COMPUTED_VALUE"""),"697.483.490-04")</f>
        <v>697.483.490-04</v>
      </c>
      <c r="G337" s="1">
        <f>IFERROR(__xludf.DUMMYFUNCTION("""COMPUTED_VALUE"""),1058669761)</f>
        <v>1058669761</v>
      </c>
      <c r="H337" s="1" t="str">
        <f>IFERROR(__xludf.DUMMYFUNCTION("""COMPUTED_VALUE"""),"Atendente e Operador")</f>
        <v>Atendente e Operador</v>
      </c>
      <c r="I337" s="1"/>
      <c r="J337" s="1" t="str">
        <f>IFERROR(__xludf.DUMMYFUNCTION("""COMPUTED_VALUE"""),"Sim")</f>
        <v>Sim</v>
      </c>
      <c r="K337" s="1" t="str">
        <f>IFERROR(__xludf.DUMMYFUNCTION("""COMPUTED_VALUE"""),"Não")</f>
        <v>Não</v>
      </c>
      <c r="L337" s="1" t="str">
        <f>IFERROR(__xludf.DUMMYFUNCTION("""COMPUTED_VALUE"""),"A+")</f>
        <v>A+</v>
      </c>
      <c r="M337" s="1" t="str">
        <f>IFERROR(__xludf.DUMMYFUNCTION("""COMPUTED_VALUE"""),"JORGE")</f>
        <v>JORGE</v>
      </c>
      <c r="N337" s="120" t="str">
        <f>IFERROR(__xludf.DUMMYFUNCTION("""COMPUTED_VALUE"""),"6/26/1976")</f>
        <v>6/26/1976</v>
      </c>
      <c r="O337" s="1" t="str">
        <f>IFERROR(__xludf.DUMMYFUNCTION("""COMPUTED_VALUE"""),"Masculino")</f>
        <v>Masculino</v>
      </c>
      <c r="P337" s="1" t="str">
        <f>IFERROR(__xludf.DUMMYFUNCTION("""COMPUTED_VALUE"""),"Branca")</f>
        <v>Branca</v>
      </c>
      <c r="Q337" s="1" t="str">
        <f>IFERROR(__xludf.DUMMYFUNCTION("""COMPUTED_VALUE"""),"Ensino Médio")</f>
        <v>Ensino Médio</v>
      </c>
      <c r="R337" s="1" t="str">
        <f>IFERROR(__xludf.DUMMYFUNCTION("""COMPUTED_VALUE"""),"lysejh@gmail.com")</f>
        <v>lysejh@gmail.com</v>
      </c>
      <c r="S337" s="1">
        <f>IFERROR(__xludf.DUMMYFUNCTION("""COMPUTED_VALUE"""),80)</f>
        <v>80</v>
      </c>
      <c r="T337" s="1" t="str">
        <f>IFERROR(__xludf.DUMMYFUNCTION("""COMPUTED_VALUE"""),"Entre 1,66m e 1,70m")</f>
        <v>Entre 1,66m e 1,70m</v>
      </c>
      <c r="U337" s="1"/>
      <c r="V337" s="1" t="str">
        <f>IFERROR(__xludf.DUMMYFUNCTION("""COMPUTED_VALUE"""),"(54)99661-5135")</f>
        <v>(54)99661-5135</v>
      </c>
      <c r="W337" s="1" t="str">
        <f>IFERROR(__xludf.DUMMYFUNCTION("""COMPUTED_VALUE"""),"(54)3261-9427")</f>
        <v>(54)3261-9427</v>
      </c>
      <c r="X337" s="1" t="str">
        <f>IFERROR(__xludf.DUMMYFUNCTION("""COMPUTED_VALUE"""),"RS")</f>
        <v>RS</v>
      </c>
      <c r="Y337" s="1" t="str">
        <f>IFERROR(__xludf.DUMMYFUNCTION("""COMPUTED_VALUE"""),"Farroupilha")</f>
        <v>Farroupilha</v>
      </c>
      <c r="Z337" s="1" t="str">
        <f>IFERROR(__xludf.DUMMYFUNCTION("""COMPUTED_VALUE"""),"95180-000")</f>
        <v>95180-000</v>
      </c>
      <c r="AA337" s="1" t="str">
        <f>IFERROR(__xludf.DUMMYFUNCTION("""COMPUTED_VALUE"""),"Estrada Desvio Blauth, 436")</f>
        <v>Estrada Desvio Blauth, 436</v>
      </c>
      <c r="AB337" s="1" t="str">
        <f>IFERROR(__xludf.DUMMYFUNCTION("""COMPUTED_VALUE"""),"3° Distrito")</f>
        <v>3° Distrito</v>
      </c>
      <c r="AC337" s="1" t="str">
        <f>IFERROR(__xludf.DUMMYFUNCTION("""COMPUTED_VALUE"""),"GG")</f>
        <v>GG</v>
      </c>
      <c r="AD337" s="1" t="str">
        <f>IFERROR(__xludf.DUMMYFUNCTION("""COMPUTED_VALUE"""),"GG")</f>
        <v>GG</v>
      </c>
      <c r="AE337" s="1" t="str">
        <f>IFERROR(__xludf.DUMMYFUNCTION("""COMPUTED_VALUE"""),"GG")</f>
        <v>GG</v>
      </c>
      <c r="AF337" s="1" t="str">
        <f>IFERROR(__xludf.DUMMYFUNCTION("""COMPUTED_VALUE"""),"GG")</f>
        <v>GG</v>
      </c>
      <c r="AG337" s="1" t="str">
        <f>IFERROR(__xludf.DUMMYFUNCTION("""COMPUTED_VALUE"""),"GG")</f>
        <v>GG</v>
      </c>
      <c r="AH337" s="1">
        <f>IFERROR(__xludf.DUMMYFUNCTION("""COMPUTED_VALUE"""),39)</f>
        <v>39</v>
      </c>
      <c r="AI337" s="1">
        <f>IFERROR(__xludf.DUMMYFUNCTION("""COMPUTED_VALUE"""),39)</f>
        <v>39</v>
      </c>
      <c r="AJ337" s="1">
        <f>IFERROR(__xludf.DUMMYFUNCTION("""COMPUTED_VALUE"""),39)</f>
        <v>39</v>
      </c>
      <c r="AK337" s="1">
        <f>IFERROR(__xludf.DUMMYFUNCTION("""COMPUTED_VALUE"""),39)</f>
        <v>39</v>
      </c>
      <c r="AL337" s="1" t="str">
        <f>IFERROR(__xludf.DUMMYFUNCTION("""COMPUTED_VALUE"""),"GG")</f>
        <v>GG</v>
      </c>
      <c r="AM337" s="1" t="str">
        <f>IFERROR(__xludf.DUMMYFUNCTION("""COMPUTED_VALUE"""),"GG")</f>
        <v>GG</v>
      </c>
      <c r="AN337" s="1" t="str">
        <f>IFERROR(__xludf.DUMMYFUNCTION("""COMPUTED_VALUE"""),"GG")</f>
        <v>GG</v>
      </c>
    </row>
    <row r="338" customHeight="1" spans="1:40">
      <c r="A338" s="1" t="str">
        <f>IFERROR(__xludf.DUMMYFUNCTION("""COMPUTED_VALUE"""),"05° BBM")</f>
        <v>05° BBM</v>
      </c>
      <c r="B338" s="1" t="str">
        <f>IFERROR(__xludf.DUMMYFUNCTION("""COMPUTED_VALUE"""),"CANELA")</f>
        <v>CANELA</v>
      </c>
      <c r="C338" s="119" t="str">
        <f>IFERROR(__xludf.DUMMYFUNCTION("""COMPUTED_VALUE"""),"Municipal")</f>
        <v>Municipal</v>
      </c>
      <c r="D338" s="1" t="str">
        <f>IFERROR(__xludf.DUMMYFUNCTION("""COMPUTED_VALUE"""),"JOSÉ DE MORAES")</f>
        <v>JOSÉ DE MORAES</v>
      </c>
      <c r="E338" s="119" t="str">
        <f>IFERROR(__xludf.DUMMYFUNCTION("""COMPUTED_VALUE"""),"Módulo 1 concluído")</f>
        <v>Módulo 1 concluído</v>
      </c>
      <c r="F338" s="1"/>
      <c r="G338" s="1"/>
      <c r="H338" s="1" t="str">
        <f>IFERROR(__xludf.DUMMYFUNCTION("""COMPUTED_VALUE"""),"CONDUTOR OPERADOR DE VIATURA")</f>
        <v>CONDUTOR OPERADOR DE VIATURA</v>
      </c>
      <c r="I338" s="1"/>
      <c r="J338" s="1"/>
      <c r="K338" s="1"/>
      <c r="L338" s="1"/>
      <c r="M338" s="1"/>
      <c r="N338" s="120"/>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row>
    <row r="339" customHeight="1" spans="1:40">
      <c r="A339" s="1" t="str">
        <f>IFERROR(__xludf.DUMMYFUNCTION("""COMPUTED_VALUE"""),"05° BBM")</f>
        <v>05° BBM</v>
      </c>
      <c r="B339" s="1" t="str">
        <f>IFERROR(__xludf.DUMMYFUNCTION("""COMPUTED_VALUE"""),"Feliz")</f>
        <v>Feliz</v>
      </c>
      <c r="C339" s="119" t="str">
        <f>IFERROR(__xludf.DUMMYFUNCTION("""COMPUTED_VALUE"""),"Municipal")</f>
        <v>Municipal</v>
      </c>
      <c r="D339" s="1" t="str">
        <f>IFERROR(__xludf.DUMMYFUNCTION("""COMPUTED_VALUE"""),"JOSÉ ROBERTO COSTA")</f>
        <v>JOSÉ ROBERTO COSTA</v>
      </c>
      <c r="E339" s="119" t="str">
        <f>IFERROR(__xludf.DUMMYFUNCTION("""COMPUTED_VALUE"""),"Módulo 1 concluído")</f>
        <v>Módulo 1 concluído</v>
      </c>
      <c r="F339" s="1" t="str">
        <f>IFERROR(__xludf.DUMMYFUNCTION("""COMPUTED_VALUE"""),"062.568.349-84")</f>
        <v>062.568.349-84</v>
      </c>
      <c r="G339" s="1">
        <f>IFERROR(__xludf.DUMMYFUNCTION("""COMPUTED_VALUE"""),1114460718)</f>
        <v>1114460718</v>
      </c>
      <c r="H339" s="1" t="str">
        <f>IFERROR(__xludf.DUMMYFUNCTION("""COMPUTED_VALUE"""),"Atendente e Operador")</f>
        <v>Atendente e Operador</v>
      </c>
      <c r="I339" s="1"/>
      <c r="J339" s="1" t="str">
        <f>IFERROR(__xludf.DUMMYFUNCTION("""COMPUTED_VALUE"""),"Sim")</f>
        <v>Sim</v>
      </c>
      <c r="K339" s="1" t="str">
        <f>IFERROR(__xludf.DUMMYFUNCTION("""COMPUTED_VALUE"""),"Não")</f>
        <v>Não</v>
      </c>
      <c r="L339" s="1" t="str">
        <f>IFERROR(__xludf.DUMMYFUNCTION("""COMPUTED_VALUE"""),"O+")</f>
        <v>O+</v>
      </c>
      <c r="M339" s="1" t="str">
        <f>IFERROR(__xludf.DUMMYFUNCTION("""COMPUTED_VALUE"""),"COSTA")</f>
        <v>COSTA</v>
      </c>
      <c r="N339" s="120" t="str">
        <f>IFERROR(__xludf.DUMMYFUNCTION("""COMPUTED_VALUE"""),"12/16/1988")</f>
        <v>12/16/1988</v>
      </c>
      <c r="O339" s="1" t="str">
        <f>IFERROR(__xludf.DUMMYFUNCTION("""COMPUTED_VALUE"""),"Masculino")</f>
        <v>Masculino</v>
      </c>
      <c r="P339" s="1" t="str">
        <f>IFERROR(__xludf.DUMMYFUNCTION("""COMPUTED_VALUE"""),"Morena")</f>
        <v>Morena</v>
      </c>
      <c r="Q339" s="1" t="str">
        <f>IFERROR(__xludf.DUMMYFUNCTION("""COMPUTED_VALUE"""),"Ensino Superior Completo")</f>
        <v>Ensino Superior Completo</v>
      </c>
      <c r="R339" s="1" t="str">
        <f>IFERROR(__xludf.DUMMYFUNCTION("""COMPUTED_VALUE"""),"joserobertocostacosta@ymail.com")</f>
        <v>joserobertocostacosta@ymail.com</v>
      </c>
      <c r="S339" s="1">
        <f>IFERROR(__xludf.DUMMYFUNCTION("""COMPUTED_VALUE"""),63)</f>
        <v>63</v>
      </c>
      <c r="T339" s="1" t="str">
        <f>IFERROR(__xludf.DUMMYFUNCTION("""COMPUTED_VALUE"""),"Entre 1,61m e 1,65m")</f>
        <v>Entre 1,61m e 1,65m</v>
      </c>
      <c r="U339" s="1"/>
      <c r="V339" s="1" t="str">
        <f>IFERROR(__xludf.DUMMYFUNCTION("""COMPUTED_VALUE"""),"(51)99823-5054")</f>
        <v>(51)99823-5054</v>
      </c>
      <c r="W339" s="1" t="str">
        <f>IFERROR(__xludf.DUMMYFUNCTION("""COMPUTED_VALUE"""),"(51)3637-1500")</f>
        <v>(51)3637-1500</v>
      </c>
      <c r="X339" s="1" t="str">
        <f>IFERROR(__xludf.DUMMYFUNCTION("""COMPUTED_VALUE"""),"RS")</f>
        <v>RS</v>
      </c>
      <c r="Y339" s="1" t="str">
        <f>IFERROR(__xludf.DUMMYFUNCTION("""COMPUTED_VALUE"""),"Alto Feliz")</f>
        <v>Alto Feliz</v>
      </c>
      <c r="Z339" s="1" t="str">
        <f>IFERROR(__xludf.DUMMYFUNCTION("""COMPUTED_VALUE"""),"95773-000")</f>
        <v>95773-000</v>
      </c>
      <c r="AA339" s="1" t="str">
        <f>IFERROR(__xludf.DUMMYFUNCTION("""COMPUTED_VALUE"""),"Rua Eugênio Kuhn, 213 AP 205")</f>
        <v>Rua Eugênio Kuhn, 213 AP 205</v>
      </c>
      <c r="AB339" s="1" t="str">
        <f>IFERROR(__xludf.DUMMYFUNCTION("""COMPUTED_VALUE"""),"Centro")</f>
        <v>Centro</v>
      </c>
      <c r="AC339" s="1" t="str">
        <f>IFERROR(__xludf.DUMMYFUNCTION("""COMPUTED_VALUE"""),"M")</f>
        <v>M</v>
      </c>
      <c r="AD339" s="1" t="str">
        <f>IFERROR(__xludf.DUMMYFUNCTION("""COMPUTED_VALUE"""),"M")</f>
        <v>M</v>
      </c>
      <c r="AE339" s="1" t="str">
        <f>IFERROR(__xludf.DUMMYFUNCTION("""COMPUTED_VALUE"""),"M")</f>
        <v>M</v>
      </c>
      <c r="AF339" s="1" t="str">
        <f>IFERROR(__xludf.DUMMYFUNCTION("""COMPUTED_VALUE"""),"M")</f>
        <v>M</v>
      </c>
      <c r="AG339" s="1" t="str">
        <f>IFERROR(__xludf.DUMMYFUNCTION("""COMPUTED_VALUE"""),"M")</f>
        <v>M</v>
      </c>
      <c r="AH339" s="1">
        <f>IFERROR(__xludf.DUMMYFUNCTION("""COMPUTED_VALUE"""),38)</f>
        <v>38</v>
      </c>
      <c r="AI339" s="1">
        <f>IFERROR(__xludf.DUMMYFUNCTION("""COMPUTED_VALUE"""),38)</f>
        <v>38</v>
      </c>
      <c r="AJ339" s="1">
        <f>IFERROR(__xludf.DUMMYFUNCTION("""COMPUTED_VALUE"""),38)</f>
        <v>38</v>
      </c>
      <c r="AK339" s="1">
        <f>IFERROR(__xludf.DUMMYFUNCTION("""COMPUTED_VALUE"""),38)</f>
        <v>38</v>
      </c>
      <c r="AL339" s="1" t="str">
        <f>IFERROR(__xludf.DUMMYFUNCTION("""COMPUTED_VALUE"""),"M")</f>
        <v>M</v>
      </c>
      <c r="AM339" s="1" t="str">
        <f>IFERROR(__xludf.DUMMYFUNCTION("""COMPUTED_VALUE"""),"M")</f>
        <v>M</v>
      </c>
      <c r="AN339" s="1" t="str">
        <f>IFERROR(__xludf.DUMMYFUNCTION("""COMPUTED_VALUE"""),"M")</f>
        <v>M</v>
      </c>
    </row>
    <row r="340" customHeight="1" spans="1:40">
      <c r="A340" s="1" t="str">
        <f>IFERROR(__xludf.DUMMYFUNCTION("""COMPUTED_VALUE"""),"05° BBM")</f>
        <v>05° BBM</v>
      </c>
      <c r="B340" s="1" t="str">
        <f>IFERROR(__xludf.DUMMYFUNCTION("""COMPUTED_VALUE"""),"Feliz")</f>
        <v>Feliz</v>
      </c>
      <c r="C340" s="119" t="str">
        <f>IFERROR(__xludf.DUMMYFUNCTION("""COMPUTED_VALUE"""),"CAB")</f>
        <v>CAB</v>
      </c>
      <c r="D340" s="1" t="str">
        <f>IFERROR(__xludf.DUMMYFUNCTION("""COMPUTED_VALUE"""),"JULIANE MARIA GASS")</f>
        <v>JULIANE MARIA GASS</v>
      </c>
      <c r="E340" s="119" t="str">
        <f>IFERROR(__xludf.DUMMYFUNCTION("""COMPUTED_VALUE"""),"Módulo 1 concluído")</f>
        <v>Módulo 1 concluído</v>
      </c>
      <c r="F340" s="1" t="str">
        <f>IFERROR(__xludf.DUMMYFUNCTION("""COMPUTED_VALUE"""),"004.616.690-48")</f>
        <v>004.616.690-48</v>
      </c>
      <c r="G340" s="1">
        <f>IFERROR(__xludf.DUMMYFUNCTION("""COMPUTED_VALUE"""),4083065682)</f>
        <v>4083065682</v>
      </c>
      <c r="H340" s="1" t="str">
        <f>IFERROR(__xludf.DUMMYFUNCTION("""COMPUTED_VALUE"""),"Atendente e Operador")</f>
        <v>Atendente e Operador</v>
      </c>
      <c r="I340" s="1"/>
      <c r="J340" s="1" t="str">
        <f>IFERROR(__xludf.DUMMYFUNCTION("""COMPUTED_VALUE"""),"Sim")</f>
        <v>Sim</v>
      </c>
      <c r="K340" s="1" t="str">
        <f>IFERROR(__xludf.DUMMYFUNCTION("""COMPUTED_VALUE"""),"Não")</f>
        <v>Não</v>
      </c>
      <c r="L340" s="1" t="str">
        <f>IFERROR(__xludf.DUMMYFUNCTION("""COMPUTED_VALUE"""),"B+")</f>
        <v>B+</v>
      </c>
      <c r="M340" s="1" t="str">
        <f>IFERROR(__xludf.DUMMYFUNCTION("""COMPUTED_VALUE"""),"JULIANE")</f>
        <v>JULIANE</v>
      </c>
      <c r="N340" s="120">
        <f>IFERROR(__xludf.DUMMYFUNCTION("""COMPUTED_VALUE"""),31077)</f>
        <v>31077</v>
      </c>
      <c r="O340" s="1" t="str">
        <f>IFERROR(__xludf.DUMMYFUNCTION("""COMPUTED_VALUE"""),"Feminino")</f>
        <v>Feminino</v>
      </c>
      <c r="P340" s="1" t="str">
        <f>IFERROR(__xludf.DUMMYFUNCTION("""COMPUTED_VALUE"""),"Branca")</f>
        <v>Branca</v>
      </c>
      <c r="Q340" s="1" t="str">
        <f>IFERROR(__xludf.DUMMYFUNCTION("""COMPUTED_VALUE"""),"Ensino Médio")</f>
        <v>Ensino Médio</v>
      </c>
      <c r="R340" s="1" t="str">
        <f>IFERROR(__xludf.DUMMYFUNCTION("""COMPUTED_VALUE"""),"juligass07@gmail.com")</f>
        <v>juligass07@gmail.com</v>
      </c>
      <c r="S340" s="1">
        <f>IFERROR(__xludf.DUMMYFUNCTION("""COMPUTED_VALUE"""),65)</f>
        <v>65</v>
      </c>
      <c r="T340" s="1" t="str">
        <f>IFERROR(__xludf.DUMMYFUNCTION("""COMPUTED_VALUE"""),"Entre 1,66m e 1,70m")</f>
        <v>Entre 1,66m e 1,70m</v>
      </c>
      <c r="U340" s="1"/>
      <c r="V340" s="1" t="str">
        <f>IFERROR(__xludf.DUMMYFUNCTION("""COMPUTED_VALUE"""),"(51)995256569")</f>
        <v>(51)995256569</v>
      </c>
      <c r="W340" s="1" t="str">
        <f>IFERROR(__xludf.DUMMYFUNCTION("""COMPUTED_VALUE"""),"(51)3637-1500")</f>
        <v>(51)3637-1500</v>
      </c>
      <c r="X340" s="1" t="str">
        <f>IFERROR(__xludf.DUMMYFUNCTION("""COMPUTED_VALUE"""),"RS")</f>
        <v>RS</v>
      </c>
      <c r="Y340" s="1" t="str">
        <f>IFERROR(__xludf.DUMMYFUNCTION("""COMPUTED_VALUE"""),"Vale Real")</f>
        <v>Vale Real</v>
      </c>
      <c r="Z340" s="1" t="str">
        <f>IFERROR(__xludf.DUMMYFUNCTION("""COMPUTED_VALUE"""),"95778-000")</f>
        <v>95778-000</v>
      </c>
      <c r="AA340" s="1" t="str">
        <f>IFERROR(__xludf.DUMMYFUNCTION("""COMPUTED_VALUE"""),"Rua Rio Branco, 625")</f>
        <v>Rua Rio Branco, 625</v>
      </c>
      <c r="AB340" s="1" t="str">
        <f>IFERROR(__xludf.DUMMYFUNCTION("""COMPUTED_VALUE"""),"Arroio do Ouro")</f>
        <v>Arroio do Ouro</v>
      </c>
      <c r="AC340" s="1" t="str">
        <f>IFERROR(__xludf.DUMMYFUNCTION("""COMPUTED_VALUE"""),"M")</f>
        <v>M</v>
      </c>
      <c r="AD340" s="1" t="str">
        <f>IFERROR(__xludf.DUMMYFUNCTION("""COMPUTED_VALUE"""),"M")</f>
        <v>M</v>
      </c>
      <c r="AE340" s="1" t="str">
        <f>IFERROR(__xludf.DUMMYFUNCTION("""COMPUTED_VALUE"""),"M")</f>
        <v>M</v>
      </c>
      <c r="AF340" s="1" t="str">
        <f>IFERROR(__xludf.DUMMYFUNCTION("""COMPUTED_VALUE"""),"M")</f>
        <v>M</v>
      </c>
      <c r="AG340" s="1" t="str">
        <f>IFERROR(__xludf.DUMMYFUNCTION("""COMPUTED_VALUE"""),"M")</f>
        <v>M</v>
      </c>
      <c r="AH340" s="1">
        <f>IFERROR(__xludf.DUMMYFUNCTION("""COMPUTED_VALUE"""),36)</f>
        <v>36</v>
      </c>
      <c r="AI340" s="1">
        <f>IFERROR(__xludf.DUMMYFUNCTION("""COMPUTED_VALUE"""),36)</f>
        <v>36</v>
      </c>
      <c r="AJ340" s="1">
        <f>IFERROR(__xludf.DUMMYFUNCTION("""COMPUTED_VALUE"""),36)</f>
        <v>36</v>
      </c>
      <c r="AK340" s="1">
        <f>IFERROR(__xludf.DUMMYFUNCTION("""COMPUTED_VALUE"""),36)</f>
        <v>36</v>
      </c>
      <c r="AL340" s="1" t="str">
        <f>IFERROR(__xludf.DUMMYFUNCTION("""COMPUTED_VALUE"""),"P")</f>
        <v>P</v>
      </c>
      <c r="AM340" s="1" t="str">
        <f>IFERROR(__xludf.DUMMYFUNCTION("""COMPUTED_VALUE"""),"M")</f>
        <v>M</v>
      </c>
      <c r="AN340" s="1" t="str">
        <f>IFERROR(__xludf.DUMMYFUNCTION("""COMPUTED_VALUE"""),"P")</f>
        <v>P</v>
      </c>
    </row>
    <row r="341" customHeight="1" spans="1:40">
      <c r="A341" s="1"/>
      <c r="B341" s="1"/>
      <c r="C341" s="119"/>
      <c r="D341" s="1" t="str">
        <f>IFERROR(__xludf.DUMMYFUNCTION("""COMPUTED_VALUE"""),"JULIANO VISONA MELO")</f>
        <v>JULIANO VISONA MELO</v>
      </c>
      <c r="E341" s="1" t="str">
        <f>IFERROR(__xludf.DUMMYFUNCTION("""COMPUTED_VALUE"""),"Módulo 1 concluído")</f>
        <v>Módulo 1 concluído</v>
      </c>
      <c r="F341" s="1" t="str">
        <f>IFERROR(__xludf.DUMMYFUNCTION("""COMPUTED_VALUE"""),"815.084.090-72")</f>
        <v>815.084.090-72</v>
      </c>
      <c r="G341" s="1"/>
      <c r="H341" s="1"/>
      <c r="I341" s="1"/>
      <c r="J341" s="1"/>
      <c r="K341" s="1"/>
      <c r="L341" s="1"/>
      <c r="M341" s="1"/>
      <c r="N341" s="120"/>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row>
    <row r="342" customHeight="1" spans="1:40">
      <c r="A342" s="1" t="str">
        <f>IFERROR(__xludf.DUMMYFUNCTION("""COMPUTED_VALUE"""),"05° BBM")</f>
        <v>05° BBM</v>
      </c>
      <c r="B342" s="1" t="str">
        <f>IFERROR(__xludf.DUMMYFUNCTION("""COMPUTED_VALUE"""),"Feliz")</f>
        <v>Feliz</v>
      </c>
      <c r="C342" s="119" t="str">
        <f>IFERROR(__xludf.DUMMYFUNCTION("""COMPUTED_VALUE"""),"CAB")</f>
        <v>CAB</v>
      </c>
      <c r="D342" s="1" t="str">
        <f>IFERROR(__xludf.DUMMYFUNCTION("""COMPUTED_VALUE"""),"KAISON BONIATTI PAZ")</f>
        <v>KAISON BONIATTI PAZ</v>
      </c>
      <c r="E342" s="119" t="str">
        <f>IFERROR(__xludf.DUMMYFUNCTION("""COMPUTED_VALUE"""),"")</f>
        <v/>
      </c>
      <c r="F342" s="1" t="str">
        <f>IFERROR(__xludf.DUMMYFUNCTION("""COMPUTED_VALUE"""),"046.241.180-06")</f>
        <v>046.241.180-06</v>
      </c>
      <c r="G342" s="1">
        <f>IFERROR(__xludf.DUMMYFUNCTION("""COMPUTED_VALUE"""),6128478846)</f>
        <v>6128478846</v>
      </c>
      <c r="H342" s="1" t="str">
        <f>IFERROR(__xludf.DUMMYFUNCTION("""COMPUTED_VALUE"""),"Atendente e Operador")</f>
        <v>Atendente e Operador</v>
      </c>
      <c r="I342" s="1"/>
      <c r="J342" s="1" t="str">
        <f>IFERROR(__xludf.DUMMYFUNCTION("""COMPUTED_VALUE"""),"Sim")</f>
        <v>Sim</v>
      </c>
      <c r="K342" s="1" t="str">
        <f>IFERROR(__xludf.DUMMYFUNCTION("""COMPUTED_VALUE"""),"Não")</f>
        <v>Não</v>
      </c>
      <c r="L342" s="1" t="str">
        <f>IFERROR(__xludf.DUMMYFUNCTION("""COMPUTED_VALUE"""),"O+")</f>
        <v>O+</v>
      </c>
      <c r="M342" s="1" t="str">
        <f>IFERROR(__xludf.DUMMYFUNCTION("""COMPUTED_VALUE"""),"KAISON")</f>
        <v>KAISON</v>
      </c>
      <c r="N342" s="120">
        <f>IFERROR(__xludf.DUMMYFUNCTION("""COMPUTED_VALUE"""),37214)</f>
        <v>37214</v>
      </c>
      <c r="O342" s="1" t="str">
        <f>IFERROR(__xludf.DUMMYFUNCTION("""COMPUTED_VALUE"""),"Masculino")</f>
        <v>Masculino</v>
      </c>
      <c r="P342" s="1" t="str">
        <f>IFERROR(__xludf.DUMMYFUNCTION("""COMPUTED_VALUE"""),"Branca")</f>
        <v>Branca</v>
      </c>
      <c r="Q342" s="1" t="str">
        <f>IFERROR(__xludf.DUMMYFUNCTION("""COMPUTED_VALUE"""),"Ensino Médio")</f>
        <v>Ensino Médio</v>
      </c>
      <c r="R342" s="1" t="str">
        <f>IFERROR(__xludf.DUMMYFUNCTION("""COMPUTED_VALUE"""),"kaisonpaz@hotmail.com")</f>
        <v>kaisonpaz@hotmail.com</v>
      </c>
      <c r="S342" s="1">
        <f>IFERROR(__xludf.DUMMYFUNCTION("""COMPUTED_VALUE"""),80)</f>
        <v>80</v>
      </c>
      <c r="T342" s="1" t="str">
        <f>IFERROR(__xludf.DUMMYFUNCTION("""COMPUTED_VALUE"""),"Entre 1,81m e 1,85m")</f>
        <v>Entre 1,81m e 1,85m</v>
      </c>
      <c r="U342" s="1"/>
      <c r="V342" s="1" t="str">
        <f>IFERROR(__xludf.DUMMYFUNCTION("""COMPUTED_VALUE"""),"(51)997017035")</f>
        <v>(51)997017035</v>
      </c>
      <c r="W342" s="1" t="str">
        <f>IFERROR(__xludf.DUMMYFUNCTION("""COMPUTED_VALUE"""),"(51)3637-1500")</f>
        <v>(51)3637-1500</v>
      </c>
      <c r="X342" s="1" t="str">
        <f>IFERROR(__xludf.DUMMYFUNCTION("""COMPUTED_VALUE"""),"RS")</f>
        <v>RS</v>
      </c>
      <c r="Y342" s="1" t="str">
        <f>IFERROR(__xludf.DUMMYFUNCTION("""COMPUTED_VALUE"""),"Feliz")</f>
        <v>Feliz</v>
      </c>
      <c r="Z342" s="1" t="str">
        <f>IFERROR(__xludf.DUMMYFUNCTION("""COMPUTED_VALUE"""),"95770-000")</f>
        <v>95770-000</v>
      </c>
      <c r="AA342" s="1" t="str">
        <f>IFERROR(__xludf.DUMMYFUNCTION("""COMPUTED_VALUE"""),"Rua Lauro Bruno Rott, 876")</f>
        <v>Rua Lauro Bruno Rott, 876</v>
      </c>
      <c r="AB342" s="1" t="str">
        <f>IFERROR(__xludf.DUMMYFUNCTION("""COMPUTED_VALUE"""),"Matiel")</f>
        <v>Matiel</v>
      </c>
      <c r="AC342" s="1" t="str">
        <f>IFERROR(__xludf.DUMMYFUNCTION("""COMPUTED_VALUE"""),"G")</f>
        <v>G</v>
      </c>
      <c r="AD342" s="1" t="str">
        <f>IFERROR(__xludf.DUMMYFUNCTION("""COMPUTED_VALUE"""),"G")</f>
        <v>G</v>
      </c>
      <c r="AE342" s="1" t="str">
        <f>IFERROR(__xludf.DUMMYFUNCTION("""COMPUTED_VALUE"""),"G")</f>
        <v>G</v>
      </c>
      <c r="AF342" s="1" t="str">
        <f>IFERROR(__xludf.DUMMYFUNCTION("""COMPUTED_VALUE"""),"G")</f>
        <v>G</v>
      </c>
      <c r="AG342" s="1" t="str">
        <f>IFERROR(__xludf.DUMMYFUNCTION("""COMPUTED_VALUE"""),"G")</f>
        <v>G</v>
      </c>
      <c r="AH342" s="1">
        <f>IFERROR(__xludf.DUMMYFUNCTION("""COMPUTED_VALUE"""),40)</f>
        <v>40</v>
      </c>
      <c r="AI342" s="1">
        <f>IFERROR(__xludf.DUMMYFUNCTION("""COMPUTED_VALUE"""),40)</f>
        <v>40</v>
      </c>
      <c r="AJ342" s="1">
        <f>IFERROR(__xludf.DUMMYFUNCTION("""COMPUTED_VALUE"""),40)</f>
        <v>40</v>
      </c>
      <c r="AK342" s="1">
        <f>IFERROR(__xludf.DUMMYFUNCTION("""COMPUTED_VALUE"""),40)</f>
        <v>40</v>
      </c>
      <c r="AL342" s="1" t="str">
        <f>IFERROR(__xludf.DUMMYFUNCTION("""COMPUTED_VALUE"""),"M")</f>
        <v>M</v>
      </c>
      <c r="AM342" s="1" t="str">
        <f>IFERROR(__xludf.DUMMYFUNCTION("""COMPUTED_VALUE"""),"G")</f>
        <v>G</v>
      </c>
      <c r="AN342" s="1" t="str">
        <f>IFERROR(__xludf.DUMMYFUNCTION("""COMPUTED_VALUE"""),"G")</f>
        <v>G</v>
      </c>
    </row>
    <row r="343" customHeight="1" spans="1:40">
      <c r="A343" s="1"/>
      <c r="B343" s="1"/>
      <c r="C343" s="119"/>
      <c r="D343" s="1" t="str">
        <f>IFERROR(__xludf.DUMMYFUNCTION("""COMPUTED_VALUE"""),"LAURA VISONA ALVES")</f>
        <v>LAURA VISONA ALVES</v>
      </c>
      <c r="E343" s="1" t="str">
        <f>IFERROR(__xludf.DUMMYFUNCTION("""COMPUTED_VALUE"""),"Módulo 1 concluído")</f>
        <v>Módulo 1 concluído</v>
      </c>
      <c r="F343" s="1" t="str">
        <f>IFERROR(__xludf.DUMMYFUNCTION("""COMPUTED_VALUE"""),"042.157.520-43")</f>
        <v>042.157.520-43</v>
      </c>
      <c r="G343" s="1"/>
      <c r="H343" s="1"/>
      <c r="I343" s="1"/>
      <c r="J343" s="1"/>
      <c r="K343" s="1"/>
      <c r="L343" s="1"/>
      <c r="M343" s="1"/>
      <c r="N343" s="120"/>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row>
    <row r="344" customHeight="1" spans="1:40">
      <c r="A344" s="1" t="str">
        <f>IFERROR(__xludf.DUMMYFUNCTION("""COMPUTED_VALUE"""),"05° BBM")</f>
        <v>05° BBM</v>
      </c>
      <c r="B344" s="1" t="str">
        <f>IFERROR(__xludf.DUMMYFUNCTION("""COMPUTED_VALUE"""),"Feliz")</f>
        <v>Feliz</v>
      </c>
      <c r="C344" s="119" t="str">
        <f>IFERROR(__xludf.DUMMYFUNCTION("""COMPUTED_VALUE"""),"CAB")</f>
        <v>CAB</v>
      </c>
      <c r="D344" s="1" t="str">
        <f>IFERROR(__xludf.DUMMYFUNCTION("""COMPUTED_VALUE"""),"LEANDRO DIAS")</f>
        <v>LEANDRO DIAS</v>
      </c>
      <c r="E344" s="119" t="str">
        <f>IFERROR(__xludf.DUMMYFUNCTION("""COMPUTED_VALUE"""),"Módulo 1 concluído")</f>
        <v>Módulo 1 concluído</v>
      </c>
      <c r="F344" s="1" t="str">
        <f>IFERROR(__xludf.DUMMYFUNCTION("""COMPUTED_VALUE"""),"557.730.360-53")</f>
        <v>557.730.360-53</v>
      </c>
      <c r="G344" s="1">
        <f>IFERROR(__xludf.DUMMYFUNCTION("""COMPUTED_VALUE"""),7047598797)</f>
        <v>7047598797</v>
      </c>
      <c r="H344" s="1" t="str">
        <f>IFERROR(__xludf.DUMMYFUNCTION("""COMPUTED_VALUE"""),"Atendente e Operador")</f>
        <v>Atendente e Operador</v>
      </c>
      <c r="I344" s="1"/>
      <c r="J344" s="1" t="str">
        <f>IFERROR(__xludf.DUMMYFUNCTION("""COMPUTED_VALUE"""),"Sim")</f>
        <v>Sim</v>
      </c>
      <c r="K344" s="1" t="str">
        <f>IFERROR(__xludf.DUMMYFUNCTION("""COMPUTED_VALUE"""),"Não")</f>
        <v>Não</v>
      </c>
      <c r="L344" s="1" t="str">
        <f>IFERROR(__xludf.DUMMYFUNCTION("""COMPUTED_VALUE"""),"B+")</f>
        <v>B+</v>
      </c>
      <c r="M344" s="1" t="str">
        <f>IFERROR(__xludf.DUMMYFUNCTION("""COMPUTED_VALUE"""),"DIAS")</f>
        <v>DIAS</v>
      </c>
      <c r="N344" s="120">
        <f>IFERROR(__xludf.DUMMYFUNCTION("""COMPUTED_VALUE"""),25138)</f>
        <v>25138</v>
      </c>
      <c r="O344" s="1" t="str">
        <f>IFERROR(__xludf.DUMMYFUNCTION("""COMPUTED_VALUE"""),"Masculino")</f>
        <v>Masculino</v>
      </c>
      <c r="P344" s="1" t="str">
        <f>IFERROR(__xludf.DUMMYFUNCTION("""COMPUTED_VALUE"""),"Morena")</f>
        <v>Morena</v>
      </c>
      <c r="Q344" s="1" t="str">
        <f>IFERROR(__xludf.DUMMYFUNCTION("""COMPUTED_VALUE"""),"Superior Completo")</f>
        <v>Superior Completo</v>
      </c>
      <c r="R344" s="1" t="str">
        <f>IFERROR(__xludf.DUMMYFUNCTION("""COMPUTED_VALUE"""),"leandro2013viviane@gmail.com")</f>
        <v>leandro2013viviane@gmail.com</v>
      </c>
      <c r="S344" s="1">
        <f>IFERROR(__xludf.DUMMYFUNCTION("""COMPUTED_VALUE"""),80)</f>
        <v>80</v>
      </c>
      <c r="T344" s="1" t="str">
        <f>IFERROR(__xludf.DUMMYFUNCTION("""COMPUTED_VALUE"""),"Entre 1,76m e 1,80m")</f>
        <v>Entre 1,76m e 1,80m</v>
      </c>
      <c r="U344" s="1"/>
      <c r="V344" s="1" t="str">
        <f>IFERROR(__xludf.DUMMYFUNCTION("""COMPUTED_VALUE"""),"(51)997831315")</f>
        <v>(51)997831315</v>
      </c>
      <c r="W344" s="1" t="str">
        <f>IFERROR(__xludf.DUMMYFUNCTION("""COMPUTED_VALUE"""),"(51)3637-1500")</f>
        <v>(51)3637-1500</v>
      </c>
      <c r="X344" s="1" t="str">
        <f>IFERROR(__xludf.DUMMYFUNCTION("""COMPUTED_VALUE"""),"RS")</f>
        <v>RS</v>
      </c>
      <c r="Y344" s="1" t="str">
        <f>IFERROR(__xludf.DUMMYFUNCTION("""COMPUTED_VALUE"""),"Portão")</f>
        <v>Portão</v>
      </c>
      <c r="Z344" s="1" t="str">
        <f>IFERROR(__xludf.DUMMYFUNCTION("""COMPUTED_VALUE"""),"93180-000")</f>
        <v>93180-000</v>
      </c>
      <c r="AA344" s="1" t="str">
        <f>IFERROR(__xludf.DUMMYFUNCTION("""COMPUTED_VALUE"""),"Rua Professor Miguel de Vargas, 720")</f>
        <v>Rua Professor Miguel de Vargas, 720</v>
      </c>
      <c r="AB344" s="1" t="str">
        <f>IFERROR(__xludf.DUMMYFUNCTION("""COMPUTED_VALUE"""),"Centro")</f>
        <v>Centro</v>
      </c>
      <c r="AC344" s="1" t="str">
        <f>IFERROR(__xludf.DUMMYFUNCTION("""COMPUTED_VALUE"""),"GG")</f>
        <v>GG</v>
      </c>
      <c r="AD344" s="1" t="str">
        <f>IFERROR(__xludf.DUMMYFUNCTION("""COMPUTED_VALUE"""),"GG")</f>
        <v>GG</v>
      </c>
      <c r="AE344" s="1" t="str">
        <f>IFERROR(__xludf.DUMMYFUNCTION("""COMPUTED_VALUE"""),"GG")</f>
        <v>GG</v>
      </c>
      <c r="AF344" s="1" t="str">
        <f>IFERROR(__xludf.DUMMYFUNCTION("""COMPUTED_VALUE"""),"GG")</f>
        <v>GG</v>
      </c>
      <c r="AG344" s="1" t="str">
        <f>IFERROR(__xludf.DUMMYFUNCTION("""COMPUTED_VALUE"""),"GG")</f>
        <v>GG</v>
      </c>
      <c r="AH344" s="1">
        <f>IFERROR(__xludf.DUMMYFUNCTION("""COMPUTED_VALUE"""),41)</f>
        <v>41</v>
      </c>
      <c r="AI344" s="1">
        <f>IFERROR(__xludf.DUMMYFUNCTION("""COMPUTED_VALUE"""),41)</f>
        <v>41</v>
      </c>
      <c r="AJ344" s="1">
        <f>IFERROR(__xludf.DUMMYFUNCTION("""COMPUTED_VALUE"""),41)</f>
        <v>41</v>
      </c>
      <c r="AK344" s="1">
        <f>IFERROR(__xludf.DUMMYFUNCTION("""COMPUTED_VALUE"""),41)</f>
        <v>41</v>
      </c>
      <c r="AL344" s="1" t="str">
        <f>IFERROR(__xludf.DUMMYFUNCTION("""COMPUTED_VALUE"""),"GG")</f>
        <v>GG</v>
      </c>
      <c r="AM344" s="1" t="str">
        <f>IFERROR(__xludf.DUMMYFUNCTION("""COMPUTED_VALUE"""),"GG")</f>
        <v>GG</v>
      </c>
      <c r="AN344" s="1" t="str">
        <f>IFERROR(__xludf.DUMMYFUNCTION("""COMPUTED_VALUE"""),"G")</f>
        <v>G</v>
      </c>
    </row>
    <row r="345" customHeight="1" spans="1:40">
      <c r="A345" s="1"/>
      <c r="B345" s="1"/>
      <c r="C345" s="119"/>
      <c r="D345" s="1" t="str">
        <f>IFERROR(__xludf.DUMMYFUNCTION("""COMPUTED_VALUE"""),"LEONARDO CAMARGO DE OLIVEIRA")</f>
        <v>LEONARDO CAMARGO DE OLIVEIRA</v>
      </c>
      <c r="E345" s="1" t="str">
        <f>IFERROR(__xludf.DUMMYFUNCTION("""COMPUTED_VALUE"""),"Módulo 1 concluído")</f>
        <v>Módulo 1 concluído</v>
      </c>
      <c r="F345" s="1" t="str">
        <f>IFERROR(__xludf.DUMMYFUNCTION("""COMPUTED_VALUE"""),"038.144.580-10")</f>
        <v>038.144.580-10</v>
      </c>
      <c r="G345" s="1"/>
      <c r="H345" s="1"/>
      <c r="I345" s="1"/>
      <c r="J345" s="1"/>
      <c r="K345" s="1"/>
      <c r="L345" s="1"/>
      <c r="M345" s="1"/>
      <c r="N345" s="120"/>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row>
    <row r="346" customHeight="1" spans="1:40">
      <c r="A346" s="1"/>
      <c r="B346" s="1"/>
      <c r="C346" s="119"/>
      <c r="D346" s="1" t="str">
        <f>IFERROR(__xludf.DUMMYFUNCTION("""COMPUTED_VALUE"""),"LIZANDRA APARECIDA FERREIRA DE ARAÚJO")</f>
        <v>LIZANDRA APARECIDA FERREIRA DE ARAÚJO</v>
      </c>
      <c r="E346" s="1" t="str">
        <f>IFERROR(__xludf.DUMMYFUNCTION("""COMPUTED_VALUE"""),"Módulo 1 concluído")</f>
        <v>Módulo 1 concluído</v>
      </c>
      <c r="F346" s="1" t="str">
        <f>IFERROR(__xludf.DUMMYFUNCTION("""COMPUTED_VALUE"""),"618.851.770-20")</f>
        <v>618.851.770-20</v>
      </c>
      <c r="G346" s="1"/>
      <c r="H346" s="1"/>
      <c r="I346" s="1"/>
      <c r="J346" s="1"/>
      <c r="K346" s="1"/>
      <c r="L346" s="1"/>
      <c r="M346" s="1"/>
      <c r="N346" s="120"/>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row>
    <row r="347" customHeight="1" spans="1:40">
      <c r="A347" s="1"/>
      <c r="B347" s="1"/>
      <c r="C347" s="119"/>
      <c r="D347" s="1" t="str">
        <f>IFERROR(__xludf.DUMMYFUNCTION("""COMPUTED_VALUE"""),"LUIS EDUARDO RIBEIRO D’AVILA")</f>
        <v>LUIS EDUARDO RIBEIRO D’AVILA</v>
      </c>
      <c r="E347" s="1" t="str">
        <f>IFERROR(__xludf.DUMMYFUNCTION("""COMPUTED_VALUE"""),"Curso CAB operador concluído")</f>
        <v>Curso CAB operador concluído</v>
      </c>
      <c r="F347" s="1" t="str">
        <f>IFERROR(__xludf.DUMMYFUNCTION("""COMPUTED_VALUE"""),"853.576.700-97")</f>
        <v>853.576.700-97</v>
      </c>
      <c r="G347" s="1"/>
      <c r="H347" s="1"/>
      <c r="I347" s="1"/>
      <c r="J347" s="1"/>
      <c r="K347" s="1"/>
      <c r="L347" s="1"/>
      <c r="M347" s="1"/>
      <c r="N347" s="120"/>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row>
    <row r="348" customHeight="1" spans="1:40">
      <c r="A348" s="1" t="str">
        <f>IFERROR(__xludf.DUMMYFUNCTION("""COMPUTED_VALUE"""),"05° BBM")</f>
        <v>05° BBM</v>
      </c>
      <c r="B348" s="1" t="str">
        <f>IFERROR(__xludf.DUMMYFUNCTION("""COMPUTED_VALUE"""),"CANELA")</f>
        <v>CANELA</v>
      </c>
      <c r="C348" s="119" t="str">
        <f>IFERROR(__xludf.DUMMYFUNCTION("""COMPUTED_VALUE"""),"Municipal")</f>
        <v>Municipal</v>
      </c>
      <c r="D348" s="1" t="str">
        <f>IFERROR(__xludf.DUMMYFUNCTION("""COMPUTED_VALUE"""),"LUIZ CARLOS SCHMITT")</f>
        <v>LUIZ CARLOS SCHMITT</v>
      </c>
      <c r="E348" s="119" t="str">
        <f>IFERROR(__xludf.DUMMYFUNCTION("""COMPUTED_VALUE"""),"Módulo 1 concluído")</f>
        <v>Módulo 1 concluído</v>
      </c>
      <c r="F348" s="1"/>
      <c r="G348" s="1"/>
      <c r="H348" s="1" t="str">
        <f>IFERROR(__xludf.DUMMYFUNCTION("""COMPUTED_VALUE"""),"COMBATENTE - RESGATISTA")</f>
        <v>COMBATENTE - RESGATISTA</v>
      </c>
      <c r="I348" s="1"/>
      <c r="J348" s="1"/>
      <c r="K348" s="1"/>
      <c r="L348" s="1"/>
      <c r="M348" s="1"/>
      <c r="N348" s="120"/>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row>
    <row r="349" customHeight="1" spans="1:40">
      <c r="A349" s="1"/>
      <c r="B349" s="1"/>
      <c r="C349" s="119"/>
      <c r="D349" s="1" t="str">
        <f>IFERROR(__xludf.DUMMYFUNCTION("""COMPUTED_VALUE"""),"LUIZ FELIPE SANTOS CAMARGO")</f>
        <v>LUIZ FELIPE SANTOS CAMARGO</v>
      </c>
      <c r="E349" s="1" t="str">
        <f>IFERROR(__xludf.DUMMYFUNCTION("""COMPUTED_VALUE"""),"Módulo 1 concluído")</f>
        <v>Módulo 1 concluído</v>
      </c>
      <c r="F349" s="1" t="str">
        <f>IFERROR(__xludf.DUMMYFUNCTION("""COMPUTED_VALUE"""),"009.452.270-78")</f>
        <v>009.452.270-78</v>
      </c>
      <c r="G349" s="1"/>
      <c r="H349" s="1"/>
      <c r="I349" s="1"/>
      <c r="J349" s="1"/>
      <c r="K349" s="1"/>
      <c r="L349" s="1"/>
      <c r="M349" s="1"/>
      <c r="N349" s="120"/>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row>
    <row r="350" customHeight="1" spans="1:40">
      <c r="A350" s="1" t="str">
        <f>IFERROR(__xludf.DUMMYFUNCTION("""COMPUTED_VALUE"""),"05° BBM")</f>
        <v>05° BBM</v>
      </c>
      <c r="B350" s="1" t="str">
        <f>IFERROR(__xludf.DUMMYFUNCTION("""COMPUTED_VALUE"""),"Feliz")</f>
        <v>Feliz</v>
      </c>
      <c r="C350" s="119" t="str">
        <f>IFERROR(__xludf.DUMMYFUNCTION("""COMPUTED_VALUE"""),"Municipal")</f>
        <v>Municipal</v>
      </c>
      <c r="D350" s="1" t="str">
        <f>IFERROR(__xludf.DUMMYFUNCTION("""COMPUTED_VALUE"""),"MAIARA CRISTINE PETRY")</f>
        <v>MAIARA CRISTINE PETRY</v>
      </c>
      <c r="E350" s="119" t="str">
        <f>IFERROR(__xludf.DUMMYFUNCTION("""COMPUTED_VALUE"""),"Módulo 1 concluído")</f>
        <v>Módulo 1 concluído</v>
      </c>
      <c r="F350" s="1" t="str">
        <f>IFERROR(__xludf.DUMMYFUNCTION("""COMPUTED_VALUE"""),"042.178.560-83")</f>
        <v>042.178.560-83</v>
      </c>
      <c r="G350" s="1">
        <f>IFERROR(__xludf.DUMMYFUNCTION("""COMPUTED_VALUE"""),5124907634)</f>
        <v>5124907634</v>
      </c>
      <c r="H350" s="1" t="str">
        <f>IFERROR(__xludf.DUMMYFUNCTION("""COMPUTED_VALUE"""),"Atendente e Operador")</f>
        <v>Atendente e Operador</v>
      </c>
      <c r="I350" s="1"/>
      <c r="J350" s="1" t="str">
        <f>IFERROR(__xludf.DUMMYFUNCTION("""COMPUTED_VALUE"""),"Sim")</f>
        <v>Sim</v>
      </c>
      <c r="K350" s="1" t="str">
        <f>IFERROR(__xludf.DUMMYFUNCTION("""COMPUTED_VALUE"""),"Não")</f>
        <v>Não</v>
      </c>
      <c r="L350" s="1" t="str">
        <f>IFERROR(__xludf.DUMMYFUNCTION("""COMPUTED_VALUE"""),"O+")</f>
        <v>O+</v>
      </c>
      <c r="M350" s="1" t="str">
        <f>IFERROR(__xludf.DUMMYFUNCTION("""COMPUTED_VALUE"""),"MAIARA")</f>
        <v>MAIARA</v>
      </c>
      <c r="N350" s="120" t="str">
        <f>IFERROR(__xludf.DUMMYFUNCTION("""COMPUTED_VALUE"""),"8/15/1997")</f>
        <v>8/15/1997</v>
      </c>
      <c r="O350" s="1" t="str">
        <f>IFERROR(__xludf.DUMMYFUNCTION("""COMPUTED_VALUE"""),"Feminino")</f>
        <v>Feminino</v>
      </c>
      <c r="P350" s="1" t="str">
        <f>IFERROR(__xludf.DUMMYFUNCTION("""COMPUTED_VALUE"""),"Branca")</f>
        <v>Branca</v>
      </c>
      <c r="Q350" s="1" t="str">
        <f>IFERROR(__xludf.DUMMYFUNCTION("""COMPUTED_VALUE"""),"Ensino Médio")</f>
        <v>Ensino Médio</v>
      </c>
      <c r="R350" s="123" t="str">
        <f>IFERROR(__xludf.DUMMYFUNCTION("""COMPUTED_VALUE"""),"maypetry18@gmail.com")</f>
        <v>maypetry18@gmail.com</v>
      </c>
      <c r="S350" s="1">
        <f>IFERROR(__xludf.DUMMYFUNCTION("""COMPUTED_VALUE"""),73)</f>
        <v>73</v>
      </c>
      <c r="T350" s="1" t="str">
        <f>IFERROR(__xludf.DUMMYFUNCTION("""COMPUTED_VALUE"""),"Entre 1,71m e 1,75m")</f>
        <v>Entre 1,71m e 1,75m</v>
      </c>
      <c r="U350" s="1"/>
      <c r="V350" s="1" t="str">
        <f>IFERROR(__xludf.DUMMYFUNCTION("""COMPUTED_VALUE"""),"(51)99597-6024")</f>
        <v>(51)99597-6024</v>
      </c>
      <c r="W350" s="1" t="str">
        <f>IFERROR(__xludf.DUMMYFUNCTION("""COMPUTED_VALUE"""),"(51)3637-1500")</f>
        <v>(51)3637-1500</v>
      </c>
      <c r="X350" s="1" t="str">
        <f>IFERROR(__xludf.DUMMYFUNCTION("""COMPUTED_VALUE"""),"RS")</f>
        <v>RS</v>
      </c>
      <c r="Y350" s="1" t="str">
        <f>IFERROR(__xludf.DUMMYFUNCTION("""COMPUTED_VALUE"""),"Feliz")</f>
        <v>Feliz</v>
      </c>
      <c r="Z350" s="1" t="str">
        <f>IFERROR(__xludf.DUMMYFUNCTION("""COMPUTED_VALUE"""),"95770-000")</f>
        <v>95770-000</v>
      </c>
      <c r="AA350" s="1" t="str">
        <f>IFERROR(__xludf.DUMMYFUNCTION("""COMPUTED_VALUE"""),"Rua Marcos Jose de Leão, 657")</f>
        <v>Rua Marcos Jose de Leão, 657</v>
      </c>
      <c r="AB350" s="1" t="str">
        <f>IFERROR(__xludf.DUMMYFUNCTION("""COMPUTED_VALUE"""),"Vila Rica")</f>
        <v>Vila Rica</v>
      </c>
      <c r="AC350" s="1" t="str">
        <f>IFERROR(__xludf.DUMMYFUNCTION("""COMPUTED_VALUE"""),"G")</f>
        <v>G</v>
      </c>
      <c r="AD350" s="1" t="str">
        <f>IFERROR(__xludf.DUMMYFUNCTION("""COMPUTED_VALUE"""),"G")</f>
        <v>G</v>
      </c>
      <c r="AE350" s="1" t="str">
        <f>IFERROR(__xludf.DUMMYFUNCTION("""COMPUTED_VALUE"""),"G")</f>
        <v>G</v>
      </c>
      <c r="AF350" s="1" t="str">
        <f>IFERROR(__xludf.DUMMYFUNCTION("""COMPUTED_VALUE"""),"G")</f>
        <v>G</v>
      </c>
      <c r="AG350" s="1" t="str">
        <f>IFERROR(__xludf.DUMMYFUNCTION("""COMPUTED_VALUE"""),"G")</f>
        <v>G</v>
      </c>
      <c r="AH350" s="1">
        <f>IFERROR(__xludf.DUMMYFUNCTION("""COMPUTED_VALUE"""),39)</f>
        <v>39</v>
      </c>
      <c r="AI350" s="1">
        <f>IFERROR(__xludf.DUMMYFUNCTION("""COMPUTED_VALUE"""),39)</f>
        <v>39</v>
      </c>
      <c r="AJ350" s="1">
        <f>IFERROR(__xludf.DUMMYFUNCTION("""COMPUTED_VALUE"""),39)</f>
        <v>39</v>
      </c>
      <c r="AK350" s="1">
        <f>IFERROR(__xludf.DUMMYFUNCTION("""COMPUTED_VALUE"""),39)</f>
        <v>39</v>
      </c>
      <c r="AL350" s="1" t="str">
        <f>IFERROR(__xludf.DUMMYFUNCTION("""COMPUTED_VALUE"""),"G")</f>
        <v>G</v>
      </c>
      <c r="AM350" s="1" t="str">
        <f>IFERROR(__xludf.DUMMYFUNCTION("""COMPUTED_VALUE"""),"M")</f>
        <v>M</v>
      </c>
      <c r="AN350" s="1" t="str">
        <f>IFERROR(__xludf.DUMMYFUNCTION("""COMPUTED_VALUE"""),"M")</f>
        <v>M</v>
      </c>
    </row>
    <row r="351" customHeight="1" spans="1:40">
      <c r="A351" s="1" t="str">
        <f>IFERROR(__xludf.DUMMYFUNCTION("""COMPUTED_VALUE"""),"05° BBM")</f>
        <v>05° BBM</v>
      </c>
      <c r="B351" s="1" t="str">
        <f>IFERROR(__xludf.DUMMYFUNCTION("""COMPUTED_VALUE"""),"VACARIA/MUITOS CAPÕES")</f>
        <v>VACARIA/MUITOS CAPÕES</v>
      </c>
      <c r="C351" s="119" t="str">
        <f>IFERROR(__xludf.DUMMYFUNCTION("""COMPUTED_VALUE"""),"Municipal")</f>
        <v>Municipal</v>
      </c>
      <c r="D351" s="1" t="str">
        <f>IFERROR(__xludf.DUMMYFUNCTION("""COMPUTED_VALUE"""),"MARENILÇO PADILHA")</f>
        <v>MARENILÇO PADILHA</v>
      </c>
      <c r="E351" s="119" t="str">
        <f>IFERROR(__xludf.DUMMYFUNCTION("""COMPUTED_VALUE"""),"Módulo 1 concluído")</f>
        <v>Módulo 1 concluído</v>
      </c>
      <c r="F351" s="1" t="str">
        <f>IFERROR(__xludf.DUMMYFUNCTION("""COMPUTED_VALUE"""),"408.959.980-68")</f>
        <v>408.959.980-68</v>
      </c>
      <c r="G351" s="1">
        <f>IFERROR(__xludf.DUMMYFUNCTION("""COMPUTED_VALUE"""),9019346528)</f>
        <v>9019346528</v>
      </c>
      <c r="H351" s="1" t="str">
        <f>IFERROR(__xludf.DUMMYFUNCTION("""COMPUTED_VALUE"""),"COMBATENTE")</f>
        <v>COMBATENTE</v>
      </c>
      <c r="I351" s="1" t="str">
        <f>IFERROR(__xludf.DUMMYFUNCTION("""COMPUTED_VALUE"""),"ENSINO SUPERIOR COMPLETO")</f>
        <v>ENSINO SUPERIOR COMPLETO</v>
      </c>
      <c r="J351" s="1" t="str">
        <f>IFERROR(__xludf.DUMMYFUNCTION("""COMPUTED_VALUE"""),"Sim")</f>
        <v>Sim</v>
      </c>
      <c r="K351" s="1" t="str">
        <f>IFERROR(__xludf.DUMMYFUNCTION("""COMPUTED_VALUE"""),"Não")</f>
        <v>Não</v>
      </c>
      <c r="L351" s="1"/>
      <c r="M351" s="1" t="str">
        <f>IFERROR(__xludf.DUMMYFUNCTION("""COMPUTED_VALUE"""),"PADILHA")</f>
        <v>PADILHA</v>
      </c>
      <c r="N351" s="120">
        <f>IFERROR(__xludf.DUMMYFUNCTION("""COMPUTED_VALUE"""),23071)</f>
        <v>23071</v>
      </c>
      <c r="O351" s="1" t="str">
        <f>IFERROR(__xludf.DUMMYFUNCTION("""COMPUTED_VALUE"""),"Masculino")</f>
        <v>Masculino</v>
      </c>
      <c r="P351" s="1" t="str">
        <f>IFERROR(__xludf.DUMMYFUNCTION("""COMPUTED_VALUE"""),"Branca")</f>
        <v>Branca</v>
      </c>
      <c r="Q351" s="1" t="str">
        <f>IFERROR(__xludf.DUMMYFUNCTION("""COMPUTED_VALUE"""),"Ensino Superior Completo")</f>
        <v>Ensino Superior Completo</v>
      </c>
      <c r="R351" s="1" t="str">
        <f>IFERROR(__xludf.DUMMYFUNCTION("""COMPUTED_VALUE"""),"arrecadacao@muitoscapoes.rs.gov.br")</f>
        <v>arrecadacao@muitoscapoes.rs.gov.br</v>
      </c>
      <c r="S351" s="1">
        <f>IFERROR(__xludf.DUMMYFUNCTION("""COMPUTED_VALUE"""),71)</f>
        <v>71</v>
      </c>
      <c r="T351" s="1" t="str">
        <f>IFERROR(__xludf.DUMMYFUNCTION("""COMPUTED_VALUE"""),"Entre 1,71m e 1,75m")</f>
        <v>Entre 1,71m e 1,75m</v>
      </c>
      <c r="U351" s="1"/>
      <c r="V351" s="1" t="str">
        <f>IFERROR(__xludf.DUMMYFUNCTION("""COMPUTED_VALUE"""),"54 999894018")</f>
        <v>54 999894018</v>
      </c>
      <c r="W351" s="1"/>
      <c r="X351" s="1" t="str">
        <f>IFERROR(__xludf.DUMMYFUNCTION("""COMPUTED_VALUE"""),"RS")</f>
        <v>RS</v>
      </c>
      <c r="Y351" s="1" t="str">
        <f>IFERROR(__xludf.DUMMYFUNCTION("""COMPUTED_VALUE"""),"Muitos Capões")</f>
        <v>Muitos Capões</v>
      </c>
      <c r="Z351" s="1" t="str">
        <f>IFERROR(__xludf.DUMMYFUNCTION("""COMPUTED_VALUE"""),"95230-000")</f>
        <v>95230-000</v>
      </c>
      <c r="AA351" s="1" t="str">
        <f>IFERROR(__xludf.DUMMYFUNCTION("""COMPUTED_VALUE"""),"Rua Felicíssimo Emídio de Jesus, 150")</f>
        <v>Rua Felicíssimo Emídio de Jesus, 150</v>
      </c>
      <c r="AB351" s="1" t="str">
        <f>IFERROR(__xludf.DUMMYFUNCTION("""COMPUTED_VALUE"""),"CENTRO")</f>
        <v>CENTRO</v>
      </c>
      <c r="AC351" s="1" t="str">
        <f>IFERROR(__xludf.DUMMYFUNCTION("""COMPUTED_VALUE"""),"M")</f>
        <v>M</v>
      </c>
      <c r="AD351" s="1" t="str">
        <f>IFERROR(__xludf.DUMMYFUNCTION("""COMPUTED_VALUE"""),"M")</f>
        <v>M</v>
      </c>
      <c r="AE351" s="1" t="str">
        <f>IFERROR(__xludf.DUMMYFUNCTION("""COMPUTED_VALUE"""),"M")</f>
        <v>M</v>
      </c>
      <c r="AF351" s="1" t="str">
        <f>IFERROR(__xludf.DUMMYFUNCTION("""COMPUTED_VALUE"""),"M")</f>
        <v>M</v>
      </c>
      <c r="AG351" s="1" t="str">
        <f>IFERROR(__xludf.DUMMYFUNCTION("""COMPUTED_VALUE"""),"M")</f>
        <v>M</v>
      </c>
      <c r="AH351" s="1">
        <f>IFERROR(__xludf.DUMMYFUNCTION("""COMPUTED_VALUE"""),40)</f>
        <v>40</v>
      </c>
      <c r="AI351" s="1">
        <f>IFERROR(__xludf.DUMMYFUNCTION("""COMPUTED_VALUE"""),40)</f>
        <v>40</v>
      </c>
      <c r="AJ351" s="1">
        <f>IFERROR(__xludf.DUMMYFUNCTION("""COMPUTED_VALUE"""),40)</f>
        <v>40</v>
      </c>
      <c r="AK351" s="1">
        <f>IFERROR(__xludf.DUMMYFUNCTION("""COMPUTED_VALUE"""),40)</f>
        <v>40</v>
      </c>
      <c r="AL351" s="1" t="str">
        <f>IFERROR(__xludf.DUMMYFUNCTION("""COMPUTED_VALUE"""),"G")</f>
        <v>G</v>
      </c>
      <c r="AM351" s="1" t="str">
        <f>IFERROR(__xludf.DUMMYFUNCTION("""COMPUTED_VALUE"""),"G")</f>
        <v>G</v>
      </c>
      <c r="AN351" s="1" t="str">
        <f>IFERROR(__xludf.DUMMYFUNCTION("""COMPUTED_VALUE"""),"G")</f>
        <v>G</v>
      </c>
    </row>
    <row r="352" customHeight="1" spans="1:40">
      <c r="A352" s="1" t="str">
        <f>IFERROR(__xludf.DUMMYFUNCTION("""COMPUTED_VALUE"""),"05° BBM")</f>
        <v>05° BBM</v>
      </c>
      <c r="B352" s="1" t="str">
        <f>IFERROR(__xludf.DUMMYFUNCTION("""COMPUTED_VALUE"""),"VACARIA/MUITOS CAPÕES")</f>
        <v>VACARIA/MUITOS CAPÕES</v>
      </c>
      <c r="C352" s="119" t="str">
        <f>IFERROR(__xludf.DUMMYFUNCTION("""COMPUTED_VALUE"""),"Municipal")</f>
        <v>Municipal</v>
      </c>
      <c r="D352" s="1" t="str">
        <f>IFERROR(__xludf.DUMMYFUNCTION("""COMPUTED_VALUE"""),"MARIELI MELO")</f>
        <v>MARIELI MELO</v>
      </c>
      <c r="E352" s="119" t="str">
        <f>IFERROR(__xludf.DUMMYFUNCTION("""COMPUTED_VALUE"""),"Módulo 1 concluído")</f>
        <v>Módulo 1 concluído</v>
      </c>
      <c r="F352" s="1" t="str">
        <f>IFERROR(__xludf.DUMMYFUNCTION("""COMPUTED_VALUE"""),"064.342.470-95")</f>
        <v>064.342.470-95</v>
      </c>
      <c r="G352" s="1">
        <f>IFERROR(__xludf.DUMMYFUNCTION("""COMPUTED_VALUE"""),9125051046)</f>
        <v>9125051046</v>
      </c>
      <c r="H352" s="1" t="str">
        <f>IFERROR(__xludf.DUMMYFUNCTION("""COMPUTED_VALUE"""),"COMBATENTE")</f>
        <v>COMBATENTE</v>
      </c>
      <c r="I352" s="1"/>
      <c r="J352" s="1" t="str">
        <f>IFERROR(__xludf.DUMMYFUNCTION("""COMPUTED_VALUE"""),"Não")</f>
        <v>Não</v>
      </c>
      <c r="K352" s="1" t="str">
        <f>IFERROR(__xludf.DUMMYFUNCTION("""COMPUTED_VALUE"""),"Não")</f>
        <v>Não</v>
      </c>
      <c r="L352" s="1" t="str">
        <f>IFERROR(__xludf.DUMMYFUNCTION("""COMPUTED_VALUE"""),"O-")</f>
        <v>O-</v>
      </c>
      <c r="M352" s="1" t="str">
        <f>IFERROR(__xludf.DUMMYFUNCTION("""COMPUTED_VALUE"""),"MARIELI")</f>
        <v>MARIELI</v>
      </c>
      <c r="N352" s="120">
        <f>IFERROR(__xludf.DUMMYFUNCTION("""COMPUTED_VALUE"""),38044)</f>
        <v>38044</v>
      </c>
      <c r="O352" s="1" t="str">
        <f>IFERROR(__xludf.DUMMYFUNCTION("""COMPUTED_VALUE"""),"Feminino")</f>
        <v>Feminino</v>
      </c>
      <c r="P352" s="1" t="str">
        <f>IFERROR(__xludf.DUMMYFUNCTION("""COMPUTED_VALUE"""),"Branca")</f>
        <v>Branca</v>
      </c>
      <c r="Q352" s="1" t="str">
        <f>IFERROR(__xludf.DUMMYFUNCTION("""COMPUTED_VALUE"""),"Ensino Superior Incompleto")</f>
        <v>Ensino Superior Incompleto</v>
      </c>
      <c r="R352" s="128" t="str">
        <f>IFERROR(__xludf.DUMMYFUNCTION("""COMPUTED_VALUE"""),"marielimelo2019@gmail.com")</f>
        <v>marielimelo2019@gmail.com</v>
      </c>
      <c r="S352" s="1">
        <f>IFERROR(__xludf.DUMMYFUNCTION("""COMPUTED_VALUE"""),83)</f>
        <v>83</v>
      </c>
      <c r="T352" s="1" t="str">
        <f>IFERROR(__xludf.DUMMYFUNCTION("""COMPUTED_VALUE"""),"Entre 1,61m e 1,65m")</f>
        <v>Entre 1,61m e 1,65m</v>
      </c>
      <c r="U352" s="1"/>
      <c r="V352" s="1">
        <f>IFERROR(__xludf.DUMMYFUNCTION("""COMPUTED_VALUE"""),54984310500)</f>
        <v>54984310500</v>
      </c>
      <c r="W352" s="1">
        <f>IFERROR(__xludf.DUMMYFUNCTION("""COMPUTED_VALUE"""),54984093807)</f>
        <v>54984093807</v>
      </c>
      <c r="X352" s="1" t="str">
        <f>IFERROR(__xludf.DUMMYFUNCTION("""COMPUTED_VALUE"""),"RS")</f>
        <v>RS</v>
      </c>
      <c r="Y352" s="1" t="str">
        <f>IFERROR(__xludf.DUMMYFUNCTION("""COMPUTED_VALUE"""),"Muitos Capões")</f>
        <v>Muitos Capões</v>
      </c>
      <c r="Z352" s="1" t="str">
        <f>IFERROR(__xludf.DUMMYFUNCTION("""COMPUTED_VALUE"""),"95230-000")</f>
        <v>95230-000</v>
      </c>
      <c r="AA352" s="1" t="str">
        <f>IFERROR(__xludf.DUMMYFUNCTION("""COMPUTED_VALUE"""),"Rua Claro João Pereira")</f>
        <v>Rua Claro João Pereira</v>
      </c>
      <c r="AB352" s="1" t="str">
        <f>IFERROR(__xludf.DUMMYFUNCTION("""COMPUTED_VALUE"""),"CENTRO")</f>
        <v>CENTRO</v>
      </c>
      <c r="AC352" s="1" t="str">
        <f>IFERROR(__xludf.DUMMYFUNCTION("""COMPUTED_VALUE"""),"GG")</f>
        <v>GG</v>
      </c>
      <c r="AD352" s="1" t="str">
        <f>IFERROR(__xludf.DUMMYFUNCTION("""COMPUTED_VALUE"""),"GG")</f>
        <v>GG</v>
      </c>
      <c r="AE352" s="1" t="str">
        <f>IFERROR(__xludf.DUMMYFUNCTION("""COMPUTED_VALUE"""),"GG")</f>
        <v>GG</v>
      </c>
      <c r="AF352" s="1" t="str">
        <f>IFERROR(__xludf.DUMMYFUNCTION("""COMPUTED_VALUE"""),"GG")</f>
        <v>GG</v>
      </c>
      <c r="AG352" s="1" t="str">
        <f>IFERROR(__xludf.DUMMYFUNCTION("""COMPUTED_VALUE"""),"GG")</f>
        <v>GG</v>
      </c>
      <c r="AH352" s="1">
        <f>IFERROR(__xludf.DUMMYFUNCTION("""COMPUTED_VALUE"""),37)</f>
        <v>37</v>
      </c>
      <c r="AI352" s="1">
        <f>IFERROR(__xludf.DUMMYFUNCTION("""COMPUTED_VALUE"""),37)</f>
        <v>37</v>
      </c>
      <c r="AJ352" s="1">
        <f>IFERROR(__xludf.DUMMYFUNCTION("""COMPUTED_VALUE"""),37)</f>
        <v>37</v>
      </c>
      <c r="AK352" s="1">
        <f>IFERROR(__xludf.DUMMYFUNCTION("""COMPUTED_VALUE"""),37)</f>
        <v>37</v>
      </c>
      <c r="AL352" s="1" t="str">
        <f>IFERROR(__xludf.DUMMYFUNCTION("""COMPUTED_VALUE"""),"GG")</f>
        <v>GG</v>
      </c>
      <c r="AM352" s="1" t="str">
        <f>IFERROR(__xludf.DUMMYFUNCTION("""COMPUTED_VALUE"""),"GG")</f>
        <v>GG</v>
      </c>
      <c r="AN352" s="1" t="str">
        <f>IFERROR(__xludf.DUMMYFUNCTION("""COMPUTED_VALUE"""),"M")</f>
        <v>M</v>
      </c>
    </row>
    <row r="353" customHeight="1" spans="1:40">
      <c r="A353" s="1"/>
      <c r="B353" s="1"/>
      <c r="C353" s="119"/>
      <c r="D353" s="1" t="str">
        <f>IFERROR(__xludf.DUMMYFUNCTION("""COMPUTED_VALUE"""),"MARLON GUERRA HAAG")</f>
        <v>MARLON GUERRA HAAG</v>
      </c>
      <c r="E353" s="1" t="str">
        <f>IFERROR(__xludf.DUMMYFUNCTION("""COMPUTED_VALUE"""),"Curso CAB operador concluído")</f>
        <v>Curso CAB operador concluído</v>
      </c>
      <c r="F353" s="1" t="str">
        <f>IFERROR(__xludf.DUMMYFUNCTION("""COMPUTED_VALUE"""),"017.420.360-82")</f>
        <v>017.420.360-82</v>
      </c>
      <c r="G353" s="1"/>
      <c r="H353" s="1"/>
      <c r="I353" s="1"/>
      <c r="J353" s="1"/>
      <c r="K353" s="1"/>
      <c r="L353" s="1"/>
      <c r="M353" s="1"/>
      <c r="N353" s="120"/>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row>
    <row r="354" customHeight="1" spans="1:40">
      <c r="A354" s="1"/>
      <c r="B354" s="1"/>
      <c r="C354" s="119"/>
      <c r="D354" s="1" t="str">
        <f>IFERROR(__xludf.DUMMYFUNCTION("""COMPUTED_VALUE"""),"MATUSAEL LAMI MATOS")</f>
        <v>MATUSAEL LAMI MATOS</v>
      </c>
      <c r="E354" s="1" t="str">
        <f>IFERROR(__xludf.DUMMYFUNCTION("""COMPUTED_VALUE"""),"Módulo 1 concluído")</f>
        <v>Módulo 1 concluído</v>
      </c>
      <c r="F354" s="1" t="str">
        <f>IFERROR(__xludf.DUMMYFUNCTION("""COMPUTED_VALUE"""),"040.210.280-05")</f>
        <v>040.210.280-05</v>
      </c>
      <c r="G354" s="1"/>
      <c r="H354" s="1"/>
      <c r="I354" s="1"/>
      <c r="J354" s="1"/>
      <c r="K354" s="1"/>
      <c r="L354" s="1"/>
      <c r="M354" s="1"/>
      <c r="N354" s="120"/>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row>
    <row r="355" customHeight="1" spans="1:40">
      <c r="A355" s="1"/>
      <c r="B355" s="1"/>
      <c r="C355" s="119"/>
      <c r="D355" s="1" t="str">
        <f>IFERROR(__xludf.DUMMYFUNCTION("""COMPUTED_VALUE"""),"MAURÍCIO DOS SANTOS FERREIRA")</f>
        <v>MAURÍCIO DOS SANTOS FERREIRA</v>
      </c>
      <c r="E355" s="1" t="str">
        <f>IFERROR(__xludf.DUMMYFUNCTION("""COMPUTED_VALUE"""),"Módulo 1 concluído")</f>
        <v>Módulo 1 concluído</v>
      </c>
      <c r="F355" s="1" t="str">
        <f>IFERROR(__xludf.DUMMYFUNCTION("""COMPUTED_VALUE"""),"070.044.539-01")</f>
        <v>070.044.539-01</v>
      </c>
      <c r="G355" s="1"/>
      <c r="H355" s="1"/>
      <c r="I355" s="1"/>
      <c r="J355" s="1"/>
      <c r="K355" s="1"/>
      <c r="L355" s="1"/>
      <c r="M355" s="1"/>
      <c r="N355" s="120"/>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row>
    <row r="356" customHeight="1" spans="1:40">
      <c r="A356" s="1" t="str">
        <f>IFERROR(__xludf.DUMMYFUNCTION("""COMPUTED_VALUE"""),"05° BBM")</f>
        <v>05° BBM</v>
      </c>
      <c r="B356" s="1" t="str">
        <f>IFERROR(__xludf.DUMMYFUNCTION("""COMPUTED_VALUE"""),"Feliz")</f>
        <v>Feliz</v>
      </c>
      <c r="C356" s="119" t="str">
        <f>IFERROR(__xludf.DUMMYFUNCTION("""COMPUTED_VALUE"""),"Municipal")</f>
        <v>Municipal</v>
      </c>
      <c r="D356" s="1" t="str">
        <f>IFERROR(__xludf.DUMMYFUNCTION("""COMPUTED_VALUE"""),"MAURO JOÃO TONOLLI")</f>
        <v>MAURO JOÃO TONOLLI</v>
      </c>
      <c r="E356" s="119" t="str">
        <f>IFERROR(__xludf.DUMMYFUNCTION("""COMPUTED_VALUE"""),"Módulo 1 concluído")</f>
        <v>Módulo 1 concluído</v>
      </c>
      <c r="F356" s="1" t="str">
        <f>IFERROR(__xludf.DUMMYFUNCTION("""COMPUTED_VALUE"""),"300.315.830-91")</f>
        <v>300.315.830-91</v>
      </c>
      <c r="G356" s="1">
        <f>IFERROR(__xludf.DUMMYFUNCTION("""COMPUTED_VALUE"""),1010579546)</f>
        <v>1010579546</v>
      </c>
      <c r="H356" s="1" t="str">
        <f>IFERROR(__xludf.DUMMYFUNCTION("""COMPUTED_VALUE"""),"Atendente e Operador")</f>
        <v>Atendente e Operador</v>
      </c>
      <c r="I356" s="1"/>
      <c r="J356" s="1" t="str">
        <f>IFERROR(__xludf.DUMMYFUNCTION("""COMPUTED_VALUE"""),"Sim")</f>
        <v>Sim</v>
      </c>
      <c r="K356" s="1" t="str">
        <f>IFERROR(__xludf.DUMMYFUNCTION("""COMPUTED_VALUE"""),"Não")</f>
        <v>Não</v>
      </c>
      <c r="L356" s="1" t="str">
        <f>IFERROR(__xludf.DUMMYFUNCTION("""COMPUTED_VALUE"""),"O+")</f>
        <v>O+</v>
      </c>
      <c r="M356" s="1" t="str">
        <f>IFERROR(__xludf.DUMMYFUNCTION("""COMPUTED_VALUE"""),"MAURO")</f>
        <v>MAURO</v>
      </c>
      <c r="N356" s="120" t="str">
        <f>IFERROR(__xludf.DUMMYFUNCTION("""COMPUTED_VALUE"""),"9/22/1958")</f>
        <v>9/22/1958</v>
      </c>
      <c r="O356" s="1" t="str">
        <f>IFERROR(__xludf.DUMMYFUNCTION("""COMPUTED_VALUE"""),"Masculino")</f>
        <v>Masculino</v>
      </c>
      <c r="P356" s="1" t="str">
        <f>IFERROR(__xludf.DUMMYFUNCTION("""COMPUTED_VALUE"""),"Branca")</f>
        <v>Branca</v>
      </c>
      <c r="Q356" s="1" t="str">
        <f>IFERROR(__xludf.DUMMYFUNCTION("""COMPUTED_VALUE"""),"Ensino Médio")</f>
        <v>Ensino Médio</v>
      </c>
      <c r="R356" s="1" t="str">
        <f>IFERROR(__xludf.DUMMYFUNCTION("""COMPUTED_VALUE"""),"maurojtonolli@gmail.com")</f>
        <v>maurojtonolli@gmail.com</v>
      </c>
      <c r="S356" s="1">
        <f>IFERROR(__xludf.DUMMYFUNCTION("""COMPUTED_VALUE"""),111)</f>
        <v>111</v>
      </c>
      <c r="T356" s="1" t="str">
        <f>IFERROR(__xludf.DUMMYFUNCTION("""COMPUTED_VALUE"""),"Entre 1,81m e 1,85m")</f>
        <v>Entre 1,81m e 1,85m</v>
      </c>
      <c r="U356" s="1"/>
      <c r="V356" s="1" t="str">
        <f>IFERROR(__xludf.DUMMYFUNCTION("""COMPUTED_VALUE"""),"(51)99762-5094")</f>
        <v>(51)99762-5094</v>
      </c>
      <c r="W356" s="1" t="str">
        <f>IFERROR(__xludf.DUMMYFUNCTION("""COMPUTED_VALUE"""),"(51)3637-1500")</f>
        <v>(51)3637-1500</v>
      </c>
      <c r="X356" s="1" t="str">
        <f>IFERROR(__xludf.DUMMYFUNCTION("""COMPUTED_VALUE"""),"RS")</f>
        <v>RS</v>
      </c>
      <c r="Y356" s="1" t="str">
        <f>IFERROR(__xludf.DUMMYFUNCTION("""COMPUTED_VALUE"""),"Feliz")</f>
        <v>Feliz</v>
      </c>
      <c r="Z356" s="1" t="str">
        <f>IFERROR(__xludf.DUMMYFUNCTION("""COMPUTED_VALUE"""),"95770-000")</f>
        <v>95770-000</v>
      </c>
      <c r="AA356" s="1" t="str">
        <f>IFERROR(__xludf.DUMMYFUNCTION("""COMPUTED_VALUE"""),"Estrada Canto do Rio")</f>
        <v>Estrada Canto do Rio</v>
      </c>
      <c r="AB356" s="1" t="str">
        <f>IFERROR(__xludf.DUMMYFUNCTION("""COMPUTED_VALUE"""),"Matiel")</f>
        <v>Matiel</v>
      </c>
      <c r="AC356" s="1" t="str">
        <f>IFERROR(__xludf.DUMMYFUNCTION("""COMPUTED_VALUE"""),"EXG")</f>
        <v>EXG</v>
      </c>
      <c r="AD356" s="1" t="str">
        <f>IFERROR(__xludf.DUMMYFUNCTION("""COMPUTED_VALUE"""),"EXG")</f>
        <v>EXG</v>
      </c>
      <c r="AE356" s="1" t="str">
        <f>IFERROR(__xludf.DUMMYFUNCTION("""COMPUTED_VALUE"""),"EXG")</f>
        <v>EXG</v>
      </c>
      <c r="AF356" s="1" t="str">
        <f>IFERROR(__xludf.DUMMYFUNCTION("""COMPUTED_VALUE"""),"EXG")</f>
        <v>EXG</v>
      </c>
      <c r="AG356" s="1" t="str">
        <f>IFERROR(__xludf.DUMMYFUNCTION("""COMPUTED_VALUE"""),"EXG")</f>
        <v>EXG</v>
      </c>
      <c r="AH356" s="1">
        <f>IFERROR(__xludf.DUMMYFUNCTION("""COMPUTED_VALUE"""),43)</f>
        <v>43</v>
      </c>
      <c r="AI356" s="1">
        <f>IFERROR(__xludf.DUMMYFUNCTION("""COMPUTED_VALUE"""),43)</f>
        <v>43</v>
      </c>
      <c r="AJ356" s="1">
        <f>IFERROR(__xludf.DUMMYFUNCTION("""COMPUTED_VALUE"""),43)</f>
        <v>43</v>
      </c>
      <c r="AK356" s="1">
        <f>IFERROR(__xludf.DUMMYFUNCTION("""COMPUTED_VALUE"""),43)</f>
        <v>43</v>
      </c>
      <c r="AL356" s="1" t="str">
        <f>IFERROR(__xludf.DUMMYFUNCTION("""COMPUTED_VALUE"""),"EXG")</f>
        <v>EXG</v>
      </c>
      <c r="AM356" s="1" t="str">
        <f>IFERROR(__xludf.DUMMYFUNCTION("""COMPUTED_VALUE"""),"EXG")</f>
        <v>EXG</v>
      </c>
      <c r="AN356" s="1" t="str">
        <f>IFERROR(__xludf.DUMMYFUNCTION("""COMPUTED_VALUE"""),"GG")</f>
        <v>GG</v>
      </c>
    </row>
    <row r="357" customHeight="1" spans="1:40">
      <c r="A357" s="1"/>
      <c r="B357" s="1"/>
      <c r="C357" s="119"/>
      <c r="D357" s="1" t="str">
        <f>IFERROR(__xludf.DUMMYFUNCTION("""COMPUTED_VALUE"""),"NILSON SILVA DOS REIS")</f>
        <v>NILSON SILVA DOS REIS</v>
      </c>
      <c r="E357" s="1" t="str">
        <f>IFERROR(__xludf.DUMMYFUNCTION("""COMPUTED_VALUE"""),"Módulo 1 concluído")</f>
        <v>Módulo 1 concluído</v>
      </c>
      <c r="F357" s="1" t="str">
        <f>IFERROR(__xludf.DUMMYFUNCTION("""COMPUTED_VALUE"""),"040.323.020-90")</f>
        <v>040.323.020-90</v>
      </c>
      <c r="G357" s="1"/>
      <c r="H357" s="1"/>
      <c r="I357" s="1"/>
      <c r="J357" s="1"/>
      <c r="K357" s="1"/>
      <c r="L357" s="1"/>
      <c r="M357" s="1"/>
      <c r="N357" s="120"/>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row>
    <row r="358" customHeight="1" spans="1:40">
      <c r="A358" s="1"/>
      <c r="B358" s="1"/>
      <c r="C358" s="119"/>
      <c r="D358" s="1" t="str">
        <f>IFERROR(__xludf.DUMMYFUNCTION("""COMPUTED_VALUE"""),"OLINDA LOPES DA SILVA")</f>
        <v>OLINDA LOPES DA SILVA</v>
      </c>
      <c r="E358" s="1" t="str">
        <f>IFERROR(__xludf.DUMMYFUNCTION("""COMPUTED_VALUE"""),"Curso CAB operador concluído")</f>
        <v>Curso CAB operador concluído</v>
      </c>
      <c r="F358" s="1" t="str">
        <f>IFERROR(__xludf.DUMMYFUNCTION("""COMPUTED_VALUE"""),"622.660.200-72")</f>
        <v>622.660.200-72</v>
      </c>
      <c r="G358" s="1"/>
      <c r="H358" s="1"/>
      <c r="I358" s="1"/>
      <c r="J358" s="1"/>
      <c r="K358" s="1"/>
      <c r="L358" s="1"/>
      <c r="M358" s="1"/>
      <c r="N358" s="120"/>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row>
    <row r="359" customHeight="1" spans="1:40">
      <c r="A359" s="1"/>
      <c r="B359" s="1"/>
      <c r="C359" s="119"/>
      <c r="D359" s="1" t="str">
        <f>IFERROR(__xludf.DUMMYFUNCTION("""COMPUTED_VALUE"""),"PAULO CRISTIANO FREITAS FLORES")</f>
        <v>PAULO CRISTIANO FREITAS FLORES</v>
      </c>
      <c r="E359" s="1" t="str">
        <f>IFERROR(__xludf.DUMMYFUNCTION("""COMPUTED_VALUE"""),"Módulo 1 concluído")</f>
        <v>Módulo 1 concluído</v>
      </c>
      <c r="F359" s="1" t="str">
        <f>IFERROR(__xludf.DUMMYFUNCTION("""COMPUTED_VALUE"""),"024.173.440-17")</f>
        <v>024.173.440-17</v>
      </c>
      <c r="G359" s="1"/>
      <c r="H359" s="1"/>
      <c r="I359" s="1"/>
      <c r="J359" s="1"/>
      <c r="K359" s="1"/>
      <c r="L359" s="1"/>
      <c r="M359" s="1"/>
      <c r="N359" s="120"/>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row>
    <row r="360" customHeight="1" spans="1:40">
      <c r="A360" s="1" t="str">
        <f>IFERROR(__xludf.DUMMYFUNCTION("""COMPUTED_VALUE"""),"05° BBM")</f>
        <v>05° BBM</v>
      </c>
      <c r="B360" s="1" t="str">
        <f>IFERROR(__xludf.DUMMYFUNCTION("""COMPUTED_VALUE"""),"CANELA")</f>
        <v>CANELA</v>
      </c>
      <c r="C360" s="119" t="str">
        <f>IFERROR(__xludf.DUMMYFUNCTION("""COMPUTED_VALUE"""),"Municipal")</f>
        <v>Municipal</v>
      </c>
      <c r="D360" s="1" t="str">
        <f>IFERROR(__xludf.DUMMYFUNCTION("""COMPUTED_VALUE"""),"PAULO DE MORAES ERTHAL ")</f>
        <v>PAULO DE MORAES ERTHAL </v>
      </c>
      <c r="E360" s="119" t="str">
        <f>IFERROR(__xludf.DUMMYFUNCTION("""COMPUTED_VALUE"""),"")</f>
        <v/>
      </c>
      <c r="F360" s="1">
        <f>IFERROR(__xludf.DUMMYFUNCTION("""COMPUTED_VALUE"""),60269030034)</f>
        <v>60269030034</v>
      </c>
      <c r="G360" s="1">
        <f>IFERROR(__xludf.DUMMYFUNCTION("""COMPUTED_VALUE"""),5048086572)</f>
        <v>5048086572</v>
      </c>
      <c r="H360" s="1" t="str">
        <f>IFERROR(__xludf.DUMMYFUNCTION("""COMPUTED_VALUE"""),"CONDUTOR OPERADOR DE VIATURA")</f>
        <v>CONDUTOR OPERADOR DE VIATURA</v>
      </c>
      <c r="I360" s="1" t="str">
        <f>IFERROR(__xludf.DUMMYFUNCTION("""COMPUTED_VALUE"""),"curso APH, curso BLS, concurso público prefeitura de Canela")</f>
        <v>curso APH, curso BLS, concurso público prefeitura de Canela</v>
      </c>
      <c r="J360" s="1" t="str">
        <f>IFERROR(__xludf.DUMMYFUNCTION("""COMPUTED_VALUE"""),"Não")</f>
        <v>Não</v>
      </c>
      <c r="K360" s="1" t="str">
        <f>IFERROR(__xludf.DUMMYFUNCTION("""COMPUTED_VALUE"""),"Não")</f>
        <v>Não</v>
      </c>
      <c r="L360" s="1" t="str">
        <f>IFERROR(__xludf.DUMMYFUNCTION("""COMPUTED_VALUE"""),"O+")</f>
        <v>O+</v>
      </c>
      <c r="M360" s="1" t="str">
        <f>IFERROR(__xludf.DUMMYFUNCTION("""COMPUTED_VALUE"""),"PAULO ")</f>
        <v>PAULO </v>
      </c>
      <c r="N360" s="120">
        <f>IFERROR(__xludf.DUMMYFUNCTION("""COMPUTED_VALUE"""),25696)</f>
        <v>25696</v>
      </c>
      <c r="O360" s="1" t="str">
        <f>IFERROR(__xludf.DUMMYFUNCTION("""COMPUTED_VALUE"""),"Masculino")</f>
        <v>Masculino</v>
      </c>
      <c r="P360" s="1" t="str">
        <f>IFERROR(__xludf.DUMMYFUNCTION("""COMPUTED_VALUE"""),"Branca")</f>
        <v>Branca</v>
      </c>
      <c r="Q360" s="1" t="str">
        <f>IFERROR(__xludf.DUMMYFUNCTION("""COMPUTED_VALUE"""),"Ensino Médio")</f>
        <v>Ensino Médio</v>
      </c>
      <c r="R360" s="1" t="str">
        <f>IFERROR(__xludf.DUMMYFUNCTION("""COMPUTED_VALUE"""),"pauloerthal187@gmail.com")</f>
        <v>pauloerthal187@gmail.com</v>
      </c>
      <c r="S360" s="1">
        <f>IFERROR(__xludf.DUMMYFUNCTION("""COMPUTED_VALUE"""),89)</f>
        <v>89</v>
      </c>
      <c r="T360" s="1" t="str">
        <f>IFERROR(__xludf.DUMMYFUNCTION("""COMPUTED_VALUE"""),"Entre 1,81m e 1,85m")</f>
        <v>Entre 1,81m e 1,85m</v>
      </c>
      <c r="U360" s="1"/>
      <c r="V360" s="1">
        <f>IFERROR(__xludf.DUMMYFUNCTION("""COMPUTED_VALUE"""),54981239604)</f>
        <v>54981239604</v>
      </c>
      <c r="W360" s="1">
        <f>IFERROR(__xludf.DUMMYFUNCTION("""COMPUTED_VALUE"""),54996226396)</f>
        <v>54996226396</v>
      </c>
      <c r="X360" s="1" t="str">
        <f>IFERROR(__xludf.DUMMYFUNCTION("""COMPUTED_VALUE"""),"RS")</f>
        <v>RS</v>
      </c>
      <c r="Y360" s="1" t="str">
        <f>IFERROR(__xludf.DUMMYFUNCTION("""COMPUTED_VALUE"""),"Canela")</f>
        <v>Canela</v>
      </c>
      <c r="Z360" s="1">
        <f>IFERROR(__xludf.DUMMYFUNCTION("""COMPUTED_VALUE"""),95683215)</f>
        <v>95683215</v>
      </c>
      <c r="AA360" s="1" t="str">
        <f>IFERROR(__xludf.DUMMYFUNCTION("""COMPUTED_VALUE"""),"Rua da Republica ,68")</f>
        <v>Rua da Republica ,68</v>
      </c>
      <c r="AB360" s="1" t="str">
        <f>IFERROR(__xludf.DUMMYFUNCTION("""COMPUTED_VALUE"""),"Santa Marta")</f>
        <v>Santa Marta</v>
      </c>
      <c r="AC360" s="1" t="str">
        <f>IFERROR(__xludf.DUMMYFUNCTION("""COMPUTED_VALUE"""),"G")</f>
        <v>G</v>
      </c>
      <c r="AD360" s="1" t="str">
        <f>IFERROR(__xludf.DUMMYFUNCTION("""COMPUTED_VALUE"""),"G")</f>
        <v>G</v>
      </c>
      <c r="AE360" s="1" t="str">
        <f>IFERROR(__xludf.DUMMYFUNCTION("""COMPUTED_VALUE"""),"G")</f>
        <v>G</v>
      </c>
      <c r="AF360" s="1" t="str">
        <f>IFERROR(__xludf.DUMMYFUNCTION("""COMPUTED_VALUE"""),"G")</f>
        <v>G</v>
      </c>
      <c r="AG360" s="1" t="str">
        <f>IFERROR(__xludf.DUMMYFUNCTION("""COMPUTED_VALUE"""),"G")</f>
        <v>G</v>
      </c>
      <c r="AH360" s="1">
        <f>IFERROR(__xludf.DUMMYFUNCTION("""COMPUTED_VALUE"""),41)</f>
        <v>41</v>
      </c>
      <c r="AI360" s="1">
        <f>IFERROR(__xludf.DUMMYFUNCTION("""COMPUTED_VALUE"""),41)</f>
        <v>41</v>
      </c>
      <c r="AJ360" s="1">
        <f>IFERROR(__xludf.DUMMYFUNCTION("""COMPUTED_VALUE"""),41)</f>
        <v>41</v>
      </c>
      <c r="AK360" s="1">
        <f>IFERROR(__xludf.DUMMYFUNCTION("""COMPUTED_VALUE"""),41)</f>
        <v>41</v>
      </c>
      <c r="AL360" s="1" t="str">
        <f>IFERROR(__xludf.DUMMYFUNCTION("""COMPUTED_VALUE"""),"G")</f>
        <v>G</v>
      </c>
      <c r="AM360" s="1" t="str">
        <f>IFERROR(__xludf.DUMMYFUNCTION("""COMPUTED_VALUE"""),"G")</f>
        <v>G</v>
      </c>
      <c r="AN360" s="1" t="str">
        <f>IFERROR(__xludf.DUMMYFUNCTION("""COMPUTED_VALUE"""),"G")</f>
        <v>G</v>
      </c>
    </row>
    <row r="361" customHeight="1" spans="1:40">
      <c r="A361" s="1"/>
      <c r="B361" s="1"/>
      <c r="C361" s="119"/>
      <c r="D361" s="1" t="str">
        <f>IFERROR(__xludf.DUMMYFUNCTION("""COMPUTED_VALUE"""),"PAULO MORAES ERTHAL")</f>
        <v>PAULO MORAES ERTHAL</v>
      </c>
      <c r="E361" s="1" t="str">
        <f>IFERROR(__xludf.DUMMYFUNCTION("""COMPUTED_VALUE"""),"Módulo 1 concluído")</f>
        <v>Módulo 1 concluído</v>
      </c>
      <c r="F361" s="1" t="str">
        <f>IFERROR(__xludf.DUMMYFUNCTION("""COMPUTED_VALUE"""),"602.690.300-34")</f>
        <v>602.690.300-34</v>
      </c>
      <c r="G361" s="1"/>
      <c r="H361" s="1"/>
      <c r="I361" s="1"/>
      <c r="J361" s="1"/>
      <c r="K361" s="1"/>
      <c r="L361" s="1"/>
      <c r="M361" s="1"/>
      <c r="N361" s="120"/>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row>
    <row r="362" customHeight="1" spans="1:40">
      <c r="A362" s="1" t="str">
        <f>IFERROR(__xludf.DUMMYFUNCTION("""COMPUTED_VALUE"""),"05° BBM")</f>
        <v>05° BBM</v>
      </c>
      <c r="B362" s="1" t="str">
        <f>IFERROR(__xludf.DUMMYFUNCTION("""COMPUTED_VALUE"""),"Feliz")</f>
        <v>Feliz</v>
      </c>
      <c r="C362" s="119" t="str">
        <f>IFERROR(__xludf.DUMMYFUNCTION("""COMPUTED_VALUE"""),"Municipal")</f>
        <v>Municipal</v>
      </c>
      <c r="D362" s="1" t="str">
        <f>IFERROR(__xludf.DUMMYFUNCTION("""COMPUTED_VALUE"""),"PAULO RENAN FERREIRA")</f>
        <v>PAULO RENAN FERREIRA</v>
      </c>
      <c r="E362" s="119" t="str">
        <f>IFERROR(__xludf.DUMMYFUNCTION("""COMPUTED_VALUE"""),"Módulo 1 concluído")</f>
        <v>Módulo 1 concluído</v>
      </c>
      <c r="F362" s="1" t="str">
        <f>IFERROR(__xludf.DUMMYFUNCTION("""COMPUTED_VALUE"""),"007.203.750-45")</f>
        <v>007.203.750-45</v>
      </c>
      <c r="G362" s="1">
        <f>IFERROR(__xludf.DUMMYFUNCTION("""COMPUTED_VALUE"""),1084964483)</f>
        <v>1084964483</v>
      </c>
      <c r="H362" s="1" t="str">
        <f>IFERROR(__xludf.DUMMYFUNCTION("""COMPUTED_VALUE"""),"Atendente e Operador")</f>
        <v>Atendente e Operador</v>
      </c>
      <c r="I362" s="1"/>
      <c r="J362" s="1" t="str">
        <f>IFERROR(__xludf.DUMMYFUNCTION("""COMPUTED_VALUE"""),"Sim")</f>
        <v>Sim</v>
      </c>
      <c r="K362" s="1" t="str">
        <f>IFERROR(__xludf.DUMMYFUNCTION("""COMPUTED_VALUE"""),"Não")</f>
        <v>Não</v>
      </c>
      <c r="L362" s="1" t="str">
        <f>IFERROR(__xludf.DUMMYFUNCTION("""COMPUTED_VALUE"""),"AB+")</f>
        <v>AB+</v>
      </c>
      <c r="M362" s="1" t="str">
        <f>IFERROR(__xludf.DUMMYFUNCTION("""COMPUTED_VALUE"""),"RENAN")</f>
        <v>RENAN</v>
      </c>
      <c r="N362" s="120" t="str">
        <f>IFERROR(__xludf.DUMMYFUNCTION("""COMPUTED_VALUE"""),"9/21/1984")</f>
        <v>9/21/1984</v>
      </c>
      <c r="O362" s="1" t="str">
        <f>IFERROR(__xludf.DUMMYFUNCTION("""COMPUTED_VALUE"""),"Masculino")</f>
        <v>Masculino</v>
      </c>
      <c r="P362" s="1" t="str">
        <f>IFERROR(__xludf.DUMMYFUNCTION("""COMPUTED_VALUE"""),"Morena")</f>
        <v>Morena</v>
      </c>
      <c r="Q362" s="1" t="str">
        <f>IFERROR(__xludf.DUMMYFUNCTION("""COMPUTED_VALUE"""),"Ensino Médio")</f>
        <v>Ensino Médio</v>
      </c>
      <c r="R362" s="1" t="str">
        <f>IFERROR(__xludf.DUMMYFUNCTION("""COMPUTED_VALUE"""),"paulorenan.cvsr@gmail.com")</f>
        <v>paulorenan.cvsr@gmail.com</v>
      </c>
      <c r="S362" s="1">
        <f>IFERROR(__xludf.DUMMYFUNCTION("""COMPUTED_VALUE"""),75)</f>
        <v>75</v>
      </c>
      <c r="T362" s="1" t="str">
        <f>IFERROR(__xludf.DUMMYFUNCTION("""COMPUTED_VALUE"""),"Entre 1,71m e 1,75m")</f>
        <v>Entre 1,71m e 1,75m</v>
      </c>
      <c r="U362" s="1"/>
      <c r="V362" s="1" t="str">
        <f>IFERROR(__xludf.DUMMYFUNCTION("""COMPUTED_VALUE"""),"(51)98184-0768")</f>
        <v>(51)98184-0768</v>
      </c>
      <c r="W362" s="1" t="str">
        <f>IFERROR(__xludf.DUMMYFUNCTION("""COMPUTED_VALUE"""),"(51)3637-1500")</f>
        <v>(51)3637-1500</v>
      </c>
      <c r="X362" s="1" t="str">
        <f>IFERROR(__xludf.DUMMYFUNCTION("""COMPUTED_VALUE"""),"RS")</f>
        <v>RS</v>
      </c>
      <c r="Y362" s="1" t="str">
        <f>IFERROR(__xludf.DUMMYFUNCTION("""COMPUTED_VALUE"""),"Feliz")</f>
        <v>Feliz</v>
      </c>
      <c r="Z362" s="1" t="str">
        <f>IFERROR(__xludf.DUMMYFUNCTION("""COMPUTED_VALUE"""),"95770-000")</f>
        <v>95770-000</v>
      </c>
      <c r="AA362" s="1" t="str">
        <f>IFERROR(__xludf.DUMMYFUNCTION("""COMPUTED_VALUE"""),"Rua Azaleias, 108")</f>
        <v>Rua Azaleias, 108</v>
      </c>
      <c r="AB362" s="1" t="str">
        <f>IFERROR(__xludf.DUMMYFUNCTION("""COMPUTED_VALUE"""),"Bela Vista")</f>
        <v>Bela Vista</v>
      </c>
      <c r="AC362" s="1" t="str">
        <f>IFERROR(__xludf.DUMMYFUNCTION("""COMPUTED_VALUE"""),"G")</f>
        <v>G</v>
      </c>
      <c r="AD362" s="1" t="str">
        <f>IFERROR(__xludf.DUMMYFUNCTION("""COMPUTED_VALUE"""),"G")</f>
        <v>G</v>
      </c>
      <c r="AE362" s="1" t="str">
        <f>IFERROR(__xludf.DUMMYFUNCTION("""COMPUTED_VALUE"""),"G")</f>
        <v>G</v>
      </c>
      <c r="AF362" s="1" t="str">
        <f>IFERROR(__xludf.DUMMYFUNCTION("""COMPUTED_VALUE"""),"G")</f>
        <v>G</v>
      </c>
      <c r="AG362" s="1" t="str">
        <f>IFERROR(__xludf.DUMMYFUNCTION("""COMPUTED_VALUE"""),"G")</f>
        <v>G</v>
      </c>
      <c r="AH362" s="1">
        <f>IFERROR(__xludf.DUMMYFUNCTION("""COMPUTED_VALUE"""),40)</f>
        <v>40</v>
      </c>
      <c r="AI362" s="1">
        <f>IFERROR(__xludf.DUMMYFUNCTION("""COMPUTED_VALUE"""),40)</f>
        <v>40</v>
      </c>
      <c r="AJ362" s="1">
        <f>IFERROR(__xludf.DUMMYFUNCTION("""COMPUTED_VALUE"""),40)</f>
        <v>40</v>
      </c>
      <c r="AK362" s="1">
        <f>IFERROR(__xludf.DUMMYFUNCTION("""COMPUTED_VALUE"""),40)</f>
        <v>40</v>
      </c>
      <c r="AL362" s="1" t="str">
        <f>IFERROR(__xludf.DUMMYFUNCTION("""COMPUTED_VALUE"""),"M")</f>
        <v>M</v>
      </c>
      <c r="AM362" s="1" t="str">
        <f>IFERROR(__xludf.DUMMYFUNCTION("""COMPUTED_VALUE"""),"M")</f>
        <v>M</v>
      </c>
      <c r="AN362" s="1" t="str">
        <f>IFERROR(__xludf.DUMMYFUNCTION("""COMPUTED_VALUE"""),"M")</f>
        <v>M</v>
      </c>
    </row>
    <row r="363" customHeight="1" spans="1:40">
      <c r="A363" s="1" t="str">
        <f>IFERROR(__xludf.DUMMYFUNCTION("""COMPUTED_VALUE"""),"05° BBM")</f>
        <v>05° BBM</v>
      </c>
      <c r="B363" s="1" t="str">
        <f>IFERROR(__xludf.DUMMYFUNCTION("""COMPUTED_VALUE"""),"Feliz")</f>
        <v>Feliz</v>
      </c>
      <c r="C363" s="119" t="str">
        <f>IFERROR(__xludf.DUMMYFUNCTION("""COMPUTED_VALUE"""),"Municipal")</f>
        <v>Municipal</v>
      </c>
      <c r="D363" s="1" t="str">
        <f>IFERROR(__xludf.DUMMYFUNCTION("""COMPUTED_VALUE"""),"RAFAEL SCHMITZ")</f>
        <v>RAFAEL SCHMITZ</v>
      </c>
      <c r="E363" s="119" t="str">
        <f>IFERROR(__xludf.DUMMYFUNCTION("""COMPUTED_VALUE"""),"Módulo 1 concluído")</f>
        <v>Módulo 1 concluído</v>
      </c>
      <c r="F363" s="1" t="str">
        <f>IFERROR(__xludf.DUMMYFUNCTION("""COMPUTED_VALUE"""),"019.263.050-43")</f>
        <v>019.263.050-43</v>
      </c>
      <c r="G363" s="1">
        <f>IFERROR(__xludf.DUMMYFUNCTION("""COMPUTED_VALUE"""),7104765362)</f>
        <v>7104765362</v>
      </c>
      <c r="H363" s="1" t="str">
        <f>IFERROR(__xludf.DUMMYFUNCTION("""COMPUTED_VALUE"""),"Atendente e Operador")</f>
        <v>Atendente e Operador</v>
      </c>
      <c r="I363" s="1"/>
      <c r="J363" s="1" t="str">
        <f>IFERROR(__xludf.DUMMYFUNCTION("""COMPUTED_VALUE"""),"Sim")</f>
        <v>Sim</v>
      </c>
      <c r="K363" s="1" t="str">
        <f>IFERROR(__xludf.DUMMYFUNCTION("""COMPUTED_VALUE"""),"Não")</f>
        <v>Não</v>
      </c>
      <c r="L363" s="1" t="str">
        <f>IFERROR(__xludf.DUMMYFUNCTION("""COMPUTED_VALUE"""),"A+")</f>
        <v>A+</v>
      </c>
      <c r="M363" s="1" t="str">
        <f>IFERROR(__xludf.DUMMYFUNCTION("""COMPUTED_VALUE"""),"SCHMITZ")</f>
        <v>SCHMITZ</v>
      </c>
      <c r="N363" s="120" t="str">
        <f>IFERROR(__xludf.DUMMYFUNCTION("""COMPUTED_VALUE"""),"2/14/1989")</f>
        <v>2/14/1989</v>
      </c>
      <c r="O363" s="1" t="str">
        <f>IFERROR(__xludf.DUMMYFUNCTION("""COMPUTED_VALUE"""),"Masculino")</f>
        <v>Masculino</v>
      </c>
      <c r="P363" s="1" t="str">
        <f>IFERROR(__xludf.DUMMYFUNCTION("""COMPUTED_VALUE"""),"Branca")</f>
        <v>Branca</v>
      </c>
      <c r="Q363" s="1" t="str">
        <f>IFERROR(__xludf.DUMMYFUNCTION("""COMPUTED_VALUE"""),"Pós-graduação")</f>
        <v>Pós-graduação</v>
      </c>
      <c r="R363" s="1" t="str">
        <f>IFERROR(__xludf.DUMMYFUNCTION("""COMPUTED_VALUE"""),"schmitz_rafael@yahoo.com.br")</f>
        <v>schmitz_rafael@yahoo.com.br</v>
      </c>
      <c r="S363" s="1">
        <f>IFERROR(__xludf.DUMMYFUNCTION("""COMPUTED_VALUE"""),79)</f>
        <v>79</v>
      </c>
      <c r="T363" s="1" t="str">
        <f>IFERROR(__xludf.DUMMYFUNCTION("""COMPUTED_VALUE"""),"Entre 1,71m e 1,75m")</f>
        <v>Entre 1,71m e 1,75m</v>
      </c>
      <c r="U363" s="1"/>
      <c r="V363" s="1" t="str">
        <f>IFERROR(__xludf.DUMMYFUNCTION("""COMPUTED_VALUE"""),"(51)99501-8282")</f>
        <v>(51)99501-8282</v>
      </c>
      <c r="W363" s="1" t="str">
        <f>IFERROR(__xludf.DUMMYFUNCTION("""COMPUTED_VALUE"""),"(51)3637-1500")</f>
        <v>(51)3637-1500</v>
      </c>
      <c r="X363" s="1" t="str">
        <f>IFERROR(__xludf.DUMMYFUNCTION("""COMPUTED_VALUE"""),"RS")</f>
        <v>RS</v>
      </c>
      <c r="Y363" s="1" t="str">
        <f>IFERROR(__xludf.DUMMYFUNCTION("""COMPUTED_VALUE"""),"Feliz")</f>
        <v>Feliz</v>
      </c>
      <c r="Z363" s="1" t="str">
        <f>IFERROR(__xludf.DUMMYFUNCTION("""COMPUTED_VALUE"""),"95770-000")</f>
        <v>95770-000</v>
      </c>
      <c r="AA363" s="1" t="str">
        <f>IFERROR(__xludf.DUMMYFUNCTION("""COMPUTED_VALUE"""),"Avenida Voluntário da Pátria, 1112")</f>
        <v>Avenida Voluntário da Pátria, 1112</v>
      </c>
      <c r="AB363" s="1" t="str">
        <f>IFERROR(__xludf.DUMMYFUNCTION("""COMPUTED_VALUE"""),"Vila Rica")</f>
        <v>Vila Rica</v>
      </c>
      <c r="AC363" s="1" t="str">
        <f>IFERROR(__xludf.DUMMYFUNCTION("""COMPUTED_VALUE"""),"M")</f>
        <v>M</v>
      </c>
      <c r="AD363" s="1" t="str">
        <f>IFERROR(__xludf.DUMMYFUNCTION("""COMPUTED_VALUE"""),"M")</f>
        <v>M</v>
      </c>
      <c r="AE363" s="1" t="str">
        <f>IFERROR(__xludf.DUMMYFUNCTION("""COMPUTED_VALUE"""),"M")</f>
        <v>M</v>
      </c>
      <c r="AF363" s="1" t="str">
        <f>IFERROR(__xludf.DUMMYFUNCTION("""COMPUTED_VALUE"""),"G")</f>
        <v>G</v>
      </c>
      <c r="AG363" s="1" t="str">
        <f>IFERROR(__xludf.DUMMYFUNCTION("""COMPUTED_VALUE"""),"M")</f>
        <v>M</v>
      </c>
      <c r="AH363" s="1">
        <f>IFERROR(__xludf.DUMMYFUNCTION("""COMPUTED_VALUE"""),42)</f>
        <v>42</v>
      </c>
      <c r="AI363" s="1">
        <f>IFERROR(__xludf.DUMMYFUNCTION("""COMPUTED_VALUE"""),42)</f>
        <v>42</v>
      </c>
      <c r="AJ363" s="1">
        <f>IFERROR(__xludf.DUMMYFUNCTION("""COMPUTED_VALUE"""),42)</f>
        <v>42</v>
      </c>
      <c r="AK363" s="1">
        <f>IFERROR(__xludf.DUMMYFUNCTION("""COMPUTED_VALUE"""),42)</f>
        <v>42</v>
      </c>
      <c r="AL363" s="1" t="str">
        <f>IFERROR(__xludf.DUMMYFUNCTION("""COMPUTED_VALUE"""),"M")</f>
        <v>M</v>
      </c>
      <c r="AM363" s="1" t="str">
        <f>IFERROR(__xludf.DUMMYFUNCTION("""COMPUTED_VALUE"""),"M")</f>
        <v>M</v>
      </c>
      <c r="AN363" s="1" t="str">
        <f>IFERROR(__xludf.DUMMYFUNCTION("""COMPUTED_VALUE"""),"M")</f>
        <v>M</v>
      </c>
    </row>
    <row r="364" customHeight="1" spans="1:40">
      <c r="A364" s="1"/>
      <c r="B364" s="1"/>
      <c r="C364" s="119"/>
      <c r="D364" s="1" t="str">
        <f>IFERROR(__xludf.DUMMYFUNCTION("""COMPUTED_VALUE"""),"RAPHAELLA PEITSCH DA LUZ")</f>
        <v>RAPHAELLA PEITSCH DA LUZ</v>
      </c>
      <c r="E364" s="1" t="str">
        <f>IFERROR(__xludf.DUMMYFUNCTION("""COMPUTED_VALUE"""),"Curso CAB operador concluído")</f>
        <v>Curso CAB operador concluído</v>
      </c>
      <c r="F364" s="1" t="str">
        <f>IFERROR(__xludf.DUMMYFUNCTION("""COMPUTED_VALUE"""),"040.665.480-83")</f>
        <v>040.665.480-83</v>
      </c>
      <c r="G364" s="1"/>
      <c r="H364" s="1"/>
      <c r="I364" s="1"/>
      <c r="J364" s="1"/>
      <c r="K364" s="1"/>
      <c r="L364" s="1"/>
      <c r="M364" s="1"/>
      <c r="N364" s="120"/>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row>
    <row r="365" customHeight="1" spans="1:40">
      <c r="A365" s="1"/>
      <c r="B365" s="1"/>
      <c r="C365" s="119"/>
      <c r="D365" s="1" t="str">
        <f>IFERROR(__xludf.DUMMYFUNCTION("""COMPUTED_VALUE"""),"REGINALDO FONSECA VAS DA SILVA")</f>
        <v>REGINALDO FONSECA VAS DA SILVA</v>
      </c>
      <c r="E365" s="1" t="str">
        <f>IFERROR(__xludf.DUMMYFUNCTION("""COMPUTED_VALUE"""),"Módulo 1 concluído")</f>
        <v>Módulo 1 concluído</v>
      </c>
      <c r="F365" s="1" t="str">
        <f>IFERROR(__xludf.DUMMYFUNCTION("""COMPUTED_VALUE"""),"637.397.120-15")</f>
        <v>637.397.120-15</v>
      </c>
      <c r="G365" s="1"/>
      <c r="H365" s="1"/>
      <c r="I365" s="1"/>
      <c r="J365" s="1"/>
      <c r="K365" s="1"/>
      <c r="L365" s="1"/>
      <c r="M365" s="1"/>
      <c r="N365" s="120"/>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row>
    <row r="366" customHeight="1" spans="1:40">
      <c r="A366" s="1" t="str">
        <f>IFERROR(__xludf.DUMMYFUNCTION("""COMPUTED_VALUE"""),"05° BBM")</f>
        <v>05° BBM</v>
      </c>
      <c r="B366" s="1" t="str">
        <f>IFERROR(__xludf.DUMMYFUNCTION("""COMPUTED_VALUE"""),"CANELA")</f>
        <v>CANELA</v>
      </c>
      <c r="C366" s="119" t="str">
        <f>IFERROR(__xludf.DUMMYFUNCTION("""COMPUTED_VALUE"""),"Municipal")</f>
        <v>Municipal</v>
      </c>
      <c r="D366" s="1" t="str">
        <f>IFERROR(__xludf.DUMMYFUNCTION("""COMPUTED_VALUE"""),"REGINALDO FONSECA VAZ")</f>
        <v>REGINALDO FONSECA VAZ</v>
      </c>
      <c r="E366" s="119" t="str">
        <f>IFERROR(__xludf.DUMMYFUNCTION("""COMPUTED_VALUE"""),"")</f>
        <v/>
      </c>
      <c r="F366" s="1">
        <f>IFERROR(__xludf.DUMMYFUNCTION("""COMPUTED_VALUE"""),63739712015)</f>
        <v>63739712015</v>
      </c>
      <c r="G366" s="1">
        <f>IFERROR(__xludf.DUMMYFUNCTION("""COMPUTED_VALUE"""),9043424879)</f>
        <v>9043424879</v>
      </c>
      <c r="H366" s="1" t="str">
        <f>IFERROR(__xludf.DUMMYFUNCTION("""COMPUTED_VALUE"""),"COMBATENTE - RESGATISTA")</f>
        <v>COMBATENTE - RESGATISTA</v>
      </c>
      <c r="I366" s="1" t="str">
        <f>IFERROR(__xludf.DUMMYFUNCTION("""COMPUTED_VALUE"""),"ENSINO MEDIO COMPLETO,CONCURSO PUBLICO  PREFEITURA MUNICIPAL DE CANELA, CURSO BASICO SOCORRISTA RESGATE VEICULAR E COMBATE A INCENDIO FEITO EM NOVA PETROPOLIS")</f>
        <v>ENSINO MEDIO COMPLETO,CONCURSO PUBLICO  PREFEITURA MUNICIPAL DE CANELA, CURSO BASICO SOCORRISTA RESGATE VEICULAR E COMBATE A INCENDIO FEITO EM NOVA PETROPOLIS</v>
      </c>
      <c r="J366" s="1" t="str">
        <f>IFERROR(__xludf.DUMMYFUNCTION("""COMPUTED_VALUE"""),"Não")</f>
        <v>Não</v>
      </c>
      <c r="K366" s="1" t="str">
        <f>IFERROR(__xludf.DUMMYFUNCTION("""COMPUTED_VALUE"""),"Não")</f>
        <v>Não</v>
      </c>
      <c r="L366" s="1" t="str">
        <f>IFERROR(__xludf.DUMMYFUNCTION("""COMPUTED_VALUE"""),"O+")</f>
        <v>O+</v>
      </c>
      <c r="M366" s="1" t="str">
        <f>IFERROR(__xludf.DUMMYFUNCTION("""COMPUTED_VALUE"""),"REGINALDO")</f>
        <v>REGINALDO</v>
      </c>
      <c r="N366" s="120">
        <f>IFERROR(__xludf.DUMMYFUNCTION("""COMPUTED_VALUE"""),26044)</f>
        <v>26044</v>
      </c>
      <c r="O366" s="1" t="str">
        <f>IFERROR(__xludf.DUMMYFUNCTION("""COMPUTED_VALUE"""),"Masculino")</f>
        <v>Masculino</v>
      </c>
      <c r="P366" s="1" t="str">
        <f>IFERROR(__xludf.DUMMYFUNCTION("""COMPUTED_VALUE"""),"Branca")</f>
        <v>Branca</v>
      </c>
      <c r="Q366" s="1" t="str">
        <f>IFERROR(__xludf.DUMMYFUNCTION("""COMPUTED_VALUE"""),"Ensino Médio")</f>
        <v>Ensino Médio</v>
      </c>
      <c r="R366" s="1" t="str">
        <f>IFERROR(__xludf.DUMMYFUNCTION("""COMPUTED_VALUE"""),"fonsecareginaldo22@gmail.com")</f>
        <v>fonsecareginaldo22@gmail.com</v>
      </c>
      <c r="S366" s="1">
        <f>IFERROR(__xludf.DUMMYFUNCTION("""COMPUTED_VALUE"""),78)</f>
        <v>78</v>
      </c>
      <c r="T366" s="1" t="str">
        <f>IFERROR(__xludf.DUMMYFUNCTION("""COMPUTED_VALUE"""),"Entre 1,71m e 1,75m")</f>
        <v>Entre 1,71m e 1,75m</v>
      </c>
      <c r="U366" s="1"/>
      <c r="V366" s="1">
        <f>IFERROR(__xludf.DUMMYFUNCTION("""COMPUTED_VALUE"""),54999237125)</f>
        <v>54999237125</v>
      </c>
      <c r="W366" s="1" t="str">
        <f>IFERROR(__xludf.DUMMYFUNCTION("""COMPUTED_VALUE"""),"54 999247655")</f>
        <v>54 999247655</v>
      </c>
      <c r="X366" s="1" t="str">
        <f>IFERROR(__xludf.DUMMYFUNCTION("""COMPUTED_VALUE"""),"RS")</f>
        <v>RS</v>
      </c>
      <c r="Y366" s="1" t="str">
        <f>IFERROR(__xludf.DUMMYFUNCTION("""COMPUTED_VALUE"""),"Canela")</f>
        <v>Canela</v>
      </c>
      <c r="Z366" s="1" t="str">
        <f>IFERROR(__xludf.DUMMYFUNCTION("""COMPUTED_VALUE"""),"95680-000")</f>
        <v>95680-000</v>
      </c>
      <c r="AA366" s="1" t="str">
        <f>IFERROR(__xludf.DUMMYFUNCTION("""COMPUTED_VALUE"""),"rua europa nº209 - palace hotel")</f>
        <v>rua europa nº209 - palace hotel</v>
      </c>
      <c r="AB366" s="1" t="str">
        <f>IFERROR(__xludf.DUMMYFUNCTION("""COMPUTED_VALUE"""),"palacehotel")</f>
        <v>palacehotel</v>
      </c>
      <c r="AC366" s="1" t="str">
        <f>IFERROR(__xludf.DUMMYFUNCTION("""COMPUTED_VALUE"""),"M")</f>
        <v>M</v>
      </c>
      <c r="AD366" s="1" t="str">
        <f>IFERROR(__xludf.DUMMYFUNCTION("""COMPUTED_VALUE"""),"M")</f>
        <v>M</v>
      </c>
      <c r="AE366" s="1" t="str">
        <f>IFERROR(__xludf.DUMMYFUNCTION("""COMPUTED_VALUE"""),"G")</f>
        <v>G</v>
      </c>
      <c r="AF366" s="1" t="str">
        <f>IFERROR(__xludf.DUMMYFUNCTION("""COMPUTED_VALUE"""),"G")</f>
        <v>G</v>
      </c>
      <c r="AG366" s="1" t="str">
        <f>IFERROR(__xludf.DUMMYFUNCTION("""COMPUTED_VALUE"""),"G")</f>
        <v>G</v>
      </c>
      <c r="AH366" s="1">
        <f>IFERROR(__xludf.DUMMYFUNCTION("""COMPUTED_VALUE"""),41)</f>
        <v>41</v>
      </c>
      <c r="AI366" s="1">
        <f>IFERROR(__xludf.DUMMYFUNCTION("""COMPUTED_VALUE"""),41)</f>
        <v>41</v>
      </c>
      <c r="AJ366" s="1">
        <f>IFERROR(__xludf.DUMMYFUNCTION("""COMPUTED_VALUE"""),41)</f>
        <v>41</v>
      </c>
      <c r="AK366" s="1">
        <f>IFERROR(__xludf.DUMMYFUNCTION("""COMPUTED_VALUE"""),41)</f>
        <v>41</v>
      </c>
      <c r="AL366" s="1" t="str">
        <f>IFERROR(__xludf.DUMMYFUNCTION("""COMPUTED_VALUE"""),"G")</f>
        <v>G</v>
      </c>
      <c r="AM366" s="1" t="str">
        <f>IFERROR(__xludf.DUMMYFUNCTION("""COMPUTED_VALUE"""),"G")</f>
        <v>G</v>
      </c>
      <c r="AN366" s="1" t="str">
        <f>IFERROR(__xludf.DUMMYFUNCTION("""COMPUTED_VALUE"""),"M")</f>
        <v>M</v>
      </c>
    </row>
    <row r="367" customHeight="1" spans="1:40">
      <c r="A367" s="1"/>
      <c r="B367" s="1"/>
      <c r="C367" s="119"/>
      <c r="D367" s="1" t="str">
        <f>IFERROR(__xludf.DUMMYFUNCTION("""COMPUTED_VALUE"""),"ROBERTO RECH")</f>
        <v>ROBERTO RECH</v>
      </c>
      <c r="E367" s="1" t="str">
        <f>IFERROR(__xludf.DUMMYFUNCTION("""COMPUTED_VALUE"""),"Módulo 1 concluído")</f>
        <v>Módulo 1 concluído</v>
      </c>
      <c r="F367" s="1" t="str">
        <f>IFERROR(__xludf.DUMMYFUNCTION("""COMPUTED_VALUE"""),"017.983.170-44")</f>
        <v>017.983.170-44</v>
      </c>
      <c r="G367" s="1"/>
      <c r="H367" s="1"/>
      <c r="I367" s="1"/>
      <c r="J367" s="1"/>
      <c r="K367" s="1"/>
      <c r="L367" s="1"/>
      <c r="M367" s="1"/>
      <c r="N367" s="120"/>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row>
    <row r="368" customHeight="1" spans="1:40">
      <c r="A368" s="1"/>
      <c r="B368" s="1"/>
      <c r="C368" s="119"/>
      <c r="D368" s="1" t="str">
        <f>IFERROR(__xludf.DUMMYFUNCTION("""COMPUTED_VALUE"""),"RONALDO CASTANHA SOUZA")</f>
        <v>RONALDO CASTANHA SOUZA</v>
      </c>
      <c r="E368" s="1" t="str">
        <f>IFERROR(__xludf.DUMMYFUNCTION("""COMPUTED_VALUE"""),"Módulo 1 concluído")</f>
        <v>Módulo 1 concluído</v>
      </c>
      <c r="F368" s="1" t="str">
        <f>IFERROR(__xludf.DUMMYFUNCTION("""COMPUTED_VALUE"""),"024.138.510-54")</f>
        <v>024.138.510-54</v>
      </c>
      <c r="G368" s="1"/>
      <c r="H368" s="1"/>
      <c r="I368" s="1"/>
      <c r="J368" s="1"/>
      <c r="K368" s="1"/>
      <c r="L368" s="1"/>
      <c r="M368" s="1"/>
      <c r="N368" s="120"/>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row>
    <row r="369" customHeight="1" spans="1:40">
      <c r="A369" s="1"/>
      <c r="B369" s="1"/>
      <c r="C369" s="119"/>
      <c r="D369" s="1" t="str">
        <f>IFERROR(__xludf.DUMMYFUNCTION("""COMPUTED_VALUE"""),"RONALDO DA SILVA OLIVEIRA")</f>
        <v>RONALDO DA SILVA OLIVEIRA</v>
      </c>
      <c r="E369" s="1" t="str">
        <f>IFERROR(__xludf.DUMMYFUNCTION("""COMPUTED_VALUE"""),"Módulo 1 concluído")</f>
        <v>Módulo 1 concluído</v>
      </c>
      <c r="F369" s="1" t="str">
        <f>IFERROR(__xludf.DUMMYFUNCTION("""COMPUTED_VALUE"""),"975.604.640-68")</f>
        <v>975.604.640-68</v>
      </c>
      <c r="G369" s="1"/>
      <c r="H369" s="1"/>
      <c r="I369" s="1"/>
      <c r="J369" s="1"/>
      <c r="K369" s="1"/>
      <c r="L369" s="1"/>
      <c r="M369" s="1"/>
      <c r="N369" s="120"/>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row>
    <row r="370" customHeight="1" spans="1:40">
      <c r="A370" s="1" t="str">
        <f>IFERROR(__xludf.DUMMYFUNCTION("""COMPUTED_VALUE"""),"05° BBM")</f>
        <v>05° BBM</v>
      </c>
      <c r="B370" s="1" t="str">
        <f>IFERROR(__xludf.DUMMYFUNCTION("""COMPUTED_VALUE"""),"VACARIA/MUITOS CAPÕES")</f>
        <v>VACARIA/MUITOS CAPÕES</v>
      </c>
      <c r="C370" s="119" t="str">
        <f>IFERROR(__xludf.DUMMYFUNCTION("""COMPUTED_VALUE"""),"Municipal")</f>
        <v>Municipal</v>
      </c>
      <c r="D370" s="1" t="str">
        <f>IFERROR(__xludf.DUMMYFUNCTION("""COMPUTED_VALUE"""),"RUDINEI COSTA")</f>
        <v>RUDINEI COSTA</v>
      </c>
      <c r="E370" s="119" t="str">
        <f>IFERROR(__xludf.DUMMYFUNCTION("""COMPUTED_VALUE"""),"Módulo 1 concluído")</f>
        <v>Módulo 1 concluído</v>
      </c>
      <c r="F370" s="1" t="str">
        <f>IFERROR(__xludf.DUMMYFUNCTION("""COMPUTED_VALUE"""),"974.670.060-04")</f>
        <v>974.670.060-04</v>
      </c>
      <c r="G370" s="1">
        <f>IFERROR(__xludf.DUMMYFUNCTION("""COMPUTED_VALUE"""),1082451459)</f>
        <v>1082451459</v>
      </c>
      <c r="H370" s="1" t="str">
        <f>IFERROR(__xludf.DUMMYFUNCTION("""COMPUTED_VALUE"""),"COMBATENTE-MOTORISTA")</f>
        <v>COMBATENTE-MOTORISTA</v>
      </c>
      <c r="I370" s="1" t="str">
        <f>IFERROR(__xludf.DUMMYFUNCTION("""COMPUTED_VALUE"""),"Ensino Médio/APH")</f>
        <v>Ensino Médio/APH</v>
      </c>
      <c r="J370" s="1" t="str">
        <f>IFERROR(__xludf.DUMMYFUNCTION("""COMPUTED_VALUE"""),"Sim")</f>
        <v>Sim</v>
      </c>
      <c r="K370" s="1" t="str">
        <f>IFERROR(__xludf.DUMMYFUNCTION("""COMPUTED_VALUE"""),"Não")</f>
        <v>Não</v>
      </c>
      <c r="L370" s="1" t="str">
        <f>IFERROR(__xludf.DUMMYFUNCTION("""COMPUTED_VALUE"""),"O+")</f>
        <v>O+</v>
      </c>
      <c r="M370" s="1" t="str">
        <f>IFERROR(__xludf.DUMMYFUNCTION("""COMPUTED_VALUE"""),"RUDINEI")</f>
        <v>RUDINEI</v>
      </c>
      <c r="N370" s="120">
        <f>IFERROR(__xludf.DUMMYFUNCTION("""COMPUTED_VALUE"""),29959)</f>
        <v>29959</v>
      </c>
      <c r="O370" s="1" t="str">
        <f>IFERROR(__xludf.DUMMYFUNCTION("""COMPUTED_VALUE"""),"Masculino")</f>
        <v>Masculino</v>
      </c>
      <c r="P370" s="1" t="str">
        <f>IFERROR(__xludf.DUMMYFUNCTION("""COMPUTED_VALUE"""),"Branca")</f>
        <v>Branca</v>
      </c>
      <c r="Q370" s="1" t="str">
        <f>IFERROR(__xludf.DUMMYFUNCTION("""COMPUTED_VALUE"""),"Ensino Médio")</f>
        <v>Ensino Médio</v>
      </c>
      <c r="R370" s="128" t="str">
        <f>IFERROR(__xludf.DUMMYFUNCTION("""COMPUTED_VALUE"""),"rdn.cst@gmail.com")</f>
        <v>rdn.cst@gmail.com</v>
      </c>
      <c r="S370" s="1">
        <f>IFERROR(__xludf.DUMMYFUNCTION("""COMPUTED_VALUE"""),82)</f>
        <v>82</v>
      </c>
      <c r="T370" s="1" t="str">
        <f>IFERROR(__xludf.DUMMYFUNCTION("""COMPUTED_VALUE"""),"Entre 1,71m e 1,75m")</f>
        <v>Entre 1,71m e 1,75m</v>
      </c>
      <c r="U370" s="1"/>
      <c r="V370" s="1">
        <f>IFERROR(__xludf.DUMMYFUNCTION("""COMPUTED_VALUE"""),54996202731)</f>
        <v>54996202731</v>
      </c>
      <c r="W370" s="1">
        <f>IFERROR(__xludf.DUMMYFUNCTION("""COMPUTED_VALUE"""),54996091568)</f>
        <v>54996091568</v>
      </c>
      <c r="X370" s="1" t="str">
        <f>IFERROR(__xludf.DUMMYFUNCTION("""COMPUTED_VALUE"""),"RS")</f>
        <v>RS</v>
      </c>
      <c r="Y370" s="1" t="str">
        <f>IFERROR(__xludf.DUMMYFUNCTION("""COMPUTED_VALUE"""),"Muitos Capões")</f>
        <v>Muitos Capões</v>
      </c>
      <c r="Z370" s="1" t="str">
        <f>IFERROR(__xludf.DUMMYFUNCTION("""COMPUTED_VALUE"""),"95230-000")</f>
        <v>95230-000</v>
      </c>
      <c r="AA370" s="1" t="str">
        <f>IFERROR(__xludf.DUMMYFUNCTION("""COMPUTED_VALUE"""),"Estrada Banhado Seco, 1350")</f>
        <v>Estrada Banhado Seco, 1350</v>
      </c>
      <c r="AB370" s="1" t="str">
        <f>IFERROR(__xludf.DUMMYFUNCTION("""COMPUTED_VALUE"""),"INTERIOR")</f>
        <v>INTERIOR</v>
      </c>
      <c r="AC370" s="1" t="str">
        <f>IFERROR(__xludf.DUMMYFUNCTION("""COMPUTED_VALUE"""),"G")</f>
        <v>G</v>
      </c>
      <c r="AD370" s="1" t="str">
        <f>IFERROR(__xludf.DUMMYFUNCTION("""COMPUTED_VALUE"""),"G")</f>
        <v>G</v>
      </c>
      <c r="AE370" s="1" t="str">
        <f>IFERROR(__xludf.DUMMYFUNCTION("""COMPUTED_VALUE"""),"G")</f>
        <v>G</v>
      </c>
      <c r="AF370" s="1" t="str">
        <f>IFERROR(__xludf.DUMMYFUNCTION("""COMPUTED_VALUE"""),"G")</f>
        <v>G</v>
      </c>
      <c r="AG370" s="1" t="str">
        <f>IFERROR(__xludf.DUMMYFUNCTION("""COMPUTED_VALUE"""),"G")</f>
        <v>G</v>
      </c>
      <c r="AH370" s="1">
        <f>IFERROR(__xludf.DUMMYFUNCTION("""COMPUTED_VALUE"""),39)</f>
        <v>39</v>
      </c>
      <c r="AI370" s="1">
        <f>IFERROR(__xludf.DUMMYFUNCTION("""COMPUTED_VALUE"""),39)</f>
        <v>39</v>
      </c>
      <c r="AJ370" s="1">
        <f>IFERROR(__xludf.DUMMYFUNCTION("""COMPUTED_VALUE"""),39)</f>
        <v>39</v>
      </c>
      <c r="AK370" s="1">
        <f>IFERROR(__xludf.DUMMYFUNCTION("""COMPUTED_VALUE"""),39)</f>
        <v>39</v>
      </c>
      <c r="AL370" s="1" t="str">
        <f>IFERROR(__xludf.DUMMYFUNCTION("""COMPUTED_VALUE"""),"G")</f>
        <v>G</v>
      </c>
      <c r="AM370" s="1" t="str">
        <f>IFERROR(__xludf.DUMMYFUNCTION("""COMPUTED_VALUE"""),"G")</f>
        <v>G</v>
      </c>
      <c r="AN370" s="1" t="str">
        <f>IFERROR(__xludf.DUMMYFUNCTION("""COMPUTED_VALUE"""),"G")</f>
        <v>G</v>
      </c>
    </row>
    <row r="371" customHeight="1" spans="1:40">
      <c r="A371" s="1" t="str">
        <f>IFERROR(__xludf.DUMMYFUNCTION("""COMPUTED_VALUE"""),"05° BBM")</f>
        <v>05° BBM</v>
      </c>
      <c r="B371" s="1" t="str">
        <f>IFERROR(__xludf.DUMMYFUNCTION("""COMPUTED_VALUE"""),"VACARIA/MUITOS CAPÕES")</f>
        <v>VACARIA/MUITOS CAPÕES</v>
      </c>
      <c r="C371" s="119" t="str">
        <f>IFERROR(__xludf.DUMMYFUNCTION("""COMPUTED_VALUE"""),"Municipal")</f>
        <v>Municipal</v>
      </c>
      <c r="D371" s="1" t="str">
        <f>IFERROR(__xludf.DUMMYFUNCTION("""COMPUTED_VALUE"""),"SINDOVAL DA SILVA PEREIRA")</f>
        <v>SINDOVAL DA SILVA PEREIRA</v>
      </c>
      <c r="E371" s="119" t="str">
        <f>IFERROR(__xludf.DUMMYFUNCTION("""COMPUTED_VALUE"""),"Módulo 1 concluído")</f>
        <v>Módulo 1 concluído</v>
      </c>
      <c r="F371" s="1">
        <f>IFERROR(__xludf.DUMMYFUNCTION("""COMPUTED_VALUE"""),65464397000)</f>
        <v>65464397000</v>
      </c>
      <c r="G371" s="1">
        <f>IFERROR(__xludf.DUMMYFUNCTION("""COMPUTED_VALUE"""),1060573209)</f>
        <v>1060573209</v>
      </c>
      <c r="H371" s="1" t="str">
        <f>IFERROR(__xludf.DUMMYFUNCTION("""COMPUTED_VALUE"""),"COMBATENTE")</f>
        <v>COMBATENTE</v>
      </c>
      <c r="I371" s="1" t="str">
        <f>IFERROR(__xludf.DUMMYFUNCTION("""COMPUTED_VALUE"""),"ENSINO FUNDAMENTAL")</f>
        <v>ENSINO FUNDAMENTAL</v>
      </c>
      <c r="J371" s="1" t="str">
        <f>IFERROR(__xludf.DUMMYFUNCTION("""COMPUTED_VALUE"""),"Sim")</f>
        <v>Sim</v>
      </c>
      <c r="K371" s="1" t="str">
        <f>IFERROR(__xludf.DUMMYFUNCTION("""COMPUTED_VALUE"""),"Não")</f>
        <v>Não</v>
      </c>
      <c r="L371" s="1" t="str">
        <f>IFERROR(__xludf.DUMMYFUNCTION("""COMPUTED_VALUE"""),"B+")</f>
        <v>B+</v>
      </c>
      <c r="M371" s="1" t="str">
        <f>IFERROR(__xludf.DUMMYFUNCTION("""COMPUTED_VALUE"""),"PEREIRA")</f>
        <v>PEREIRA</v>
      </c>
      <c r="N371" s="120">
        <f>IFERROR(__xludf.DUMMYFUNCTION("""COMPUTED_VALUE"""),27994)</f>
        <v>27994</v>
      </c>
      <c r="O371" s="1" t="str">
        <f>IFERROR(__xludf.DUMMYFUNCTION("""COMPUTED_VALUE"""),"Masculino")</f>
        <v>Masculino</v>
      </c>
      <c r="P371" s="1" t="str">
        <f>IFERROR(__xludf.DUMMYFUNCTION("""COMPUTED_VALUE"""),"Branca")</f>
        <v>Branca</v>
      </c>
      <c r="Q371" s="1" t="str">
        <f>IFERROR(__xludf.DUMMYFUNCTION("""COMPUTED_VALUE"""),"Ensino Fundamental")</f>
        <v>Ensino Fundamental</v>
      </c>
      <c r="R371" s="128" t="str">
        <f>IFERROR(__xludf.DUMMYFUNCTION("""COMPUTED_VALUE"""),"sindovalpereira1976@gmail.com")</f>
        <v>sindovalpereira1976@gmail.com</v>
      </c>
      <c r="S371" s="1">
        <f>IFERROR(__xludf.DUMMYFUNCTION("""COMPUTED_VALUE"""),83)</f>
        <v>83</v>
      </c>
      <c r="T371" s="1" t="str">
        <f>IFERROR(__xludf.DUMMYFUNCTION("""COMPUTED_VALUE"""),"Entre 1,71m e 1,75m")</f>
        <v>Entre 1,71m e 1,75m</v>
      </c>
      <c r="U371" s="1"/>
      <c r="V371" s="1" t="str">
        <f>IFERROR(__xludf.DUMMYFUNCTION("""COMPUTED_VALUE"""),"54 9 99338146")</f>
        <v>54 9 99338146</v>
      </c>
      <c r="W371" s="1" t="str">
        <f>IFERROR(__xludf.DUMMYFUNCTION("""COMPUTED_VALUE"""),"54 9 99962134")</f>
        <v>54 9 99962134</v>
      </c>
      <c r="X371" s="1" t="str">
        <f>IFERROR(__xludf.DUMMYFUNCTION("""COMPUTED_VALUE"""),"RS")</f>
        <v>RS</v>
      </c>
      <c r="Y371" s="1" t="str">
        <f>IFERROR(__xludf.DUMMYFUNCTION("""COMPUTED_VALUE"""),"Muitos Capões")</f>
        <v>Muitos Capões</v>
      </c>
      <c r="Z371" s="1" t="str">
        <f>IFERROR(__xludf.DUMMYFUNCTION("""COMPUTED_VALUE"""),"95230-000")</f>
        <v>95230-000</v>
      </c>
      <c r="AA371" s="1" t="str">
        <f>IFERROR(__xludf.DUMMYFUNCTION("""COMPUTED_VALUE"""),"Rua Claros João Pereira 225")</f>
        <v>Rua Claros João Pereira 225</v>
      </c>
      <c r="AB371" s="1" t="str">
        <f>IFERROR(__xludf.DUMMYFUNCTION("""COMPUTED_VALUE"""),"CENTRO")</f>
        <v>CENTRO</v>
      </c>
      <c r="AC371" s="1" t="str">
        <f>IFERROR(__xludf.DUMMYFUNCTION("""COMPUTED_VALUE"""),"M")</f>
        <v>M</v>
      </c>
      <c r="AD371" s="1" t="str">
        <f>IFERROR(__xludf.DUMMYFUNCTION("""COMPUTED_VALUE"""),"M")</f>
        <v>M</v>
      </c>
      <c r="AE371" s="1" t="str">
        <f>IFERROR(__xludf.DUMMYFUNCTION("""COMPUTED_VALUE"""),"M")</f>
        <v>M</v>
      </c>
      <c r="AF371" s="1" t="str">
        <f>IFERROR(__xludf.DUMMYFUNCTION("""COMPUTED_VALUE"""),"G")</f>
        <v>G</v>
      </c>
      <c r="AG371" s="1" t="str">
        <f>IFERROR(__xludf.DUMMYFUNCTION("""COMPUTED_VALUE"""),"M")</f>
        <v>M</v>
      </c>
      <c r="AH371" s="1">
        <f>IFERROR(__xludf.DUMMYFUNCTION("""COMPUTED_VALUE"""),40)</f>
        <v>40</v>
      </c>
      <c r="AI371" s="1">
        <f>IFERROR(__xludf.DUMMYFUNCTION("""COMPUTED_VALUE"""),40)</f>
        <v>40</v>
      </c>
      <c r="AJ371" s="1">
        <f>IFERROR(__xludf.DUMMYFUNCTION("""COMPUTED_VALUE"""),40)</f>
        <v>40</v>
      </c>
      <c r="AK371" s="1">
        <f>IFERROR(__xludf.DUMMYFUNCTION("""COMPUTED_VALUE"""),40)</f>
        <v>40</v>
      </c>
      <c r="AL371" s="1" t="str">
        <f>IFERROR(__xludf.DUMMYFUNCTION("""COMPUTED_VALUE"""),"G")</f>
        <v>G</v>
      </c>
      <c r="AM371" s="1" t="str">
        <f>IFERROR(__xludf.DUMMYFUNCTION("""COMPUTED_VALUE"""),"M")</f>
        <v>M</v>
      </c>
      <c r="AN371" s="1" t="str">
        <f>IFERROR(__xludf.DUMMYFUNCTION("""COMPUTED_VALUE"""),"M")</f>
        <v>M</v>
      </c>
    </row>
    <row r="372" customHeight="1" spans="1:40">
      <c r="A372" s="1" t="str">
        <f>IFERROR(__xludf.DUMMYFUNCTION("""COMPUTED_VALUE"""),"05° BBM")</f>
        <v>05° BBM</v>
      </c>
      <c r="B372" s="1" t="str">
        <f>IFERROR(__xludf.DUMMYFUNCTION("""COMPUTED_VALUE"""),"VACARIA/MUITOS CAPÕES")</f>
        <v>VACARIA/MUITOS CAPÕES</v>
      </c>
      <c r="C372" s="119" t="str">
        <f>IFERROR(__xludf.DUMMYFUNCTION("""COMPUTED_VALUE"""),"Municipal")</f>
        <v>Municipal</v>
      </c>
      <c r="D372" s="1" t="str">
        <f>IFERROR(__xludf.DUMMYFUNCTION("""COMPUTED_VALUE"""),"SIRLANE LUCILA DO AMARAL GODINHO")</f>
        <v>SIRLANE LUCILA DO AMARAL GODINHO</v>
      </c>
      <c r="E372" s="119" t="str">
        <f>IFERROR(__xludf.DUMMYFUNCTION("""COMPUTED_VALUE"""),"Módulo 1 concluído")</f>
        <v>Módulo 1 concluído</v>
      </c>
      <c r="F372" s="1">
        <f>IFERROR(__xludf.DUMMYFUNCTION("""COMPUTED_VALUE"""),467048096)</f>
        <v>467048096</v>
      </c>
      <c r="G372" s="1">
        <f>IFERROR(__xludf.DUMMYFUNCTION("""COMPUTED_VALUE"""),1077648821)</f>
        <v>1077648821</v>
      </c>
      <c r="H372" s="1" t="str">
        <f>IFERROR(__xludf.DUMMYFUNCTION("""COMPUTED_VALUE"""),"COMBATENTE")</f>
        <v>COMBATENTE</v>
      </c>
      <c r="I372" s="1" t="str">
        <f>IFERROR(__xludf.DUMMYFUNCTION("""COMPUTED_VALUE"""),"Socorrista, Técnico agente comunitário de saúde,Suporte A.P.H/BLS RCP/DEA")</f>
        <v>Socorrista, Técnico agente comunitário de saúde,Suporte A.P.H/BLS RCP/DEA</v>
      </c>
      <c r="J372" s="1" t="str">
        <f>IFERROR(__xludf.DUMMYFUNCTION("""COMPUTED_VALUE"""),"Não")</f>
        <v>Não</v>
      </c>
      <c r="K372" s="1" t="str">
        <f>IFERROR(__xludf.DUMMYFUNCTION("""COMPUTED_VALUE"""),"Não")</f>
        <v>Não</v>
      </c>
      <c r="L372" s="1" t="str">
        <f>IFERROR(__xludf.DUMMYFUNCTION("""COMPUTED_VALUE"""),"A+")</f>
        <v>A+</v>
      </c>
      <c r="M372" s="1" t="str">
        <f>IFERROR(__xludf.DUMMYFUNCTION("""COMPUTED_VALUE"""),"SIRLANE")</f>
        <v>SIRLANE</v>
      </c>
      <c r="N372" s="120">
        <f>IFERROR(__xludf.DUMMYFUNCTION("""COMPUTED_VALUE"""),28792)</f>
        <v>28792</v>
      </c>
      <c r="O372" s="1" t="str">
        <f>IFERROR(__xludf.DUMMYFUNCTION("""COMPUTED_VALUE"""),"Feminino")</f>
        <v>Feminino</v>
      </c>
      <c r="P372" s="1" t="str">
        <f>IFERROR(__xludf.DUMMYFUNCTION("""COMPUTED_VALUE"""),"Branca")</f>
        <v>Branca</v>
      </c>
      <c r="Q372" s="1" t="str">
        <f>IFERROR(__xludf.DUMMYFUNCTION("""COMPUTED_VALUE"""),"Ensino Médio")</f>
        <v>Ensino Médio</v>
      </c>
      <c r="R372" s="128" t="str">
        <f>IFERROR(__xludf.DUMMYFUNCTION("""COMPUTED_VALUE"""),"sirlanegodinho29@hotmail.com")</f>
        <v>sirlanegodinho29@hotmail.com</v>
      </c>
      <c r="S372" s="1">
        <f>IFERROR(__xludf.DUMMYFUNCTION("""COMPUTED_VALUE"""),98)</f>
        <v>98</v>
      </c>
      <c r="T372" s="1" t="str">
        <f>IFERROR(__xludf.DUMMYFUNCTION("""COMPUTED_VALUE"""),"Entre 1,66m e 1,70m")</f>
        <v>Entre 1,66m e 1,70m</v>
      </c>
      <c r="U372" s="1"/>
      <c r="V372" s="1">
        <f>IFERROR(__xludf.DUMMYFUNCTION("""COMPUTED_VALUE"""),54999485426)</f>
        <v>54999485426</v>
      </c>
      <c r="W372" s="1" t="str">
        <f>IFERROR(__xludf.DUMMYFUNCTION("""COMPUTED_VALUE"""),"54 99912-6719")</f>
        <v>54 99912-6719</v>
      </c>
      <c r="X372" s="1" t="str">
        <f>IFERROR(__xludf.DUMMYFUNCTION("""COMPUTED_VALUE"""),"RS")</f>
        <v>RS</v>
      </c>
      <c r="Y372" s="1" t="str">
        <f>IFERROR(__xludf.DUMMYFUNCTION("""COMPUTED_VALUE"""),"Muitos Capões")</f>
        <v>Muitos Capões</v>
      </c>
      <c r="Z372" s="1" t="str">
        <f>IFERROR(__xludf.DUMMYFUNCTION("""COMPUTED_VALUE"""),"95230-000")</f>
        <v>95230-000</v>
      </c>
      <c r="AA372" s="1" t="str">
        <f>IFERROR(__xludf.DUMMYFUNCTION("""COMPUTED_VALUE"""),"Estrada dos Amaral, 4 Disrito")</f>
        <v>Estrada dos Amaral, 4 Disrito</v>
      </c>
      <c r="AB372" s="1" t="str">
        <f>IFERROR(__xludf.DUMMYFUNCTION("""COMPUTED_VALUE"""),"INTERIOR")</f>
        <v>INTERIOR</v>
      </c>
      <c r="AC372" s="1" t="str">
        <f>IFERROR(__xludf.DUMMYFUNCTION("""COMPUTED_VALUE"""),"EXG")</f>
        <v>EXG</v>
      </c>
      <c r="AD372" s="1" t="str">
        <f>IFERROR(__xludf.DUMMYFUNCTION("""COMPUTED_VALUE"""),"EXG")</f>
        <v>EXG</v>
      </c>
      <c r="AE372" s="1" t="str">
        <f>IFERROR(__xludf.DUMMYFUNCTION("""COMPUTED_VALUE"""),"EXG")</f>
        <v>EXG</v>
      </c>
      <c r="AF372" s="1" t="str">
        <f>IFERROR(__xludf.DUMMYFUNCTION("""COMPUTED_VALUE"""),"EXG")</f>
        <v>EXG</v>
      </c>
      <c r="AG372" s="1" t="str">
        <f>IFERROR(__xludf.DUMMYFUNCTION("""COMPUTED_VALUE"""),"EXG")</f>
        <v>EXG</v>
      </c>
      <c r="AH372" s="1">
        <f>IFERROR(__xludf.DUMMYFUNCTION("""COMPUTED_VALUE"""),39)</f>
        <v>39</v>
      </c>
      <c r="AI372" s="1">
        <f>IFERROR(__xludf.DUMMYFUNCTION("""COMPUTED_VALUE"""),39)</f>
        <v>39</v>
      </c>
      <c r="AJ372" s="1">
        <f>IFERROR(__xludf.DUMMYFUNCTION("""COMPUTED_VALUE"""),39)</f>
        <v>39</v>
      </c>
      <c r="AK372" s="1">
        <f>IFERROR(__xludf.DUMMYFUNCTION("""COMPUTED_VALUE"""),39)</f>
        <v>39</v>
      </c>
      <c r="AL372" s="1" t="str">
        <f>IFERROR(__xludf.DUMMYFUNCTION("""COMPUTED_VALUE"""),"EXG")</f>
        <v>EXG</v>
      </c>
      <c r="AM372" s="1" t="str">
        <f>IFERROR(__xludf.DUMMYFUNCTION("""COMPUTED_VALUE"""),"EXG")</f>
        <v>EXG</v>
      </c>
      <c r="AN372" s="1" t="str">
        <f>IFERROR(__xludf.DUMMYFUNCTION("""COMPUTED_VALUE"""),"M")</f>
        <v>M</v>
      </c>
    </row>
    <row r="373" customHeight="1" spans="1:40">
      <c r="A373" s="1"/>
      <c r="B373" s="1"/>
      <c r="C373" s="119"/>
      <c r="D373" s="1" t="str">
        <f>IFERROR(__xludf.DUMMYFUNCTION("""COMPUTED_VALUE"""),"TATIANA GIUSTI DOS SANTOS")</f>
        <v>TATIANA GIUSTI DOS SANTOS</v>
      </c>
      <c r="E373" s="1" t="str">
        <f>IFERROR(__xludf.DUMMYFUNCTION("""COMPUTED_VALUE"""),"Módulo 1 concluído")</f>
        <v>Módulo 1 concluído</v>
      </c>
      <c r="F373" s="1" t="str">
        <f>IFERROR(__xludf.DUMMYFUNCTION("""COMPUTED_VALUE"""),"999.409.140-91")</f>
        <v>999.409.140-91</v>
      </c>
      <c r="G373" s="1"/>
      <c r="H373" s="1"/>
      <c r="I373" s="1"/>
      <c r="J373" s="1"/>
      <c r="K373" s="1"/>
      <c r="L373" s="1"/>
      <c r="M373" s="1"/>
      <c r="N373" s="120"/>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row>
    <row r="374" customHeight="1" spans="1:40">
      <c r="A374" s="1" t="str">
        <f>IFERROR(__xludf.DUMMYFUNCTION("""COMPUTED_VALUE"""),"05° BBM")</f>
        <v>05° BBM</v>
      </c>
      <c r="B374" s="1" t="str">
        <f>IFERROR(__xludf.DUMMYFUNCTION("""COMPUTED_VALUE"""),"Farroupilha")</f>
        <v>Farroupilha</v>
      </c>
      <c r="C374" s="119" t="str">
        <f>IFERROR(__xludf.DUMMYFUNCTION("""COMPUTED_VALUE"""),"CAB")</f>
        <v>CAB</v>
      </c>
      <c r="D374" s="1" t="str">
        <f>IFERROR(__xludf.DUMMYFUNCTION("""COMPUTED_VALUE"""),"TATIANE BERTOTTI")</f>
        <v>TATIANE BERTOTTI</v>
      </c>
      <c r="E374" s="119" t="str">
        <f>IFERROR(__xludf.DUMMYFUNCTION("""COMPUTED_VALUE"""),"Módulo 1 concluído")</f>
        <v>Módulo 1 concluído</v>
      </c>
      <c r="F374" s="1" t="str">
        <f>IFERROR(__xludf.DUMMYFUNCTION("""COMPUTED_VALUE"""),"979.906.040-00")</f>
        <v>979.906.040-00</v>
      </c>
      <c r="G374" s="1">
        <f>IFERROR(__xludf.DUMMYFUNCTION("""COMPUTED_VALUE"""),3078668948)</f>
        <v>3078668948</v>
      </c>
      <c r="H374" s="1" t="str">
        <f>IFERROR(__xludf.DUMMYFUNCTION("""COMPUTED_VALUE"""),"Atendente e Operador")</f>
        <v>Atendente e Operador</v>
      </c>
      <c r="I374" s="1"/>
      <c r="J374" s="1" t="str">
        <f>IFERROR(__xludf.DUMMYFUNCTION("""COMPUTED_VALUE"""),"Sim")</f>
        <v>Sim</v>
      </c>
      <c r="K374" s="1" t="str">
        <f>IFERROR(__xludf.DUMMYFUNCTION("""COMPUTED_VALUE"""),"Não")</f>
        <v>Não</v>
      </c>
      <c r="L374" s="1" t="str">
        <f>IFERROR(__xludf.DUMMYFUNCTION("""COMPUTED_VALUE"""),"A+")</f>
        <v>A+</v>
      </c>
      <c r="M374" s="1" t="str">
        <f>IFERROR(__xludf.DUMMYFUNCTION("""COMPUTED_VALUE"""),"TATIANE")</f>
        <v>TATIANE</v>
      </c>
      <c r="N374" s="120" t="str">
        <f>IFERROR(__xludf.DUMMYFUNCTION("""COMPUTED_VALUE"""),"8/28/1980")</f>
        <v>8/28/1980</v>
      </c>
      <c r="O374" s="1" t="str">
        <f>IFERROR(__xludf.DUMMYFUNCTION("""COMPUTED_VALUE"""),"Feminino")</f>
        <v>Feminino</v>
      </c>
      <c r="P374" s="1" t="str">
        <f>IFERROR(__xludf.DUMMYFUNCTION("""COMPUTED_VALUE"""),"Branca")</f>
        <v>Branca</v>
      </c>
      <c r="Q374" s="1" t="str">
        <f>IFERROR(__xludf.DUMMYFUNCTION("""COMPUTED_VALUE"""),"Ensino Médio")</f>
        <v>Ensino Médio</v>
      </c>
      <c r="R374" s="1" t="str">
        <f>IFERROR(__xludf.DUMMYFUNCTION("""COMPUTED_VALUE"""),"tatibertotti@live.com")</f>
        <v>tatibertotti@live.com</v>
      </c>
      <c r="S374" s="1">
        <f>IFERROR(__xludf.DUMMYFUNCTION("""COMPUTED_VALUE"""),79)</f>
        <v>79</v>
      </c>
      <c r="T374" s="1" t="str">
        <f>IFERROR(__xludf.DUMMYFUNCTION("""COMPUTED_VALUE"""),"Entre 1,61m e 1,65m")</f>
        <v>Entre 1,61m e 1,65m</v>
      </c>
      <c r="U374" s="1"/>
      <c r="V374" s="1" t="str">
        <f>IFERROR(__xludf.DUMMYFUNCTION("""COMPUTED_VALUE"""),"(54)99912-4700")</f>
        <v>(54)99912-4700</v>
      </c>
      <c r="W374" s="1" t="str">
        <f>IFERROR(__xludf.DUMMYFUNCTION("""COMPUTED_VALUE"""),"(54)99918-0455")</f>
        <v>(54)99918-0455</v>
      </c>
      <c r="X374" s="1" t="str">
        <f>IFERROR(__xludf.DUMMYFUNCTION("""COMPUTED_VALUE"""),"RS")</f>
        <v>RS</v>
      </c>
      <c r="Y374" s="1" t="str">
        <f>IFERROR(__xludf.DUMMYFUNCTION("""COMPUTED_VALUE"""),"Farroupilha")</f>
        <v>Farroupilha</v>
      </c>
      <c r="Z374" s="119" t="str">
        <f>IFERROR(__xludf.DUMMYFUNCTION("""COMPUTED_VALUE"""),"95181-174")</f>
        <v>95181-174</v>
      </c>
      <c r="AA374" s="1" t="str">
        <f>IFERROR(__xludf.DUMMYFUNCTION("""COMPUTED_VALUE"""),"Rua Jacomina Veronese , 229")</f>
        <v>Rua Jacomina Veronese , 229</v>
      </c>
      <c r="AB374" s="1" t="str">
        <f>IFERROR(__xludf.DUMMYFUNCTION("""COMPUTED_VALUE"""),"Primeiro de Maio")</f>
        <v>Primeiro de Maio</v>
      </c>
      <c r="AC374" s="1" t="str">
        <f>IFERROR(__xludf.DUMMYFUNCTION("""COMPUTED_VALUE"""),"G")</f>
        <v>G</v>
      </c>
      <c r="AD374" s="1" t="str">
        <f>IFERROR(__xludf.DUMMYFUNCTION("""COMPUTED_VALUE"""),"G")</f>
        <v>G</v>
      </c>
      <c r="AE374" s="1" t="str">
        <f>IFERROR(__xludf.DUMMYFUNCTION("""COMPUTED_VALUE"""),"GG")</f>
        <v>GG</v>
      </c>
      <c r="AF374" s="1" t="str">
        <f>IFERROR(__xludf.DUMMYFUNCTION("""COMPUTED_VALUE"""),"G")</f>
        <v>G</v>
      </c>
      <c r="AG374" s="1" t="str">
        <f>IFERROR(__xludf.DUMMYFUNCTION("""COMPUTED_VALUE"""),"G")</f>
        <v>G</v>
      </c>
      <c r="AH374" s="1">
        <f>IFERROR(__xludf.DUMMYFUNCTION("""COMPUTED_VALUE"""),37)</f>
        <v>37</v>
      </c>
      <c r="AI374" s="1">
        <f>IFERROR(__xludf.DUMMYFUNCTION("""COMPUTED_VALUE"""),37)</f>
        <v>37</v>
      </c>
      <c r="AJ374" s="1">
        <f>IFERROR(__xludf.DUMMYFUNCTION("""COMPUTED_VALUE"""),37)</f>
        <v>37</v>
      </c>
      <c r="AK374" s="1">
        <f>IFERROR(__xludf.DUMMYFUNCTION("""COMPUTED_VALUE"""),38)</f>
        <v>38</v>
      </c>
      <c r="AL374" s="1" t="str">
        <f>IFERROR(__xludf.DUMMYFUNCTION("""COMPUTED_VALUE"""),"G")</f>
        <v>G</v>
      </c>
      <c r="AM374" s="1" t="str">
        <f>IFERROR(__xludf.DUMMYFUNCTION("""COMPUTED_VALUE"""),"G")</f>
        <v>G</v>
      </c>
      <c r="AN374" s="1" t="str">
        <f>IFERROR(__xludf.DUMMYFUNCTION("""COMPUTED_VALUE"""),"G")</f>
        <v>G</v>
      </c>
    </row>
    <row r="375" customHeight="1" spans="1:40">
      <c r="A375" s="1"/>
      <c r="B375" s="1"/>
      <c r="C375" s="119"/>
      <c r="D375" s="1" t="str">
        <f>IFERROR(__xludf.DUMMYFUNCTION("""COMPUTED_VALUE"""),"TATIANE DUTRA CASTOLDI")</f>
        <v>TATIANE DUTRA CASTOLDI</v>
      </c>
      <c r="E375" s="1" t="str">
        <f>IFERROR(__xludf.DUMMYFUNCTION("""COMPUTED_VALUE"""),"Módulo 1 concluído")</f>
        <v>Módulo 1 concluído</v>
      </c>
      <c r="F375" s="1" t="str">
        <f>IFERROR(__xludf.DUMMYFUNCTION("""COMPUTED_VALUE"""),"015.602.050-59")</f>
        <v>015.602.050-59</v>
      </c>
      <c r="G375" s="1"/>
      <c r="H375" s="1"/>
      <c r="I375" s="1"/>
      <c r="J375" s="1"/>
      <c r="K375" s="1"/>
      <c r="L375" s="1"/>
      <c r="M375" s="1"/>
      <c r="N375" s="120"/>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row>
    <row r="376" customHeight="1" spans="1:40">
      <c r="A376" s="1" t="str">
        <f>IFERROR(__xludf.DUMMYFUNCTION("""COMPUTED_VALUE"""),"05° BBM")</f>
        <v>05° BBM</v>
      </c>
      <c r="B376" s="1" t="str">
        <f>IFERROR(__xludf.DUMMYFUNCTION("""COMPUTED_VALUE"""),"Feliz")</f>
        <v>Feliz</v>
      </c>
      <c r="C376" s="119" t="str">
        <f>IFERROR(__xludf.DUMMYFUNCTION("""COMPUTED_VALUE"""),"CAB")</f>
        <v>CAB</v>
      </c>
      <c r="D376" s="1" t="str">
        <f>IFERROR(__xludf.DUMMYFUNCTION("""COMPUTED_VALUE"""),"TERESINO RODRIGUES BARBOSA")</f>
        <v>TERESINO RODRIGUES BARBOSA</v>
      </c>
      <c r="E376" s="119" t="str">
        <f>IFERROR(__xludf.DUMMYFUNCTION("""COMPUTED_VALUE"""),"Módulo 1 concluído")</f>
        <v>Módulo 1 concluído</v>
      </c>
      <c r="F376" s="1" t="str">
        <f>IFERROR(__xludf.DUMMYFUNCTION("""COMPUTED_VALUE"""),"704.753.441-54")</f>
        <v>704.753.441-54</v>
      </c>
      <c r="G376" s="1">
        <f>IFERROR(__xludf.DUMMYFUNCTION("""COMPUTED_VALUE"""),136892169)</f>
        <v>136892169</v>
      </c>
      <c r="H376" s="1" t="str">
        <f>IFERROR(__xludf.DUMMYFUNCTION("""COMPUTED_VALUE"""),"Atendente e Operador")</f>
        <v>Atendente e Operador</v>
      </c>
      <c r="I376" s="1"/>
      <c r="J376" s="1" t="str">
        <f>IFERROR(__xludf.DUMMYFUNCTION("""COMPUTED_VALUE"""),"Sim")</f>
        <v>Sim</v>
      </c>
      <c r="K376" s="1" t="str">
        <f>IFERROR(__xludf.DUMMYFUNCTION("""COMPUTED_VALUE"""),"Não")</f>
        <v>Não</v>
      </c>
      <c r="L376" s="1" t="str">
        <f>IFERROR(__xludf.DUMMYFUNCTION("""COMPUTED_VALUE"""),"O+")</f>
        <v>O+</v>
      </c>
      <c r="M376" s="1" t="str">
        <f>IFERROR(__xludf.DUMMYFUNCTION("""COMPUTED_VALUE"""),"RODRIGUES")</f>
        <v>RODRIGUES</v>
      </c>
      <c r="N376" s="120">
        <f>IFERROR(__xludf.DUMMYFUNCTION("""COMPUTED_VALUE"""),30313)</f>
        <v>30313</v>
      </c>
      <c r="O376" s="1" t="str">
        <f>IFERROR(__xludf.DUMMYFUNCTION("""COMPUTED_VALUE"""),"Masculino")</f>
        <v>Masculino</v>
      </c>
      <c r="P376" s="1" t="str">
        <f>IFERROR(__xludf.DUMMYFUNCTION("""COMPUTED_VALUE"""),"Branca")</f>
        <v>Branca</v>
      </c>
      <c r="Q376" s="1" t="str">
        <f>IFERROR(__xludf.DUMMYFUNCTION("""COMPUTED_VALUE"""),"Fundamental incompleto")</f>
        <v>Fundamental incompleto</v>
      </c>
      <c r="R376" s="1" t="str">
        <f>IFERROR(__xludf.DUMMYFUNCTION("""COMPUTED_VALUE"""),"teresinorodrigues@gmail.com")</f>
        <v>teresinorodrigues@gmail.com</v>
      </c>
      <c r="S376" s="1">
        <f>IFERROR(__xludf.DUMMYFUNCTION("""COMPUTED_VALUE"""),65)</f>
        <v>65</v>
      </c>
      <c r="T376" s="1" t="str">
        <f>IFERROR(__xludf.DUMMYFUNCTION("""COMPUTED_VALUE"""),"Entre 1,61m e 1,65m")</f>
        <v>Entre 1,61m e 1,65m</v>
      </c>
      <c r="U376" s="1"/>
      <c r="V376" s="1" t="str">
        <f>IFERROR(__xludf.DUMMYFUNCTION("""COMPUTED_VALUE"""),"(51)998601954")</f>
        <v>(51)998601954</v>
      </c>
      <c r="W376" s="1" t="str">
        <f>IFERROR(__xludf.DUMMYFUNCTION("""COMPUTED_VALUE"""),"(51)3637-1500")</f>
        <v>(51)3637-1500</v>
      </c>
      <c r="X376" s="1" t="str">
        <f>IFERROR(__xludf.DUMMYFUNCTION("""COMPUTED_VALUE"""),"RS")</f>
        <v>RS</v>
      </c>
      <c r="Y376" s="1" t="str">
        <f>IFERROR(__xludf.DUMMYFUNCTION("""COMPUTED_VALUE"""),"Feliz")</f>
        <v>Feliz</v>
      </c>
      <c r="Z376" s="1" t="str">
        <f>IFERROR(__xludf.DUMMYFUNCTION("""COMPUTED_VALUE"""),"95770-000")</f>
        <v>95770-000</v>
      </c>
      <c r="AA376" s="1" t="str">
        <f>IFERROR(__xludf.DUMMYFUNCTION("""COMPUTED_VALUE"""),"Estrada Vale do Lobo")</f>
        <v>Estrada Vale do Lobo</v>
      </c>
      <c r="AB376" s="1" t="str">
        <f>IFERROR(__xludf.DUMMYFUNCTION("""COMPUTED_VALUE"""),"Vale do Lobo")</f>
        <v>Vale do Lobo</v>
      </c>
      <c r="AC376" s="1" t="str">
        <f>IFERROR(__xludf.DUMMYFUNCTION("""COMPUTED_VALUE"""),"P")</f>
        <v>P</v>
      </c>
      <c r="AD376" s="1" t="str">
        <f>IFERROR(__xludf.DUMMYFUNCTION("""COMPUTED_VALUE"""),"P")</f>
        <v>P</v>
      </c>
      <c r="AE376" s="1" t="str">
        <f>IFERROR(__xludf.DUMMYFUNCTION("""COMPUTED_VALUE"""),"P")</f>
        <v>P</v>
      </c>
      <c r="AF376" s="1" t="str">
        <f>IFERROR(__xludf.DUMMYFUNCTION("""COMPUTED_VALUE"""),"P")</f>
        <v>P</v>
      </c>
      <c r="AG376" s="1" t="str">
        <f>IFERROR(__xludf.DUMMYFUNCTION("""COMPUTED_VALUE"""),"P")</f>
        <v>P</v>
      </c>
      <c r="AH376" s="1">
        <f>IFERROR(__xludf.DUMMYFUNCTION("""COMPUTED_VALUE"""),38)</f>
        <v>38</v>
      </c>
      <c r="AI376" s="1">
        <f>IFERROR(__xludf.DUMMYFUNCTION("""COMPUTED_VALUE"""),38)</f>
        <v>38</v>
      </c>
      <c r="AJ376" s="1">
        <f>IFERROR(__xludf.DUMMYFUNCTION("""COMPUTED_VALUE"""),38)</f>
        <v>38</v>
      </c>
      <c r="AK376" s="1">
        <f>IFERROR(__xludf.DUMMYFUNCTION("""COMPUTED_VALUE"""),38)</f>
        <v>38</v>
      </c>
      <c r="AL376" s="1" t="str">
        <f>IFERROR(__xludf.DUMMYFUNCTION("""COMPUTED_VALUE"""),"P")</f>
        <v>P</v>
      </c>
      <c r="AM376" s="1" t="str">
        <f>IFERROR(__xludf.DUMMYFUNCTION("""COMPUTED_VALUE"""),"P")</f>
        <v>P</v>
      </c>
      <c r="AN376" s="1" t="str">
        <f>IFERROR(__xludf.DUMMYFUNCTION("""COMPUTED_VALUE"""),"P")</f>
        <v>P</v>
      </c>
    </row>
    <row r="377" customHeight="1" spans="1:40">
      <c r="A377" s="1"/>
      <c r="B377" s="1"/>
      <c r="C377" s="119"/>
      <c r="D377" s="1" t="str">
        <f>IFERROR(__xludf.DUMMYFUNCTION("""COMPUTED_VALUE"""),"THALIA OLIVEIRA DOS SANTOS")</f>
        <v>THALIA OLIVEIRA DOS SANTOS</v>
      </c>
      <c r="E377" s="1" t="str">
        <f>IFERROR(__xludf.DUMMYFUNCTION("""COMPUTED_VALUE"""),"Módulo 1 concluído")</f>
        <v>Módulo 1 concluído</v>
      </c>
      <c r="F377" s="1" t="str">
        <f>IFERROR(__xludf.DUMMYFUNCTION("""COMPUTED_VALUE"""),"031.928.880-32")</f>
        <v>031.928.880-32</v>
      </c>
      <c r="G377" s="1"/>
      <c r="H377" s="1"/>
      <c r="I377" s="1"/>
      <c r="J377" s="1"/>
      <c r="K377" s="1"/>
      <c r="L377" s="1"/>
      <c r="M377" s="1"/>
      <c r="N377" s="120"/>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row>
    <row r="378" customHeight="1" spans="1:40">
      <c r="A378" s="1" t="str">
        <f>IFERROR(__xludf.DUMMYFUNCTION("""COMPUTED_VALUE"""),"05° BBM")</f>
        <v>05° BBM</v>
      </c>
      <c r="B378" s="1" t="str">
        <f>IFERROR(__xludf.DUMMYFUNCTION("""COMPUTED_VALUE"""),"Feliz")</f>
        <v>Feliz</v>
      </c>
      <c r="C378" s="119" t="str">
        <f>IFERROR(__xludf.DUMMYFUNCTION("""COMPUTED_VALUE"""),"Municipal")</f>
        <v>Municipal</v>
      </c>
      <c r="D378" s="1" t="str">
        <f>IFERROR(__xludf.DUMMYFUNCTION("""COMPUTED_VALUE"""),"THIAGO MIGUEL HAHN")</f>
        <v>THIAGO MIGUEL HAHN</v>
      </c>
      <c r="E378" s="119" t="str">
        <f>IFERROR(__xludf.DUMMYFUNCTION("""COMPUTED_VALUE"""),"Módulo 1 concluído")</f>
        <v>Módulo 1 concluído</v>
      </c>
      <c r="F378" s="1" t="str">
        <f>IFERROR(__xludf.DUMMYFUNCTION("""COMPUTED_VALUE"""),"031.548.760-73")</f>
        <v>031.548.760-73</v>
      </c>
      <c r="G378" s="1">
        <f>IFERROR(__xludf.DUMMYFUNCTION("""COMPUTED_VALUE"""),1090658939)</f>
        <v>1090658939</v>
      </c>
      <c r="H378" s="1" t="str">
        <f>IFERROR(__xludf.DUMMYFUNCTION("""COMPUTED_VALUE"""),"Atendente e Operador")</f>
        <v>Atendente e Operador</v>
      </c>
      <c r="I378" s="1"/>
      <c r="J378" s="1" t="str">
        <f>IFERROR(__xludf.DUMMYFUNCTION("""COMPUTED_VALUE"""),"SIm")</f>
        <v>SIm</v>
      </c>
      <c r="K378" s="1" t="str">
        <f>IFERROR(__xludf.DUMMYFUNCTION("""COMPUTED_VALUE"""),"Não")</f>
        <v>Não</v>
      </c>
      <c r="L378" s="1" t="str">
        <f>IFERROR(__xludf.DUMMYFUNCTION("""COMPUTED_VALUE"""),"A+")</f>
        <v>A+</v>
      </c>
      <c r="M378" s="1" t="str">
        <f>IFERROR(__xludf.DUMMYFUNCTION("""COMPUTED_VALUE"""),"THIAGO")</f>
        <v>THIAGO</v>
      </c>
      <c r="N378" s="120">
        <f>IFERROR(__xludf.DUMMYFUNCTION("""COMPUTED_VALUE"""),34069)</f>
        <v>34069</v>
      </c>
      <c r="O378" s="1" t="str">
        <f>IFERROR(__xludf.DUMMYFUNCTION("""COMPUTED_VALUE"""),"Masculino")</f>
        <v>Masculino</v>
      </c>
      <c r="P378" s="1" t="str">
        <f>IFERROR(__xludf.DUMMYFUNCTION("""COMPUTED_VALUE"""),"Branca")</f>
        <v>Branca</v>
      </c>
      <c r="Q378" s="1" t="str">
        <f>IFERROR(__xludf.DUMMYFUNCTION("""COMPUTED_VALUE"""),"Ensino Superior Completo")</f>
        <v>Ensino Superior Completo</v>
      </c>
      <c r="R378" s="1" t="str">
        <f>IFERROR(__xludf.DUMMYFUNCTION("""COMPUTED_VALUE"""),"hahn.thiago@hotmail.com")</f>
        <v>hahn.thiago@hotmail.com</v>
      </c>
      <c r="S378" s="1">
        <f>IFERROR(__xludf.DUMMYFUNCTION("""COMPUTED_VALUE"""),90)</f>
        <v>90</v>
      </c>
      <c r="T378" s="1" t="str">
        <f>IFERROR(__xludf.DUMMYFUNCTION("""COMPUTED_VALUE"""),"Entre 1,86m e 1,90m")</f>
        <v>Entre 1,86m e 1,90m</v>
      </c>
      <c r="U378" s="1"/>
      <c r="V378" s="1" t="str">
        <f>IFERROR(__xludf.DUMMYFUNCTION("""COMPUTED_VALUE"""),"(51)99543-6899")</f>
        <v>(51)99543-6899</v>
      </c>
      <c r="W378" s="1" t="str">
        <f>IFERROR(__xludf.DUMMYFUNCTION("""COMPUTED_VALUE"""),"(51)3637-1500")</f>
        <v>(51)3637-1500</v>
      </c>
      <c r="X378" s="1" t="str">
        <f>IFERROR(__xludf.DUMMYFUNCTION("""COMPUTED_VALUE"""),"RS")</f>
        <v>RS</v>
      </c>
      <c r="Y378" s="1" t="str">
        <f>IFERROR(__xludf.DUMMYFUNCTION("""COMPUTED_VALUE"""),"Vale Real")</f>
        <v>Vale Real</v>
      </c>
      <c r="Z378" s="1" t="str">
        <f>IFERROR(__xludf.DUMMYFUNCTION("""COMPUTED_VALUE"""),"95778-000")</f>
        <v>95778-000</v>
      </c>
      <c r="AA378" s="1" t="str">
        <f>IFERROR(__xludf.DUMMYFUNCTION("""COMPUTED_VALUE"""),"Rua Vedelino Freiberger, 111")</f>
        <v>Rua Vedelino Freiberger, 111</v>
      </c>
      <c r="AB378" s="1" t="str">
        <f>IFERROR(__xludf.DUMMYFUNCTION("""COMPUTED_VALUE"""),"Centro")</f>
        <v>Centro</v>
      </c>
      <c r="AC378" s="1" t="str">
        <f>IFERROR(__xludf.DUMMYFUNCTION("""COMPUTED_VALUE"""),"GG")</f>
        <v>GG</v>
      </c>
      <c r="AD378" s="1" t="str">
        <f>IFERROR(__xludf.DUMMYFUNCTION("""COMPUTED_VALUE"""),"GG")</f>
        <v>GG</v>
      </c>
      <c r="AE378" s="1" t="str">
        <f>IFERROR(__xludf.DUMMYFUNCTION("""COMPUTED_VALUE"""),"GG")</f>
        <v>GG</v>
      </c>
      <c r="AF378" s="1" t="str">
        <f>IFERROR(__xludf.DUMMYFUNCTION("""COMPUTED_VALUE"""),"GG")</f>
        <v>GG</v>
      </c>
      <c r="AG378" s="1" t="str">
        <f>IFERROR(__xludf.DUMMYFUNCTION("""COMPUTED_VALUE"""),"GG")</f>
        <v>GG</v>
      </c>
      <c r="AH378" s="1">
        <f>IFERROR(__xludf.DUMMYFUNCTION("""COMPUTED_VALUE"""),42)</f>
        <v>42</v>
      </c>
      <c r="AI378" s="1">
        <f>IFERROR(__xludf.DUMMYFUNCTION("""COMPUTED_VALUE"""),42)</f>
        <v>42</v>
      </c>
      <c r="AJ378" s="1">
        <f>IFERROR(__xludf.DUMMYFUNCTION("""COMPUTED_VALUE"""),42)</f>
        <v>42</v>
      </c>
      <c r="AK378" s="1">
        <f>IFERROR(__xludf.DUMMYFUNCTION("""COMPUTED_VALUE"""),42)</f>
        <v>42</v>
      </c>
      <c r="AL378" s="1" t="str">
        <f>IFERROR(__xludf.DUMMYFUNCTION("""COMPUTED_VALUE"""),"GG")</f>
        <v>GG</v>
      </c>
      <c r="AM378" s="1" t="str">
        <f>IFERROR(__xludf.DUMMYFUNCTION("""COMPUTED_VALUE"""),"GG")</f>
        <v>GG</v>
      </c>
      <c r="AN378" s="1" t="str">
        <f>IFERROR(__xludf.DUMMYFUNCTION("""COMPUTED_VALUE"""),"GG")</f>
        <v>GG</v>
      </c>
    </row>
    <row r="379" customHeight="1" spans="1:40">
      <c r="A379" s="1" t="str">
        <f>IFERROR(__xludf.DUMMYFUNCTION("""COMPUTED_VALUE"""),"05° BBM")</f>
        <v>05° BBM</v>
      </c>
      <c r="B379" s="1" t="str">
        <f>IFERROR(__xludf.DUMMYFUNCTION("""COMPUTED_VALUE"""),"CANELA")</f>
        <v>CANELA</v>
      </c>
      <c r="C379" s="119" t="str">
        <f>IFERROR(__xludf.DUMMYFUNCTION("""COMPUTED_VALUE"""),"Municipal")</f>
        <v>Municipal</v>
      </c>
      <c r="D379" s="1" t="str">
        <f>IFERROR(__xludf.DUMMYFUNCTION("""COMPUTED_VALUE"""),"THIAGO SANGUINÉ TIMÓTEO")</f>
        <v>THIAGO SANGUINÉ TIMÓTEO</v>
      </c>
      <c r="E379" s="119" t="str">
        <f>IFERROR(__xludf.DUMMYFUNCTION("""COMPUTED_VALUE"""),"")</f>
        <v/>
      </c>
      <c r="F379" s="1"/>
      <c r="G379" s="1"/>
      <c r="H379" s="1" t="str">
        <f>IFERROR(__xludf.DUMMYFUNCTION("""COMPUTED_VALUE"""),"CONDUTOR OPERADOR DE VIATURA")</f>
        <v>CONDUTOR OPERADOR DE VIATURA</v>
      </c>
      <c r="I379" s="1" t="str">
        <f>IFERROR(__xludf.DUMMYFUNCTION("""COMPUTED_VALUE"""),"curso APH, curso BLS, curso bombeiro civil, concurso público prefeitura de Canela")</f>
        <v>curso APH, curso BLS, curso bombeiro civil, concurso público prefeitura de Canela</v>
      </c>
      <c r="J379" s="1" t="str">
        <f>IFERROR(__xludf.DUMMYFUNCTION("""COMPUTED_VALUE"""),"Não")</f>
        <v>Não</v>
      </c>
      <c r="K379" s="1" t="str">
        <f>IFERROR(__xludf.DUMMYFUNCTION("""COMPUTED_VALUE"""),"Não")</f>
        <v>Não</v>
      </c>
      <c r="L379" s="1" t="str">
        <f>IFERROR(__xludf.DUMMYFUNCTION("""COMPUTED_VALUE"""),"A+")</f>
        <v>A+</v>
      </c>
      <c r="M379" s="1" t="str">
        <f>IFERROR(__xludf.DUMMYFUNCTION("""COMPUTED_VALUE"""),"SANGUINÈ")</f>
        <v>SANGUINÈ</v>
      </c>
      <c r="N379" s="120">
        <f>IFERROR(__xludf.DUMMYFUNCTION("""COMPUTED_VALUE"""),30725)</f>
        <v>30725</v>
      </c>
      <c r="O379" s="1" t="str">
        <f>IFERROR(__xludf.DUMMYFUNCTION("""COMPUTED_VALUE"""),"Masculino")</f>
        <v>Masculino</v>
      </c>
      <c r="P379" s="1" t="str">
        <f>IFERROR(__xludf.DUMMYFUNCTION("""COMPUTED_VALUE"""),"Branca")</f>
        <v>Branca</v>
      </c>
      <c r="Q379" s="1" t="str">
        <f>IFERROR(__xludf.DUMMYFUNCTION("""COMPUTED_VALUE"""),"Ensino Superior Incompleto")</f>
        <v>Ensino Superior Incompleto</v>
      </c>
      <c r="R379" s="1" t="str">
        <f>IFERROR(__xludf.DUMMYFUNCTION("""COMPUTED_VALUE"""),"thiagosanguine@gmail.com")</f>
        <v>thiagosanguine@gmail.com</v>
      </c>
      <c r="S379" s="1">
        <f>IFERROR(__xludf.DUMMYFUNCTION("""COMPUTED_VALUE"""),68)</f>
        <v>68</v>
      </c>
      <c r="T379" s="1" t="str">
        <f>IFERROR(__xludf.DUMMYFUNCTION("""COMPUTED_VALUE"""),"Entre 1,66m e 1,70m")</f>
        <v>Entre 1,66m e 1,70m</v>
      </c>
      <c r="U379" s="1"/>
      <c r="V379" s="1">
        <f>IFERROR(__xludf.DUMMYFUNCTION("""COMPUTED_VALUE"""),54996705533)</f>
        <v>54996705533</v>
      </c>
      <c r="W379" s="1">
        <f>IFERROR(__xludf.DUMMYFUNCTION("""COMPUTED_VALUE"""),5432825177)</f>
        <v>5432825177</v>
      </c>
      <c r="X379" s="1" t="str">
        <f>IFERROR(__xludf.DUMMYFUNCTION("""COMPUTED_VALUE"""),"RS")</f>
        <v>RS</v>
      </c>
      <c r="Y379" s="1" t="str">
        <f>IFERROR(__xludf.DUMMYFUNCTION("""COMPUTED_VALUE"""),"Canela")</f>
        <v>Canela</v>
      </c>
      <c r="Z379" s="1">
        <f>IFERROR(__xludf.DUMMYFUNCTION("""COMPUTED_VALUE"""),95680000)</f>
        <v>95680000</v>
      </c>
      <c r="AA379" s="1" t="str">
        <f>IFERROR(__xludf.DUMMYFUNCTION("""COMPUTED_VALUE"""),"rua são francisco 547")</f>
        <v>rua são francisco 547</v>
      </c>
      <c r="AB379" s="1" t="str">
        <f>IFERROR(__xludf.DUMMYFUNCTION("""COMPUTED_VALUE"""),"vila boeira")</f>
        <v>vila boeira</v>
      </c>
      <c r="AC379" s="1" t="str">
        <f>IFERROR(__xludf.DUMMYFUNCTION("""COMPUTED_VALUE"""),"M")</f>
        <v>M</v>
      </c>
      <c r="AD379" s="1" t="str">
        <f>IFERROR(__xludf.DUMMYFUNCTION("""COMPUTED_VALUE"""),"P")</f>
        <v>P</v>
      </c>
      <c r="AE379" s="1" t="str">
        <f>IFERROR(__xludf.DUMMYFUNCTION("""COMPUTED_VALUE"""),"P")</f>
        <v>P</v>
      </c>
      <c r="AF379" s="1" t="str">
        <f>IFERROR(__xludf.DUMMYFUNCTION("""COMPUTED_VALUE"""),"M")</f>
        <v>M</v>
      </c>
      <c r="AG379" s="1" t="str">
        <f>IFERROR(__xludf.DUMMYFUNCTION("""COMPUTED_VALUE"""),"P")</f>
        <v>P</v>
      </c>
      <c r="AH379" s="1">
        <f>IFERROR(__xludf.DUMMYFUNCTION("""COMPUTED_VALUE"""),39)</f>
        <v>39</v>
      </c>
      <c r="AI379" s="1">
        <f>IFERROR(__xludf.DUMMYFUNCTION("""COMPUTED_VALUE"""),38)</f>
        <v>38</v>
      </c>
      <c r="AJ379" s="1">
        <f>IFERROR(__xludf.DUMMYFUNCTION("""COMPUTED_VALUE"""),38)</f>
        <v>38</v>
      </c>
      <c r="AK379" s="1">
        <f>IFERROR(__xludf.DUMMYFUNCTION("""COMPUTED_VALUE"""),39)</f>
        <v>39</v>
      </c>
      <c r="AL379" s="1" t="str">
        <f>IFERROR(__xludf.DUMMYFUNCTION("""COMPUTED_VALUE"""),"P")</f>
        <v>P</v>
      </c>
      <c r="AM379" s="1" t="str">
        <f>IFERROR(__xludf.DUMMYFUNCTION("""COMPUTED_VALUE"""),"P")</f>
        <v>P</v>
      </c>
      <c r="AN379" s="1" t="str">
        <f>IFERROR(__xludf.DUMMYFUNCTION("""COMPUTED_VALUE"""),"P")</f>
        <v>P</v>
      </c>
    </row>
    <row r="380" customHeight="1" spans="1:40">
      <c r="A380" s="1"/>
      <c r="B380" s="1"/>
      <c r="C380" s="119"/>
      <c r="D380" s="1" t="str">
        <f>IFERROR(__xludf.DUMMYFUNCTION("""COMPUTED_VALUE"""),"THIAGO SANGUINE TIMOTIO")</f>
        <v>THIAGO SANGUINE TIMOTIO</v>
      </c>
      <c r="E380" s="1" t="str">
        <f>IFERROR(__xludf.DUMMYFUNCTION("""COMPUTED_VALUE"""),"Módulo 1 concluído")</f>
        <v>Módulo 1 concluído</v>
      </c>
      <c r="F380" s="1" t="str">
        <f>IFERROR(__xludf.DUMMYFUNCTION("""COMPUTED_VALUE"""),"822.736.500-00")</f>
        <v>822.736.500-00</v>
      </c>
      <c r="G380" s="1"/>
      <c r="H380" s="1"/>
      <c r="I380" s="1"/>
      <c r="J380" s="1"/>
      <c r="K380" s="1"/>
      <c r="L380" s="1"/>
      <c r="M380" s="1"/>
      <c r="N380" s="120"/>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row>
    <row r="381" customHeight="1" spans="1:40">
      <c r="A381" s="1"/>
      <c r="B381" s="1"/>
      <c r="C381" s="119"/>
      <c r="D381" s="1" t="str">
        <f>IFERROR(__xludf.DUMMYFUNCTION("""COMPUTED_VALUE"""),"THIAGO ZANCHETT")</f>
        <v>THIAGO ZANCHETT</v>
      </c>
      <c r="E381" s="1" t="str">
        <f>IFERROR(__xludf.DUMMYFUNCTION("""COMPUTED_VALUE"""),"Módulo 1 concluído")</f>
        <v>Módulo 1 concluído</v>
      </c>
      <c r="F381" s="1" t="str">
        <f>IFERROR(__xludf.DUMMYFUNCTION("""COMPUTED_VALUE"""),"938.073.760-20")</f>
        <v>938.073.760-20</v>
      </c>
      <c r="G381" s="1"/>
      <c r="H381" s="1"/>
      <c r="I381" s="1"/>
      <c r="J381" s="1"/>
      <c r="K381" s="1"/>
      <c r="L381" s="1"/>
      <c r="M381" s="1"/>
      <c r="N381" s="120"/>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row>
    <row r="382" customHeight="1" spans="1:40">
      <c r="A382" s="1" t="str">
        <f>IFERROR(__xludf.DUMMYFUNCTION("""COMPUTED_VALUE"""),"05° BBM")</f>
        <v>05° BBM</v>
      </c>
      <c r="B382" s="1" t="str">
        <f>IFERROR(__xludf.DUMMYFUNCTION("""COMPUTED_VALUE"""),"VACARIA/MUITOS CAPÕES")</f>
        <v>VACARIA/MUITOS CAPÕES</v>
      </c>
      <c r="C382" s="119" t="str">
        <f>IFERROR(__xludf.DUMMYFUNCTION("""COMPUTED_VALUE"""),"Municipal")</f>
        <v>Municipal</v>
      </c>
      <c r="D382" s="1" t="str">
        <f>IFERROR(__xludf.DUMMYFUNCTION("""COMPUTED_VALUE"""),"THOMAS MELO")</f>
        <v>THOMAS MELO</v>
      </c>
      <c r="E382" s="119" t="str">
        <f>IFERROR(__xludf.DUMMYFUNCTION("""COMPUTED_VALUE"""),"")</f>
        <v/>
      </c>
      <c r="F382" s="1">
        <f>IFERROR(__xludf.DUMMYFUNCTION("""COMPUTED_VALUE"""),4112448090)</f>
        <v>4112448090</v>
      </c>
      <c r="G382" s="1">
        <f>IFERROR(__xludf.DUMMYFUNCTION("""COMPUTED_VALUE"""),3121149185)</f>
        <v>3121149185</v>
      </c>
      <c r="H382" s="1" t="str">
        <f>IFERROR(__xludf.DUMMYFUNCTION("""COMPUTED_VALUE"""),"COMBATENTE")</f>
        <v>COMBATENTE</v>
      </c>
      <c r="I382" s="1"/>
      <c r="J382" s="1" t="str">
        <f>IFERROR(__xludf.DUMMYFUNCTION("""COMPUTED_VALUE"""),"Não")</f>
        <v>Não</v>
      </c>
      <c r="K382" s="1" t="str">
        <f>IFERROR(__xludf.DUMMYFUNCTION("""COMPUTED_VALUE"""),"Não")</f>
        <v>Não</v>
      </c>
      <c r="L382" s="1" t="str">
        <f>IFERROR(__xludf.DUMMYFUNCTION("""COMPUTED_VALUE"""),"A+")</f>
        <v>A+</v>
      </c>
      <c r="M382" s="1" t="str">
        <f>IFERROR(__xludf.DUMMYFUNCTION("""COMPUTED_VALUE"""),"THOMAS")</f>
        <v>THOMAS</v>
      </c>
      <c r="N382" s="120">
        <f>IFERROR(__xludf.DUMMYFUNCTION("""COMPUTED_VALUE"""),34819)</f>
        <v>34819</v>
      </c>
      <c r="O382" s="1" t="str">
        <f>IFERROR(__xludf.DUMMYFUNCTION("""COMPUTED_VALUE"""),"Masculino")</f>
        <v>Masculino</v>
      </c>
      <c r="P382" s="1" t="str">
        <f>IFERROR(__xludf.DUMMYFUNCTION("""COMPUTED_VALUE"""),"Branca")</f>
        <v>Branca</v>
      </c>
      <c r="Q382" s="1" t="str">
        <f>IFERROR(__xludf.DUMMYFUNCTION("""COMPUTED_VALUE"""),"Ensino Fundamental")</f>
        <v>Ensino Fundamental</v>
      </c>
      <c r="R382" s="128" t="str">
        <f>IFERROR(__xludf.DUMMYFUNCTION("""COMPUTED_VALUE"""),"aguinaldothomas762@gmail.com")</f>
        <v>aguinaldothomas762@gmail.com</v>
      </c>
      <c r="S382" s="1">
        <f>IFERROR(__xludf.DUMMYFUNCTION("""COMPUTED_VALUE"""),115)</f>
        <v>115</v>
      </c>
      <c r="T382" s="1" t="str">
        <f>IFERROR(__xludf.DUMMYFUNCTION("""COMPUTED_VALUE"""),"Entre 1,71m e 1,75m")</f>
        <v>Entre 1,71m e 1,75m</v>
      </c>
      <c r="U382" s="1"/>
      <c r="V382" s="1">
        <f>IFERROR(__xludf.DUMMYFUNCTION("""COMPUTED_VALUE"""),54996046533)</f>
        <v>54996046533</v>
      </c>
      <c r="W382" s="1">
        <f>IFERROR(__xludf.DUMMYFUNCTION("""COMPUTED_VALUE"""),54984041533)</f>
        <v>54984041533</v>
      </c>
      <c r="X382" s="1" t="str">
        <f>IFERROR(__xludf.DUMMYFUNCTION("""COMPUTED_VALUE"""),"RS")</f>
        <v>RS</v>
      </c>
      <c r="Y382" s="1" t="str">
        <f>IFERROR(__xludf.DUMMYFUNCTION("""COMPUTED_VALUE"""),"Muitos Capões")</f>
        <v>Muitos Capões</v>
      </c>
      <c r="Z382" s="1" t="str">
        <f>IFERROR(__xludf.DUMMYFUNCTION("""COMPUTED_VALUE"""),"95230-000")</f>
        <v>95230-000</v>
      </c>
      <c r="AA382" s="1" t="str">
        <f>IFERROR(__xludf.DUMMYFUNCTION("""COMPUTED_VALUE"""),"Estrada Mato Grande")</f>
        <v>Estrada Mato Grande</v>
      </c>
      <c r="AB382" s="1" t="str">
        <f>IFERROR(__xludf.DUMMYFUNCTION("""COMPUTED_VALUE"""),"INTERIOR")</f>
        <v>INTERIOR</v>
      </c>
      <c r="AC382" s="1" t="str">
        <f>IFERROR(__xludf.DUMMYFUNCTION("""COMPUTED_VALUE"""),"EXG")</f>
        <v>EXG</v>
      </c>
      <c r="AD382" s="1" t="str">
        <f>IFERROR(__xludf.DUMMYFUNCTION("""COMPUTED_VALUE"""),"EXG")</f>
        <v>EXG</v>
      </c>
      <c r="AE382" s="1" t="str">
        <f>IFERROR(__xludf.DUMMYFUNCTION("""COMPUTED_VALUE"""),"EXG")</f>
        <v>EXG</v>
      </c>
      <c r="AF382" s="1" t="str">
        <f>IFERROR(__xludf.DUMMYFUNCTION("""COMPUTED_VALUE"""),"EXG")</f>
        <v>EXG</v>
      </c>
      <c r="AG382" s="1" t="str">
        <f>IFERROR(__xludf.DUMMYFUNCTION("""COMPUTED_VALUE"""),"EXG")</f>
        <v>EXG</v>
      </c>
      <c r="AH382" s="1">
        <f>IFERROR(__xludf.DUMMYFUNCTION("""COMPUTED_VALUE"""),41)</f>
        <v>41</v>
      </c>
      <c r="AI382" s="1">
        <f>IFERROR(__xludf.DUMMYFUNCTION("""COMPUTED_VALUE"""),41)</f>
        <v>41</v>
      </c>
      <c r="AJ382" s="1">
        <f>IFERROR(__xludf.DUMMYFUNCTION("""COMPUTED_VALUE"""),41)</f>
        <v>41</v>
      </c>
      <c r="AK382" s="1">
        <f>IFERROR(__xludf.DUMMYFUNCTION("""COMPUTED_VALUE"""),41)</f>
        <v>41</v>
      </c>
      <c r="AL382" s="1" t="str">
        <f>IFERROR(__xludf.DUMMYFUNCTION("""COMPUTED_VALUE"""),"EXG")</f>
        <v>EXG</v>
      </c>
      <c r="AM382" s="1" t="str">
        <f>IFERROR(__xludf.DUMMYFUNCTION("""COMPUTED_VALUE"""),"EXG")</f>
        <v>EXG</v>
      </c>
      <c r="AN382" s="1" t="str">
        <f>IFERROR(__xludf.DUMMYFUNCTION("""COMPUTED_VALUE"""),"G")</f>
        <v>G</v>
      </c>
    </row>
    <row r="383" customHeight="1" spans="1:40">
      <c r="A383" s="1" t="str">
        <f>IFERROR(__xludf.DUMMYFUNCTION("""COMPUTED_VALUE"""),"05° BBM")</f>
        <v>05° BBM</v>
      </c>
      <c r="B383" s="1" t="str">
        <f>IFERROR(__xludf.DUMMYFUNCTION("""COMPUTED_VALUE"""),"Feliz")</f>
        <v>Feliz</v>
      </c>
      <c r="C383" s="119" t="str">
        <f>IFERROR(__xludf.DUMMYFUNCTION("""COMPUTED_VALUE"""),"CAB")</f>
        <v>CAB</v>
      </c>
      <c r="D383" s="1" t="str">
        <f>IFERROR(__xludf.DUMMYFUNCTION("""COMPUTED_VALUE"""),"TIAGO BOENNY")</f>
        <v>TIAGO BOENNY</v>
      </c>
      <c r="E383" s="119" t="str">
        <f>IFERROR(__xludf.DUMMYFUNCTION("""COMPUTED_VALUE"""),"Módulo 1 concluído")</f>
        <v>Módulo 1 concluído</v>
      </c>
      <c r="F383" s="1" t="str">
        <f>IFERROR(__xludf.DUMMYFUNCTION("""COMPUTED_VALUE"""),"013.418.540-43")</f>
        <v>013.418.540-43</v>
      </c>
      <c r="G383" s="1">
        <f>IFERROR(__xludf.DUMMYFUNCTION("""COMPUTED_VALUE"""),1086929419)</f>
        <v>1086929419</v>
      </c>
      <c r="H383" s="1" t="str">
        <f>IFERROR(__xludf.DUMMYFUNCTION("""COMPUTED_VALUE"""),"Atendente e Operador")</f>
        <v>Atendente e Operador</v>
      </c>
      <c r="I383" s="1"/>
      <c r="J383" s="1" t="str">
        <f>IFERROR(__xludf.DUMMYFUNCTION("""COMPUTED_VALUE"""),"Sim")</f>
        <v>Sim</v>
      </c>
      <c r="K383" s="1" t="str">
        <f>IFERROR(__xludf.DUMMYFUNCTION("""COMPUTED_VALUE"""),"Não")</f>
        <v>Não</v>
      </c>
      <c r="L383" s="1" t="str">
        <f>IFERROR(__xludf.DUMMYFUNCTION("""COMPUTED_VALUE"""),"O+")</f>
        <v>O+</v>
      </c>
      <c r="M383" s="1" t="str">
        <f>IFERROR(__xludf.DUMMYFUNCTION("""COMPUTED_VALUE"""),"TIAGO")</f>
        <v>TIAGO</v>
      </c>
      <c r="N383" s="120">
        <f>IFERROR(__xludf.DUMMYFUNCTION("""COMPUTED_VALUE"""),31079)</f>
        <v>31079</v>
      </c>
      <c r="O383" s="1" t="str">
        <f>IFERROR(__xludf.DUMMYFUNCTION("""COMPUTED_VALUE"""),"Masculino")</f>
        <v>Masculino</v>
      </c>
      <c r="P383" s="1" t="str">
        <f>IFERROR(__xludf.DUMMYFUNCTION("""COMPUTED_VALUE"""),"Branca")</f>
        <v>Branca</v>
      </c>
      <c r="Q383" s="1" t="str">
        <f>IFERROR(__xludf.DUMMYFUNCTION("""COMPUTED_VALUE"""),"Superior Completo")</f>
        <v>Superior Completo</v>
      </c>
      <c r="R383" s="1" t="str">
        <f>IFERROR(__xludf.DUMMYFUNCTION("""COMPUTED_VALUE"""),"tiagoboenny@hotmail.com")</f>
        <v>tiagoboenny@hotmail.com</v>
      </c>
      <c r="S383" s="1">
        <f>IFERROR(__xludf.DUMMYFUNCTION("""COMPUTED_VALUE"""),85)</f>
        <v>85</v>
      </c>
      <c r="T383" s="1" t="str">
        <f>IFERROR(__xludf.DUMMYFUNCTION("""COMPUTED_VALUE"""),"Entre 1,81m e 1,85m")</f>
        <v>Entre 1,81m e 1,85m</v>
      </c>
      <c r="U383" s="1"/>
      <c r="V383" s="1" t="str">
        <f>IFERROR(__xludf.DUMMYFUNCTION("""COMPUTED_VALUE"""),"(51)996271653")</f>
        <v>(51)996271653</v>
      </c>
      <c r="W383" s="1" t="str">
        <f>IFERROR(__xludf.DUMMYFUNCTION("""COMPUTED_VALUE"""),"(51)3637-1500")</f>
        <v>(51)3637-1500</v>
      </c>
      <c r="X383" s="1" t="str">
        <f>IFERROR(__xludf.DUMMYFUNCTION("""COMPUTED_VALUE"""),"RS")</f>
        <v>RS</v>
      </c>
      <c r="Y383" s="1" t="str">
        <f>IFERROR(__xludf.DUMMYFUNCTION("""COMPUTED_VALUE"""),"Feliz")</f>
        <v>Feliz</v>
      </c>
      <c r="Z383" s="1" t="str">
        <f>IFERROR(__xludf.DUMMYFUNCTION("""COMPUTED_VALUE"""),"95770-000")</f>
        <v>95770-000</v>
      </c>
      <c r="AA383" s="1" t="str">
        <f>IFERROR(__xludf.DUMMYFUNCTION("""COMPUTED_VALUE"""),"Rua Osvaldo Glaeser, 559")</f>
        <v>Rua Osvaldo Glaeser, 559</v>
      </c>
      <c r="AB383" s="1" t="str">
        <f>IFERROR(__xludf.DUMMYFUNCTION("""COMPUTED_VALUE"""),"Picada Cara")</f>
        <v>Picada Cara</v>
      </c>
      <c r="AC383" s="1" t="str">
        <f>IFERROR(__xludf.DUMMYFUNCTION("""COMPUTED_VALUE"""),"GG")</f>
        <v>GG</v>
      </c>
      <c r="AD383" s="1" t="str">
        <f>IFERROR(__xludf.DUMMYFUNCTION("""COMPUTED_VALUE"""),"GG")</f>
        <v>GG</v>
      </c>
      <c r="AE383" s="1" t="str">
        <f>IFERROR(__xludf.DUMMYFUNCTION("""COMPUTED_VALUE"""),"GG")</f>
        <v>GG</v>
      </c>
      <c r="AF383" s="1" t="str">
        <f>IFERROR(__xludf.DUMMYFUNCTION("""COMPUTED_VALUE"""),"GG")</f>
        <v>GG</v>
      </c>
      <c r="AG383" s="1" t="str">
        <f>IFERROR(__xludf.DUMMYFUNCTION("""COMPUTED_VALUE"""),"G")</f>
        <v>G</v>
      </c>
      <c r="AH383" s="1">
        <f>IFERROR(__xludf.DUMMYFUNCTION("""COMPUTED_VALUE"""),42)</f>
        <v>42</v>
      </c>
      <c r="AI383" s="1">
        <f>IFERROR(__xludf.DUMMYFUNCTION("""COMPUTED_VALUE"""),42)</f>
        <v>42</v>
      </c>
      <c r="AJ383" s="1">
        <f>IFERROR(__xludf.DUMMYFUNCTION("""COMPUTED_VALUE"""),42)</f>
        <v>42</v>
      </c>
      <c r="AK383" s="1">
        <f>IFERROR(__xludf.DUMMYFUNCTION("""COMPUTED_VALUE"""),42)</f>
        <v>42</v>
      </c>
      <c r="AL383" s="1" t="str">
        <f>IFERROR(__xludf.DUMMYFUNCTION("""COMPUTED_VALUE"""),"GG")</f>
        <v>GG</v>
      </c>
      <c r="AM383" s="1" t="str">
        <f>IFERROR(__xludf.DUMMYFUNCTION("""COMPUTED_VALUE"""),"GG")</f>
        <v>GG</v>
      </c>
      <c r="AN383" s="1" t="str">
        <f>IFERROR(__xludf.DUMMYFUNCTION("""COMPUTED_VALUE"""),"G")</f>
        <v>G</v>
      </c>
    </row>
    <row r="384" customHeight="1" spans="1:40">
      <c r="A384" s="1" t="str">
        <f>IFERROR(__xludf.DUMMYFUNCTION("""COMPUTED_VALUE"""),"05° BBM")</f>
        <v>05° BBM</v>
      </c>
      <c r="B384" s="1" t="str">
        <f>IFERROR(__xludf.DUMMYFUNCTION("""COMPUTED_VALUE"""),"Feliz")</f>
        <v>Feliz</v>
      </c>
      <c r="C384" s="119" t="str">
        <f>IFERROR(__xludf.DUMMYFUNCTION("""COMPUTED_VALUE"""),"Municipal")</f>
        <v>Municipal</v>
      </c>
      <c r="D384" s="1" t="str">
        <f>IFERROR(__xludf.DUMMYFUNCTION("""COMPUTED_VALUE"""),"VALDIR THOMÉ")</f>
        <v>VALDIR THOMÉ</v>
      </c>
      <c r="E384" s="119" t="str">
        <f>IFERROR(__xludf.DUMMYFUNCTION("""COMPUTED_VALUE"""),"Módulo 1 concluído")</f>
        <v>Módulo 1 concluído</v>
      </c>
      <c r="F384" s="1" t="str">
        <f>IFERROR(__xludf.DUMMYFUNCTION("""COMPUTED_VALUE"""),"040.394.779-01")</f>
        <v>040.394.779-01</v>
      </c>
      <c r="G384" s="1">
        <f>IFERROR(__xludf.DUMMYFUNCTION("""COMPUTED_VALUE"""),4113000055)</f>
        <v>4113000055</v>
      </c>
      <c r="H384" s="1" t="str">
        <f>IFERROR(__xludf.DUMMYFUNCTION("""COMPUTED_VALUE"""),"Atendente e Operador")</f>
        <v>Atendente e Operador</v>
      </c>
      <c r="I384" s="1"/>
      <c r="J384" s="1" t="str">
        <f>IFERROR(__xludf.DUMMYFUNCTION("""COMPUTED_VALUE"""),"Sim")</f>
        <v>Sim</v>
      </c>
      <c r="K384" s="1" t="str">
        <f>IFERROR(__xludf.DUMMYFUNCTION("""COMPUTED_VALUE"""),"Não")</f>
        <v>Não</v>
      </c>
      <c r="L384" s="1" t="str">
        <f>IFERROR(__xludf.DUMMYFUNCTION("""COMPUTED_VALUE"""),"O+")</f>
        <v>O+</v>
      </c>
      <c r="M384" s="1" t="str">
        <f>IFERROR(__xludf.DUMMYFUNCTION("""COMPUTED_VALUE"""),"THOME")</f>
        <v>THOME</v>
      </c>
      <c r="N384" s="120">
        <f>IFERROR(__xludf.DUMMYFUNCTION("""COMPUTED_VALUE"""),30229)</f>
        <v>30229</v>
      </c>
      <c r="O384" s="1" t="str">
        <f>IFERROR(__xludf.DUMMYFUNCTION("""COMPUTED_VALUE"""),"Masculino")</f>
        <v>Masculino</v>
      </c>
      <c r="P384" s="1" t="str">
        <f>IFERROR(__xludf.DUMMYFUNCTION("""COMPUTED_VALUE"""),"Branca")</f>
        <v>Branca</v>
      </c>
      <c r="Q384" s="1" t="str">
        <f>IFERROR(__xludf.DUMMYFUNCTION("""COMPUTED_VALUE"""),"Ensino Superior Completo")</f>
        <v>Ensino Superior Completo</v>
      </c>
      <c r="R384" s="1" t="str">
        <f>IFERROR(__xludf.DUMMYFUNCTION("""COMPUTED_VALUE"""),"cbvfeliz193@gmail.com")</f>
        <v>cbvfeliz193@gmail.com</v>
      </c>
      <c r="S384" s="1">
        <f>IFERROR(__xludf.DUMMYFUNCTION("""COMPUTED_VALUE"""),90)</f>
        <v>90</v>
      </c>
      <c r="T384" s="1" t="str">
        <f>IFERROR(__xludf.DUMMYFUNCTION("""COMPUTED_VALUE"""),"Entre 1,76m e 1,80m")</f>
        <v>Entre 1,76m e 1,80m</v>
      </c>
      <c r="U384" s="1"/>
      <c r="V384" s="1" t="str">
        <f>IFERROR(__xludf.DUMMYFUNCTION("""COMPUTED_VALUE"""),"(51)99944-8207")</f>
        <v>(51)99944-8207</v>
      </c>
      <c r="W384" s="1" t="str">
        <f>IFERROR(__xludf.DUMMYFUNCTION("""COMPUTED_VALUE"""),"(51)3637-1500")</f>
        <v>(51)3637-1500</v>
      </c>
      <c r="X384" s="1" t="str">
        <f>IFERROR(__xludf.DUMMYFUNCTION("""COMPUTED_VALUE"""),"RS")</f>
        <v>RS</v>
      </c>
      <c r="Y384" s="1" t="str">
        <f>IFERROR(__xludf.DUMMYFUNCTION("""COMPUTED_VALUE"""),"Alto Feliz")</f>
        <v>Alto Feliz</v>
      </c>
      <c r="Z384" s="1" t="str">
        <f>IFERROR(__xludf.DUMMYFUNCTION("""COMPUTED_VALUE"""),"95773-000")</f>
        <v>95773-000</v>
      </c>
      <c r="AA384" s="1" t="str">
        <f>IFERROR(__xludf.DUMMYFUNCTION("""COMPUTED_VALUE"""),"Rua Vila Sucesso,3340")</f>
        <v>Rua Vila Sucesso,3340</v>
      </c>
      <c r="AB384" s="1" t="str">
        <f>IFERROR(__xludf.DUMMYFUNCTION("""COMPUTED_VALUE"""),"São Pedro")</f>
        <v>São Pedro</v>
      </c>
      <c r="AC384" s="1" t="str">
        <f>IFERROR(__xludf.DUMMYFUNCTION("""COMPUTED_VALUE"""),"GG")</f>
        <v>GG</v>
      </c>
      <c r="AD384" s="1" t="str">
        <f>IFERROR(__xludf.DUMMYFUNCTION("""COMPUTED_VALUE"""),"GG")</f>
        <v>GG</v>
      </c>
      <c r="AE384" s="1" t="str">
        <f>IFERROR(__xludf.DUMMYFUNCTION("""COMPUTED_VALUE"""),"GG")</f>
        <v>GG</v>
      </c>
      <c r="AF384" s="1" t="str">
        <f>IFERROR(__xludf.DUMMYFUNCTION("""COMPUTED_VALUE"""),"GG")</f>
        <v>GG</v>
      </c>
      <c r="AG384" s="1" t="str">
        <f>IFERROR(__xludf.DUMMYFUNCTION("""COMPUTED_VALUE"""),"GG")</f>
        <v>GG</v>
      </c>
      <c r="AH384" s="1">
        <f>IFERROR(__xludf.DUMMYFUNCTION("""COMPUTED_VALUE"""),43)</f>
        <v>43</v>
      </c>
      <c r="AI384" s="1">
        <f>IFERROR(__xludf.DUMMYFUNCTION("""COMPUTED_VALUE"""),43)</f>
        <v>43</v>
      </c>
      <c r="AJ384" s="1">
        <f>IFERROR(__xludf.DUMMYFUNCTION("""COMPUTED_VALUE"""),43)</f>
        <v>43</v>
      </c>
      <c r="AK384" s="1">
        <f>IFERROR(__xludf.DUMMYFUNCTION("""COMPUTED_VALUE"""),43)</f>
        <v>43</v>
      </c>
      <c r="AL384" s="1" t="str">
        <f>IFERROR(__xludf.DUMMYFUNCTION("""COMPUTED_VALUE"""),"GG")</f>
        <v>GG</v>
      </c>
      <c r="AM384" s="1" t="str">
        <f>IFERROR(__xludf.DUMMYFUNCTION("""COMPUTED_VALUE"""),"GG")</f>
        <v>GG</v>
      </c>
      <c r="AN384" s="1" t="str">
        <f>IFERROR(__xludf.DUMMYFUNCTION("""COMPUTED_VALUE"""),"G")</f>
        <v>G</v>
      </c>
    </row>
    <row r="385" customHeight="1" spans="1:40">
      <c r="A385" s="1"/>
      <c r="B385" s="1"/>
      <c r="C385" s="119"/>
      <c r="D385" s="1" t="str">
        <f>IFERROR(__xludf.DUMMYFUNCTION("""COMPUTED_VALUE"""),"VALERIA DE MACEDO PIESTCH MASIERO")</f>
        <v>VALERIA DE MACEDO PIESTCH MASIERO</v>
      </c>
      <c r="E385" s="1" t="str">
        <f>IFERROR(__xludf.DUMMYFUNCTION("""COMPUTED_VALUE"""),"Curso CAB operador concluído")</f>
        <v>Curso CAB operador concluído</v>
      </c>
      <c r="F385" s="1" t="str">
        <f>IFERROR(__xludf.DUMMYFUNCTION("""COMPUTED_VALUE"""),"697.902.800-68")</f>
        <v>697.902.800-68</v>
      </c>
      <c r="G385" s="1"/>
      <c r="H385" s="1"/>
      <c r="I385" s="1"/>
      <c r="J385" s="1"/>
      <c r="K385" s="1"/>
      <c r="L385" s="1"/>
      <c r="M385" s="1"/>
      <c r="N385" s="120"/>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row>
    <row r="386" customHeight="1" spans="1:40">
      <c r="A386" s="1"/>
      <c r="B386" s="1"/>
      <c r="C386" s="119"/>
      <c r="D386" s="1" t="str">
        <f>IFERROR(__xludf.DUMMYFUNCTION("""COMPUTED_VALUE"""),"VANDER NAZARI")</f>
        <v>VANDER NAZARI</v>
      </c>
      <c r="E386" s="1" t="str">
        <f>IFERROR(__xludf.DUMMYFUNCTION("""COMPUTED_VALUE"""),"Módulo 1 concluído")</f>
        <v>Módulo 1 concluído</v>
      </c>
      <c r="F386" s="1" t="str">
        <f>IFERROR(__xludf.DUMMYFUNCTION("""COMPUTED_VALUE"""),"601.410.690-15")</f>
        <v>601.410.690-15</v>
      </c>
      <c r="G386" s="1"/>
      <c r="H386" s="1"/>
      <c r="I386" s="1"/>
      <c r="J386" s="1"/>
      <c r="K386" s="1"/>
      <c r="L386" s="1"/>
      <c r="M386" s="1"/>
      <c r="N386" s="120"/>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row>
    <row r="387" customHeight="1" spans="1:40">
      <c r="A387" s="1" t="str">
        <f>IFERROR(__xludf.DUMMYFUNCTION("""COMPUTED_VALUE"""),"05° BBM")</f>
        <v>05° BBM</v>
      </c>
      <c r="B387" s="1" t="str">
        <f>IFERROR(__xludf.DUMMYFUNCTION("""COMPUTED_VALUE"""),"Farroupilha")</f>
        <v>Farroupilha</v>
      </c>
      <c r="C387" s="119" t="str">
        <f>IFERROR(__xludf.DUMMYFUNCTION("""COMPUTED_VALUE"""),"CAB")</f>
        <v>CAB</v>
      </c>
      <c r="D387" s="1" t="str">
        <f>IFERROR(__xludf.DUMMYFUNCTION("""COMPUTED_VALUE"""),"WILLIANE PEGORARO CIGNACHI")</f>
        <v>WILLIANE PEGORARO CIGNACHI</v>
      </c>
      <c r="E387" s="119" t="str">
        <f>IFERROR(__xludf.DUMMYFUNCTION("""COMPUTED_VALUE"""),"")</f>
        <v/>
      </c>
      <c r="F387" s="1" t="str">
        <f>IFERROR(__xludf.DUMMYFUNCTION("""COMPUTED_VALUE"""),"026.533.430-61")</f>
        <v>026.533.430-61</v>
      </c>
      <c r="G387" s="1">
        <f>IFERROR(__xludf.DUMMYFUNCTION("""COMPUTED_VALUE"""),8112550366)</f>
        <v>8112550366</v>
      </c>
      <c r="H387" s="1" t="str">
        <f>IFERROR(__xludf.DUMMYFUNCTION("""COMPUTED_VALUE"""),"Atendente e Operador")</f>
        <v>Atendente e Operador</v>
      </c>
      <c r="I387" s="1"/>
      <c r="J387" s="1" t="str">
        <f>IFERROR(__xludf.DUMMYFUNCTION("""COMPUTED_VALUE"""),"Sim")</f>
        <v>Sim</v>
      </c>
      <c r="K387" s="1" t="str">
        <f>IFERROR(__xludf.DUMMYFUNCTION("""COMPUTED_VALUE"""),"Não")</f>
        <v>Não</v>
      </c>
      <c r="L387" s="1" t="str">
        <f>IFERROR(__xludf.DUMMYFUNCTION("""COMPUTED_VALUE"""),"B+")</f>
        <v>B+</v>
      </c>
      <c r="M387" s="1" t="str">
        <f>IFERROR(__xludf.DUMMYFUNCTION("""COMPUTED_VALUE"""),"WILLIANE")</f>
        <v>WILLIANE</v>
      </c>
      <c r="N387" s="120">
        <f>IFERROR(__xludf.DUMMYFUNCTION("""COMPUTED_VALUE"""),33184)</f>
        <v>33184</v>
      </c>
      <c r="O387" s="1" t="str">
        <f>IFERROR(__xludf.DUMMYFUNCTION("""COMPUTED_VALUE"""),"Feminino")</f>
        <v>Feminino</v>
      </c>
      <c r="P387" s="1" t="str">
        <f>IFERROR(__xludf.DUMMYFUNCTION("""COMPUTED_VALUE"""),"Branca")</f>
        <v>Branca</v>
      </c>
      <c r="Q387" s="1" t="str">
        <f>IFERROR(__xludf.DUMMYFUNCTION("""COMPUTED_VALUE"""),"Ensino Superior Completo")</f>
        <v>Ensino Superior Completo</v>
      </c>
      <c r="R387" s="1" t="str">
        <f>IFERROR(__xludf.DUMMYFUNCTION("""COMPUTED_VALUE"""),"williane.tst.rs@gmail.com")</f>
        <v>williane.tst.rs@gmail.com</v>
      </c>
      <c r="S387" s="1">
        <f>IFERROR(__xludf.DUMMYFUNCTION("""COMPUTED_VALUE"""),75)</f>
        <v>75</v>
      </c>
      <c r="T387" s="1" t="str">
        <f>IFERROR(__xludf.DUMMYFUNCTION("""COMPUTED_VALUE"""),"Entre 1,76m e 1,80m")</f>
        <v>Entre 1,76m e 1,80m</v>
      </c>
      <c r="U387" s="1"/>
      <c r="V387" s="1" t="str">
        <f>IFERROR(__xludf.DUMMYFUNCTION("""COMPUTED_VALUE"""),"(54)99666-4417")</f>
        <v>(54)99666-4417</v>
      </c>
      <c r="W387" s="1" t="str">
        <f>IFERROR(__xludf.DUMMYFUNCTION("""COMPUTED_VALUE"""),"(54)99237-8579")</f>
        <v>(54)99237-8579</v>
      </c>
      <c r="X387" s="1" t="str">
        <f>IFERROR(__xludf.DUMMYFUNCTION("""COMPUTED_VALUE"""),"RS")</f>
        <v>RS</v>
      </c>
      <c r="Y387" s="1" t="str">
        <f>IFERROR(__xludf.DUMMYFUNCTION("""COMPUTED_VALUE"""),"Farroupilha")</f>
        <v>Farroupilha</v>
      </c>
      <c r="Z387" s="119" t="str">
        <f>IFERROR(__xludf.DUMMYFUNCTION("""COMPUTED_VALUE"""),"95170-092")</f>
        <v>95170-092</v>
      </c>
      <c r="AA387" s="1" t="str">
        <f>IFERROR(__xludf.DUMMYFUNCTION("""COMPUTED_VALUE"""),"Rua Manoel Zangalli, 92 AP 203")</f>
        <v>Rua Manoel Zangalli, 92 AP 203</v>
      </c>
      <c r="AB387" s="1" t="str">
        <f>IFERROR(__xludf.DUMMYFUNCTION("""COMPUTED_VALUE"""),"Pio X")</f>
        <v>Pio X</v>
      </c>
      <c r="AC387" s="1" t="str">
        <f>IFERROR(__xludf.DUMMYFUNCTION("""COMPUTED_VALUE"""),"G")</f>
        <v>G</v>
      </c>
      <c r="AD387" s="1" t="str">
        <f>IFERROR(__xludf.DUMMYFUNCTION("""COMPUTED_VALUE"""),"G")</f>
        <v>G</v>
      </c>
      <c r="AE387" s="1" t="str">
        <f>IFERROR(__xludf.DUMMYFUNCTION("""COMPUTED_VALUE"""),"G")</f>
        <v>G</v>
      </c>
      <c r="AF387" s="1" t="str">
        <f>IFERROR(__xludf.DUMMYFUNCTION("""COMPUTED_VALUE"""),"G")</f>
        <v>G</v>
      </c>
      <c r="AG387" s="1" t="str">
        <f>IFERROR(__xludf.DUMMYFUNCTION("""COMPUTED_VALUE"""),"G")</f>
        <v>G</v>
      </c>
      <c r="AH387" s="1">
        <f>IFERROR(__xludf.DUMMYFUNCTION("""COMPUTED_VALUE"""),39)</f>
        <v>39</v>
      </c>
      <c r="AI387" s="1">
        <f>IFERROR(__xludf.DUMMYFUNCTION("""COMPUTED_VALUE"""),39)</f>
        <v>39</v>
      </c>
      <c r="AJ387" s="1">
        <f>IFERROR(__xludf.DUMMYFUNCTION("""COMPUTED_VALUE"""),39)</f>
        <v>39</v>
      </c>
      <c r="AK387" s="1">
        <f>IFERROR(__xludf.DUMMYFUNCTION("""COMPUTED_VALUE"""),39)</f>
        <v>39</v>
      </c>
      <c r="AL387" s="1" t="str">
        <f>IFERROR(__xludf.DUMMYFUNCTION("""COMPUTED_VALUE"""),"G")</f>
        <v>G</v>
      </c>
      <c r="AM387" s="1" t="str">
        <f>IFERROR(__xludf.DUMMYFUNCTION("""COMPUTED_VALUE"""),"G")</f>
        <v>G</v>
      </c>
      <c r="AN387" s="1" t="str">
        <f>IFERROR(__xludf.DUMMYFUNCTION("""COMPUTED_VALUE"""),"G")</f>
        <v>G</v>
      </c>
    </row>
    <row r="420" customHeight="1" spans="1:40">
      <c r="A420" s="126" t="str">
        <f>IFERROR(__xludf.DUMMYFUNCTION("IMPORTRANGE(""1uCBYq_B1noXDnZ2hAWfjmyqidVGOrreR1eUpbj41kZg/edit?gid=516654854"",""6BBM!A2:AN"")"),"06° BBM")</f>
        <v>06° BBM</v>
      </c>
      <c r="B420" s="1" t="str">
        <f>IFERROR(__xludf.DUMMYFUNCTION("""COMPUTED_VALUE"""),"Guaíba")</f>
        <v>Guaíba</v>
      </c>
      <c r="C420" s="119" t="str">
        <f>IFERROR(__xludf.DUMMYFUNCTION("""COMPUTED_VALUE"""),"CAB")</f>
        <v>CAB</v>
      </c>
      <c r="D420" s="1" t="str">
        <f>IFERROR(__xludf.DUMMYFUNCTION("""COMPUTED_VALUE"""),"ADRIANO GARCIA")</f>
        <v>ADRIANO GARCIA</v>
      </c>
      <c r="E420" s="119" t="str">
        <f>IFERROR(__xludf.DUMMYFUNCTION("""COMPUTED_VALUE"""),"")</f>
        <v/>
      </c>
      <c r="F420" s="1" t="str">
        <f>IFERROR(__xludf.DUMMYFUNCTION("""COMPUTED_VALUE"""),"990.311.400-15")</f>
        <v>990.311.400-15</v>
      </c>
      <c r="G420" s="1">
        <f>IFERROR(__xludf.DUMMYFUNCTION("""COMPUTED_VALUE"""),7085979585)</f>
        <v>7085979585</v>
      </c>
      <c r="H420" s="1" t="str">
        <f>IFERROR(__xludf.DUMMYFUNCTION("""COMPUTED_VALUE"""),"Combatente/Socorrista")</f>
        <v>Combatente/Socorrista</v>
      </c>
      <c r="I420" s="1" t="str">
        <f>IFERROR(__xludf.DUMMYFUNCTION("""COMPUTED_VALUE"""),"Curso de técnica e tática de combate a incêndio - nivel I")</f>
        <v>Curso de técnica e tática de combate a incêndio - nivel I</v>
      </c>
      <c r="J420" s="1" t="str">
        <f>IFERROR(__xludf.DUMMYFUNCTION("""COMPUTED_VALUE"""),"Sim")</f>
        <v>Sim</v>
      </c>
      <c r="K420" s="1" t="str">
        <f>IFERROR(__xludf.DUMMYFUNCTION("""COMPUTED_VALUE"""),"Sim")</f>
        <v>Sim</v>
      </c>
      <c r="L420" s="1"/>
      <c r="M420" s="1" t="str">
        <f>IFERROR(__xludf.DUMMYFUNCTION("""COMPUTED_VALUE"""),"Garcia")</f>
        <v>Garcia</v>
      </c>
      <c r="N420" s="120">
        <f>IFERROR(__xludf.DUMMYFUNCTION("""COMPUTED_VALUE"""),29799)</f>
        <v>29799</v>
      </c>
      <c r="O420" s="1" t="str">
        <f>IFERROR(__xludf.DUMMYFUNCTION("""COMPUTED_VALUE"""),"Masculino")</f>
        <v>Masculino</v>
      </c>
      <c r="P420" s="1" t="str">
        <f>IFERROR(__xludf.DUMMYFUNCTION("""COMPUTED_VALUE"""),"Branca")</f>
        <v>Branca</v>
      </c>
      <c r="Q420" s="1" t="str">
        <f>IFERROR(__xludf.DUMMYFUNCTION("""COMPUTED_VALUE"""),"Ensino Médio")</f>
        <v>Ensino Médio</v>
      </c>
      <c r="R420" s="1" t="str">
        <f>IFERROR(__xludf.DUMMYFUNCTION("""COMPUTED_VALUE"""),"adrianoveigarcia@gmai.com")</f>
        <v>adrianoveigarcia@gmai.com</v>
      </c>
      <c r="S420" s="1">
        <f>IFERROR(__xludf.DUMMYFUNCTION("""COMPUTED_VALUE"""),87)</f>
        <v>87</v>
      </c>
      <c r="T420" s="1" t="str">
        <f>IFERROR(__xludf.DUMMYFUNCTION("""COMPUTED_VALUE"""),"Entre 1,76m e 1,80m")</f>
        <v>Entre 1,76m e 1,80m</v>
      </c>
      <c r="U420" s="1" t="str">
        <f>IFERROR(__xludf.DUMMYFUNCTION("""COMPUTED_VALUE"""),"Não POSSUI")</f>
        <v>Não POSSUI</v>
      </c>
      <c r="V420" s="1" t="str">
        <f>IFERROR(__xludf.DUMMYFUNCTION("""COMPUTED_VALUE"""),"(51) 997551864")</f>
        <v>(51) 997551864</v>
      </c>
      <c r="W420" s="1" t="str">
        <f>IFERROR(__xludf.DUMMYFUNCTION("""COMPUTED_VALUE"""),"(51) 996061876")</f>
        <v>(51) 996061876</v>
      </c>
      <c r="X420" s="1" t="str">
        <f>IFERROR(__xludf.DUMMYFUNCTION("""COMPUTED_VALUE"""),"RS")</f>
        <v>RS</v>
      </c>
      <c r="Y420" s="1" t="str">
        <f>IFERROR(__xludf.DUMMYFUNCTION("""COMPUTED_VALUE"""),"Guaíba")</f>
        <v>Guaíba</v>
      </c>
      <c r="Z420" s="1" t="str">
        <f>IFERROR(__xludf.DUMMYFUNCTION("""COMPUTED_VALUE"""),"92708-195")</f>
        <v>92708-195</v>
      </c>
      <c r="AA420" s="1" t="str">
        <f>IFERROR(__xludf.DUMMYFUNCTION("""COMPUTED_VALUE"""),"Rua Carlos Nobre nº706")</f>
        <v>Rua Carlos Nobre nº706</v>
      </c>
      <c r="AB420" s="1" t="str">
        <f>IFERROR(__xludf.DUMMYFUNCTION("""COMPUTED_VALUE"""),"Santa Rita")</f>
        <v>Santa Rita</v>
      </c>
      <c r="AC420" s="1" t="str">
        <f>IFERROR(__xludf.DUMMYFUNCTION("""COMPUTED_VALUE"""),"G")</f>
        <v>G</v>
      </c>
      <c r="AD420" s="1" t="str">
        <f>IFERROR(__xludf.DUMMYFUNCTION("""COMPUTED_VALUE"""),"G")</f>
        <v>G</v>
      </c>
      <c r="AE420" s="1" t="str">
        <f>IFERROR(__xludf.DUMMYFUNCTION("""COMPUTED_VALUE"""),"G")</f>
        <v>G</v>
      </c>
      <c r="AF420" s="1" t="str">
        <f>IFERROR(__xludf.DUMMYFUNCTION("""COMPUTED_VALUE"""),"G")</f>
        <v>G</v>
      </c>
      <c r="AG420" s="1" t="str">
        <f>IFERROR(__xludf.DUMMYFUNCTION("""COMPUTED_VALUE"""),"G")</f>
        <v>G</v>
      </c>
      <c r="AH420" s="1">
        <f>IFERROR(__xludf.DUMMYFUNCTION("""COMPUTED_VALUE"""),42)</f>
        <v>42</v>
      </c>
      <c r="AI420" s="1">
        <f>IFERROR(__xludf.DUMMYFUNCTION("""COMPUTED_VALUE"""),42)</f>
        <v>42</v>
      </c>
      <c r="AJ420" s="1">
        <f>IFERROR(__xludf.DUMMYFUNCTION("""COMPUTED_VALUE"""),42)</f>
        <v>42</v>
      </c>
      <c r="AK420" s="1">
        <f>IFERROR(__xludf.DUMMYFUNCTION("""COMPUTED_VALUE"""),42)</f>
        <v>42</v>
      </c>
      <c r="AL420" s="1" t="str">
        <f>IFERROR(__xludf.DUMMYFUNCTION("""COMPUTED_VALUE"""),"G")</f>
        <v>G</v>
      </c>
      <c r="AM420" s="1" t="str">
        <f>IFERROR(__xludf.DUMMYFUNCTION("""COMPUTED_VALUE"""),"G")</f>
        <v>G</v>
      </c>
      <c r="AN420" s="1" t="str">
        <f>IFERROR(__xludf.DUMMYFUNCTION("""COMPUTED_VALUE"""),"G")</f>
        <v>G</v>
      </c>
    </row>
    <row r="421" customHeight="1" spans="1:40">
      <c r="A421" s="1" t="str">
        <f>IFERROR(__xludf.DUMMYFUNCTION("""COMPUTED_VALUE"""),"06° BBM")</f>
        <v>06° BBM</v>
      </c>
      <c r="B421" s="1" t="str">
        <f>IFERROR(__xludf.DUMMYFUNCTION("""COMPUTED_VALUE"""),"Vera Cruz")</f>
        <v>Vera Cruz</v>
      </c>
      <c r="C421" s="119" t="str">
        <f>IFERROR(__xludf.DUMMYFUNCTION("""COMPUTED_VALUE"""),"Comunitario")</f>
        <v>Comunitario</v>
      </c>
      <c r="D421" s="1" t="str">
        <f>IFERROR(__xludf.DUMMYFUNCTION("""COMPUTED_VALUE"""),"ADRIANO LUIZ STREY")</f>
        <v>ADRIANO LUIZ STREY</v>
      </c>
      <c r="E421" s="119" t="str">
        <f>IFERROR(__xludf.DUMMYFUNCTION("""COMPUTED_VALUE"""),"Curso CAB operador concluído")</f>
        <v>Curso CAB operador concluído</v>
      </c>
      <c r="F421" s="1" t="str">
        <f>IFERROR(__xludf.DUMMYFUNCTION("""COMPUTED_VALUE"""),"904.371.010-53")</f>
        <v>904.371.010-53</v>
      </c>
      <c r="G421" s="1">
        <f>IFERROR(__xludf.DUMMYFUNCTION("""COMPUTED_VALUE"""),7073090032)</f>
        <v>7073090032</v>
      </c>
      <c r="H421" s="1" t="str">
        <f>IFERROR(__xludf.DUMMYFUNCTION("""COMPUTED_VALUE"""),"Combatente/Socorrista")</f>
        <v>Combatente/Socorrista</v>
      </c>
      <c r="I421" s="1" t="str">
        <f>IFERROR(__xludf.DUMMYFUNCTION("""COMPUTED_VALUE"""),"APH e BLS")</f>
        <v>APH e BLS</v>
      </c>
      <c r="J421" s="1" t="str">
        <f>IFERROR(__xludf.DUMMYFUNCTION("""COMPUTED_VALUE"""),"Não")</f>
        <v>Não</v>
      </c>
      <c r="K421" s="1" t="str">
        <f>IFERROR(__xludf.DUMMYFUNCTION("""COMPUTED_VALUE"""),"Sim")</f>
        <v>Sim</v>
      </c>
      <c r="L421" s="1" t="str">
        <f>IFERROR(__xludf.DUMMYFUNCTION("""COMPUTED_VALUE"""),"O+")</f>
        <v>O+</v>
      </c>
      <c r="M421" s="1" t="str">
        <f>IFERROR(__xludf.DUMMYFUNCTION("""COMPUTED_VALUE"""),"Adriano")</f>
        <v>Adriano</v>
      </c>
      <c r="N421" s="121">
        <f>IFERROR(__xludf.DUMMYFUNCTION("""COMPUTED_VALUE"""),28509)</f>
        <v>28509</v>
      </c>
      <c r="O421" s="1" t="str">
        <f>IFERROR(__xludf.DUMMYFUNCTION("""COMPUTED_VALUE"""),"Masculino")</f>
        <v>Masculino</v>
      </c>
      <c r="P421" s="1" t="str">
        <f>IFERROR(__xludf.DUMMYFUNCTION("""COMPUTED_VALUE"""),"Branca")</f>
        <v>Branca</v>
      </c>
      <c r="Q421" s="1" t="str">
        <f>IFERROR(__xludf.DUMMYFUNCTION("""COMPUTED_VALUE"""),"Ensino Médio")</f>
        <v>Ensino Médio</v>
      </c>
      <c r="R421" s="1" t="str">
        <f>IFERROR(__xludf.DUMMYFUNCTION("""COMPUTED_VALUE"""),"adrianoluiz.strey@yahoo.com")</f>
        <v>adrianoluiz.strey@yahoo.com</v>
      </c>
      <c r="S421" s="1">
        <f>IFERROR(__xludf.DUMMYFUNCTION("""COMPUTED_VALUE"""),93)</f>
        <v>93</v>
      </c>
      <c r="T421" s="1" t="str">
        <f>IFERROR(__xludf.DUMMYFUNCTION("""COMPUTED_VALUE"""),"Entre 1,71m e 1,75m")</f>
        <v>Entre 1,71m e 1,75m</v>
      </c>
      <c r="U421" s="1" t="str">
        <f>IFERROR(__xludf.DUMMYFUNCTION("""COMPUTED_VALUE"""),"Não POSSUI")</f>
        <v>Não POSSUI</v>
      </c>
      <c r="V421" s="1" t="str">
        <f>IFERROR(__xludf.DUMMYFUNCTION("""COMPUTED_VALUE"""),"(51) 99833-6341")</f>
        <v>(51) 99833-6341</v>
      </c>
      <c r="W421" s="1" t="str">
        <f>IFERROR(__xludf.DUMMYFUNCTION("""COMPUTED_VALUE"""),"(51) 99886-3237")</f>
        <v>(51) 99886-3237</v>
      </c>
      <c r="X421" s="1" t="str">
        <f>IFERROR(__xludf.DUMMYFUNCTION("""COMPUTED_VALUE"""),"RS")</f>
        <v>RS</v>
      </c>
      <c r="Y421" s="1" t="str">
        <f>IFERROR(__xludf.DUMMYFUNCTION("""COMPUTED_VALUE"""),"Vera Cruz")</f>
        <v>Vera Cruz</v>
      </c>
      <c r="Z421" s="1" t="str">
        <f>IFERROR(__xludf.DUMMYFUNCTION("""COMPUTED_VALUE"""),"96880-000")</f>
        <v>96880-000</v>
      </c>
      <c r="AA421" s="1" t="str">
        <f>IFERROR(__xludf.DUMMYFUNCTION("""COMPUTED_VALUE"""),"Afonso Mueller Nº 155")</f>
        <v>Afonso Mueller Nº 155</v>
      </c>
      <c r="AB421" s="1" t="str">
        <f>IFERROR(__xludf.DUMMYFUNCTION("""COMPUTED_VALUE"""),"Esmeralda")</f>
        <v>Esmeralda</v>
      </c>
      <c r="AC421" s="1" t="str">
        <f>IFERROR(__xludf.DUMMYFUNCTION("""COMPUTED_VALUE"""),"G")</f>
        <v>G</v>
      </c>
      <c r="AD421" s="1" t="str">
        <f>IFERROR(__xludf.DUMMYFUNCTION("""COMPUTED_VALUE"""),"G")</f>
        <v>G</v>
      </c>
      <c r="AE421" s="1" t="str">
        <f>IFERROR(__xludf.DUMMYFUNCTION("""COMPUTED_VALUE"""),"G")</f>
        <v>G</v>
      </c>
      <c r="AF421" s="1" t="str">
        <f>IFERROR(__xludf.DUMMYFUNCTION("""COMPUTED_VALUE"""),"G")</f>
        <v>G</v>
      </c>
      <c r="AG421" s="1" t="str">
        <f>IFERROR(__xludf.DUMMYFUNCTION("""COMPUTED_VALUE"""),"G")</f>
        <v>G</v>
      </c>
      <c r="AH421" s="1">
        <f>IFERROR(__xludf.DUMMYFUNCTION("""COMPUTED_VALUE"""),40)</f>
        <v>40</v>
      </c>
      <c r="AI421" s="1">
        <f>IFERROR(__xludf.DUMMYFUNCTION("""COMPUTED_VALUE"""),40)</f>
        <v>40</v>
      </c>
      <c r="AJ421" s="1">
        <f>IFERROR(__xludf.DUMMYFUNCTION("""COMPUTED_VALUE"""),40)</f>
        <v>40</v>
      </c>
      <c r="AK421" s="1">
        <f>IFERROR(__xludf.DUMMYFUNCTION("""COMPUTED_VALUE"""),40)</f>
        <v>40</v>
      </c>
      <c r="AL421" s="1" t="str">
        <f>IFERROR(__xludf.DUMMYFUNCTION("""COMPUTED_VALUE"""),"G")</f>
        <v>G</v>
      </c>
      <c r="AM421" s="1" t="str">
        <f>IFERROR(__xludf.DUMMYFUNCTION("""COMPUTED_VALUE"""),"G")</f>
        <v>G</v>
      </c>
      <c r="AN421" s="1" t="str">
        <f>IFERROR(__xludf.DUMMYFUNCTION("""COMPUTED_VALUE"""),"G")</f>
        <v>G</v>
      </c>
    </row>
    <row r="422" customHeight="1" spans="1:40">
      <c r="A422" s="1" t="str">
        <f>IFERROR(__xludf.DUMMYFUNCTION("""COMPUTED_VALUE"""),"06° BBM")</f>
        <v>06° BBM</v>
      </c>
      <c r="B422" s="1" t="str">
        <f>IFERROR(__xludf.DUMMYFUNCTION("""COMPUTED_VALUE"""),"Encantado")</f>
        <v>Encantado</v>
      </c>
      <c r="C422" s="119" t="str">
        <f>IFERROR(__xludf.DUMMYFUNCTION("""COMPUTED_VALUE"""),"Comunitario")</f>
        <v>Comunitario</v>
      </c>
      <c r="D422" s="1" t="str">
        <f>IFERROR(__xludf.DUMMYFUNCTION("""COMPUTED_VALUE"""),"ALEX SANGALLI")</f>
        <v>ALEX SANGALLI</v>
      </c>
      <c r="E422" s="119" t="str">
        <f>IFERROR(__xludf.DUMMYFUNCTION("""COMPUTED_VALUE"""),"Curso CAB operador concluído")</f>
        <v>Curso CAB operador concluído</v>
      </c>
      <c r="F422" s="1" t="str">
        <f>IFERROR(__xludf.DUMMYFUNCTION("""COMPUTED_VALUE"""),"662.481.590-68")</f>
        <v>662.481.590-68</v>
      </c>
      <c r="G422" s="1">
        <f>IFERROR(__xludf.DUMMYFUNCTION("""COMPUTED_VALUE"""),1049304775)</f>
        <v>1049304775</v>
      </c>
      <c r="H422" s="1" t="str">
        <f>IFERROR(__xludf.DUMMYFUNCTION("""COMPUTED_VALUE"""),"cívil auxiliar")</f>
        <v>cívil auxiliar</v>
      </c>
      <c r="I422" s="1" t="str">
        <f>IFERROR(__xludf.DUMMYFUNCTION("""COMPUTED_VALUE"""),"operacional,resgate veicular")</f>
        <v>operacional,resgate veicular</v>
      </c>
      <c r="J422" s="1" t="str">
        <f>IFERROR(__xludf.DUMMYFUNCTION("""COMPUTED_VALUE"""),"Sim")</f>
        <v>Sim</v>
      </c>
      <c r="K422" s="1" t="str">
        <f>IFERROR(__xludf.DUMMYFUNCTION("""COMPUTED_VALUE"""),"Sim")</f>
        <v>Sim</v>
      </c>
      <c r="L422" s="1" t="str">
        <f>IFERROR(__xludf.DUMMYFUNCTION("""COMPUTED_VALUE"""),"O+")</f>
        <v>O+</v>
      </c>
      <c r="M422" s="1" t="str">
        <f>IFERROR(__xludf.DUMMYFUNCTION("""COMPUTED_VALUE"""),"Alex")</f>
        <v>Alex</v>
      </c>
      <c r="N422" s="120">
        <f>IFERROR(__xludf.DUMMYFUNCTION("""COMPUTED_VALUE"""),27489)</f>
        <v>27489</v>
      </c>
      <c r="O422" s="1" t="str">
        <f>IFERROR(__xludf.DUMMYFUNCTION("""COMPUTED_VALUE"""),"Masculino")</f>
        <v>Masculino</v>
      </c>
      <c r="P422" s="1" t="str">
        <f>IFERROR(__xludf.DUMMYFUNCTION("""COMPUTED_VALUE"""),"Branca")</f>
        <v>Branca</v>
      </c>
      <c r="Q422" s="1" t="str">
        <f>IFERROR(__xludf.DUMMYFUNCTION("""COMPUTED_VALUE"""),"Ensino Médio")</f>
        <v>Ensino Médio</v>
      </c>
      <c r="R422" s="1" t="str">
        <f>IFERROR(__xludf.DUMMYFUNCTION("""COMPUTED_VALUE"""),"alexxx.leco@gmail.com")</f>
        <v>alexxx.leco@gmail.com</v>
      </c>
      <c r="S422" s="1" t="str">
        <f>IFERROR(__xludf.DUMMYFUNCTION("""COMPUTED_VALUE"""),"88 kg")</f>
        <v>88 kg</v>
      </c>
      <c r="T422" s="1" t="str">
        <f>IFERROR(__xludf.DUMMYFUNCTION("""COMPUTED_VALUE"""),"Entre 1,66m e 1,70m")</f>
        <v>Entre 1,66m e 1,70m</v>
      </c>
      <c r="U422" s="1" t="str">
        <f>IFERROR(__xludf.DUMMYFUNCTION("""COMPUTED_VALUE"""),"Não POSSUI")</f>
        <v>Não POSSUI</v>
      </c>
      <c r="V422" s="1" t="str">
        <f>IFERROR(__xludf.DUMMYFUNCTION("""COMPUTED_VALUE"""),"(51)99324-1280")</f>
        <v>(51)99324-1280</v>
      </c>
      <c r="W422" s="1" t="str">
        <f>IFERROR(__xludf.DUMMYFUNCTION("""COMPUTED_VALUE"""),"(51)99641-0698")</f>
        <v>(51)99641-0698</v>
      </c>
      <c r="X422" s="1" t="str">
        <f>IFERROR(__xludf.DUMMYFUNCTION("""COMPUTED_VALUE"""),"Rio Grande Do Sul")</f>
        <v>Rio Grande Do Sul</v>
      </c>
      <c r="Y422" s="1" t="str">
        <f>IFERROR(__xludf.DUMMYFUNCTION("""COMPUTED_VALUE"""),"Encantado")</f>
        <v>Encantado</v>
      </c>
      <c r="Z422" s="1">
        <f>IFERROR(__xludf.DUMMYFUNCTION("""COMPUTED_VALUE"""),95960000)</f>
        <v>95960000</v>
      </c>
      <c r="AA422" s="1" t="str">
        <f>IFERROR(__xludf.DUMMYFUNCTION("""COMPUTED_VALUE"""),"Ers 433 KM 4")</f>
        <v>Ers 433 KM 4</v>
      </c>
      <c r="AB422" s="1" t="str">
        <f>IFERROR(__xludf.DUMMYFUNCTION("""COMPUTED_VALUE"""),"Barra Do Coqueiro")</f>
        <v>Barra Do Coqueiro</v>
      </c>
      <c r="AC422" s="1" t="str">
        <f>IFERROR(__xludf.DUMMYFUNCTION("""COMPUTED_VALUE"""),"G")</f>
        <v>G</v>
      </c>
      <c r="AD422" s="1" t="str">
        <f>IFERROR(__xludf.DUMMYFUNCTION("""COMPUTED_VALUE"""),"G")</f>
        <v>G</v>
      </c>
      <c r="AE422" s="1" t="str">
        <f>IFERROR(__xludf.DUMMYFUNCTION("""COMPUTED_VALUE"""),"G")</f>
        <v>G</v>
      </c>
      <c r="AF422" s="1" t="str">
        <f>IFERROR(__xludf.DUMMYFUNCTION("""COMPUTED_VALUE"""),"G")</f>
        <v>G</v>
      </c>
      <c r="AG422" s="1" t="str">
        <f>IFERROR(__xludf.DUMMYFUNCTION("""COMPUTED_VALUE"""),"G")</f>
        <v>G</v>
      </c>
      <c r="AH422" s="1">
        <f>IFERROR(__xludf.DUMMYFUNCTION("""COMPUTED_VALUE"""),40)</f>
        <v>40</v>
      </c>
      <c r="AI422" s="1">
        <f>IFERROR(__xludf.DUMMYFUNCTION("""COMPUTED_VALUE"""),40)</f>
        <v>40</v>
      </c>
      <c r="AJ422" s="1">
        <f>IFERROR(__xludf.DUMMYFUNCTION("""COMPUTED_VALUE"""),40)</f>
        <v>40</v>
      </c>
      <c r="AK422" s="1">
        <f>IFERROR(__xludf.DUMMYFUNCTION("""COMPUTED_VALUE"""),42)</f>
        <v>42</v>
      </c>
      <c r="AL422" s="1" t="str">
        <f>IFERROR(__xludf.DUMMYFUNCTION("""COMPUTED_VALUE"""),"G")</f>
        <v>G</v>
      </c>
      <c r="AM422" s="1" t="str">
        <f>IFERROR(__xludf.DUMMYFUNCTION("""COMPUTED_VALUE"""),"G")</f>
        <v>G</v>
      </c>
      <c r="AN422" s="1" t="str">
        <f>IFERROR(__xludf.DUMMYFUNCTION("""COMPUTED_VALUE"""),"G")</f>
        <v>G</v>
      </c>
    </row>
    <row r="423" customHeight="1" spans="1:40">
      <c r="A423" s="1" t="str">
        <f>IFERROR(__xludf.DUMMYFUNCTION("""COMPUTED_VALUE"""),"06° BBM")</f>
        <v>06° BBM</v>
      </c>
      <c r="B423" s="1" t="str">
        <f>IFERROR(__xludf.DUMMYFUNCTION("""COMPUTED_VALUE"""),"Camaquã")</f>
        <v>Camaquã</v>
      </c>
      <c r="C423" s="119" t="str">
        <f>IFERROR(__xludf.DUMMYFUNCTION("""COMPUTED_VALUE"""),"Comunitario")</f>
        <v>Comunitario</v>
      </c>
      <c r="D423" s="1" t="str">
        <f>IFERROR(__xludf.DUMMYFUNCTION("""COMPUTED_VALUE"""),"ALEXANDRE CAMPOS BRASIL")</f>
        <v>ALEXANDRE CAMPOS BRASIL</v>
      </c>
      <c r="E423" s="119" t="str">
        <f>IFERROR(__xludf.DUMMYFUNCTION("""COMPUTED_VALUE"""),"Curso CAB operador concluído")</f>
        <v>Curso CAB operador concluído</v>
      </c>
      <c r="F423" s="1">
        <f>IFERROR(__xludf.DUMMYFUNCTION("""COMPUTED_VALUE"""),96621230087)</f>
        <v>96621230087</v>
      </c>
      <c r="G423" s="1">
        <f>IFERROR(__xludf.DUMMYFUNCTION("""COMPUTED_VALUE"""),9079236338)</f>
        <v>9079236338</v>
      </c>
      <c r="H423" s="1" t="str">
        <f>IFERROR(__xludf.DUMMYFUNCTION("""COMPUTED_VALUE"""),"Combatente")</f>
        <v>Combatente</v>
      </c>
      <c r="I423" s="1"/>
      <c r="J423" s="1" t="str">
        <f>IFERROR(__xludf.DUMMYFUNCTION("""COMPUTED_VALUE"""),"Sim")</f>
        <v>Sim</v>
      </c>
      <c r="K423" s="1" t="str">
        <f>IFERROR(__xludf.DUMMYFUNCTION("""COMPUTED_VALUE"""),"Sim")</f>
        <v>Sim</v>
      </c>
      <c r="L423" s="1" t="str">
        <f>IFERROR(__xludf.DUMMYFUNCTION("""COMPUTED_VALUE"""),"O+")</f>
        <v>O+</v>
      </c>
      <c r="M423" s="1" t="str">
        <f>IFERROR(__xludf.DUMMYFUNCTION("""COMPUTED_VALUE"""),"ALEXANDRE")</f>
        <v>ALEXANDRE</v>
      </c>
      <c r="N423" s="121">
        <f>IFERROR(__xludf.DUMMYFUNCTION("""COMPUTED_VALUE"""),29210)</f>
        <v>29210</v>
      </c>
      <c r="O423" s="1" t="str">
        <f>IFERROR(__xludf.DUMMYFUNCTION("""COMPUTED_VALUE"""),"Masculino")</f>
        <v>Masculino</v>
      </c>
      <c r="P423" s="1" t="str">
        <f>IFERROR(__xludf.DUMMYFUNCTION("""COMPUTED_VALUE"""),"Branca")</f>
        <v>Branca</v>
      </c>
      <c r="Q423" s="1" t="str">
        <f>IFERROR(__xludf.DUMMYFUNCTION("""COMPUTED_VALUE"""),"Ensino Médio")</f>
        <v>Ensino Médio</v>
      </c>
      <c r="R423" s="1" t="str">
        <f>IFERROR(__xludf.DUMMYFUNCTION("""COMPUTED_VALUE"""),"xandyacb1@hotmail.com")</f>
        <v>xandyacb1@hotmail.com</v>
      </c>
      <c r="S423" s="1">
        <f>IFERROR(__xludf.DUMMYFUNCTION("""COMPUTED_VALUE"""),78)</f>
        <v>78</v>
      </c>
      <c r="T423" s="1" t="str">
        <f>IFERROR(__xludf.DUMMYFUNCTION("""COMPUTED_VALUE"""),"Entre 1,66m e 1,70m")</f>
        <v>Entre 1,66m e 1,70m</v>
      </c>
      <c r="U423" s="1" t="str">
        <f>IFERROR(__xludf.DUMMYFUNCTION("""COMPUTED_VALUE"""),"Não POSSUI")</f>
        <v>Não POSSUI</v>
      </c>
      <c r="V423" s="1" t="str">
        <f>IFERROR(__xludf.DUMMYFUNCTION("""COMPUTED_VALUE"""),"(51)99808-5587")</f>
        <v>(51)99808-5587</v>
      </c>
      <c r="W423" s="1" t="str">
        <f>IFERROR(__xludf.DUMMYFUNCTION("""COMPUTED_VALUE"""),"(51)99866-2646")</f>
        <v>(51)99866-2646</v>
      </c>
      <c r="X423" s="1" t="str">
        <f>IFERROR(__xludf.DUMMYFUNCTION("""COMPUTED_VALUE"""),"RS")</f>
        <v>RS</v>
      </c>
      <c r="Y423" s="1" t="str">
        <f>IFERROR(__xludf.DUMMYFUNCTION("""COMPUTED_VALUE"""),"Camaquã")</f>
        <v>Camaquã</v>
      </c>
      <c r="Z423" s="1">
        <f>IFERROR(__xludf.DUMMYFUNCTION("""COMPUTED_VALUE"""),96180000)</f>
        <v>96180000</v>
      </c>
      <c r="AA423" s="1" t="str">
        <f>IFERROR(__xludf.DUMMYFUNCTION("""COMPUTED_VALUE"""),"ANILDO OTTO HUBER")</f>
        <v>ANILDO OTTO HUBER</v>
      </c>
      <c r="AB423" s="1" t="str">
        <f>IFERROR(__xludf.DUMMYFUNCTION("""COMPUTED_VALUE"""),"MARIA DA GRAÇA")</f>
        <v>MARIA DA GRAÇA</v>
      </c>
      <c r="AC423" s="1" t="str">
        <f>IFERROR(__xludf.DUMMYFUNCTION("""COMPUTED_VALUE"""),"M")</f>
        <v>M</v>
      </c>
      <c r="AD423" s="1" t="str">
        <f>IFERROR(__xludf.DUMMYFUNCTION("""COMPUTED_VALUE"""),"G")</f>
        <v>G</v>
      </c>
      <c r="AE423" s="1" t="str">
        <f>IFERROR(__xludf.DUMMYFUNCTION("""COMPUTED_VALUE"""),"G")</f>
        <v>G</v>
      </c>
      <c r="AF423" s="1" t="str">
        <f>IFERROR(__xludf.DUMMYFUNCTION("""COMPUTED_VALUE"""),"G")</f>
        <v>G</v>
      </c>
      <c r="AG423" s="1" t="str">
        <f>IFERROR(__xludf.DUMMYFUNCTION("""COMPUTED_VALUE"""),"G")</f>
        <v>G</v>
      </c>
      <c r="AH423" s="1">
        <f>IFERROR(__xludf.DUMMYFUNCTION("""COMPUTED_VALUE"""),39)</f>
        <v>39</v>
      </c>
      <c r="AI423" s="1">
        <f>IFERROR(__xludf.DUMMYFUNCTION("""COMPUTED_VALUE"""),39)</f>
        <v>39</v>
      </c>
      <c r="AJ423" s="1">
        <f>IFERROR(__xludf.DUMMYFUNCTION("""COMPUTED_VALUE"""),39)</f>
        <v>39</v>
      </c>
      <c r="AK423" s="1">
        <f>IFERROR(__xludf.DUMMYFUNCTION("""COMPUTED_VALUE"""),39)</f>
        <v>39</v>
      </c>
      <c r="AL423" s="1" t="str">
        <f>IFERROR(__xludf.DUMMYFUNCTION("""COMPUTED_VALUE"""),"G")</f>
        <v>G</v>
      </c>
      <c r="AM423" s="1" t="str">
        <f>IFERROR(__xludf.DUMMYFUNCTION("""COMPUTED_VALUE"""),"G")</f>
        <v>G</v>
      </c>
      <c r="AN423" s="1" t="str">
        <f>IFERROR(__xludf.DUMMYFUNCTION("""COMPUTED_VALUE"""),"M")</f>
        <v>M</v>
      </c>
    </row>
    <row r="424" customHeight="1" spans="1:40">
      <c r="A424" s="1" t="str">
        <f>IFERROR(__xludf.DUMMYFUNCTION("""COMPUTED_VALUE"""),"06° BBM")</f>
        <v>06° BBM</v>
      </c>
      <c r="B424" s="1" t="str">
        <f>IFERROR(__xludf.DUMMYFUNCTION("""COMPUTED_VALUE"""),"Vera Cruz")</f>
        <v>Vera Cruz</v>
      </c>
      <c r="C424" s="119" t="str">
        <f>IFERROR(__xludf.DUMMYFUNCTION("""COMPUTED_VALUE"""),"Comunitario")</f>
        <v>Comunitario</v>
      </c>
      <c r="D424" s="1" t="str">
        <f>IFERROR(__xludf.DUMMYFUNCTION("""COMPUTED_VALUE"""),"ALEXANDRE GONÇALVES")</f>
        <v>ALEXANDRE GONÇALVES</v>
      </c>
      <c r="E424" s="119" t="str">
        <f>IFERROR(__xludf.DUMMYFUNCTION("""COMPUTED_VALUE"""),"Curso CAB operador concluído")</f>
        <v>Curso CAB operador concluído</v>
      </c>
      <c r="F424" s="1" t="str">
        <f>IFERROR(__xludf.DUMMYFUNCTION("""COMPUTED_VALUE"""),"019.079.660-05")</f>
        <v>019.079.660-05</v>
      </c>
      <c r="G424" s="1">
        <f>IFERROR(__xludf.DUMMYFUNCTION("""COMPUTED_VALUE"""),9096302717)</f>
        <v>9096302717</v>
      </c>
      <c r="H424" s="1" t="str">
        <f>IFERROR(__xludf.DUMMYFUNCTION("""COMPUTED_VALUE"""),"Combatente/Socorrista")</f>
        <v>Combatente/Socorrista</v>
      </c>
      <c r="I424" s="1" t="str">
        <f>IFERROR(__xludf.DUMMYFUNCTION("""COMPUTED_VALUE"""),"APH e BLS/ Bombeiro Civil/ Condutor Veiculo de Emergencia")</f>
        <v>APH e BLS/ Bombeiro Civil/ Condutor Veiculo de Emergencia</v>
      </c>
      <c r="J424" s="1" t="str">
        <f>IFERROR(__xludf.DUMMYFUNCTION("""COMPUTED_VALUE"""),"Não")</f>
        <v>Não</v>
      </c>
      <c r="K424" s="1" t="str">
        <f>IFERROR(__xludf.DUMMYFUNCTION("""COMPUTED_VALUE"""),"Sim")</f>
        <v>Sim</v>
      </c>
      <c r="L424" s="1" t="str">
        <f>IFERROR(__xludf.DUMMYFUNCTION("""COMPUTED_VALUE"""),"B+")</f>
        <v>B+</v>
      </c>
      <c r="M424" s="1" t="str">
        <f>IFERROR(__xludf.DUMMYFUNCTION("""COMPUTED_VALUE"""),"Gonçalves")</f>
        <v>Gonçalves</v>
      </c>
      <c r="N424" s="120">
        <f>IFERROR(__xludf.DUMMYFUNCTION("""COMPUTED_VALUE"""),32726)</f>
        <v>32726</v>
      </c>
      <c r="O424" s="1" t="str">
        <f>IFERROR(__xludf.DUMMYFUNCTION("""COMPUTED_VALUE"""),"Masculino")</f>
        <v>Masculino</v>
      </c>
      <c r="P424" s="1" t="str">
        <f>IFERROR(__xludf.DUMMYFUNCTION("""COMPUTED_VALUE"""),"Branca")</f>
        <v>Branca</v>
      </c>
      <c r="Q424" s="1" t="str">
        <f>IFERROR(__xludf.DUMMYFUNCTION("""COMPUTED_VALUE"""),"Ensino Superior Completo")</f>
        <v>Ensino Superior Completo</v>
      </c>
      <c r="R424" s="1" t="str">
        <f>IFERROR(__xludf.DUMMYFUNCTION("""COMPUTED_VALUE"""),"allerandrogoncallys@gmail.com")</f>
        <v>allerandrogoncallys@gmail.com</v>
      </c>
      <c r="S424" s="1">
        <f>IFERROR(__xludf.DUMMYFUNCTION("""COMPUTED_VALUE"""),92)</f>
        <v>92</v>
      </c>
      <c r="T424" s="1" t="str">
        <f>IFERROR(__xludf.DUMMYFUNCTION("""COMPUTED_VALUE"""),"Entre 1,66m e 1,70m")</f>
        <v>Entre 1,66m e 1,70m</v>
      </c>
      <c r="U424" s="1" t="str">
        <f>IFERROR(__xludf.DUMMYFUNCTION("""COMPUTED_VALUE"""),"Não POSSUI")</f>
        <v>Não POSSUI</v>
      </c>
      <c r="V424" s="1" t="str">
        <f>IFERROR(__xludf.DUMMYFUNCTION("""COMPUTED_VALUE"""),"(51) 98627-8814")</f>
        <v>(51) 98627-8814</v>
      </c>
      <c r="W424" s="1" t="str">
        <f>IFERROR(__xludf.DUMMYFUNCTION("""COMPUTED_VALUE"""),"(51) 98152-5877")</f>
        <v>(51) 98152-5877</v>
      </c>
      <c r="X424" s="1" t="str">
        <f>IFERROR(__xludf.DUMMYFUNCTION("""COMPUTED_VALUE"""),"RS")</f>
        <v>RS</v>
      </c>
      <c r="Y424" s="1" t="str">
        <f>IFERROR(__xludf.DUMMYFUNCTION("""COMPUTED_VALUE"""),"Santa Cruz do Sul")</f>
        <v>Santa Cruz do Sul</v>
      </c>
      <c r="Z424" s="1" t="str">
        <f>IFERROR(__xludf.DUMMYFUNCTION("""COMPUTED_VALUE"""),"96842-320")</f>
        <v>96842-320</v>
      </c>
      <c r="AA424" s="1" t="str">
        <f>IFERROR(__xludf.DUMMYFUNCTION("""COMPUTED_VALUE"""),"Rua Primavera Nº 141")</f>
        <v>Rua Primavera Nº 141</v>
      </c>
      <c r="AB424" s="1" t="str">
        <f>IFERROR(__xludf.DUMMYFUNCTION("""COMPUTED_VALUE"""),"Dona Carlota/Viver Bem")</f>
        <v>Dona Carlota/Viver Bem</v>
      </c>
      <c r="AC424" s="1" t="str">
        <f>IFERROR(__xludf.DUMMYFUNCTION("""COMPUTED_VALUE"""),"G")</f>
        <v>G</v>
      </c>
      <c r="AD424" s="1" t="str">
        <f>IFERROR(__xludf.DUMMYFUNCTION("""COMPUTED_VALUE"""),"G")</f>
        <v>G</v>
      </c>
      <c r="AE424" s="1" t="str">
        <f>IFERROR(__xludf.DUMMYFUNCTION("""COMPUTED_VALUE"""),"G")</f>
        <v>G</v>
      </c>
      <c r="AF424" s="1" t="str">
        <f>IFERROR(__xludf.DUMMYFUNCTION("""COMPUTED_VALUE"""),"G")</f>
        <v>G</v>
      </c>
      <c r="AG424" s="1" t="str">
        <f>IFERROR(__xludf.DUMMYFUNCTION("""COMPUTED_VALUE"""),"G")</f>
        <v>G</v>
      </c>
      <c r="AH424" s="1">
        <f>IFERROR(__xludf.DUMMYFUNCTION("""COMPUTED_VALUE"""),41)</f>
        <v>41</v>
      </c>
      <c r="AI424" s="1">
        <f>IFERROR(__xludf.DUMMYFUNCTION("""COMPUTED_VALUE"""),41)</f>
        <v>41</v>
      </c>
      <c r="AJ424" s="1">
        <f>IFERROR(__xludf.DUMMYFUNCTION("""COMPUTED_VALUE"""),41)</f>
        <v>41</v>
      </c>
      <c r="AK424" s="1">
        <f>IFERROR(__xludf.DUMMYFUNCTION("""COMPUTED_VALUE"""),41)</f>
        <v>41</v>
      </c>
      <c r="AL424" s="1" t="str">
        <f>IFERROR(__xludf.DUMMYFUNCTION("""COMPUTED_VALUE"""),"G")</f>
        <v>G</v>
      </c>
      <c r="AM424" s="1" t="str">
        <f>IFERROR(__xludf.DUMMYFUNCTION("""COMPUTED_VALUE"""),"G")</f>
        <v>G</v>
      </c>
      <c r="AN424" s="1" t="str">
        <f>IFERROR(__xludf.DUMMYFUNCTION("""COMPUTED_VALUE"""),"G")</f>
        <v>G</v>
      </c>
    </row>
    <row r="425" customHeight="1" spans="1:40">
      <c r="A425" s="1" t="str">
        <f>IFERROR(__xludf.DUMMYFUNCTION("""COMPUTED_VALUE"""),"06° BBM")</f>
        <v>06° BBM</v>
      </c>
      <c r="B425" s="1" t="str">
        <f>IFERROR(__xludf.DUMMYFUNCTION("""COMPUTED_VALUE"""),"Vera Cruz")</f>
        <v>Vera Cruz</v>
      </c>
      <c r="C425" s="119" t="str">
        <f>IFERROR(__xludf.DUMMYFUNCTION("""COMPUTED_VALUE"""),"Comunitario")</f>
        <v>Comunitario</v>
      </c>
      <c r="D425" s="1" t="str">
        <f>IFERROR(__xludf.DUMMYFUNCTION("""COMPUTED_VALUE"""),"ANDERSON BERLE")</f>
        <v>ANDERSON BERLE</v>
      </c>
      <c r="E425" s="119" t="str">
        <f>IFERROR(__xludf.DUMMYFUNCTION("""COMPUTED_VALUE"""),"")</f>
        <v/>
      </c>
      <c r="F425" s="1" t="str">
        <f>IFERROR(__xludf.DUMMYFUNCTION("""COMPUTED_VALUE"""),"020.882.600-99")</f>
        <v>020.882.600-99</v>
      </c>
      <c r="G425" s="1">
        <f>IFERROR(__xludf.DUMMYFUNCTION("""COMPUTED_VALUE"""),1102269675)</f>
        <v>1102269675</v>
      </c>
      <c r="H425" s="1" t="str">
        <f>IFERROR(__xludf.DUMMYFUNCTION("""COMPUTED_VALUE"""),"Combatente/Socorrista")</f>
        <v>Combatente/Socorrista</v>
      </c>
      <c r="I425" s="1" t="str">
        <f>IFERROR(__xludf.DUMMYFUNCTION("""COMPUTED_VALUE"""),"APH e BLS/ Bombeiro Civil/ Condutor Veiculo de Emergencia")</f>
        <v>APH e BLS/ Bombeiro Civil/ Condutor Veiculo de Emergencia</v>
      </c>
      <c r="J425" s="1" t="str">
        <f>IFERROR(__xludf.DUMMYFUNCTION("""COMPUTED_VALUE"""),"Não")</f>
        <v>Não</v>
      </c>
      <c r="K425" s="1" t="str">
        <f>IFERROR(__xludf.DUMMYFUNCTION("""COMPUTED_VALUE"""),"Não")</f>
        <v>Não</v>
      </c>
      <c r="L425" s="1" t="str">
        <f>IFERROR(__xludf.DUMMYFUNCTION("""COMPUTED_VALUE"""),"A+")</f>
        <v>A+</v>
      </c>
      <c r="M425" s="1" t="str">
        <f>IFERROR(__xludf.DUMMYFUNCTION("""COMPUTED_VALUE"""),"Berle")</f>
        <v>Berle</v>
      </c>
      <c r="N425" s="120">
        <f>IFERROR(__xludf.DUMMYFUNCTION("""COMPUTED_VALUE"""),32868)</f>
        <v>32868</v>
      </c>
      <c r="O425" s="1" t="str">
        <f>IFERROR(__xludf.DUMMYFUNCTION("""COMPUTED_VALUE"""),"Masculino")</f>
        <v>Masculino</v>
      </c>
      <c r="P425" s="1" t="str">
        <f>IFERROR(__xludf.DUMMYFUNCTION("""COMPUTED_VALUE"""),"Branca")</f>
        <v>Branca</v>
      </c>
      <c r="Q425" s="1" t="str">
        <f>IFERROR(__xludf.DUMMYFUNCTION("""COMPUTED_VALUE"""),"Ensino Superior Incompleto")</f>
        <v>Ensino Superior Incompleto</v>
      </c>
      <c r="R425" s="1" t="str">
        <f>IFERROR(__xludf.DUMMYFUNCTION("""COMPUTED_VALUE"""),"berleanderson5@gmail.com")</f>
        <v>berleanderson5@gmail.com</v>
      </c>
      <c r="S425" s="1">
        <f>IFERROR(__xludf.DUMMYFUNCTION("""COMPUTED_VALUE"""),110)</f>
        <v>110</v>
      </c>
      <c r="T425" s="1" t="str">
        <f>IFERROR(__xludf.DUMMYFUNCTION("""COMPUTED_VALUE"""),"Entre 1,91m e 1,95m")</f>
        <v>Entre 1,91m e 1,95m</v>
      </c>
      <c r="U425" s="1" t="str">
        <f>IFERROR(__xludf.DUMMYFUNCTION("""COMPUTED_VALUE"""),"Não POSSUI")</f>
        <v>Não POSSUI</v>
      </c>
      <c r="V425" s="1" t="str">
        <f>IFERROR(__xludf.DUMMYFUNCTION("""COMPUTED_VALUE"""),"(51) 99259-9082")</f>
        <v>(51) 99259-9082</v>
      </c>
      <c r="W425" s="1" t="str">
        <f>IFERROR(__xludf.DUMMYFUNCTION("""COMPUTED_VALUE"""),"(51) 99937-3432")</f>
        <v>(51) 99937-3432</v>
      </c>
      <c r="X425" s="1" t="str">
        <f>IFERROR(__xludf.DUMMYFUNCTION("""COMPUTED_VALUE"""),"RS")</f>
        <v>RS</v>
      </c>
      <c r="Y425" s="1" t="str">
        <f>IFERROR(__xludf.DUMMYFUNCTION("""COMPUTED_VALUE"""),"Candelária")</f>
        <v>Candelária</v>
      </c>
      <c r="Z425" s="1" t="str">
        <f>IFERROR(__xludf.DUMMYFUNCTION("""COMPUTED_VALUE"""),"96930-000")</f>
        <v>96930-000</v>
      </c>
      <c r="AA425" s="1" t="str">
        <f>IFERROR(__xludf.DUMMYFUNCTION("""COMPUTED_VALUE"""),"Linha Travessão")</f>
        <v>Linha Travessão</v>
      </c>
      <c r="AB425" s="1" t="str">
        <f>IFERROR(__xludf.DUMMYFUNCTION("""COMPUTED_VALUE"""),"Interior")</f>
        <v>Interior</v>
      </c>
      <c r="AC425" s="1" t="str">
        <f>IFERROR(__xludf.DUMMYFUNCTION("""COMPUTED_VALUE"""),"GG")</f>
        <v>GG</v>
      </c>
      <c r="AD425" s="1" t="str">
        <f>IFERROR(__xludf.DUMMYFUNCTION("""COMPUTED_VALUE"""),"GG")</f>
        <v>GG</v>
      </c>
      <c r="AE425" s="1" t="str">
        <f>IFERROR(__xludf.DUMMYFUNCTION("""COMPUTED_VALUE"""),"GG")</f>
        <v>GG</v>
      </c>
      <c r="AF425" s="1" t="str">
        <f>IFERROR(__xludf.DUMMYFUNCTION("""COMPUTED_VALUE"""),"GG")</f>
        <v>GG</v>
      </c>
      <c r="AG425" s="1" t="str">
        <f>IFERROR(__xludf.DUMMYFUNCTION("""COMPUTED_VALUE"""),"GG")</f>
        <v>GG</v>
      </c>
      <c r="AH425" s="1">
        <f>IFERROR(__xludf.DUMMYFUNCTION("""COMPUTED_VALUE"""),46)</f>
        <v>46</v>
      </c>
      <c r="AI425" s="1">
        <f>IFERROR(__xludf.DUMMYFUNCTION("""COMPUTED_VALUE"""),46)</f>
        <v>46</v>
      </c>
      <c r="AJ425" s="1">
        <f>IFERROR(__xludf.DUMMYFUNCTION("""COMPUTED_VALUE"""),46)</f>
        <v>46</v>
      </c>
      <c r="AK425" s="1">
        <f>IFERROR(__xludf.DUMMYFUNCTION("""COMPUTED_VALUE"""),46)</f>
        <v>46</v>
      </c>
      <c r="AL425" s="1" t="str">
        <f>IFERROR(__xludf.DUMMYFUNCTION("""COMPUTED_VALUE"""),"GG")</f>
        <v>GG</v>
      </c>
      <c r="AM425" s="1" t="str">
        <f>IFERROR(__xludf.DUMMYFUNCTION("""COMPUTED_VALUE"""),"GG")</f>
        <v>GG</v>
      </c>
      <c r="AN425" s="1" t="str">
        <f>IFERROR(__xludf.DUMMYFUNCTION("""COMPUTED_VALUE"""),"G")</f>
        <v>G</v>
      </c>
    </row>
    <row r="426" customHeight="1" spans="1:40">
      <c r="A426" s="1" t="str">
        <f>IFERROR(__xludf.DUMMYFUNCTION("""COMPUTED_VALUE"""),"06° BBM")</f>
        <v>06° BBM</v>
      </c>
      <c r="B426" s="1" t="str">
        <f>IFERROR(__xludf.DUMMYFUNCTION("""COMPUTED_VALUE"""),"Vera Cruz")</f>
        <v>Vera Cruz</v>
      </c>
      <c r="C426" s="119" t="str">
        <f>IFERROR(__xludf.DUMMYFUNCTION("""COMPUTED_VALUE"""),"Comunitario")</f>
        <v>Comunitario</v>
      </c>
      <c r="D426" s="1" t="str">
        <f>IFERROR(__xludf.DUMMYFUNCTION("""COMPUTED_VALUE"""),"ANDRÉ LUIS WEIS")</f>
        <v>ANDRÉ LUIS WEIS</v>
      </c>
      <c r="E426" s="119" t="str">
        <f>IFERROR(__xludf.DUMMYFUNCTION("""COMPUTED_VALUE"""),"Curso CAB operador concluído")</f>
        <v>Curso CAB operador concluído</v>
      </c>
      <c r="F426" s="1" t="str">
        <f>IFERROR(__xludf.DUMMYFUNCTION("""COMPUTED_VALUE"""),"002.754.480-02")</f>
        <v>002.754.480-02</v>
      </c>
      <c r="G426" s="1">
        <f>IFERROR(__xludf.DUMMYFUNCTION("""COMPUTED_VALUE"""),8073084603)</f>
        <v>8073084603</v>
      </c>
      <c r="H426" s="1" t="str">
        <f>IFERROR(__xludf.DUMMYFUNCTION("""COMPUTED_VALUE"""),"Combatente/Socorrista")</f>
        <v>Combatente/Socorrista</v>
      </c>
      <c r="I426" s="1" t="str">
        <f>IFERROR(__xludf.DUMMYFUNCTION("""COMPUTED_VALUE"""),"APH e BLS")</f>
        <v>APH e BLS</v>
      </c>
      <c r="J426" s="1" t="str">
        <f>IFERROR(__xludf.DUMMYFUNCTION("""COMPUTED_VALUE"""),"Não")</f>
        <v>Não</v>
      </c>
      <c r="K426" s="1" t="str">
        <f>IFERROR(__xludf.DUMMYFUNCTION("""COMPUTED_VALUE"""),"Sim")</f>
        <v>Sim</v>
      </c>
      <c r="L426" s="1" t="str">
        <f>IFERROR(__xludf.DUMMYFUNCTION("""COMPUTED_VALUE"""),"A+")</f>
        <v>A+</v>
      </c>
      <c r="M426" s="1" t="str">
        <f>IFERROR(__xludf.DUMMYFUNCTION("""COMPUTED_VALUE"""),"André")</f>
        <v>André</v>
      </c>
      <c r="N426" s="120">
        <f>IFERROR(__xludf.DUMMYFUNCTION("""COMPUTED_VALUE"""),30049)</f>
        <v>30049</v>
      </c>
      <c r="O426" s="1" t="str">
        <f>IFERROR(__xludf.DUMMYFUNCTION("""COMPUTED_VALUE"""),"Masculino")</f>
        <v>Masculino</v>
      </c>
      <c r="P426" s="1" t="str">
        <f>IFERROR(__xludf.DUMMYFUNCTION("""COMPUTED_VALUE"""),"Branca")</f>
        <v>Branca</v>
      </c>
      <c r="Q426" s="1" t="str">
        <f>IFERROR(__xludf.DUMMYFUNCTION("""COMPUTED_VALUE"""),"Ensino Médio")</f>
        <v>Ensino Médio</v>
      </c>
      <c r="R426" s="1" t="str">
        <f>IFERROR(__xludf.DUMMYFUNCTION("""COMPUTED_VALUE"""),"weis_82@yahoo.com.br")</f>
        <v>weis_82@yahoo.com.br</v>
      </c>
      <c r="S426" s="1">
        <f>IFERROR(__xludf.DUMMYFUNCTION("""COMPUTED_VALUE"""),74)</f>
        <v>74</v>
      </c>
      <c r="T426" s="1" t="str">
        <f>IFERROR(__xludf.DUMMYFUNCTION("""COMPUTED_VALUE"""),"Entre 1,81m e 1,85m")</f>
        <v>Entre 1,81m e 1,85m</v>
      </c>
      <c r="U426" s="1" t="str">
        <f>IFERROR(__xludf.DUMMYFUNCTION("""COMPUTED_VALUE"""),"Não POSSUI")</f>
        <v>Não POSSUI</v>
      </c>
      <c r="V426" s="1" t="str">
        <f>IFERROR(__xludf.DUMMYFUNCTION("""COMPUTED_VALUE"""),"(51)99815-9023")</f>
        <v>(51)99815-9023</v>
      </c>
      <c r="W426" s="1" t="str">
        <f>IFERROR(__xludf.DUMMYFUNCTION("""COMPUTED_VALUE"""),"(51)99685-4363")</f>
        <v>(51)99685-4363</v>
      </c>
      <c r="X426" s="1" t="str">
        <f>IFERROR(__xludf.DUMMYFUNCTION("""COMPUTED_VALUE"""),"RS")</f>
        <v>RS</v>
      </c>
      <c r="Y426" s="1" t="str">
        <f>IFERROR(__xludf.DUMMYFUNCTION("""COMPUTED_VALUE"""),"Vera Cruz")</f>
        <v>Vera Cruz</v>
      </c>
      <c r="Z426" s="1" t="str">
        <f>IFERROR(__xludf.DUMMYFUNCTION("""COMPUTED_VALUE"""),"96880-000")</f>
        <v>96880-000</v>
      </c>
      <c r="AA426" s="1" t="str">
        <f>IFERROR(__xludf.DUMMYFUNCTION("""COMPUTED_VALUE"""),"Linha Rincão da Serra Nº6790")</f>
        <v>Linha Rincão da Serra Nº6790</v>
      </c>
      <c r="AB426" s="1" t="str">
        <f>IFERROR(__xludf.DUMMYFUNCTION("""COMPUTED_VALUE"""),"Interior")</f>
        <v>Interior</v>
      </c>
      <c r="AC426" s="1" t="str">
        <f>IFERROR(__xludf.DUMMYFUNCTION("""COMPUTED_VALUE"""),"G")</f>
        <v>G</v>
      </c>
      <c r="AD426" s="1" t="str">
        <f>IFERROR(__xludf.DUMMYFUNCTION("""COMPUTED_VALUE"""),"G")</f>
        <v>G</v>
      </c>
      <c r="AE426" s="1" t="str">
        <f>IFERROR(__xludf.DUMMYFUNCTION("""COMPUTED_VALUE"""),"G")</f>
        <v>G</v>
      </c>
      <c r="AF426" s="1" t="str">
        <f>IFERROR(__xludf.DUMMYFUNCTION("""COMPUTED_VALUE"""),"G")</f>
        <v>G</v>
      </c>
      <c r="AG426" s="1" t="str">
        <f>IFERROR(__xludf.DUMMYFUNCTION("""COMPUTED_VALUE"""),"G")</f>
        <v>G</v>
      </c>
      <c r="AH426" s="1">
        <f>IFERROR(__xludf.DUMMYFUNCTION("""COMPUTED_VALUE"""),43)</f>
        <v>43</v>
      </c>
      <c r="AI426" s="1">
        <f>IFERROR(__xludf.DUMMYFUNCTION("""COMPUTED_VALUE"""),43)</f>
        <v>43</v>
      </c>
      <c r="AJ426" s="1">
        <f>IFERROR(__xludf.DUMMYFUNCTION("""COMPUTED_VALUE"""),43)</f>
        <v>43</v>
      </c>
      <c r="AK426" s="1">
        <f>IFERROR(__xludf.DUMMYFUNCTION("""COMPUTED_VALUE"""),43)</f>
        <v>43</v>
      </c>
      <c r="AL426" s="1" t="str">
        <f>IFERROR(__xludf.DUMMYFUNCTION("""COMPUTED_VALUE"""),"G")</f>
        <v>G</v>
      </c>
      <c r="AM426" s="1" t="str">
        <f>IFERROR(__xludf.DUMMYFUNCTION("""COMPUTED_VALUE"""),"G")</f>
        <v>G</v>
      </c>
      <c r="AN426" s="1" t="str">
        <f>IFERROR(__xludf.DUMMYFUNCTION("""COMPUTED_VALUE"""),"G")</f>
        <v>G</v>
      </c>
    </row>
    <row r="427" customHeight="1" spans="1:40">
      <c r="A427" s="1" t="str">
        <f>IFERROR(__xludf.DUMMYFUNCTION("""COMPUTED_VALUE"""),"06° BBM")</f>
        <v>06° BBM</v>
      </c>
      <c r="B427" s="1" t="str">
        <f>IFERROR(__xludf.DUMMYFUNCTION("""COMPUTED_VALUE"""),"Vera Cruz")</f>
        <v>Vera Cruz</v>
      </c>
      <c r="C427" s="119" t="str">
        <f>IFERROR(__xludf.DUMMYFUNCTION("""COMPUTED_VALUE"""),"Comunitario")</f>
        <v>Comunitario</v>
      </c>
      <c r="D427" s="1" t="str">
        <f>IFERROR(__xludf.DUMMYFUNCTION("""COMPUTED_VALUE"""),"AUGUSTO CESAR DA SILVA")</f>
        <v>AUGUSTO CESAR DA SILVA</v>
      </c>
      <c r="E427" s="119" t="str">
        <f>IFERROR(__xludf.DUMMYFUNCTION("""COMPUTED_VALUE"""),"")</f>
        <v/>
      </c>
      <c r="F427" s="1" t="str">
        <f>IFERROR(__xludf.DUMMYFUNCTION("""COMPUTED_VALUE"""),"038.781.060.92")</f>
        <v>038.781.060.92</v>
      </c>
      <c r="G427" s="1">
        <f>IFERROR(__xludf.DUMMYFUNCTION("""COMPUTED_VALUE"""),1114577255)</f>
        <v>1114577255</v>
      </c>
      <c r="H427" s="1" t="str">
        <f>IFERROR(__xludf.DUMMYFUNCTION("""COMPUTED_VALUE"""),"Combatente/Socorrista")</f>
        <v>Combatente/Socorrista</v>
      </c>
      <c r="I427" s="1" t="str">
        <f>IFERROR(__xludf.DUMMYFUNCTION("""COMPUTED_VALUE"""),"APH e BLS/ Bombeiro Civil")</f>
        <v>APH e BLS/ Bombeiro Civil</v>
      </c>
      <c r="J427" s="1" t="str">
        <f>IFERROR(__xludf.DUMMYFUNCTION("""COMPUTED_VALUE"""),"Não")</f>
        <v>Não</v>
      </c>
      <c r="K427" s="1" t="str">
        <f>IFERROR(__xludf.DUMMYFUNCTION("""COMPUTED_VALUE"""),"Não")</f>
        <v>Não</v>
      </c>
      <c r="L427" s="1" t="str">
        <f>IFERROR(__xludf.DUMMYFUNCTION("""COMPUTED_VALUE"""),"O+")</f>
        <v>O+</v>
      </c>
      <c r="M427" s="1" t="str">
        <f>IFERROR(__xludf.DUMMYFUNCTION("""COMPUTED_VALUE"""),"Augusto")</f>
        <v>Augusto</v>
      </c>
      <c r="N427" s="120">
        <f>IFERROR(__xludf.DUMMYFUNCTION("""COMPUTED_VALUE"""),36333)</f>
        <v>36333</v>
      </c>
      <c r="O427" s="1" t="str">
        <f>IFERROR(__xludf.DUMMYFUNCTION("""COMPUTED_VALUE"""),"Masculino")</f>
        <v>Masculino</v>
      </c>
      <c r="P427" s="1" t="str">
        <f>IFERROR(__xludf.DUMMYFUNCTION("""COMPUTED_VALUE"""),"Branca")</f>
        <v>Branca</v>
      </c>
      <c r="Q427" s="1" t="str">
        <f>IFERROR(__xludf.DUMMYFUNCTION("""COMPUTED_VALUE"""),"Ensino Médio")</f>
        <v>Ensino Médio</v>
      </c>
      <c r="R427" s="1" t="str">
        <f>IFERROR(__xludf.DUMMYFUNCTION("""COMPUTED_VALUE"""),"augustocesardasilva036@gmail.com")</f>
        <v>augustocesardasilva036@gmail.com</v>
      </c>
      <c r="S427" s="1">
        <f>IFERROR(__xludf.DUMMYFUNCTION("""COMPUTED_VALUE"""),82)</f>
        <v>82</v>
      </c>
      <c r="T427" s="1" t="str">
        <f>IFERROR(__xludf.DUMMYFUNCTION("""COMPUTED_VALUE"""),"Entre 1,76m e 1,80m")</f>
        <v>Entre 1,76m e 1,80m</v>
      </c>
      <c r="U427" s="1" t="str">
        <f>IFERROR(__xludf.DUMMYFUNCTION("""COMPUTED_VALUE"""),"Não POSSUI")</f>
        <v>Não POSSUI</v>
      </c>
      <c r="V427" s="1" t="str">
        <f>IFERROR(__xludf.DUMMYFUNCTION("""COMPUTED_VALUE"""),"(51)99734-9740")</f>
        <v>(51)99734-9740</v>
      </c>
      <c r="W427" s="1" t="str">
        <f>IFERROR(__xludf.DUMMYFUNCTION("""COMPUTED_VALUE"""),"(51)99676-1548")</f>
        <v>(51)99676-1548</v>
      </c>
      <c r="X427" s="1" t="str">
        <f>IFERROR(__xludf.DUMMYFUNCTION("""COMPUTED_VALUE"""),"RS")</f>
        <v>RS</v>
      </c>
      <c r="Y427" s="1" t="str">
        <f>IFERROR(__xludf.DUMMYFUNCTION("""COMPUTED_VALUE"""),"Vera Cruz")</f>
        <v>Vera Cruz</v>
      </c>
      <c r="Z427" s="1" t="str">
        <f>IFERROR(__xludf.DUMMYFUNCTION("""COMPUTED_VALUE"""),"96880-000")</f>
        <v>96880-000</v>
      </c>
      <c r="AA427" s="1" t="str">
        <f>IFERROR(__xludf.DUMMYFUNCTION("""COMPUTED_VALUE"""),"Rua Noberto Diehl")</f>
        <v>Rua Noberto Diehl</v>
      </c>
      <c r="AB427" s="1" t="str">
        <f>IFERROR(__xludf.DUMMYFUNCTION("""COMPUTED_VALUE"""),"Belo Horizonte")</f>
        <v>Belo Horizonte</v>
      </c>
      <c r="AC427" s="1" t="str">
        <f>IFERROR(__xludf.DUMMYFUNCTION("""COMPUTED_VALUE"""),"M")</f>
        <v>M</v>
      </c>
      <c r="AD427" s="1" t="str">
        <f>IFERROR(__xludf.DUMMYFUNCTION("""COMPUTED_VALUE"""),"M")</f>
        <v>M</v>
      </c>
      <c r="AE427" s="1" t="str">
        <f>IFERROR(__xludf.DUMMYFUNCTION("""COMPUTED_VALUE"""),"M")</f>
        <v>M</v>
      </c>
      <c r="AF427" s="1" t="str">
        <f>IFERROR(__xludf.DUMMYFUNCTION("""COMPUTED_VALUE"""),"M")</f>
        <v>M</v>
      </c>
      <c r="AG427" s="1" t="str">
        <f>IFERROR(__xludf.DUMMYFUNCTION("""COMPUTED_VALUE"""),"M")</f>
        <v>M</v>
      </c>
      <c r="AH427" s="1">
        <f>IFERROR(__xludf.DUMMYFUNCTION("""COMPUTED_VALUE"""),41)</f>
        <v>41</v>
      </c>
      <c r="AI427" s="1">
        <f>IFERROR(__xludf.DUMMYFUNCTION("""COMPUTED_VALUE"""),41)</f>
        <v>41</v>
      </c>
      <c r="AJ427" s="1">
        <f>IFERROR(__xludf.DUMMYFUNCTION("""COMPUTED_VALUE"""),41)</f>
        <v>41</v>
      </c>
      <c r="AK427" s="1">
        <f>IFERROR(__xludf.DUMMYFUNCTION("""COMPUTED_VALUE"""),41)</f>
        <v>41</v>
      </c>
      <c r="AL427" s="1" t="str">
        <f>IFERROR(__xludf.DUMMYFUNCTION("""COMPUTED_VALUE"""),"M")</f>
        <v>M</v>
      </c>
      <c r="AM427" s="1" t="str">
        <f>IFERROR(__xludf.DUMMYFUNCTION("""COMPUTED_VALUE"""),"M")</f>
        <v>M</v>
      </c>
      <c r="AN427" s="1" t="str">
        <f>IFERROR(__xludf.DUMMYFUNCTION("""COMPUTED_VALUE"""),"M")</f>
        <v>M</v>
      </c>
    </row>
    <row r="428" customHeight="1" spans="1:40">
      <c r="A428" s="1" t="str">
        <f>IFERROR(__xludf.DUMMYFUNCTION("""COMPUTED_VALUE"""),"06° BBM")</f>
        <v>06° BBM</v>
      </c>
      <c r="B428" s="1" t="str">
        <f>IFERROR(__xludf.DUMMYFUNCTION("""COMPUTED_VALUE"""),"Encruzilhada do Sul")</f>
        <v>Encruzilhada do Sul</v>
      </c>
      <c r="C428" s="119" t="str">
        <f>IFERROR(__xludf.DUMMYFUNCTION("""COMPUTED_VALUE"""),"Comunitario")</f>
        <v>Comunitario</v>
      </c>
      <c r="D428" s="1" t="str">
        <f>IFERROR(__xludf.DUMMYFUNCTION("""COMPUTED_VALUE"""),"AUGUSTO DILAMAR NUNES DA SILVA")</f>
        <v>AUGUSTO DILAMAR NUNES DA SILVA</v>
      </c>
      <c r="E428" s="119" t="str">
        <f>IFERROR(__xludf.DUMMYFUNCTION("""COMPUTED_VALUE"""),"Curso CAB operador concluído")</f>
        <v>Curso CAB operador concluído</v>
      </c>
      <c r="F428" s="1">
        <f>IFERROR(__xludf.DUMMYFUNCTION("""COMPUTED_VALUE"""),65031512091)</f>
        <v>65031512091</v>
      </c>
      <c r="G428" s="1">
        <f>IFERROR(__xludf.DUMMYFUNCTION("""COMPUTED_VALUE"""),1057205674)</f>
        <v>1057205674</v>
      </c>
      <c r="H428" s="1" t="str">
        <f>IFERROR(__xludf.DUMMYFUNCTION("""COMPUTED_VALUE"""),"CAB")</f>
        <v>CAB</v>
      </c>
      <c r="I428" s="1" t="str">
        <f>IFERROR(__xludf.DUMMYFUNCTION("""COMPUTED_VALUE"""),"Curso de técnica e tática de combate a incêndio")</f>
        <v>Curso de técnica e tática de combate a incêndio</v>
      </c>
      <c r="J428" s="1" t="str">
        <f>IFERROR(__xludf.DUMMYFUNCTION("""COMPUTED_VALUE"""),"Sim")</f>
        <v>Sim</v>
      </c>
      <c r="K428" s="1" t="str">
        <f>IFERROR(__xludf.DUMMYFUNCTION("""COMPUTED_VALUE"""),"Sim")</f>
        <v>Sim</v>
      </c>
      <c r="L428" s="1" t="str">
        <f>IFERROR(__xludf.DUMMYFUNCTION("""COMPUTED_VALUE"""),"A+")</f>
        <v>A+</v>
      </c>
      <c r="M428" s="1" t="str">
        <f>IFERROR(__xludf.DUMMYFUNCTION("""COMPUTED_VALUE"""),"Augusto")</f>
        <v>Augusto</v>
      </c>
      <c r="N428" s="120">
        <f>IFERROR(__xludf.DUMMYFUNCTION("""COMPUTED_VALUE"""),26692)</f>
        <v>26692</v>
      </c>
      <c r="O428" s="1" t="str">
        <f>IFERROR(__xludf.DUMMYFUNCTION("""COMPUTED_VALUE"""),"Masculino")</f>
        <v>Masculino</v>
      </c>
      <c r="P428" s="1" t="str">
        <f>IFERROR(__xludf.DUMMYFUNCTION("""COMPUTED_VALUE"""),"Branca")</f>
        <v>Branca</v>
      </c>
      <c r="Q428" s="1" t="str">
        <f>IFERROR(__xludf.DUMMYFUNCTION("""COMPUTED_VALUE"""),"Ensino Médio")</f>
        <v>Ensino Médio</v>
      </c>
      <c r="R428" s="1" t="str">
        <f>IFERROR(__xludf.DUMMYFUNCTION("""COMPUTED_VALUE"""),"augustonunesdi@gmail.com")</f>
        <v>augustonunesdi@gmail.com</v>
      </c>
      <c r="S428" s="1">
        <f>IFERROR(__xludf.DUMMYFUNCTION("""COMPUTED_VALUE"""),65)</f>
        <v>65</v>
      </c>
      <c r="T428" s="1" t="str">
        <f>IFERROR(__xludf.DUMMYFUNCTION("""COMPUTED_VALUE"""),"Entre 1,61m e 1,65m")</f>
        <v>Entre 1,61m e 1,65m</v>
      </c>
      <c r="U428" s="1" t="str">
        <f>IFERROR(__xludf.DUMMYFUNCTION("""COMPUTED_VALUE"""),"Não POSSUI")</f>
        <v>Não POSSUI</v>
      </c>
      <c r="V428" s="1" t="str">
        <f>IFERROR(__xludf.DUMMYFUNCTION("""COMPUTED_VALUE"""),"(51)9-9945-3213")</f>
        <v>(51)9-9945-3213</v>
      </c>
      <c r="W428" s="1" t="str">
        <f>IFERROR(__xludf.DUMMYFUNCTION("""COMPUTED_VALUE"""),"(51)9-8047-3709")</f>
        <v>(51)9-8047-3709</v>
      </c>
      <c r="X428" s="1"/>
      <c r="Y428" s="1" t="str">
        <f>IFERROR(__xludf.DUMMYFUNCTION("""COMPUTED_VALUE"""),"Rio Pardo")</f>
        <v>Rio Pardo</v>
      </c>
      <c r="Z428" s="1" t="str">
        <f>IFERROR(__xludf.DUMMYFUNCTION("""COMPUTED_VALUE"""),"96640-000")</f>
        <v>96640-000</v>
      </c>
      <c r="AA428" s="1" t="str">
        <f>IFERROR(__xludf.DUMMYFUNCTION("""COMPUTED_VALUE"""),"Rua José Feliciano de Paula Ribas, 63")</f>
        <v>Rua José Feliciano de Paula Ribas, 63</v>
      </c>
      <c r="AB428" s="1" t="str">
        <f>IFERROR(__xludf.DUMMYFUNCTION("""COMPUTED_VALUE"""),"centro")</f>
        <v>centro</v>
      </c>
      <c r="AC428" s="1" t="str">
        <f>IFERROR(__xludf.DUMMYFUNCTION("""COMPUTED_VALUE"""),"M")</f>
        <v>M</v>
      </c>
      <c r="AD428" s="1" t="str">
        <f>IFERROR(__xludf.DUMMYFUNCTION("""COMPUTED_VALUE"""),"M")</f>
        <v>M</v>
      </c>
      <c r="AE428" s="1" t="str">
        <f>IFERROR(__xludf.DUMMYFUNCTION("""COMPUTED_VALUE"""),"M")</f>
        <v>M</v>
      </c>
      <c r="AF428" s="1" t="str">
        <f>IFERROR(__xludf.DUMMYFUNCTION("""COMPUTED_VALUE"""),"M")</f>
        <v>M</v>
      </c>
      <c r="AG428" s="1" t="str">
        <f>IFERROR(__xludf.DUMMYFUNCTION("""COMPUTED_VALUE"""),"M")</f>
        <v>M</v>
      </c>
      <c r="AH428" s="1">
        <f>IFERROR(__xludf.DUMMYFUNCTION("""COMPUTED_VALUE"""),39)</f>
        <v>39</v>
      </c>
      <c r="AI428" s="1">
        <f>IFERROR(__xludf.DUMMYFUNCTION("""COMPUTED_VALUE"""),39)</f>
        <v>39</v>
      </c>
      <c r="AJ428" s="1">
        <f>IFERROR(__xludf.DUMMYFUNCTION("""COMPUTED_VALUE"""),39)</f>
        <v>39</v>
      </c>
      <c r="AK428" s="1">
        <f>IFERROR(__xludf.DUMMYFUNCTION("""COMPUTED_VALUE"""),40)</f>
        <v>40</v>
      </c>
      <c r="AL428" s="1" t="str">
        <f>IFERROR(__xludf.DUMMYFUNCTION("""COMPUTED_VALUE"""),"M")</f>
        <v>M</v>
      </c>
      <c r="AM428" s="1" t="str">
        <f>IFERROR(__xludf.DUMMYFUNCTION("""COMPUTED_VALUE"""),"M")</f>
        <v>M</v>
      </c>
      <c r="AN428" s="1" t="str">
        <f>IFERROR(__xludf.DUMMYFUNCTION("""COMPUTED_VALUE"""),"P")</f>
        <v>P</v>
      </c>
    </row>
    <row r="429" customHeight="1" spans="1:40">
      <c r="A429" s="1" t="str">
        <f>IFERROR(__xludf.DUMMYFUNCTION("""COMPUTED_VALUE"""),"06° BBM")</f>
        <v>06° BBM</v>
      </c>
      <c r="B429" s="1" t="str">
        <f>IFERROR(__xludf.DUMMYFUNCTION("""COMPUTED_VALUE"""),"Arambaré")</f>
        <v>Arambaré</v>
      </c>
      <c r="C429" s="119" t="str">
        <f>IFERROR(__xludf.DUMMYFUNCTION("""COMPUTED_VALUE"""),"CAB")</f>
        <v>CAB</v>
      </c>
      <c r="D429" s="1" t="str">
        <f>IFERROR(__xludf.DUMMYFUNCTION("""COMPUTED_VALUE"""),"BRAIAN MAICO MORG DE CASTRO")</f>
        <v>BRAIAN MAICO MORG DE CASTRO</v>
      </c>
      <c r="E429" s="119" t="str">
        <f>IFERROR(__xludf.DUMMYFUNCTION("""COMPUTED_VALUE"""),"")</f>
        <v/>
      </c>
      <c r="F429" s="1" t="str">
        <f>IFERROR(__xludf.DUMMYFUNCTION("""COMPUTED_VALUE"""),"020.765.410-71")</f>
        <v>020.765.410-71</v>
      </c>
      <c r="G429" s="1">
        <f>IFERROR(__xludf.DUMMYFUNCTION("""COMPUTED_VALUE"""),7106027795)</f>
        <v>7106027795</v>
      </c>
      <c r="H429" s="1" t="str">
        <f>IFERROR(__xludf.DUMMYFUNCTION("""COMPUTED_VALUE"""),"CAB")</f>
        <v>CAB</v>
      </c>
      <c r="I429" s="1" t="str">
        <f>IFERROR(__xludf.DUMMYFUNCTION("""COMPUTED_VALUE"""),"Bombeiro Civil; APH e BLS")</f>
        <v>Bombeiro Civil; APH e BLS</v>
      </c>
      <c r="J429" s="1" t="str">
        <f>IFERROR(__xludf.DUMMYFUNCTION("""COMPUTED_VALUE"""),"Não")</f>
        <v>Não</v>
      </c>
      <c r="K429" s="1" t="str">
        <f>IFERROR(__xludf.DUMMYFUNCTION("""COMPUTED_VALUE"""),"Sim")</f>
        <v>Sim</v>
      </c>
      <c r="L429" s="1" t="str">
        <f>IFERROR(__xludf.DUMMYFUNCTION("""COMPUTED_VALUE"""),"O+")</f>
        <v>O+</v>
      </c>
      <c r="M429" s="1" t="str">
        <f>IFERROR(__xludf.DUMMYFUNCTION("""COMPUTED_VALUE"""),"BRAIAN")</f>
        <v>BRAIAN</v>
      </c>
      <c r="N429" s="121">
        <f>IFERROR(__xludf.DUMMYFUNCTION("""COMPUTED_VALUE"""),32828)</f>
        <v>32828</v>
      </c>
      <c r="O429" s="1" t="str">
        <f>IFERROR(__xludf.DUMMYFUNCTION("""COMPUTED_VALUE"""),"Masculino")</f>
        <v>Masculino</v>
      </c>
      <c r="P429" s="1" t="str">
        <f>IFERROR(__xludf.DUMMYFUNCTION("""COMPUTED_VALUE"""),"Branca")</f>
        <v>Branca</v>
      </c>
      <c r="Q429" s="1" t="str">
        <f>IFERROR(__xludf.DUMMYFUNCTION("""COMPUTED_VALUE"""),"Ensino Médio")</f>
        <v>Ensino Médio</v>
      </c>
      <c r="R429" s="1"/>
      <c r="S429" s="1">
        <f>IFERROR(__xludf.DUMMYFUNCTION("""COMPUTED_VALUE"""),100)</f>
        <v>100</v>
      </c>
      <c r="T429" s="1" t="str">
        <f>IFERROR(__xludf.DUMMYFUNCTION("""COMPUTED_VALUE"""),"Entre 1,76m e 1,80m")</f>
        <v>Entre 1,76m e 1,80m</v>
      </c>
      <c r="U429" s="1" t="str">
        <f>IFERROR(__xludf.DUMMYFUNCTION("""COMPUTED_VALUE"""),"Não POSSUI")</f>
        <v>Não POSSUI</v>
      </c>
      <c r="V429" s="1" t="str">
        <f>IFERROR(__xludf.DUMMYFUNCTION("""COMPUTED_VALUE"""),"(51)9910-76715")</f>
        <v>(51)9910-76715</v>
      </c>
      <c r="W429" s="1" t="str">
        <f>IFERROR(__xludf.DUMMYFUNCTION("""COMPUTED_VALUE"""),"(51)98499-8334")</f>
        <v>(51)98499-8334</v>
      </c>
      <c r="X429" s="1" t="str">
        <f>IFERROR(__xludf.DUMMYFUNCTION("""COMPUTED_VALUE"""),"RIO GRANDE DO SUL")</f>
        <v>RIO GRANDE DO SUL</v>
      </c>
      <c r="Y429" s="1" t="str">
        <f>IFERROR(__xludf.DUMMYFUNCTION("""COMPUTED_VALUE"""),"Porto Alegre")</f>
        <v>Porto Alegre</v>
      </c>
      <c r="Z429" s="1" t="str">
        <f>IFERROR(__xludf.DUMMYFUNCTION("""COMPUTED_VALUE"""),"Indef.")</f>
        <v>Indef.</v>
      </c>
      <c r="AA429" s="1" t="str">
        <f>IFERROR(__xludf.DUMMYFUNCTION("""COMPUTED_VALUE"""),"Rua professor Carvalho de Freitas n° 1377, casa 84")</f>
        <v>Rua professor Carvalho de Freitas n° 1377, casa 84</v>
      </c>
      <c r="AB429" s="1" t="str">
        <f>IFERROR(__xludf.DUMMYFUNCTION("""COMPUTED_VALUE"""),"Teresópolis")</f>
        <v>Teresópolis</v>
      </c>
      <c r="AC429" s="1" t="str">
        <f>IFERROR(__xludf.DUMMYFUNCTION("""COMPUTED_VALUE"""),"GG")</f>
        <v>GG</v>
      </c>
      <c r="AD429" s="1" t="str">
        <f>IFERROR(__xludf.DUMMYFUNCTION("""COMPUTED_VALUE"""),"GG")</f>
        <v>GG</v>
      </c>
      <c r="AE429" s="1" t="str">
        <f>IFERROR(__xludf.DUMMYFUNCTION("""COMPUTED_VALUE"""),"GG")</f>
        <v>GG</v>
      </c>
      <c r="AF429" s="1" t="str">
        <f>IFERROR(__xludf.DUMMYFUNCTION("""COMPUTED_VALUE"""),"EXG")</f>
        <v>EXG</v>
      </c>
      <c r="AG429" s="1" t="str">
        <f>IFERROR(__xludf.DUMMYFUNCTION("""COMPUTED_VALUE"""),"GG")</f>
        <v>GG</v>
      </c>
      <c r="AH429" s="1">
        <f>IFERROR(__xludf.DUMMYFUNCTION("""COMPUTED_VALUE"""),41)</f>
        <v>41</v>
      </c>
      <c r="AI429" s="1">
        <f>IFERROR(__xludf.DUMMYFUNCTION("""COMPUTED_VALUE"""),41)</f>
        <v>41</v>
      </c>
      <c r="AJ429" s="1">
        <f>IFERROR(__xludf.DUMMYFUNCTION("""COMPUTED_VALUE"""),41)</f>
        <v>41</v>
      </c>
      <c r="AK429" s="1">
        <f>IFERROR(__xludf.DUMMYFUNCTION("""COMPUTED_VALUE"""),42)</f>
        <v>42</v>
      </c>
      <c r="AL429" s="1" t="str">
        <f>IFERROR(__xludf.DUMMYFUNCTION("""COMPUTED_VALUE"""),"GG")</f>
        <v>GG</v>
      </c>
      <c r="AM429" s="1" t="str">
        <f>IFERROR(__xludf.DUMMYFUNCTION("""COMPUTED_VALUE"""),"GG")</f>
        <v>GG</v>
      </c>
      <c r="AN429" s="1" t="str">
        <f>IFERROR(__xludf.DUMMYFUNCTION("""COMPUTED_VALUE"""),"GG")</f>
        <v>GG</v>
      </c>
    </row>
    <row r="430" customHeight="1" spans="1:40">
      <c r="A430" s="1" t="str">
        <f>IFERROR(__xludf.DUMMYFUNCTION("""COMPUTED_VALUE"""),"06° BBM")</f>
        <v>06° BBM</v>
      </c>
      <c r="B430" s="1" t="str">
        <f>IFERROR(__xludf.DUMMYFUNCTION("""COMPUTED_VALUE"""),"Encruzilhada do Sul")</f>
        <v>Encruzilhada do Sul</v>
      </c>
      <c r="C430" s="119" t="str">
        <f>IFERROR(__xludf.DUMMYFUNCTION("""COMPUTED_VALUE"""),"Comunitario")</f>
        <v>Comunitario</v>
      </c>
      <c r="D430" s="1" t="str">
        <f>IFERROR(__xludf.DUMMYFUNCTION("""COMPUTED_VALUE"""),"CARLOS ALBERTO BORGMANN")</f>
        <v>CARLOS ALBERTO BORGMANN</v>
      </c>
      <c r="E430" s="119" t="str">
        <f>IFERROR(__xludf.DUMMYFUNCTION("""COMPUTED_VALUE"""),"Curso CAB operador concluído")</f>
        <v>Curso CAB operador concluído</v>
      </c>
      <c r="F430" s="1">
        <f>IFERROR(__xludf.DUMMYFUNCTION("""COMPUTED_VALUE"""),76718131091)</f>
        <v>76718131091</v>
      </c>
      <c r="G430" s="1">
        <f>IFERROR(__xludf.DUMMYFUNCTION("""COMPUTED_VALUE"""),7064307346)</f>
        <v>7064307346</v>
      </c>
      <c r="H430" s="1" t="str">
        <f>IFERROR(__xludf.DUMMYFUNCTION("""COMPUTED_VALUE"""),"CAB")</f>
        <v>CAB</v>
      </c>
      <c r="I430" s="1" t="str">
        <f>IFERROR(__xludf.DUMMYFUNCTION("""COMPUTED_VALUE"""),"Curso de técnica e tática de combate a incêndio para bombeiro misto - nivel I")</f>
        <v>Curso de técnica e tática de combate a incêndio para bombeiro misto - nivel I</v>
      </c>
      <c r="J430" s="1" t="str">
        <f>IFERROR(__xludf.DUMMYFUNCTION("""COMPUTED_VALUE"""),"Sim")</f>
        <v>Sim</v>
      </c>
      <c r="K430" s="1" t="str">
        <f>IFERROR(__xludf.DUMMYFUNCTION("""COMPUTED_VALUE"""),"Sim")</f>
        <v>Sim</v>
      </c>
      <c r="L430" s="1" t="str">
        <f>IFERROR(__xludf.DUMMYFUNCTION("""COMPUTED_VALUE"""),"O+")</f>
        <v>O+</v>
      </c>
      <c r="M430" s="1" t="str">
        <f>IFERROR(__xludf.DUMMYFUNCTION("""COMPUTED_VALUE"""),"Borgmann")</f>
        <v>Borgmann</v>
      </c>
      <c r="N430" s="120">
        <f>IFERROR(__xludf.DUMMYFUNCTION("""COMPUTED_VALUE"""),27579)</f>
        <v>27579</v>
      </c>
      <c r="O430" s="1" t="str">
        <f>IFERROR(__xludf.DUMMYFUNCTION("""COMPUTED_VALUE"""),"Masculino")</f>
        <v>Masculino</v>
      </c>
      <c r="P430" s="1" t="str">
        <f>IFERROR(__xludf.DUMMYFUNCTION("""COMPUTED_VALUE"""),"Branca")</f>
        <v>Branca</v>
      </c>
      <c r="Q430" s="1" t="str">
        <f>IFERROR(__xludf.DUMMYFUNCTION("""COMPUTED_VALUE"""),"Ensino Médio")</f>
        <v>Ensino Médio</v>
      </c>
      <c r="R430" s="1" t="str">
        <f>IFERROR(__xludf.DUMMYFUNCTION("""COMPUTED_VALUE"""),"borgmann.carlos@hotmail.com")</f>
        <v>borgmann.carlos@hotmail.com</v>
      </c>
      <c r="S430" s="1">
        <f>IFERROR(__xludf.DUMMYFUNCTION("""COMPUTED_VALUE"""),88)</f>
        <v>88</v>
      </c>
      <c r="T430" s="1" t="str">
        <f>IFERROR(__xludf.DUMMYFUNCTION("""COMPUTED_VALUE"""),"Entre 1,76m e 1,80m")</f>
        <v>Entre 1,76m e 1,80m</v>
      </c>
      <c r="U430" s="1" t="str">
        <f>IFERROR(__xludf.DUMMYFUNCTION("""COMPUTED_VALUE"""),"Não POSSUI")</f>
        <v>Não POSSUI</v>
      </c>
      <c r="V430" s="1" t="str">
        <f>IFERROR(__xludf.DUMMYFUNCTION("""COMPUTED_VALUE"""),"(51)99636-3787")</f>
        <v>(51)99636-3787</v>
      </c>
      <c r="W430" s="1" t="str">
        <f>IFERROR(__xludf.DUMMYFUNCTION("""COMPUTED_VALUE"""),"(51)99688-5558")</f>
        <v>(51)99688-5558</v>
      </c>
      <c r="X430" s="1" t="str">
        <f>IFERROR(__xludf.DUMMYFUNCTION("""COMPUTED_VALUE"""),"RS")</f>
        <v>RS</v>
      </c>
      <c r="Y430" s="1" t="str">
        <f>IFERROR(__xludf.DUMMYFUNCTION("""COMPUTED_VALUE"""),"Rio Pardo")</f>
        <v>Rio Pardo</v>
      </c>
      <c r="Z430" s="1" t="str">
        <f>IFERROR(__xludf.DUMMYFUNCTION("""COMPUTED_VALUE"""),"96640-000")</f>
        <v>96640-000</v>
      </c>
      <c r="AA430" s="1" t="str">
        <f>IFERROR(__xludf.DUMMYFUNCTION("""COMPUTED_VALUE"""),"rst 403 km9 abilina")</f>
        <v>rst 403 km9 abilina</v>
      </c>
      <c r="AB430" s="1" t="str">
        <f>IFERROR(__xludf.DUMMYFUNCTION("""COMPUTED_VALUE"""),"interior")</f>
        <v>interior</v>
      </c>
      <c r="AC430" s="1" t="str">
        <f>IFERROR(__xludf.DUMMYFUNCTION("""COMPUTED_VALUE"""),"M")</f>
        <v>M</v>
      </c>
      <c r="AD430" s="1" t="str">
        <f>IFERROR(__xludf.DUMMYFUNCTION("""COMPUTED_VALUE"""),"M")</f>
        <v>M</v>
      </c>
      <c r="AE430" s="1" t="str">
        <f>IFERROR(__xludf.DUMMYFUNCTION("""COMPUTED_VALUE"""),"M")</f>
        <v>M</v>
      </c>
      <c r="AF430" s="1" t="str">
        <f>IFERROR(__xludf.DUMMYFUNCTION("""COMPUTED_VALUE"""),"M")</f>
        <v>M</v>
      </c>
      <c r="AG430" s="1" t="str">
        <f>IFERROR(__xludf.DUMMYFUNCTION("""COMPUTED_VALUE"""),"M")</f>
        <v>M</v>
      </c>
      <c r="AH430" s="1">
        <f>IFERROR(__xludf.DUMMYFUNCTION("""COMPUTED_VALUE"""),42)</f>
        <v>42</v>
      </c>
      <c r="AI430" s="1">
        <f>IFERROR(__xludf.DUMMYFUNCTION("""COMPUTED_VALUE"""),42)</f>
        <v>42</v>
      </c>
      <c r="AJ430" s="1">
        <f>IFERROR(__xludf.DUMMYFUNCTION("""COMPUTED_VALUE"""),42)</f>
        <v>42</v>
      </c>
      <c r="AK430" s="1">
        <f>IFERROR(__xludf.DUMMYFUNCTION("""COMPUTED_VALUE"""),42)</f>
        <v>42</v>
      </c>
      <c r="AL430" s="1" t="str">
        <f>IFERROR(__xludf.DUMMYFUNCTION("""COMPUTED_VALUE"""),"M")</f>
        <v>M</v>
      </c>
      <c r="AM430" s="1" t="str">
        <f>IFERROR(__xludf.DUMMYFUNCTION("""COMPUTED_VALUE"""),"M")</f>
        <v>M</v>
      </c>
      <c r="AN430" s="1" t="str">
        <f>IFERROR(__xludf.DUMMYFUNCTION("""COMPUTED_VALUE"""),"M")</f>
        <v>M</v>
      </c>
    </row>
    <row r="431" customHeight="1" spans="1:40">
      <c r="A431" s="1" t="str">
        <f>IFERROR(__xludf.DUMMYFUNCTION("""COMPUTED_VALUE"""),"06° BBM")</f>
        <v>06° BBM</v>
      </c>
      <c r="B431" s="1" t="str">
        <f>IFERROR(__xludf.DUMMYFUNCTION("""COMPUTED_VALUE"""),"Arambaré")</f>
        <v>Arambaré</v>
      </c>
      <c r="C431" s="119" t="str">
        <f>IFERROR(__xludf.DUMMYFUNCTION("""COMPUTED_VALUE"""),"CAB")</f>
        <v>CAB</v>
      </c>
      <c r="D431" s="1" t="str">
        <f>IFERROR(__xludf.DUMMYFUNCTION("""COMPUTED_VALUE"""),"CAUÃ SILVEIRA CORREIA")</f>
        <v>CAUÃ SILVEIRA CORREIA</v>
      </c>
      <c r="E431" s="119" t="str">
        <f>IFERROR(__xludf.DUMMYFUNCTION("""COMPUTED_VALUE"""),"Curso CAB operador concluído")</f>
        <v>Curso CAB operador concluído</v>
      </c>
      <c r="F431" s="1" t="str">
        <f>IFERROR(__xludf.DUMMYFUNCTION("""COMPUTED_VALUE"""),"045.458.630-27")</f>
        <v>045.458.630-27</v>
      </c>
      <c r="G431" s="1">
        <f>IFERROR(__xludf.DUMMYFUNCTION("""COMPUTED_VALUE"""),1127810421)</f>
        <v>1127810421</v>
      </c>
      <c r="H431" s="1" t="str">
        <f>IFERROR(__xludf.DUMMYFUNCTION("""COMPUTED_VALUE"""),"CAB")</f>
        <v>CAB</v>
      </c>
      <c r="I431" s="1" t="str">
        <f>IFERROR(__xludf.DUMMYFUNCTION("""COMPUTED_VALUE"""),"Bombeiro Civil; APH e BLS; Resgate em altura e espaço confinado")</f>
        <v>Bombeiro Civil; APH e BLS; Resgate em altura e espaço confinado</v>
      </c>
      <c r="J431" s="1" t="str">
        <f>IFERROR(__xludf.DUMMYFUNCTION("""COMPUTED_VALUE"""),"Não")</f>
        <v>Não</v>
      </c>
      <c r="K431" s="1" t="str">
        <f>IFERROR(__xludf.DUMMYFUNCTION("""COMPUTED_VALUE"""),"Sim")</f>
        <v>Sim</v>
      </c>
      <c r="L431" s="1" t="str">
        <f>IFERROR(__xludf.DUMMYFUNCTION("""COMPUTED_VALUE"""),"A+")</f>
        <v>A+</v>
      </c>
      <c r="M431" s="1" t="str">
        <f>IFERROR(__xludf.DUMMYFUNCTION("""COMPUTED_VALUE"""),"SILVEIRA")</f>
        <v>SILVEIRA</v>
      </c>
      <c r="N431" s="120">
        <f>IFERROR(__xludf.DUMMYFUNCTION("""COMPUTED_VALUE"""),37741)</f>
        <v>37741</v>
      </c>
      <c r="O431" s="1" t="str">
        <f>IFERROR(__xludf.DUMMYFUNCTION("""COMPUTED_VALUE"""),"Masculino")</f>
        <v>Masculino</v>
      </c>
      <c r="P431" s="1" t="str">
        <f>IFERROR(__xludf.DUMMYFUNCTION("""COMPUTED_VALUE"""),"Branca")</f>
        <v>Branca</v>
      </c>
      <c r="Q431" s="1" t="str">
        <f>IFERROR(__xludf.DUMMYFUNCTION("""COMPUTED_VALUE"""),"Ensino Médio")</f>
        <v>Ensino Médio</v>
      </c>
      <c r="R431" s="1" t="str">
        <f>IFERROR(__xludf.DUMMYFUNCTION("""COMPUTED_VALUE"""),"silveiracaua82@gmail.com")</f>
        <v>silveiracaua82@gmail.com</v>
      </c>
      <c r="S431" s="1">
        <f>IFERROR(__xludf.DUMMYFUNCTION("""COMPUTED_VALUE"""),82)</f>
        <v>82</v>
      </c>
      <c r="T431" s="1" t="str">
        <f>IFERROR(__xludf.DUMMYFUNCTION("""COMPUTED_VALUE"""),"Entre 1,71m e 1,75m")</f>
        <v>Entre 1,71m e 1,75m</v>
      </c>
      <c r="U431" s="1" t="str">
        <f>IFERROR(__xludf.DUMMYFUNCTION("""COMPUTED_VALUE"""),"Não POSSUI")</f>
        <v>Não POSSUI</v>
      </c>
      <c r="V431" s="1" t="str">
        <f>IFERROR(__xludf.DUMMYFUNCTION("""COMPUTED_VALUE"""),"(51)99629-6355")</f>
        <v>(51)99629-6355</v>
      </c>
      <c r="W431" s="1" t="str">
        <f>IFERROR(__xludf.DUMMYFUNCTION("""COMPUTED_VALUE"""),"(51)99862-2121")</f>
        <v>(51)99862-2121</v>
      </c>
      <c r="X431" s="1" t="str">
        <f>IFERROR(__xludf.DUMMYFUNCTION("""COMPUTED_VALUE"""),"RIO GRANDE DO SUL")</f>
        <v>RIO GRANDE DO SUL</v>
      </c>
      <c r="Y431" s="1" t="str">
        <f>IFERROR(__xludf.DUMMYFUNCTION("""COMPUTED_VALUE"""),"Arambaré")</f>
        <v>Arambaré</v>
      </c>
      <c r="Z431" s="1">
        <f>IFERROR(__xludf.DUMMYFUNCTION("""COMPUTED_VALUE"""),96180000)</f>
        <v>96180000</v>
      </c>
      <c r="AA431" s="1" t="str">
        <f>IFERROR(__xludf.DUMMYFUNCTION("""COMPUTED_VALUE"""),"Av.enida Presidente Vargas n° 11")</f>
        <v>Av.enida Presidente Vargas n° 11</v>
      </c>
      <c r="AB431" s="1" t="str">
        <f>IFERROR(__xludf.DUMMYFUNCTION("""COMPUTED_VALUE"""),"centro")</f>
        <v>centro</v>
      </c>
      <c r="AC431" s="1" t="str">
        <f>IFERROR(__xludf.DUMMYFUNCTION("""COMPUTED_VALUE"""),"GG")</f>
        <v>GG</v>
      </c>
      <c r="AD431" s="1" t="str">
        <f>IFERROR(__xludf.DUMMYFUNCTION("""COMPUTED_VALUE"""),"GG")</f>
        <v>GG</v>
      </c>
      <c r="AE431" s="1" t="str">
        <f>IFERROR(__xludf.DUMMYFUNCTION("""COMPUTED_VALUE"""),"GG")</f>
        <v>GG</v>
      </c>
      <c r="AF431" s="1" t="str">
        <f>IFERROR(__xludf.DUMMYFUNCTION("""COMPUTED_VALUE"""),"G")</f>
        <v>G</v>
      </c>
      <c r="AG431" s="1" t="str">
        <f>IFERROR(__xludf.DUMMYFUNCTION("""COMPUTED_VALUE"""),"EXG")</f>
        <v>EXG</v>
      </c>
      <c r="AH431" s="1">
        <f>IFERROR(__xludf.DUMMYFUNCTION("""COMPUTED_VALUE"""),42)</f>
        <v>42</v>
      </c>
      <c r="AI431" s="1">
        <f>IFERROR(__xludf.DUMMYFUNCTION("""COMPUTED_VALUE"""),42)</f>
        <v>42</v>
      </c>
      <c r="AJ431" s="1">
        <f>IFERROR(__xludf.DUMMYFUNCTION("""COMPUTED_VALUE"""),42)</f>
        <v>42</v>
      </c>
      <c r="AK431" s="1">
        <f>IFERROR(__xludf.DUMMYFUNCTION("""COMPUTED_VALUE"""),42)</f>
        <v>42</v>
      </c>
      <c r="AL431" s="1" t="str">
        <f>IFERROR(__xludf.DUMMYFUNCTION("""COMPUTED_VALUE"""),"GG")</f>
        <v>GG</v>
      </c>
      <c r="AM431" s="1" t="str">
        <f>IFERROR(__xludf.DUMMYFUNCTION("""COMPUTED_VALUE"""),"G")</f>
        <v>G</v>
      </c>
      <c r="AN431" s="1" t="str">
        <f>IFERROR(__xludf.DUMMYFUNCTION("""COMPUTED_VALUE"""),"G")</f>
        <v>G</v>
      </c>
    </row>
    <row r="432" customHeight="1" spans="1:40">
      <c r="A432" s="1" t="str">
        <f>IFERROR(__xludf.DUMMYFUNCTION("""COMPUTED_VALUE"""),"06° BBM")</f>
        <v>06° BBM</v>
      </c>
      <c r="B432" s="1" t="str">
        <f>IFERROR(__xludf.DUMMYFUNCTION("""COMPUTED_VALUE"""),"Arambaré")</f>
        <v>Arambaré</v>
      </c>
      <c r="C432" s="119" t="str">
        <f>IFERROR(__xludf.DUMMYFUNCTION("""COMPUTED_VALUE"""),"CAB")</f>
        <v>CAB</v>
      </c>
      <c r="D432" s="1" t="str">
        <f>IFERROR(__xludf.DUMMYFUNCTION("""COMPUTED_VALUE"""),"DIEGO HOFF VASKOSK")</f>
        <v>DIEGO HOFF VASKOSK</v>
      </c>
      <c r="E432" s="119" t="str">
        <f>IFERROR(__xludf.DUMMYFUNCTION("""COMPUTED_VALUE"""),"")</f>
        <v/>
      </c>
      <c r="F432" s="1" t="str">
        <f>IFERROR(__xludf.DUMMYFUNCTION("""COMPUTED_VALUE"""),"001.804.980-02")</f>
        <v>001.804.980-02</v>
      </c>
      <c r="G432" s="1">
        <f>IFERROR(__xludf.DUMMYFUNCTION("""COMPUTED_VALUE"""),1077988317)</f>
        <v>1077988317</v>
      </c>
      <c r="H432" s="1" t="str">
        <f>IFERROR(__xludf.DUMMYFUNCTION("""COMPUTED_VALUE"""),"CAB")</f>
        <v>CAB</v>
      </c>
      <c r="I432" s="1" t="str">
        <f>IFERROR(__xludf.DUMMYFUNCTION("""COMPUTED_VALUE"""),"Bombeiro Civil; APH e BLS")</f>
        <v>Bombeiro Civil; APH e BLS</v>
      </c>
      <c r="J432" s="1" t="str">
        <f>IFERROR(__xludf.DUMMYFUNCTION("""COMPUTED_VALUE"""),"Não")</f>
        <v>Não</v>
      </c>
      <c r="K432" s="1" t="str">
        <f>IFERROR(__xludf.DUMMYFUNCTION("""COMPUTED_VALUE"""),"Sim")</f>
        <v>Sim</v>
      </c>
      <c r="L432" s="1" t="str">
        <f>IFERROR(__xludf.DUMMYFUNCTION("""COMPUTED_VALUE"""),"B+")</f>
        <v>B+</v>
      </c>
      <c r="M432" s="1" t="str">
        <f>IFERROR(__xludf.DUMMYFUNCTION("""COMPUTED_VALUE"""),"VASKOSK")</f>
        <v>VASKOSK</v>
      </c>
      <c r="N432" s="120">
        <f>IFERROR(__xludf.DUMMYFUNCTION("""COMPUTED_VALUE"""),30377)</f>
        <v>30377</v>
      </c>
      <c r="O432" s="1" t="str">
        <f>IFERROR(__xludf.DUMMYFUNCTION("""COMPUTED_VALUE"""),"Masculino")</f>
        <v>Masculino</v>
      </c>
      <c r="P432" s="1" t="str">
        <f>IFERROR(__xludf.DUMMYFUNCTION("""COMPUTED_VALUE"""),"Branca")</f>
        <v>Branca</v>
      </c>
      <c r="Q432" s="1" t="str">
        <f>IFERROR(__xludf.DUMMYFUNCTION("""COMPUTED_VALUE"""),"Ensino Superior Incompleto")</f>
        <v>Ensino Superior Incompleto</v>
      </c>
      <c r="R432" s="1" t="str">
        <f>IFERROR(__xludf.DUMMYFUNCTION("""COMPUTED_VALUE"""),"diegovaskoski@gmail.com")</f>
        <v>diegovaskoski@gmail.com</v>
      </c>
      <c r="S432" s="1">
        <f>IFERROR(__xludf.DUMMYFUNCTION("""COMPUTED_VALUE"""),110)</f>
        <v>110</v>
      </c>
      <c r="T432" s="1" t="str">
        <f>IFERROR(__xludf.DUMMYFUNCTION("""COMPUTED_VALUE"""),"Entre 1,81m e 1,85m")</f>
        <v>Entre 1,81m e 1,85m</v>
      </c>
      <c r="U432" s="1" t="str">
        <f>IFERROR(__xludf.DUMMYFUNCTION("""COMPUTED_VALUE"""),"Não POSSUI")</f>
        <v>Não POSSUI</v>
      </c>
      <c r="V432" s="1" t="str">
        <f>IFERROR(__xludf.DUMMYFUNCTION("""COMPUTED_VALUE"""),"(51)996661311")</f>
        <v>(51)996661311</v>
      </c>
      <c r="W432" s="1" t="str">
        <f>IFERROR(__xludf.DUMMYFUNCTION("""COMPUTED_VALUE"""),"(51)996661311")</f>
        <v>(51)996661311</v>
      </c>
      <c r="X432" s="1" t="str">
        <f>IFERROR(__xludf.DUMMYFUNCTION("""COMPUTED_VALUE"""),"RIO GRANDE DO SUL")</f>
        <v>RIO GRANDE DO SUL</v>
      </c>
      <c r="Y432" s="1" t="str">
        <f>IFERROR(__xludf.DUMMYFUNCTION("""COMPUTED_VALUE"""),"Tapes")</f>
        <v>Tapes</v>
      </c>
      <c r="Z432" s="1" t="str">
        <f>IFERROR(__xludf.DUMMYFUNCTION("""COMPUTED_VALUE"""),"Indef.")</f>
        <v>Indef.</v>
      </c>
      <c r="AA432" s="1" t="str">
        <f>IFERROR(__xludf.DUMMYFUNCTION("""COMPUTED_VALUE"""),"Rua FelicísSimo Alfonsin n°130")</f>
        <v>Rua FelicísSimo Alfonsin n°130</v>
      </c>
      <c r="AB432" s="1" t="str">
        <f>IFERROR(__xludf.DUMMYFUNCTION("""COMPUTED_VALUE"""),"CENTRO")</f>
        <v>CENTRO</v>
      </c>
      <c r="AC432" s="1" t="str">
        <f>IFERROR(__xludf.DUMMYFUNCTION("""COMPUTED_VALUE"""),"GG")</f>
        <v>GG</v>
      </c>
      <c r="AD432" s="1" t="str">
        <f>IFERROR(__xludf.DUMMYFUNCTION("""COMPUTED_VALUE"""),"GG")</f>
        <v>GG</v>
      </c>
      <c r="AE432" s="1" t="str">
        <f>IFERROR(__xludf.DUMMYFUNCTION("""COMPUTED_VALUE"""),"GG")</f>
        <v>GG</v>
      </c>
      <c r="AF432" s="1" t="str">
        <f>IFERROR(__xludf.DUMMYFUNCTION("""COMPUTED_VALUE"""),"EXG")</f>
        <v>EXG</v>
      </c>
      <c r="AG432" s="1" t="str">
        <f>IFERROR(__xludf.DUMMYFUNCTION("""COMPUTED_VALUE"""),"GG")</f>
        <v>GG</v>
      </c>
      <c r="AH432" s="1">
        <f>IFERROR(__xludf.DUMMYFUNCTION("""COMPUTED_VALUE"""),42)</f>
        <v>42</v>
      </c>
      <c r="AI432" s="1">
        <f>IFERROR(__xludf.DUMMYFUNCTION("""COMPUTED_VALUE"""),42)</f>
        <v>42</v>
      </c>
      <c r="AJ432" s="1">
        <f>IFERROR(__xludf.DUMMYFUNCTION("""COMPUTED_VALUE"""),42)</f>
        <v>42</v>
      </c>
      <c r="AK432" s="1">
        <f>IFERROR(__xludf.DUMMYFUNCTION("""COMPUTED_VALUE"""),42)</f>
        <v>42</v>
      </c>
      <c r="AL432" s="1" t="str">
        <f>IFERROR(__xludf.DUMMYFUNCTION("""COMPUTED_VALUE"""),"EXG")</f>
        <v>EXG</v>
      </c>
      <c r="AM432" s="1" t="str">
        <f>IFERROR(__xludf.DUMMYFUNCTION("""COMPUTED_VALUE"""),"GG")</f>
        <v>GG</v>
      </c>
      <c r="AN432" s="1" t="str">
        <f>IFERROR(__xludf.DUMMYFUNCTION("""COMPUTED_VALUE"""),"GG")</f>
        <v>GG</v>
      </c>
    </row>
    <row r="433" customHeight="1" spans="1:40">
      <c r="A433" s="1" t="str">
        <f>IFERROR(__xludf.DUMMYFUNCTION("""COMPUTED_VALUE"""),"06° BBM")</f>
        <v>06° BBM</v>
      </c>
      <c r="B433" s="1" t="str">
        <f>IFERROR(__xludf.DUMMYFUNCTION("""COMPUTED_VALUE"""),"Encruzilhada do Sul")</f>
        <v>Encruzilhada do Sul</v>
      </c>
      <c r="C433" s="119" t="str">
        <f>IFERROR(__xludf.DUMMYFUNCTION("""COMPUTED_VALUE"""),"Comunitario")</f>
        <v>Comunitario</v>
      </c>
      <c r="D433" s="1" t="str">
        <f>IFERROR(__xludf.DUMMYFUNCTION("""COMPUTED_VALUE"""),"DIONATAN DA SILVA PLATE")</f>
        <v>DIONATAN DA SILVA PLATE</v>
      </c>
      <c r="E433" s="119" t="str">
        <f>IFERROR(__xludf.DUMMYFUNCTION("""COMPUTED_VALUE"""),"Curso CAB operador concluído")</f>
        <v>Curso CAB operador concluído</v>
      </c>
      <c r="F433" s="1" t="str">
        <f>IFERROR(__xludf.DUMMYFUNCTION("""COMPUTED_VALUE"""),"018.487.420-37")</f>
        <v>018.487.420-37</v>
      </c>
      <c r="G433" s="1">
        <f>IFERROR(__xludf.DUMMYFUNCTION("""COMPUTED_VALUE"""),4092714304)</f>
        <v>4092714304</v>
      </c>
      <c r="H433" s="1" t="str">
        <f>IFERROR(__xludf.DUMMYFUNCTION("""COMPUTED_VALUE"""),"CAB")</f>
        <v>CAB</v>
      </c>
      <c r="I433" s="1" t="str">
        <f>IFERROR(__xludf.DUMMYFUNCTION("""COMPUTED_VALUE"""),"Curso de técnica e tática de combate a incêndio para bombeiro misto - nivel 1/Curso Condutor veiculo de emergência")</f>
        <v>Curso de técnica e tática de combate a incêndio para bombeiro misto - nivel 1/Curso Condutor veiculo de emergência</v>
      </c>
      <c r="J433" s="1" t="str">
        <f>IFERROR(__xludf.DUMMYFUNCTION("""COMPUTED_VALUE"""),"Sim")</f>
        <v>Sim</v>
      </c>
      <c r="K433" s="1" t="str">
        <f>IFERROR(__xludf.DUMMYFUNCTION("""COMPUTED_VALUE"""),"Não")</f>
        <v>Não</v>
      </c>
      <c r="L433" s="1" t="str">
        <f>IFERROR(__xludf.DUMMYFUNCTION("""COMPUTED_VALUE"""),"O+")</f>
        <v>O+</v>
      </c>
      <c r="M433" s="1" t="str">
        <f>IFERROR(__xludf.DUMMYFUNCTION("""COMPUTED_VALUE"""),"Plate")</f>
        <v>Plate</v>
      </c>
      <c r="N433" s="120">
        <f>IFERROR(__xludf.DUMMYFUNCTION("""COMPUTED_VALUE"""),32302)</f>
        <v>32302</v>
      </c>
      <c r="O433" s="1" t="str">
        <f>IFERROR(__xludf.DUMMYFUNCTION("""COMPUTED_VALUE"""),"Masculino")</f>
        <v>Masculino</v>
      </c>
      <c r="P433" s="1" t="str">
        <f>IFERROR(__xludf.DUMMYFUNCTION("""COMPUTED_VALUE"""),"Branca")</f>
        <v>Branca</v>
      </c>
      <c r="Q433" s="1" t="str">
        <f>IFERROR(__xludf.DUMMYFUNCTION("""COMPUTED_VALUE"""),"Ensino Médio")</f>
        <v>Ensino Médio</v>
      </c>
      <c r="R433" s="1" t="str">
        <f>IFERROR(__xludf.DUMMYFUNCTION("""COMPUTED_VALUE"""),"platebombeiro@gmail.com")</f>
        <v>platebombeiro@gmail.com</v>
      </c>
      <c r="S433" s="1">
        <f>IFERROR(__xludf.DUMMYFUNCTION("""COMPUTED_VALUE"""),67)</f>
        <v>67</v>
      </c>
      <c r="T433" s="1" t="str">
        <f>IFERROR(__xludf.DUMMYFUNCTION("""COMPUTED_VALUE"""),"Entre 1,71m e 1,75m")</f>
        <v>Entre 1,71m e 1,75m</v>
      </c>
      <c r="U433" s="1" t="str">
        <f>IFERROR(__xludf.DUMMYFUNCTION("""COMPUTED_VALUE"""),"Não POSSUI")</f>
        <v>Não POSSUI</v>
      </c>
      <c r="V433" s="1" t="str">
        <f>IFERROR(__xludf.DUMMYFUNCTION("""COMPUTED_VALUE"""),"(51)99645-7648")</f>
        <v>(51)99645-7648</v>
      </c>
      <c r="W433" s="1" t="str">
        <f>IFERROR(__xludf.DUMMYFUNCTION("""COMPUTED_VALUE"""),"(51)99552-5537")</f>
        <v>(51)99552-5537</v>
      </c>
      <c r="X433" s="1"/>
      <c r="Y433" s="1" t="str">
        <f>IFERROR(__xludf.DUMMYFUNCTION("""COMPUTED_VALUE"""),"Encruzilhada do Sul")</f>
        <v>Encruzilhada do Sul</v>
      </c>
      <c r="Z433" s="1">
        <f>IFERROR(__xludf.DUMMYFUNCTION("""COMPUTED_VALUE"""),96610000)</f>
        <v>96610000</v>
      </c>
      <c r="AA433" s="1" t="str">
        <f>IFERROR(__xludf.DUMMYFUNCTION("""COMPUTED_VALUE"""),"Francisco Xavier de Oliveira")</f>
        <v>Francisco Xavier de Oliveira</v>
      </c>
      <c r="AB433" s="1" t="str">
        <f>IFERROR(__xludf.DUMMYFUNCTION("""COMPUTED_VALUE"""),"Castros")</f>
        <v>Castros</v>
      </c>
      <c r="AC433" s="1" t="str">
        <f>IFERROR(__xludf.DUMMYFUNCTION("""COMPUTED_VALUE"""),"M")</f>
        <v>M</v>
      </c>
      <c r="AD433" s="1" t="str">
        <f>IFERROR(__xludf.DUMMYFUNCTION("""COMPUTED_VALUE"""),"M")</f>
        <v>M</v>
      </c>
      <c r="AE433" s="1" t="str">
        <f>IFERROR(__xludf.DUMMYFUNCTION("""COMPUTED_VALUE"""),"M")</f>
        <v>M</v>
      </c>
      <c r="AF433" s="1" t="str">
        <f>IFERROR(__xludf.DUMMYFUNCTION("""COMPUTED_VALUE"""),"M")</f>
        <v>M</v>
      </c>
      <c r="AG433" s="1" t="str">
        <f>IFERROR(__xludf.DUMMYFUNCTION("""COMPUTED_VALUE"""),"M")</f>
        <v>M</v>
      </c>
      <c r="AH433" s="1">
        <f>IFERROR(__xludf.DUMMYFUNCTION("""COMPUTED_VALUE"""),39)</f>
        <v>39</v>
      </c>
      <c r="AI433" s="1">
        <f>IFERROR(__xludf.DUMMYFUNCTION("""COMPUTED_VALUE"""),39)</f>
        <v>39</v>
      </c>
      <c r="AJ433" s="1">
        <f>IFERROR(__xludf.DUMMYFUNCTION("""COMPUTED_VALUE"""),39)</f>
        <v>39</v>
      </c>
      <c r="AK433" s="1">
        <f>IFERROR(__xludf.DUMMYFUNCTION("""COMPUTED_VALUE"""),39)</f>
        <v>39</v>
      </c>
      <c r="AL433" s="1" t="str">
        <f>IFERROR(__xludf.DUMMYFUNCTION("""COMPUTED_VALUE"""),"P")</f>
        <v>P</v>
      </c>
      <c r="AM433" s="1" t="str">
        <f>IFERROR(__xludf.DUMMYFUNCTION("""COMPUTED_VALUE"""),"P")</f>
        <v>P</v>
      </c>
      <c r="AN433" s="1" t="str">
        <f>IFERROR(__xludf.DUMMYFUNCTION("""COMPUTED_VALUE"""),"P")</f>
        <v>P</v>
      </c>
    </row>
    <row r="434" customHeight="1" spans="1:40">
      <c r="A434" s="1" t="str">
        <f>IFERROR(__xludf.DUMMYFUNCTION("""COMPUTED_VALUE"""),"06° BBM")</f>
        <v>06° BBM</v>
      </c>
      <c r="B434" s="1" t="str">
        <f>IFERROR(__xludf.DUMMYFUNCTION("""COMPUTED_VALUE"""),"Camaquã")</f>
        <v>Camaquã</v>
      </c>
      <c r="C434" s="119" t="str">
        <f>IFERROR(__xludf.DUMMYFUNCTION("""COMPUTED_VALUE"""),"CAB")</f>
        <v>CAB</v>
      </c>
      <c r="D434" s="1" t="str">
        <f>IFERROR(__xludf.DUMMYFUNCTION("""COMPUTED_VALUE"""),"DIONISIO NUNES DA SILVA")</f>
        <v>DIONISIO NUNES DA SILVA</v>
      </c>
      <c r="E434" s="119" t="str">
        <f>IFERROR(__xludf.DUMMYFUNCTION("""COMPUTED_VALUE"""),"Curso CAB operador concluído")</f>
        <v>Curso CAB operador concluído</v>
      </c>
      <c r="F434" s="1" t="str">
        <f>IFERROR(__xludf.DUMMYFUNCTION("""COMPUTED_VALUE"""),"921.780.300-68")</f>
        <v>921.780.300-68</v>
      </c>
      <c r="G434" s="1">
        <f>IFERROR(__xludf.DUMMYFUNCTION("""COMPUTED_VALUE"""),4054553062)</f>
        <v>4054553062</v>
      </c>
      <c r="H434" s="1" t="str">
        <f>IFERROR(__xludf.DUMMYFUNCTION("""COMPUTED_VALUE"""),"Combatente")</f>
        <v>Combatente</v>
      </c>
      <c r="I434" s="1" t="str">
        <f>IFERROR(__xludf.DUMMYFUNCTION("""COMPUTED_VALUE"""),"Bombeiro Civil")</f>
        <v>Bombeiro Civil</v>
      </c>
      <c r="J434" s="1" t="str">
        <f>IFERROR(__xludf.DUMMYFUNCTION("""COMPUTED_VALUE"""),"Não")</f>
        <v>Não</v>
      </c>
      <c r="K434" s="1" t="str">
        <f>IFERROR(__xludf.DUMMYFUNCTION("""COMPUTED_VALUE"""),"Sim")</f>
        <v>Sim</v>
      </c>
      <c r="L434" s="1" t="str">
        <f>IFERROR(__xludf.DUMMYFUNCTION("""COMPUTED_VALUE"""),"B+")</f>
        <v>B+</v>
      </c>
      <c r="M434" s="1" t="str">
        <f>IFERROR(__xludf.DUMMYFUNCTION("""COMPUTED_VALUE"""),"NUNES")</f>
        <v>NUNES</v>
      </c>
      <c r="N434" s="120">
        <f>IFERROR(__xludf.DUMMYFUNCTION("""COMPUTED_VALUE"""),26008)</f>
        <v>26008</v>
      </c>
      <c r="O434" s="1" t="str">
        <f>IFERROR(__xludf.DUMMYFUNCTION("""COMPUTED_VALUE"""),"Masculino")</f>
        <v>Masculino</v>
      </c>
      <c r="P434" s="1" t="str">
        <f>IFERROR(__xludf.DUMMYFUNCTION("""COMPUTED_VALUE"""),"Preta")</f>
        <v>Preta</v>
      </c>
      <c r="Q434" s="1" t="str">
        <f>IFERROR(__xludf.DUMMYFUNCTION("""COMPUTED_VALUE"""),"Ensino Fundamental")</f>
        <v>Ensino Fundamental</v>
      </c>
      <c r="R434" s="1" t="str">
        <f>IFERROR(__xludf.DUMMYFUNCTION("""COMPUTED_VALUE"""),"nunesbombeirocivilnunes081@gmail.com")</f>
        <v>nunesbombeirocivilnunes081@gmail.com</v>
      </c>
      <c r="S434" s="1"/>
      <c r="T434" s="1" t="str">
        <f>IFERROR(__xludf.DUMMYFUNCTION("""COMPUTED_VALUE"""),"Entre 1,66m e 1,70m")</f>
        <v>Entre 1,66m e 1,70m</v>
      </c>
      <c r="U434" s="1" t="str">
        <f>IFERROR(__xludf.DUMMYFUNCTION("""COMPUTED_VALUE"""),"Não POSSUI")</f>
        <v>Não POSSUI</v>
      </c>
      <c r="V434" s="1" t="str">
        <f>IFERROR(__xludf.DUMMYFUNCTION("""COMPUTED_VALUE"""),"(51)99841-2710")</f>
        <v>(51)99841-2710</v>
      </c>
      <c r="W434" s="1" t="str">
        <f>IFERROR(__xludf.DUMMYFUNCTION("""COMPUTED_VALUE"""),"(51)99841-2710")</f>
        <v>(51)99841-2710</v>
      </c>
      <c r="X434" s="1" t="str">
        <f>IFERROR(__xludf.DUMMYFUNCTION("""COMPUTED_VALUE"""),"RS")</f>
        <v>RS</v>
      </c>
      <c r="Y434" s="1" t="str">
        <f>IFERROR(__xludf.DUMMYFUNCTION("""COMPUTED_VALUE"""),"Camaquã")</f>
        <v>Camaquã</v>
      </c>
      <c r="Z434" s="1">
        <f>IFERROR(__xludf.DUMMYFUNCTION("""COMPUTED_VALUE"""),96180000)</f>
        <v>96180000</v>
      </c>
      <c r="AA434" s="1" t="str">
        <f>IFERROR(__xludf.DUMMYFUNCTION("""COMPUTED_VALUE"""),"Volzear Longaray Nº 234")</f>
        <v>Volzear Longaray Nº 234</v>
      </c>
      <c r="AB434" s="1" t="str">
        <f>IFERROR(__xludf.DUMMYFUNCTION("""COMPUTED_VALUE"""),"Jardim das Flores")</f>
        <v>Jardim das Flores</v>
      </c>
      <c r="AC434" s="1" t="str">
        <f>IFERROR(__xludf.DUMMYFUNCTION("""COMPUTED_VALUE"""),"G")</f>
        <v>G</v>
      </c>
      <c r="AD434" s="1" t="str">
        <f>IFERROR(__xludf.DUMMYFUNCTION("""COMPUTED_VALUE"""),"G")</f>
        <v>G</v>
      </c>
      <c r="AE434" s="1" t="str">
        <f>IFERROR(__xludf.DUMMYFUNCTION("""COMPUTED_VALUE"""),"G")</f>
        <v>G</v>
      </c>
      <c r="AF434" s="1" t="str">
        <f>IFERROR(__xludf.DUMMYFUNCTION("""COMPUTED_VALUE"""),"G")</f>
        <v>G</v>
      </c>
      <c r="AG434" s="1" t="str">
        <f>IFERROR(__xludf.DUMMYFUNCTION("""COMPUTED_VALUE"""),"G")</f>
        <v>G</v>
      </c>
      <c r="AH434" s="1">
        <f>IFERROR(__xludf.DUMMYFUNCTION("""COMPUTED_VALUE"""),39)</f>
        <v>39</v>
      </c>
      <c r="AI434" s="1">
        <f>IFERROR(__xludf.DUMMYFUNCTION("""COMPUTED_VALUE"""),39)</f>
        <v>39</v>
      </c>
      <c r="AJ434" s="1">
        <f>IFERROR(__xludf.DUMMYFUNCTION("""COMPUTED_VALUE"""),39)</f>
        <v>39</v>
      </c>
      <c r="AK434" s="1">
        <f>IFERROR(__xludf.DUMMYFUNCTION("""COMPUTED_VALUE"""),39)</f>
        <v>39</v>
      </c>
      <c r="AL434" s="1" t="str">
        <f>IFERROR(__xludf.DUMMYFUNCTION("""COMPUTED_VALUE"""),"G")</f>
        <v>G</v>
      </c>
      <c r="AM434" s="1" t="str">
        <f>IFERROR(__xludf.DUMMYFUNCTION("""COMPUTED_VALUE"""),"G")</f>
        <v>G</v>
      </c>
      <c r="AN434" s="1" t="str">
        <f>IFERROR(__xludf.DUMMYFUNCTION("""COMPUTED_VALUE"""),"G")</f>
        <v>G</v>
      </c>
    </row>
    <row r="435" customHeight="1" spans="1:40">
      <c r="A435" s="1" t="str">
        <f>IFERROR(__xludf.DUMMYFUNCTION("""COMPUTED_VALUE"""),"06° BBM")</f>
        <v>06° BBM</v>
      </c>
      <c r="B435" s="1" t="str">
        <f>IFERROR(__xludf.DUMMYFUNCTION("""COMPUTED_VALUE"""),"Camaquã")</f>
        <v>Camaquã</v>
      </c>
      <c r="C435" s="119" t="str">
        <f>IFERROR(__xludf.DUMMYFUNCTION("""COMPUTED_VALUE"""),"Comunitario")</f>
        <v>Comunitario</v>
      </c>
      <c r="D435" s="1" t="str">
        <f>IFERROR(__xludf.DUMMYFUNCTION("""COMPUTED_VALUE"""),"ELISANDRO DA SLVA LIMA")</f>
        <v>ELISANDRO DA SLVA LIMA</v>
      </c>
      <c r="E435" s="119" t="str">
        <f>IFERROR(__xludf.DUMMYFUNCTION("""COMPUTED_VALUE"""),"Curso CAB operador concluído")</f>
        <v>Curso CAB operador concluído</v>
      </c>
      <c r="F435" s="1" t="str">
        <f>IFERROR(__xludf.DUMMYFUNCTION("""COMPUTED_VALUE"""),"943576090-20")</f>
        <v>943576090-20</v>
      </c>
      <c r="G435" s="1">
        <f>IFERROR(__xludf.DUMMYFUNCTION("""COMPUTED_VALUE"""),9061287034)</f>
        <v>9061287034</v>
      </c>
      <c r="H435" s="1" t="str">
        <f>IFERROR(__xludf.DUMMYFUNCTION("""COMPUTED_VALUE"""),"Combatente")</f>
        <v>Combatente</v>
      </c>
      <c r="I435" s="1"/>
      <c r="J435" s="1" t="str">
        <f>IFERROR(__xludf.DUMMYFUNCTION("""COMPUTED_VALUE"""),"Sim")</f>
        <v>Sim</v>
      </c>
      <c r="K435" s="1" t="str">
        <f>IFERROR(__xludf.DUMMYFUNCTION("""COMPUTED_VALUE"""),"Sim")</f>
        <v>Sim</v>
      </c>
      <c r="L435" s="1" t="str">
        <f>IFERROR(__xludf.DUMMYFUNCTION("""COMPUTED_VALUE"""),"A-")</f>
        <v>A-</v>
      </c>
      <c r="M435" s="1" t="str">
        <f>IFERROR(__xludf.DUMMYFUNCTION("""COMPUTED_VALUE"""),"ELlSANDRO")</f>
        <v>ELlSANDRO</v>
      </c>
      <c r="N435" s="121">
        <f>IFERROR(__xludf.DUMMYFUNCTION("""COMPUTED_VALUE"""),28112)</f>
        <v>28112</v>
      </c>
      <c r="O435" s="1" t="str">
        <f>IFERROR(__xludf.DUMMYFUNCTION("""COMPUTED_VALUE"""),"Masculino")</f>
        <v>Masculino</v>
      </c>
      <c r="P435" s="1" t="str">
        <f>IFERROR(__xludf.DUMMYFUNCTION("""COMPUTED_VALUE"""),"Preta")</f>
        <v>Preta</v>
      </c>
      <c r="Q435" s="1" t="str">
        <f>IFERROR(__xludf.DUMMYFUNCTION("""COMPUTED_VALUE"""),"Ensino Médio")</f>
        <v>Ensino Médio</v>
      </c>
      <c r="R435" s="1" t="str">
        <f>IFERROR(__xludf.DUMMYFUNCTION("""COMPUTED_VALUE"""),"elisilva.lima@hotmail.com")</f>
        <v>elisilva.lima@hotmail.com</v>
      </c>
      <c r="S435" s="1">
        <f>IFERROR(__xludf.DUMMYFUNCTION("""COMPUTED_VALUE"""),104)</f>
        <v>104</v>
      </c>
      <c r="T435" s="1" t="str">
        <f>IFERROR(__xludf.DUMMYFUNCTION("""COMPUTED_VALUE"""),"Entre 1,76m e 1,80m")</f>
        <v>Entre 1,76m e 1,80m</v>
      </c>
      <c r="U435" s="1" t="str">
        <f>IFERROR(__xludf.DUMMYFUNCTION("""COMPUTED_VALUE"""),"Não POSSUI")</f>
        <v>Não POSSUI</v>
      </c>
      <c r="V435" s="1" t="str">
        <f>IFERROR(__xludf.DUMMYFUNCTION("""COMPUTED_VALUE"""),"(51)99755-5291")</f>
        <v>(51)99755-5291</v>
      </c>
      <c r="W435" s="1" t="str">
        <f>IFERROR(__xludf.DUMMYFUNCTION("""COMPUTED_VALUE"""),"(51)99857-6890")</f>
        <v>(51)99857-6890</v>
      </c>
      <c r="X435" s="1" t="str">
        <f>IFERROR(__xludf.DUMMYFUNCTION("""COMPUTED_VALUE"""),"RS")</f>
        <v>RS</v>
      </c>
      <c r="Y435" s="1" t="str">
        <f>IFERROR(__xludf.DUMMYFUNCTION("""COMPUTED_VALUE"""),"Camaquã")</f>
        <v>Camaquã</v>
      </c>
      <c r="Z435" s="1">
        <f>IFERROR(__xludf.DUMMYFUNCTION("""COMPUTED_VALUE"""),96180000)</f>
        <v>96180000</v>
      </c>
      <c r="AA435" s="1" t="str">
        <f>IFERROR(__xludf.DUMMYFUNCTION("""COMPUTED_VALUE"""),"JOSINO LACERDA N° 15")</f>
        <v>JOSINO LACERDA N° 15</v>
      </c>
      <c r="AB435" s="1" t="str">
        <f>IFERROR(__xludf.DUMMYFUNCTION("""COMPUTED_VALUE"""),"SÃO LUIS")</f>
        <v>SÃO LUIS</v>
      </c>
      <c r="AC435" s="1" t="str">
        <f>IFERROR(__xludf.DUMMYFUNCTION("""COMPUTED_VALUE"""),"GG")</f>
        <v>GG</v>
      </c>
      <c r="AD435" s="1" t="str">
        <f>IFERROR(__xludf.DUMMYFUNCTION("""COMPUTED_VALUE"""),"GG")</f>
        <v>GG</v>
      </c>
      <c r="AE435" s="1" t="str">
        <f>IFERROR(__xludf.DUMMYFUNCTION("""COMPUTED_VALUE"""),"GG")</f>
        <v>GG</v>
      </c>
      <c r="AF435" s="1" t="str">
        <f>IFERROR(__xludf.DUMMYFUNCTION("""COMPUTED_VALUE"""),"GG")</f>
        <v>GG</v>
      </c>
      <c r="AG435" s="1" t="str">
        <f>IFERROR(__xludf.DUMMYFUNCTION("""COMPUTED_VALUE"""),"GG")</f>
        <v>GG</v>
      </c>
      <c r="AH435" s="1">
        <f>IFERROR(__xludf.DUMMYFUNCTION("""COMPUTED_VALUE"""),43)</f>
        <v>43</v>
      </c>
      <c r="AI435" s="1">
        <f>IFERROR(__xludf.DUMMYFUNCTION("""COMPUTED_VALUE"""),43)</f>
        <v>43</v>
      </c>
      <c r="AJ435" s="1">
        <f>IFERROR(__xludf.DUMMYFUNCTION("""COMPUTED_VALUE"""),43)</f>
        <v>43</v>
      </c>
      <c r="AK435" s="1">
        <f>IFERROR(__xludf.DUMMYFUNCTION("""COMPUTED_VALUE"""),43)</f>
        <v>43</v>
      </c>
      <c r="AL435" s="1" t="str">
        <f>IFERROR(__xludf.DUMMYFUNCTION("""COMPUTED_VALUE"""),"GG")</f>
        <v>GG</v>
      </c>
      <c r="AM435" s="1" t="str">
        <f>IFERROR(__xludf.DUMMYFUNCTION("""COMPUTED_VALUE"""),"GG")</f>
        <v>GG</v>
      </c>
      <c r="AN435" s="1" t="str">
        <f>IFERROR(__xludf.DUMMYFUNCTION("""COMPUTED_VALUE"""),"G")</f>
        <v>G</v>
      </c>
    </row>
    <row r="436" customHeight="1" spans="1:40">
      <c r="A436" s="1" t="str">
        <f>IFERROR(__xludf.DUMMYFUNCTION("""COMPUTED_VALUE"""),"06° BBM")</f>
        <v>06° BBM</v>
      </c>
      <c r="B436" s="1" t="str">
        <f>IFERROR(__xludf.DUMMYFUNCTION("""COMPUTED_VALUE"""),"Vera Cruz")</f>
        <v>Vera Cruz</v>
      </c>
      <c r="C436" s="119" t="str">
        <f>IFERROR(__xludf.DUMMYFUNCTION("""COMPUTED_VALUE"""),"Comunitario")</f>
        <v>Comunitario</v>
      </c>
      <c r="D436" s="1" t="str">
        <f>IFERROR(__xludf.DUMMYFUNCTION("""COMPUTED_VALUE"""),"EVANDRO DOS SANTOS WINKELMANN")</f>
        <v>EVANDRO DOS SANTOS WINKELMANN</v>
      </c>
      <c r="E436" s="119" t="str">
        <f>IFERROR(__xludf.DUMMYFUNCTION("""COMPUTED_VALUE"""),"Curso CAB operador concluído")</f>
        <v>Curso CAB operador concluído</v>
      </c>
      <c r="F436" s="1" t="str">
        <f>IFERROR(__xludf.DUMMYFUNCTION("""COMPUTED_VALUE"""),"004.818.950-27")</f>
        <v>004.818.950-27</v>
      </c>
      <c r="G436" s="1">
        <f>IFERROR(__xludf.DUMMYFUNCTION("""COMPUTED_VALUE"""),6091986742)</f>
        <v>6091986742</v>
      </c>
      <c r="H436" s="1" t="str">
        <f>IFERROR(__xludf.DUMMYFUNCTION("""COMPUTED_VALUE"""),"Combatente/Socorrista")</f>
        <v>Combatente/Socorrista</v>
      </c>
      <c r="I436" s="1" t="str">
        <f>IFERROR(__xludf.DUMMYFUNCTION("""COMPUTED_VALUE"""),"Tec. de Enfermagem / APH e BLS/ Combate a Incendio(EsBO)/Resgate veicular/ Condutor Veiculo de Emergencia")</f>
        <v>Tec. de Enfermagem / APH e BLS/ Combate a Incendio(EsBO)/Resgate veicular/ Condutor Veiculo de Emergencia</v>
      </c>
      <c r="J436" s="1" t="str">
        <f>IFERROR(__xludf.DUMMYFUNCTION("""COMPUTED_VALUE"""),"Não")</f>
        <v>Não</v>
      </c>
      <c r="K436" s="1" t="str">
        <f>IFERROR(__xludf.DUMMYFUNCTION("""COMPUTED_VALUE"""),"Sim")</f>
        <v>Sim</v>
      </c>
      <c r="L436" s="1" t="str">
        <f>IFERROR(__xludf.DUMMYFUNCTION("""COMPUTED_VALUE"""),"O+")</f>
        <v>O+</v>
      </c>
      <c r="M436" s="1" t="str">
        <f>IFERROR(__xludf.DUMMYFUNCTION("""COMPUTED_VALUE"""),"Evandro W.")</f>
        <v>Evandro W.</v>
      </c>
      <c r="N436" s="120">
        <f>IFERROR(__xludf.DUMMYFUNCTION("""COMPUTED_VALUE"""),31491)</f>
        <v>31491</v>
      </c>
      <c r="O436" s="1" t="str">
        <f>IFERROR(__xludf.DUMMYFUNCTION("""COMPUTED_VALUE"""),"Masculino")</f>
        <v>Masculino</v>
      </c>
      <c r="P436" s="1" t="str">
        <f>IFERROR(__xludf.DUMMYFUNCTION("""COMPUTED_VALUE"""),"Branca")</f>
        <v>Branca</v>
      </c>
      <c r="Q436" s="1" t="str">
        <f>IFERROR(__xludf.DUMMYFUNCTION("""COMPUTED_VALUE"""),"Ensino Médio")</f>
        <v>Ensino Médio</v>
      </c>
      <c r="R436" s="1" t="str">
        <f>IFERROR(__xludf.DUMMYFUNCTION("""COMPUTED_VALUE"""),"evandro_esw@hotmail.com")</f>
        <v>evandro_esw@hotmail.com</v>
      </c>
      <c r="S436" s="1">
        <f>IFERROR(__xludf.DUMMYFUNCTION("""COMPUTED_VALUE"""),86)</f>
        <v>86</v>
      </c>
      <c r="T436" s="1" t="str">
        <f>IFERROR(__xludf.DUMMYFUNCTION("""COMPUTED_VALUE"""),"Entre 1,71m e 1,75m")</f>
        <v>Entre 1,71m e 1,75m</v>
      </c>
      <c r="U436" s="1" t="str">
        <f>IFERROR(__xludf.DUMMYFUNCTION("""COMPUTED_VALUE"""),"Não POSSUI")</f>
        <v>Não POSSUI</v>
      </c>
      <c r="V436" s="1" t="str">
        <f>IFERROR(__xludf.DUMMYFUNCTION("""COMPUTED_VALUE"""),"(51) 98021-4468")</f>
        <v>(51) 98021-4468</v>
      </c>
      <c r="W436" s="1" t="str">
        <f>IFERROR(__xludf.DUMMYFUNCTION("""COMPUTED_VALUE"""),"(51)99630-6161")</f>
        <v>(51)99630-6161</v>
      </c>
      <c r="X436" s="1" t="str">
        <f>IFERROR(__xludf.DUMMYFUNCTION("""COMPUTED_VALUE"""),"RS")</f>
        <v>RS</v>
      </c>
      <c r="Y436" s="1" t="str">
        <f>IFERROR(__xludf.DUMMYFUNCTION("""COMPUTED_VALUE"""),"Vera Cruz")</f>
        <v>Vera Cruz</v>
      </c>
      <c r="Z436" s="1" t="str">
        <f>IFERROR(__xludf.DUMMYFUNCTION("""COMPUTED_VALUE"""),"96880-000")</f>
        <v>96880-000</v>
      </c>
      <c r="AA436" s="1" t="str">
        <f>IFERROR(__xludf.DUMMYFUNCTION("""COMPUTED_VALUE"""),"Rua Segefredo Wernner, Nº 39 Casa 10")</f>
        <v>Rua Segefredo Wernner, Nº 39 Casa 10</v>
      </c>
      <c r="AB436" s="1" t="str">
        <f>IFERROR(__xludf.DUMMYFUNCTION("""COMPUTED_VALUE"""),"Centro")</f>
        <v>Centro</v>
      </c>
      <c r="AC436" s="1" t="str">
        <f>IFERROR(__xludf.DUMMYFUNCTION("""COMPUTED_VALUE"""),"G")</f>
        <v>G</v>
      </c>
      <c r="AD436" s="1" t="str">
        <f>IFERROR(__xludf.DUMMYFUNCTION("""COMPUTED_VALUE"""),"G")</f>
        <v>G</v>
      </c>
      <c r="AE436" s="1" t="str">
        <f>IFERROR(__xludf.DUMMYFUNCTION("""COMPUTED_VALUE"""),"G")</f>
        <v>G</v>
      </c>
      <c r="AF436" s="1" t="str">
        <f>IFERROR(__xludf.DUMMYFUNCTION("""COMPUTED_VALUE"""),"G")</f>
        <v>G</v>
      </c>
      <c r="AG436" s="1" t="str">
        <f>IFERROR(__xludf.DUMMYFUNCTION("""COMPUTED_VALUE"""),"G")</f>
        <v>G</v>
      </c>
      <c r="AH436" s="1">
        <f>IFERROR(__xludf.DUMMYFUNCTION("""COMPUTED_VALUE"""),42)</f>
        <v>42</v>
      </c>
      <c r="AI436" s="1">
        <f>IFERROR(__xludf.DUMMYFUNCTION("""COMPUTED_VALUE"""),42)</f>
        <v>42</v>
      </c>
      <c r="AJ436" s="1">
        <f>IFERROR(__xludf.DUMMYFUNCTION("""COMPUTED_VALUE"""),42)</f>
        <v>42</v>
      </c>
      <c r="AK436" s="1">
        <f>IFERROR(__xludf.DUMMYFUNCTION("""COMPUTED_VALUE"""),42)</f>
        <v>42</v>
      </c>
      <c r="AL436" s="1" t="str">
        <f>IFERROR(__xludf.DUMMYFUNCTION("""COMPUTED_VALUE"""),"G")</f>
        <v>G</v>
      </c>
      <c r="AM436" s="1" t="str">
        <f>IFERROR(__xludf.DUMMYFUNCTION("""COMPUTED_VALUE"""),"G")</f>
        <v>G</v>
      </c>
      <c r="AN436" s="1" t="str">
        <f>IFERROR(__xludf.DUMMYFUNCTION("""COMPUTED_VALUE"""),"G")</f>
        <v>G</v>
      </c>
    </row>
    <row r="437" customHeight="1" spans="1:40">
      <c r="A437" s="1" t="str">
        <f>IFERROR(__xludf.DUMMYFUNCTION("""COMPUTED_VALUE"""),"06° BBM")</f>
        <v>06° BBM</v>
      </c>
      <c r="B437" s="1" t="str">
        <f>IFERROR(__xludf.DUMMYFUNCTION("""COMPUTED_VALUE"""),"Vera Cruz")</f>
        <v>Vera Cruz</v>
      </c>
      <c r="C437" s="119" t="str">
        <f>IFERROR(__xludf.DUMMYFUNCTION("""COMPUTED_VALUE"""),"Comunitario")</f>
        <v>Comunitario</v>
      </c>
      <c r="D437" s="1" t="str">
        <f>IFERROR(__xludf.DUMMYFUNCTION("""COMPUTED_VALUE"""),"EVANDRO RANGEL DA SILVA")</f>
        <v>EVANDRO RANGEL DA SILVA</v>
      </c>
      <c r="E437" s="119" t="str">
        <f>IFERROR(__xludf.DUMMYFUNCTION("""COMPUTED_VALUE"""),"Curso CAB operador concluído")</f>
        <v>Curso CAB operador concluído</v>
      </c>
      <c r="F437" s="1" t="str">
        <f>IFERROR(__xludf.DUMMYFUNCTION("""COMPUTED_VALUE"""),"010.792.220-73")</f>
        <v>010.792.220-73</v>
      </c>
      <c r="G437" s="1">
        <f>IFERROR(__xludf.DUMMYFUNCTION("""COMPUTED_VALUE"""),3083784912)</f>
        <v>3083784912</v>
      </c>
      <c r="H437" s="1" t="str">
        <f>IFERROR(__xludf.DUMMYFUNCTION("""COMPUTED_VALUE"""),"Combatente/Socorrista")</f>
        <v>Combatente/Socorrista</v>
      </c>
      <c r="I437" s="1" t="str">
        <f>IFERROR(__xludf.DUMMYFUNCTION("""COMPUTED_VALUE"""),"APH e BLS/ Bombeiro Civil/ Condutor Veiculo de Emergencia")</f>
        <v>APH e BLS/ Bombeiro Civil/ Condutor Veiculo de Emergencia</v>
      </c>
      <c r="J437" s="1" t="str">
        <f>IFERROR(__xludf.DUMMYFUNCTION("""COMPUTED_VALUE"""),"Não")</f>
        <v>Não</v>
      </c>
      <c r="K437" s="1" t="str">
        <f>IFERROR(__xludf.DUMMYFUNCTION("""COMPUTED_VALUE"""),"Não")</f>
        <v>Não</v>
      </c>
      <c r="L437" s="1" t="str">
        <f>IFERROR(__xludf.DUMMYFUNCTION("""COMPUTED_VALUE"""),"O+")</f>
        <v>O+</v>
      </c>
      <c r="M437" s="1" t="str">
        <f>IFERROR(__xludf.DUMMYFUNCTION("""COMPUTED_VALUE"""),"Rangel")</f>
        <v>Rangel</v>
      </c>
      <c r="N437" s="120">
        <f>IFERROR(__xludf.DUMMYFUNCTION("""COMPUTED_VALUE"""),31835)</f>
        <v>31835</v>
      </c>
      <c r="O437" s="1" t="str">
        <f>IFERROR(__xludf.DUMMYFUNCTION("""COMPUTED_VALUE"""),"Masculino")</f>
        <v>Masculino</v>
      </c>
      <c r="P437" s="1" t="str">
        <f>IFERROR(__xludf.DUMMYFUNCTION("""COMPUTED_VALUE"""),"Parda")</f>
        <v>Parda</v>
      </c>
      <c r="Q437" s="1" t="str">
        <f>IFERROR(__xludf.DUMMYFUNCTION("""COMPUTED_VALUE"""),"Ensino Superior Completo")</f>
        <v>Ensino Superior Completo</v>
      </c>
      <c r="R437" s="1" t="str">
        <f>IFERROR(__xludf.DUMMYFUNCTION("""COMPUTED_VALUE"""),"evandrorangel_silva@yahoo.com.br")</f>
        <v>evandrorangel_silva@yahoo.com.br</v>
      </c>
      <c r="S437" s="1">
        <f>IFERROR(__xludf.DUMMYFUNCTION("""COMPUTED_VALUE"""),84)</f>
        <v>84</v>
      </c>
      <c r="T437" s="1" t="str">
        <f>IFERROR(__xludf.DUMMYFUNCTION("""COMPUTED_VALUE"""),"Entre 1,71m e 1,75m")</f>
        <v>Entre 1,71m e 1,75m</v>
      </c>
      <c r="U437" s="1" t="str">
        <f>IFERROR(__xludf.DUMMYFUNCTION("""COMPUTED_VALUE"""),"Não POSSUI")</f>
        <v>Não POSSUI</v>
      </c>
      <c r="V437" s="1" t="str">
        <f>IFERROR(__xludf.DUMMYFUNCTION("""COMPUTED_VALUE"""),"(51) 998167-5331")</f>
        <v>(51) 998167-5331</v>
      </c>
      <c r="W437" s="1" t="str">
        <f>IFERROR(__xludf.DUMMYFUNCTION("""COMPUTED_VALUE"""),"(51) 99865-4191")</f>
        <v>(51) 99865-4191</v>
      </c>
      <c r="X437" s="1" t="str">
        <f>IFERROR(__xludf.DUMMYFUNCTION("""COMPUTED_VALUE"""),"RS")</f>
        <v>RS</v>
      </c>
      <c r="Y437" s="1" t="str">
        <f>IFERROR(__xludf.DUMMYFUNCTION("""COMPUTED_VALUE"""),"Vera Cruz")</f>
        <v>Vera Cruz</v>
      </c>
      <c r="Z437" s="1" t="str">
        <f>IFERROR(__xludf.DUMMYFUNCTION("""COMPUTED_VALUE"""),"96880-000")</f>
        <v>96880-000</v>
      </c>
      <c r="AA437" s="1" t="str">
        <f>IFERROR(__xludf.DUMMYFUNCTION("""COMPUTED_VALUE"""),"Armindo Back Nº144")</f>
        <v>Armindo Back Nº144</v>
      </c>
      <c r="AB437" s="1" t="str">
        <f>IFERROR(__xludf.DUMMYFUNCTION("""COMPUTED_VALUE"""),"Bosque Vila Tereza")</f>
        <v>Bosque Vila Tereza</v>
      </c>
      <c r="AC437" s="1" t="str">
        <f>IFERROR(__xludf.DUMMYFUNCTION("""COMPUTED_VALUE"""),"M")</f>
        <v>M</v>
      </c>
      <c r="AD437" s="1" t="str">
        <f>IFERROR(__xludf.DUMMYFUNCTION("""COMPUTED_VALUE"""),"M")</f>
        <v>M</v>
      </c>
      <c r="AE437" s="1" t="str">
        <f>IFERROR(__xludf.DUMMYFUNCTION("""COMPUTED_VALUE"""),"M")</f>
        <v>M</v>
      </c>
      <c r="AF437" s="1" t="str">
        <f>IFERROR(__xludf.DUMMYFUNCTION("""COMPUTED_VALUE"""),"M")</f>
        <v>M</v>
      </c>
      <c r="AG437" s="1" t="str">
        <f>IFERROR(__xludf.DUMMYFUNCTION("""COMPUTED_VALUE"""),"M")</f>
        <v>M</v>
      </c>
      <c r="AH437" s="1">
        <f>IFERROR(__xludf.DUMMYFUNCTION("""COMPUTED_VALUE"""),40)</f>
        <v>40</v>
      </c>
      <c r="AI437" s="1">
        <f>IFERROR(__xludf.DUMMYFUNCTION("""COMPUTED_VALUE"""),40)</f>
        <v>40</v>
      </c>
      <c r="AJ437" s="1">
        <f>IFERROR(__xludf.DUMMYFUNCTION("""COMPUTED_VALUE"""),40)</f>
        <v>40</v>
      </c>
      <c r="AK437" s="1">
        <f>IFERROR(__xludf.DUMMYFUNCTION("""COMPUTED_VALUE"""),40)</f>
        <v>40</v>
      </c>
      <c r="AL437" s="1" t="str">
        <f>IFERROR(__xludf.DUMMYFUNCTION("""COMPUTED_VALUE"""),"M")</f>
        <v>M</v>
      </c>
      <c r="AM437" s="1" t="str">
        <f>IFERROR(__xludf.DUMMYFUNCTION("""COMPUTED_VALUE"""),"M")</f>
        <v>M</v>
      </c>
      <c r="AN437" s="1" t="str">
        <f>IFERROR(__xludf.DUMMYFUNCTION("""COMPUTED_VALUE"""),"M")</f>
        <v>M</v>
      </c>
    </row>
    <row r="438" customHeight="1" spans="1:40">
      <c r="A438" s="1" t="str">
        <f>IFERROR(__xludf.DUMMYFUNCTION("""COMPUTED_VALUE"""),"06° BBM")</f>
        <v>06° BBM</v>
      </c>
      <c r="B438" s="1" t="str">
        <f>IFERROR(__xludf.DUMMYFUNCTION("""COMPUTED_VALUE"""),"Encruzilhada do Sul")</f>
        <v>Encruzilhada do Sul</v>
      </c>
      <c r="C438" s="119" t="str">
        <f>IFERROR(__xludf.DUMMYFUNCTION("""COMPUTED_VALUE"""),"Comunitario")</f>
        <v>Comunitario</v>
      </c>
      <c r="D438" s="1" t="str">
        <f>IFERROR(__xludf.DUMMYFUNCTION("""COMPUTED_VALUE"""),"FÁBIO KELLER")</f>
        <v>FÁBIO KELLER</v>
      </c>
      <c r="E438" s="119" t="str">
        <f>IFERROR(__xludf.DUMMYFUNCTION("""COMPUTED_VALUE"""),"Curso CAB operador concluído")</f>
        <v>Curso CAB operador concluído</v>
      </c>
      <c r="F438" s="1" t="str">
        <f>IFERROR(__xludf.DUMMYFUNCTION("""COMPUTED_VALUE"""),"007.486.800-47")</f>
        <v>007.486.800-47</v>
      </c>
      <c r="G438" s="1">
        <f>IFERROR(__xludf.DUMMYFUNCTION("""COMPUTED_VALUE"""),2064307859)</f>
        <v>2064307859</v>
      </c>
      <c r="H438" s="1" t="str">
        <f>IFERROR(__xludf.DUMMYFUNCTION("""COMPUTED_VALUE"""),"CAB")</f>
        <v>CAB</v>
      </c>
      <c r="I438" s="1" t="str">
        <f>IFERROR(__xludf.DUMMYFUNCTION("""COMPUTED_VALUE"""),"Curso de técnica e tática de combate a incêndio")</f>
        <v>Curso de técnica e tática de combate a incêndio</v>
      </c>
      <c r="J438" s="1" t="str">
        <f>IFERROR(__xludf.DUMMYFUNCTION("""COMPUTED_VALUE"""),"Sim")</f>
        <v>Sim</v>
      </c>
      <c r="K438" s="1" t="str">
        <f>IFERROR(__xludf.DUMMYFUNCTION("""COMPUTED_VALUE"""),"Sim")</f>
        <v>Sim</v>
      </c>
      <c r="L438" s="1" t="str">
        <f>IFERROR(__xludf.DUMMYFUNCTION("""COMPUTED_VALUE"""),"A+")</f>
        <v>A+</v>
      </c>
      <c r="M438" s="1" t="str">
        <f>IFERROR(__xludf.DUMMYFUNCTION("""COMPUTED_VALUE"""),"Fábio")</f>
        <v>Fábio</v>
      </c>
      <c r="N438" s="120">
        <f>IFERROR(__xludf.DUMMYFUNCTION("""COMPUTED_VALUE"""),30769)</f>
        <v>30769</v>
      </c>
      <c r="O438" s="1" t="str">
        <f>IFERROR(__xludf.DUMMYFUNCTION("""COMPUTED_VALUE"""),"Masculino")</f>
        <v>Masculino</v>
      </c>
      <c r="P438" s="1" t="str">
        <f>IFERROR(__xludf.DUMMYFUNCTION("""COMPUTED_VALUE"""),"Branca")</f>
        <v>Branca</v>
      </c>
      <c r="Q438" s="1" t="str">
        <f>IFERROR(__xludf.DUMMYFUNCTION("""COMPUTED_VALUE"""),"Ensino Superior Completo")</f>
        <v>Ensino Superior Completo</v>
      </c>
      <c r="R438" s="1" t="str">
        <f>IFERROR(__xludf.DUMMYFUNCTION("""COMPUTED_VALUE"""),"fkeller@mx2.unisc.br")</f>
        <v>fkeller@mx2.unisc.br</v>
      </c>
      <c r="S438" s="1">
        <f>IFERROR(__xludf.DUMMYFUNCTION("""COMPUTED_VALUE"""),110)</f>
        <v>110</v>
      </c>
      <c r="T438" s="1" t="str">
        <f>IFERROR(__xludf.DUMMYFUNCTION("""COMPUTED_VALUE"""),"Entre 1,81m e 1,85m")</f>
        <v>Entre 1,81m e 1,85m</v>
      </c>
      <c r="U438" s="1" t="str">
        <f>IFERROR(__xludf.DUMMYFUNCTION("""COMPUTED_VALUE"""),"Não POSSUI")</f>
        <v>Não POSSUI</v>
      </c>
      <c r="V438" s="1" t="str">
        <f>IFERROR(__xludf.DUMMYFUNCTION("""COMPUTED_VALUE"""),"(51)99678-4185")</f>
        <v>(51)99678-4185</v>
      </c>
      <c r="W438" s="1" t="str">
        <f>IFERROR(__xludf.DUMMYFUNCTION("""COMPUTED_VALUE"""),"(51)99567-6669")</f>
        <v>(51)99567-6669</v>
      </c>
      <c r="X438" s="1" t="str">
        <f>IFERROR(__xludf.DUMMYFUNCTION("""COMPUTED_VALUE"""),"RS")</f>
        <v>RS</v>
      </c>
      <c r="Y438" s="1" t="str">
        <f>IFERROR(__xludf.DUMMYFUNCTION("""COMPUTED_VALUE"""),"Rio Pardo")</f>
        <v>Rio Pardo</v>
      </c>
      <c r="Z438" s="1" t="str">
        <f>IFERROR(__xludf.DUMMYFUNCTION("""COMPUTED_VALUE"""),"96640-000")</f>
        <v>96640-000</v>
      </c>
      <c r="AA438" s="1" t="str">
        <f>IFERROR(__xludf.DUMMYFUNCTION("""COMPUTED_VALUE"""),"Rua São Sebastião 224")</f>
        <v>Rua São Sebastião 224</v>
      </c>
      <c r="AB438" s="1" t="str">
        <f>IFERROR(__xludf.DUMMYFUNCTION("""COMPUTED_VALUE"""),"São Jorge")</f>
        <v>São Jorge</v>
      </c>
      <c r="AC438" s="1" t="str">
        <f>IFERROR(__xludf.DUMMYFUNCTION("""COMPUTED_VALUE"""),"GG")</f>
        <v>GG</v>
      </c>
      <c r="AD438" s="1" t="str">
        <f>IFERROR(__xludf.DUMMYFUNCTION("""COMPUTED_VALUE"""),"GG")</f>
        <v>GG</v>
      </c>
      <c r="AE438" s="1" t="str">
        <f>IFERROR(__xludf.DUMMYFUNCTION("""COMPUTED_VALUE"""),"GG")</f>
        <v>GG</v>
      </c>
      <c r="AF438" s="1" t="str">
        <f>IFERROR(__xludf.DUMMYFUNCTION("""COMPUTED_VALUE"""),"GG")</f>
        <v>GG</v>
      </c>
      <c r="AG438" s="1" t="str">
        <f>IFERROR(__xludf.DUMMYFUNCTION("""COMPUTED_VALUE"""),"GG")</f>
        <v>GG</v>
      </c>
      <c r="AH438" s="1">
        <f>IFERROR(__xludf.DUMMYFUNCTION("""COMPUTED_VALUE"""),41)</f>
        <v>41</v>
      </c>
      <c r="AI438" s="1">
        <f>IFERROR(__xludf.DUMMYFUNCTION("""COMPUTED_VALUE"""),41)</f>
        <v>41</v>
      </c>
      <c r="AJ438" s="1">
        <f>IFERROR(__xludf.DUMMYFUNCTION("""COMPUTED_VALUE"""),41)</f>
        <v>41</v>
      </c>
      <c r="AK438" s="1">
        <f>IFERROR(__xludf.DUMMYFUNCTION("""COMPUTED_VALUE"""),41)</f>
        <v>41</v>
      </c>
      <c r="AL438" s="1" t="str">
        <f>IFERROR(__xludf.DUMMYFUNCTION("""COMPUTED_VALUE"""),"GG")</f>
        <v>GG</v>
      </c>
      <c r="AM438" s="1" t="str">
        <f>IFERROR(__xludf.DUMMYFUNCTION("""COMPUTED_VALUE"""),"GG")</f>
        <v>GG</v>
      </c>
      <c r="AN438" s="1" t="str">
        <f>IFERROR(__xludf.DUMMYFUNCTION("""COMPUTED_VALUE"""),"GG")</f>
        <v>GG</v>
      </c>
    </row>
    <row r="439" customHeight="1" spans="1:40">
      <c r="A439" s="1" t="str">
        <f>IFERROR(__xludf.DUMMYFUNCTION("""COMPUTED_VALUE"""),"06° BBM")</f>
        <v>06° BBM</v>
      </c>
      <c r="B439" s="1" t="str">
        <f>IFERROR(__xludf.DUMMYFUNCTION("""COMPUTED_VALUE"""),"Encantado")</f>
        <v>Encantado</v>
      </c>
      <c r="C439" s="119" t="str">
        <f>IFERROR(__xludf.DUMMYFUNCTION("""COMPUTED_VALUE"""),"Comunitario")</f>
        <v>Comunitario</v>
      </c>
      <c r="D439" s="1" t="str">
        <f>IFERROR(__xludf.DUMMYFUNCTION("""COMPUTED_VALUE"""),"FELIPE ANTUNES HOLKEM")</f>
        <v>FELIPE ANTUNES HOLKEM</v>
      </c>
      <c r="E439" s="119" t="str">
        <f>IFERROR(__xludf.DUMMYFUNCTION("""COMPUTED_VALUE"""),"Módulo 2 e 3 concluído")</f>
        <v>Módulo 2 e 3 concluído</v>
      </c>
      <c r="F439" s="1" t="str">
        <f>IFERROR(__xludf.DUMMYFUNCTION("""COMPUTED_VALUE"""),"041.585.490-35")</f>
        <v>041.585.490-35</v>
      </c>
      <c r="G439" s="1">
        <f>IFERROR(__xludf.DUMMYFUNCTION("""COMPUTED_VALUE"""),4112040491)</f>
        <v>4112040491</v>
      </c>
      <c r="H439" s="1" t="str">
        <f>IFERROR(__xludf.DUMMYFUNCTION("""COMPUTED_VALUE"""),"Civil Auxiliar de Bombeiro")</f>
        <v>Civil Auxiliar de Bombeiro</v>
      </c>
      <c r="I439" s="1" t="str">
        <f>IFERROR(__xludf.DUMMYFUNCTION("""COMPUTED_VALUE"""),"Opercaional")</f>
        <v>Opercaional</v>
      </c>
      <c r="J439" s="1" t="str">
        <f>IFERROR(__xludf.DUMMYFUNCTION("""COMPUTED_VALUE"""),"Sim")</f>
        <v>Sim</v>
      </c>
      <c r="K439" s="1" t="str">
        <f>IFERROR(__xludf.DUMMYFUNCTION("""COMPUTED_VALUE"""),"Sim")</f>
        <v>Sim</v>
      </c>
      <c r="L439" s="1" t="str">
        <f>IFERROR(__xludf.DUMMYFUNCTION("""COMPUTED_VALUE"""),"O +")</f>
        <v>O +</v>
      </c>
      <c r="M439" s="1" t="str">
        <f>IFERROR(__xludf.DUMMYFUNCTION("""COMPUTED_VALUE"""),"HOLKEM")</f>
        <v>HOLKEM</v>
      </c>
      <c r="N439" s="120">
        <f>IFERROR(__xludf.DUMMYFUNCTION("""COMPUTED_VALUE"""),36150)</f>
        <v>36150</v>
      </c>
      <c r="O439" s="1" t="str">
        <f>IFERROR(__xludf.DUMMYFUNCTION("""COMPUTED_VALUE"""),"Masculino")</f>
        <v>Masculino</v>
      </c>
      <c r="P439" s="1" t="str">
        <f>IFERROR(__xludf.DUMMYFUNCTION("""COMPUTED_VALUE"""),"Branca")</f>
        <v>Branca</v>
      </c>
      <c r="Q439" s="1" t="str">
        <f>IFERROR(__xludf.DUMMYFUNCTION("""COMPUTED_VALUE"""),"Ensino Médio")</f>
        <v>Ensino Médio</v>
      </c>
      <c r="R439" s="1" t="str">
        <f>IFERROR(__xludf.DUMMYFUNCTION("""COMPUTED_VALUE"""),"felipeholkem7@gmail.com")</f>
        <v>felipeholkem7@gmail.com</v>
      </c>
      <c r="S439" s="1" t="str">
        <f>IFERROR(__xludf.DUMMYFUNCTION("""COMPUTED_VALUE"""),"83 KG")</f>
        <v>83 KG</v>
      </c>
      <c r="T439" s="1" t="str">
        <f>IFERROR(__xludf.DUMMYFUNCTION("""COMPUTED_VALUE"""),"Entre 1,66m e 1,70m")</f>
        <v>Entre 1,66m e 1,70m</v>
      </c>
      <c r="U439" s="1" t="str">
        <f>IFERROR(__xludf.DUMMYFUNCTION("""COMPUTED_VALUE"""),"Não POSSUI")</f>
        <v>Não POSSUI</v>
      </c>
      <c r="V439" s="1" t="str">
        <f>IFERROR(__xludf.DUMMYFUNCTION("""COMPUTED_VALUE"""),"(55)99958-4959")</f>
        <v>(55)99958-4959</v>
      </c>
      <c r="W439" s="1" t="str">
        <f>IFERROR(__xludf.DUMMYFUNCTION("""COMPUTED_VALUE"""),"(55)996166081")</f>
        <v>(55)996166081</v>
      </c>
      <c r="X439" s="1" t="str">
        <f>IFERROR(__xludf.DUMMYFUNCTION("""COMPUTED_VALUE"""),"RIO GRANDE DO SUL")</f>
        <v>RIO GRANDE DO SUL</v>
      </c>
      <c r="Y439" s="1" t="str">
        <f>IFERROR(__xludf.DUMMYFUNCTION("""COMPUTED_VALUE"""),"Encantado")</f>
        <v>Encantado</v>
      </c>
      <c r="Z439" s="1">
        <f>IFERROR(__xludf.DUMMYFUNCTION("""COMPUTED_VALUE"""),95960000)</f>
        <v>95960000</v>
      </c>
      <c r="AA439" s="1" t="str">
        <f>IFERROR(__xludf.DUMMYFUNCTION("""COMPUTED_VALUE"""),"Avenida Avelino Talini, 950")</f>
        <v>Avenida Avelino Talini, 950</v>
      </c>
      <c r="AB439" s="1" t="str">
        <f>IFERROR(__xludf.DUMMYFUNCTION("""COMPUTED_VALUE"""),"Universitário")</f>
        <v>Universitário</v>
      </c>
      <c r="AC439" s="1" t="str">
        <f>IFERROR(__xludf.DUMMYFUNCTION("""COMPUTED_VALUE"""),"P")</f>
        <v>P</v>
      </c>
      <c r="AD439" s="1" t="str">
        <f>IFERROR(__xludf.DUMMYFUNCTION("""COMPUTED_VALUE"""),"P")</f>
        <v>P</v>
      </c>
      <c r="AE439" s="1" t="str">
        <f>IFERROR(__xludf.DUMMYFUNCTION("""COMPUTED_VALUE"""),"M")</f>
        <v>M</v>
      </c>
      <c r="AF439" s="1" t="str">
        <f>IFERROR(__xludf.DUMMYFUNCTION("""COMPUTED_VALUE"""),"M")</f>
        <v>M</v>
      </c>
      <c r="AG439" s="1" t="str">
        <f>IFERROR(__xludf.DUMMYFUNCTION("""COMPUTED_VALUE"""),"G")</f>
        <v>G</v>
      </c>
      <c r="AH439" s="1">
        <f>IFERROR(__xludf.DUMMYFUNCTION("""COMPUTED_VALUE"""),39)</f>
        <v>39</v>
      </c>
      <c r="AI439" s="1">
        <f>IFERROR(__xludf.DUMMYFUNCTION("""COMPUTED_VALUE"""),39)</f>
        <v>39</v>
      </c>
      <c r="AJ439" s="1">
        <f>IFERROR(__xludf.DUMMYFUNCTION("""COMPUTED_VALUE"""),39)</f>
        <v>39</v>
      </c>
      <c r="AK439" s="1">
        <f>IFERROR(__xludf.DUMMYFUNCTION("""COMPUTED_VALUE"""),39)</f>
        <v>39</v>
      </c>
      <c r="AL439" s="1" t="str">
        <f>IFERROR(__xludf.DUMMYFUNCTION("""COMPUTED_VALUE"""),"M")</f>
        <v>M</v>
      </c>
      <c r="AM439" s="1" t="str">
        <f>IFERROR(__xludf.DUMMYFUNCTION("""COMPUTED_VALUE"""),"M")</f>
        <v>M</v>
      </c>
      <c r="AN439" s="1" t="str">
        <f>IFERROR(__xludf.DUMMYFUNCTION("""COMPUTED_VALUE"""),"M")</f>
        <v>M</v>
      </c>
    </row>
    <row r="440" customHeight="1" spans="1:40">
      <c r="A440" s="1" t="str">
        <f>IFERROR(__xludf.DUMMYFUNCTION("""COMPUTED_VALUE"""),"06° BBM")</f>
        <v>06° BBM</v>
      </c>
      <c r="B440" s="1" t="str">
        <f>IFERROR(__xludf.DUMMYFUNCTION("""COMPUTED_VALUE"""),"Encruzilhada do Sul")</f>
        <v>Encruzilhada do Sul</v>
      </c>
      <c r="C440" s="119" t="str">
        <f>IFERROR(__xludf.DUMMYFUNCTION("""COMPUTED_VALUE"""),"Comunitario")</f>
        <v>Comunitario</v>
      </c>
      <c r="D440" s="1" t="str">
        <f>IFERROR(__xludf.DUMMYFUNCTION("""COMPUTED_VALUE"""),"FILIPE FONSECA SOARES")</f>
        <v>FILIPE FONSECA SOARES</v>
      </c>
      <c r="E440" s="119" t="str">
        <f>IFERROR(__xludf.DUMMYFUNCTION("""COMPUTED_VALUE"""),"Curso CAB operador concluído")</f>
        <v>Curso CAB operador concluído</v>
      </c>
      <c r="F440" s="1" t="str">
        <f>IFERROR(__xludf.DUMMYFUNCTION("""COMPUTED_VALUE"""),"022.701.440-58")</f>
        <v>022.701.440-58</v>
      </c>
      <c r="G440" s="1">
        <f>IFERROR(__xludf.DUMMYFUNCTION("""COMPUTED_VALUE"""),7106266146)</f>
        <v>7106266146</v>
      </c>
      <c r="H440" s="1" t="str">
        <f>IFERROR(__xludf.DUMMYFUNCTION("""COMPUTED_VALUE"""),"CAB")</f>
        <v>CAB</v>
      </c>
      <c r="I440" s="1" t="str">
        <f>IFERROR(__xludf.DUMMYFUNCTION("""COMPUTED_VALUE"""),"Curso de técnica e tática de combate a incêndio para bombeiro misto - nivel I")</f>
        <v>Curso de técnica e tática de combate a incêndio para bombeiro misto - nivel I</v>
      </c>
      <c r="J440" s="1" t="str">
        <f>IFERROR(__xludf.DUMMYFUNCTION("""COMPUTED_VALUE"""),"Sim")</f>
        <v>Sim</v>
      </c>
      <c r="K440" s="1" t="str">
        <f>IFERROR(__xludf.DUMMYFUNCTION("""COMPUTED_VALUE"""),"Sim")</f>
        <v>Sim</v>
      </c>
      <c r="L440" s="1" t="str">
        <f>IFERROR(__xludf.DUMMYFUNCTION("""COMPUTED_VALUE"""),"A+")</f>
        <v>A+</v>
      </c>
      <c r="M440" s="1" t="str">
        <f>IFERROR(__xludf.DUMMYFUNCTION("""COMPUTED_VALUE"""),"Filipe")</f>
        <v>Filipe</v>
      </c>
      <c r="N440" s="120">
        <f>IFERROR(__xludf.DUMMYFUNCTION("""COMPUTED_VALUE"""),33335)</f>
        <v>33335</v>
      </c>
      <c r="O440" s="1" t="str">
        <f>IFERROR(__xludf.DUMMYFUNCTION("""COMPUTED_VALUE"""),"Masculino")</f>
        <v>Masculino</v>
      </c>
      <c r="P440" s="1" t="str">
        <f>IFERROR(__xludf.DUMMYFUNCTION("""COMPUTED_VALUE"""),"Morena")</f>
        <v>Morena</v>
      </c>
      <c r="Q440" s="1" t="str">
        <f>IFERROR(__xludf.DUMMYFUNCTION("""COMPUTED_VALUE"""),"Ensino Superior Completo")</f>
        <v>Ensino Superior Completo</v>
      </c>
      <c r="R440" s="1" t="str">
        <f>IFERROR(__xludf.DUMMYFUNCTION("""COMPUTED_VALUE"""),"filipefonseca04@gmail.com")</f>
        <v>filipefonseca04@gmail.com</v>
      </c>
      <c r="S440" s="1">
        <f>IFERROR(__xludf.DUMMYFUNCTION("""COMPUTED_VALUE"""),70)</f>
        <v>70</v>
      </c>
      <c r="T440" s="1" t="str">
        <f>IFERROR(__xludf.DUMMYFUNCTION("""COMPUTED_VALUE"""),"Entre 1,71m e 1,75m")</f>
        <v>Entre 1,71m e 1,75m</v>
      </c>
      <c r="U440" s="1" t="str">
        <f>IFERROR(__xludf.DUMMYFUNCTION("""COMPUTED_VALUE"""),"Não POSSUI")</f>
        <v>Não POSSUI</v>
      </c>
      <c r="V440" s="1" t="str">
        <f>IFERROR(__xludf.DUMMYFUNCTION("""COMPUTED_VALUE"""),"(51) 99552-0723")</f>
        <v>(51) 99552-0723</v>
      </c>
      <c r="W440" s="1" t="str">
        <f>IFERROR(__xludf.DUMMYFUNCTION("""COMPUTED_VALUE"""),"(51) 98063-2232")</f>
        <v>(51) 98063-2232</v>
      </c>
      <c r="X440" s="1" t="str">
        <f>IFERROR(__xludf.DUMMYFUNCTION("""COMPUTED_VALUE"""),"RS")</f>
        <v>RS</v>
      </c>
      <c r="Y440" s="1" t="str">
        <f>IFERROR(__xludf.DUMMYFUNCTION("""COMPUTED_VALUE"""),"Encruzilhada do Sul")</f>
        <v>Encruzilhada do Sul</v>
      </c>
      <c r="Z440" s="1" t="str">
        <f>IFERROR(__xludf.DUMMYFUNCTION("""COMPUTED_VALUE"""),"96610-000")</f>
        <v>96610-000</v>
      </c>
      <c r="AA440" s="1" t="str">
        <f>IFERROR(__xludf.DUMMYFUNCTION("""COMPUTED_VALUE"""),"Rua Intendente Inácio Azambuja, 110")</f>
        <v>Rua Intendente Inácio Azambuja, 110</v>
      </c>
      <c r="AB440" s="1" t="str">
        <f>IFERROR(__xludf.DUMMYFUNCTION("""COMPUTED_VALUE"""),"Centro")</f>
        <v>Centro</v>
      </c>
      <c r="AC440" s="1" t="str">
        <f>IFERROR(__xludf.DUMMYFUNCTION("""COMPUTED_VALUE"""),"P")</f>
        <v>P</v>
      </c>
      <c r="AD440" s="1" t="str">
        <f>IFERROR(__xludf.DUMMYFUNCTION("""COMPUTED_VALUE"""),"P")</f>
        <v>P</v>
      </c>
      <c r="AE440" s="1" t="str">
        <f>IFERROR(__xludf.DUMMYFUNCTION("""COMPUTED_VALUE"""),"P")</f>
        <v>P</v>
      </c>
      <c r="AF440" s="1" t="str">
        <f>IFERROR(__xludf.DUMMYFUNCTION("""COMPUTED_VALUE"""),"P")</f>
        <v>P</v>
      </c>
      <c r="AG440" s="1" t="str">
        <f>IFERROR(__xludf.DUMMYFUNCTION("""COMPUTED_VALUE"""),"P")</f>
        <v>P</v>
      </c>
      <c r="AH440" s="1">
        <f>IFERROR(__xludf.DUMMYFUNCTION("""COMPUTED_VALUE"""),39)</f>
        <v>39</v>
      </c>
      <c r="AI440" s="1">
        <f>IFERROR(__xludf.DUMMYFUNCTION("""COMPUTED_VALUE"""),39)</f>
        <v>39</v>
      </c>
      <c r="AJ440" s="1">
        <f>IFERROR(__xludf.DUMMYFUNCTION("""COMPUTED_VALUE"""),39)</f>
        <v>39</v>
      </c>
      <c r="AK440" s="1">
        <f>IFERROR(__xludf.DUMMYFUNCTION("""COMPUTED_VALUE"""),39)</f>
        <v>39</v>
      </c>
      <c r="AL440" s="1" t="str">
        <f>IFERROR(__xludf.DUMMYFUNCTION("""COMPUTED_VALUE"""),"P")</f>
        <v>P</v>
      </c>
      <c r="AM440" s="1" t="str">
        <f>IFERROR(__xludf.DUMMYFUNCTION("""COMPUTED_VALUE"""),"P")</f>
        <v>P</v>
      </c>
      <c r="AN440" s="1" t="str">
        <f>IFERROR(__xludf.DUMMYFUNCTION("""COMPUTED_VALUE"""),"P")</f>
        <v>P</v>
      </c>
    </row>
    <row r="441" customHeight="1" spans="1:40">
      <c r="A441" s="1" t="str">
        <f>IFERROR(__xludf.DUMMYFUNCTION("""COMPUTED_VALUE"""),"06° BBM")</f>
        <v>06° BBM</v>
      </c>
      <c r="B441" s="1" t="str">
        <f>IFERROR(__xludf.DUMMYFUNCTION("""COMPUTED_VALUE"""),"Encantado")</f>
        <v>Encantado</v>
      </c>
      <c r="C441" s="119" t="str">
        <f>IFERROR(__xludf.DUMMYFUNCTION("""COMPUTED_VALUE"""),"Comunitario")</f>
        <v>Comunitario</v>
      </c>
      <c r="D441" s="1" t="str">
        <f>IFERROR(__xludf.DUMMYFUNCTION("""COMPUTED_VALUE"""),"ISMAEL LUIS COLLI")</f>
        <v>ISMAEL LUIS COLLI</v>
      </c>
      <c r="E441" s="119" t="str">
        <f>IFERROR(__xludf.DUMMYFUNCTION("""COMPUTED_VALUE"""),"Curso CAB operador concluído")</f>
        <v>Curso CAB operador concluído</v>
      </c>
      <c r="F441" s="1" t="str">
        <f>IFERROR(__xludf.DUMMYFUNCTION("""COMPUTED_VALUE"""),"019.327.730-10")</f>
        <v>019.327.730-10</v>
      </c>
      <c r="G441" s="1">
        <f>IFERROR(__xludf.DUMMYFUNCTION("""COMPUTED_VALUE"""),1093827044)</f>
        <v>1093827044</v>
      </c>
      <c r="H441" s="1" t="str">
        <f>IFERROR(__xludf.DUMMYFUNCTION("""COMPUTED_VALUE"""),"Civil Auxiliar de Bombeiro")</f>
        <v>Civil Auxiliar de Bombeiro</v>
      </c>
      <c r="I441" s="1" t="str">
        <f>IFERROR(__xludf.DUMMYFUNCTION("""COMPUTED_VALUE"""),"operacional, resgate veicular, aph/bls")</f>
        <v>operacional, resgate veicular, aph/bls</v>
      </c>
      <c r="J441" s="1" t="str">
        <f>IFERROR(__xludf.DUMMYFUNCTION("""COMPUTED_VALUE"""),"Sim")</f>
        <v>Sim</v>
      </c>
      <c r="K441" s="1" t="str">
        <f>IFERROR(__xludf.DUMMYFUNCTION("""COMPUTED_VALUE"""),"Sim")</f>
        <v>Sim</v>
      </c>
      <c r="L441" s="1" t="str">
        <f>IFERROR(__xludf.DUMMYFUNCTION("""COMPUTED_VALUE"""),"O+")</f>
        <v>O+</v>
      </c>
      <c r="M441" s="1" t="str">
        <f>IFERROR(__xludf.DUMMYFUNCTION("""COMPUTED_VALUE"""),"Colli")</f>
        <v>Colli</v>
      </c>
      <c r="N441" s="120">
        <f>IFERROR(__xludf.DUMMYFUNCTION("""COMPUTED_VALUE"""),32365)</f>
        <v>32365</v>
      </c>
      <c r="O441" s="1" t="str">
        <f>IFERROR(__xludf.DUMMYFUNCTION("""COMPUTED_VALUE"""),"Masculino")</f>
        <v>Masculino</v>
      </c>
      <c r="P441" s="1" t="str">
        <f>IFERROR(__xludf.DUMMYFUNCTION("""COMPUTED_VALUE"""),"Branca")</f>
        <v>Branca</v>
      </c>
      <c r="Q441" s="1" t="str">
        <f>IFERROR(__xludf.DUMMYFUNCTION("""COMPUTED_VALUE"""),"Ensino Médio")</f>
        <v>Ensino Médio</v>
      </c>
      <c r="R441" s="1" t="str">
        <f>IFERROR(__xludf.DUMMYFUNCTION("""COMPUTED_VALUE"""),"ismaelcolli430@gmail.com")</f>
        <v>ismaelcolli430@gmail.com</v>
      </c>
      <c r="S441" s="1" t="str">
        <f>IFERROR(__xludf.DUMMYFUNCTION("""COMPUTED_VALUE"""),"92kg")</f>
        <v>92kg</v>
      </c>
      <c r="T441" s="1" t="str">
        <f>IFERROR(__xludf.DUMMYFUNCTION("""COMPUTED_VALUE"""),"Entre 1,76m e 1,80m")</f>
        <v>Entre 1,76m e 1,80m</v>
      </c>
      <c r="U441" s="1" t="str">
        <f>IFERROR(__xludf.DUMMYFUNCTION("""COMPUTED_VALUE"""),"Não POSSUI")</f>
        <v>Não POSSUI</v>
      </c>
      <c r="V441" s="1" t="str">
        <f>IFERROR(__xludf.DUMMYFUNCTION("""COMPUTED_VALUE"""),"(51) 99657-9817")</f>
        <v>(51) 99657-9817</v>
      </c>
      <c r="W441" s="1" t="str">
        <f>IFERROR(__xludf.DUMMYFUNCTION("""COMPUTED_VALUE"""),"(51)99657-9817")</f>
        <v>(51)99657-9817</v>
      </c>
      <c r="X441" s="1" t="str">
        <f>IFERROR(__xludf.DUMMYFUNCTION("""COMPUTED_VALUE"""),"Rio Grande do Sul")</f>
        <v>Rio Grande do Sul</v>
      </c>
      <c r="Y441" s="1" t="str">
        <f>IFERROR(__xludf.DUMMYFUNCTION("""COMPUTED_VALUE"""),"Encantado")</f>
        <v>Encantado</v>
      </c>
      <c r="Z441" s="1">
        <f>IFERROR(__xludf.DUMMYFUNCTION("""COMPUTED_VALUE"""),95960000)</f>
        <v>95960000</v>
      </c>
      <c r="AA441" s="1" t="str">
        <f>IFERROR(__xludf.DUMMYFUNCTION("""COMPUTED_VALUE"""),"rua Antônio Buffon, 165-02")</f>
        <v>rua Antônio Buffon, 165-02</v>
      </c>
      <c r="AB441" s="1" t="str">
        <f>IFERROR(__xludf.DUMMYFUNCTION("""COMPUTED_VALUE"""),"Lambari")</f>
        <v>Lambari</v>
      </c>
      <c r="AC441" s="1" t="str">
        <f>IFERROR(__xludf.DUMMYFUNCTION("""COMPUTED_VALUE"""),"G")</f>
        <v>G</v>
      </c>
      <c r="AD441" s="1" t="str">
        <f>IFERROR(__xludf.DUMMYFUNCTION("""COMPUTED_VALUE"""),"G")</f>
        <v>G</v>
      </c>
      <c r="AE441" s="1" t="str">
        <f>IFERROR(__xludf.DUMMYFUNCTION("""COMPUTED_VALUE"""),"G")</f>
        <v>G</v>
      </c>
      <c r="AF441" s="1" t="str">
        <f>IFERROR(__xludf.DUMMYFUNCTION("""COMPUTED_VALUE"""),"G")</f>
        <v>G</v>
      </c>
      <c r="AG441" s="1" t="str">
        <f>IFERROR(__xludf.DUMMYFUNCTION("""COMPUTED_VALUE"""),"G")</f>
        <v>G</v>
      </c>
      <c r="AH441" s="1">
        <f>IFERROR(__xludf.DUMMYFUNCTION("""COMPUTED_VALUE"""),41)</f>
        <v>41</v>
      </c>
      <c r="AI441" s="1">
        <f>IFERROR(__xludf.DUMMYFUNCTION("""COMPUTED_VALUE"""),41)</f>
        <v>41</v>
      </c>
      <c r="AJ441" s="1">
        <f>IFERROR(__xludf.DUMMYFUNCTION("""COMPUTED_VALUE"""),41)</f>
        <v>41</v>
      </c>
      <c r="AK441" s="1">
        <f>IFERROR(__xludf.DUMMYFUNCTION("""COMPUTED_VALUE"""),41)</f>
        <v>41</v>
      </c>
      <c r="AL441" s="1" t="str">
        <f>IFERROR(__xludf.DUMMYFUNCTION("""COMPUTED_VALUE"""),"G")</f>
        <v>G</v>
      </c>
      <c r="AM441" s="1" t="str">
        <f>IFERROR(__xludf.DUMMYFUNCTION("""COMPUTED_VALUE"""),"G")</f>
        <v>G</v>
      </c>
      <c r="AN441" s="1" t="str">
        <f>IFERROR(__xludf.DUMMYFUNCTION("""COMPUTED_VALUE"""),"G")</f>
        <v>G</v>
      </c>
    </row>
    <row r="442" customHeight="1" spans="1:40">
      <c r="A442" s="1" t="str">
        <f>IFERROR(__xludf.DUMMYFUNCTION("""COMPUTED_VALUE"""),"06° BBM")</f>
        <v>06° BBM</v>
      </c>
      <c r="B442" s="1" t="str">
        <f>IFERROR(__xludf.DUMMYFUNCTION("""COMPUTED_VALUE"""),"Vera Cruz")</f>
        <v>Vera Cruz</v>
      </c>
      <c r="C442" s="119" t="str">
        <f>IFERROR(__xludf.DUMMYFUNCTION("""COMPUTED_VALUE"""),"Comunitario")</f>
        <v>Comunitario</v>
      </c>
      <c r="D442" s="1" t="str">
        <f>IFERROR(__xludf.DUMMYFUNCTION("""COMPUTED_VALUE"""),"JÓBIO DE MORAES TEIXEIRA")</f>
        <v>JÓBIO DE MORAES TEIXEIRA</v>
      </c>
      <c r="E442" s="119" t="str">
        <f>IFERROR(__xludf.DUMMYFUNCTION("""COMPUTED_VALUE"""),"Curso CAB operador concluído")</f>
        <v>Curso CAB operador concluído</v>
      </c>
      <c r="F442" s="1" t="str">
        <f>IFERROR(__xludf.DUMMYFUNCTION("""COMPUTED_VALUE"""),"947.227.810-87")</f>
        <v>947.227.810-87</v>
      </c>
      <c r="G442" s="1">
        <f>IFERROR(__xludf.DUMMYFUNCTION("""COMPUTED_VALUE"""),3070475284)</f>
        <v>3070475284</v>
      </c>
      <c r="H442" s="1" t="str">
        <f>IFERROR(__xludf.DUMMYFUNCTION("""COMPUTED_VALUE"""),"Combatente/Socorrista")</f>
        <v>Combatente/Socorrista</v>
      </c>
      <c r="I442" s="1" t="str">
        <f>IFERROR(__xludf.DUMMYFUNCTION("""COMPUTED_VALUE"""),"APH e BLS/ Bombeiro Civil/ Condutor Veiculo de Emergencia")</f>
        <v>APH e BLS/ Bombeiro Civil/ Condutor Veiculo de Emergencia</v>
      </c>
      <c r="J442" s="1" t="str">
        <f>IFERROR(__xludf.DUMMYFUNCTION("""COMPUTED_VALUE"""),"Não")</f>
        <v>Não</v>
      </c>
      <c r="K442" s="1" t="str">
        <f>IFERROR(__xludf.DUMMYFUNCTION("""COMPUTED_VALUE"""),"Sim")</f>
        <v>Sim</v>
      </c>
      <c r="L442" s="1" t="str">
        <f>IFERROR(__xludf.DUMMYFUNCTION("""COMPUTED_VALUE"""),"A+")</f>
        <v>A+</v>
      </c>
      <c r="M442" s="1" t="str">
        <f>IFERROR(__xludf.DUMMYFUNCTION("""COMPUTED_VALUE"""),"Jóbio")</f>
        <v>Jóbio</v>
      </c>
      <c r="N442" s="120">
        <f>IFERROR(__xludf.DUMMYFUNCTION("""COMPUTED_VALUE"""),28588)</f>
        <v>28588</v>
      </c>
      <c r="O442" s="1" t="str">
        <f>IFERROR(__xludf.DUMMYFUNCTION("""COMPUTED_VALUE"""),"Masculino")</f>
        <v>Masculino</v>
      </c>
      <c r="P442" s="1" t="str">
        <f>IFERROR(__xludf.DUMMYFUNCTION("""COMPUTED_VALUE"""),"Branca")</f>
        <v>Branca</v>
      </c>
      <c r="Q442" s="1" t="str">
        <f>IFERROR(__xludf.DUMMYFUNCTION("""COMPUTED_VALUE"""),"Ensino Médio")</f>
        <v>Ensino Médio</v>
      </c>
      <c r="R442" s="1" t="str">
        <f>IFERROR(__xludf.DUMMYFUNCTION("""COMPUTED_VALUE"""),"jobioteixeira@hotmail.com")</f>
        <v>jobioteixeira@hotmail.com</v>
      </c>
      <c r="S442" s="1">
        <f>IFERROR(__xludf.DUMMYFUNCTION("""COMPUTED_VALUE"""),65)</f>
        <v>65</v>
      </c>
      <c r="T442" s="1" t="str">
        <f>IFERROR(__xludf.DUMMYFUNCTION("""COMPUTED_VALUE"""),"Entre 1,71m e 1,75m")</f>
        <v>Entre 1,71m e 1,75m</v>
      </c>
      <c r="U442" s="1" t="str">
        <f>IFERROR(__xludf.DUMMYFUNCTION("""COMPUTED_VALUE"""),"Não POSSUI")</f>
        <v>Não POSSUI</v>
      </c>
      <c r="V442" s="1" t="str">
        <f>IFERROR(__xludf.DUMMYFUNCTION("""COMPUTED_VALUE"""),"(51) 99856-8436")</f>
        <v>(51) 99856-8436</v>
      </c>
      <c r="W442" s="1" t="str">
        <f>IFERROR(__xludf.DUMMYFUNCTION("""COMPUTED_VALUE"""),"(51) 99861-6770")</f>
        <v>(51) 99861-6770</v>
      </c>
      <c r="X442" s="1" t="str">
        <f>IFERROR(__xludf.DUMMYFUNCTION("""COMPUTED_VALUE"""),"RS")</f>
        <v>RS</v>
      </c>
      <c r="Y442" s="1" t="str">
        <f>IFERROR(__xludf.DUMMYFUNCTION("""COMPUTED_VALUE"""),"Rio Pardo")</f>
        <v>Rio Pardo</v>
      </c>
      <c r="Z442" s="1" t="str">
        <f>IFERROR(__xludf.DUMMYFUNCTION("""COMPUTED_VALUE"""),"96640-000")</f>
        <v>96640-000</v>
      </c>
      <c r="AA442" s="1" t="str">
        <f>IFERROR(__xludf.DUMMYFUNCTION("""COMPUTED_VALUE"""),"Avenida 03 de Outubro Nº 1136")</f>
        <v>Avenida 03 de Outubro Nº 1136</v>
      </c>
      <c r="AB442" s="1" t="str">
        <f>IFERROR(__xludf.DUMMYFUNCTION("""COMPUTED_VALUE"""),"Boa Vista")</f>
        <v>Boa Vista</v>
      </c>
      <c r="AC442" s="1" t="str">
        <f>IFERROR(__xludf.DUMMYFUNCTION("""COMPUTED_VALUE"""),"M")</f>
        <v>M</v>
      </c>
      <c r="AD442" s="1" t="str">
        <f>IFERROR(__xludf.DUMMYFUNCTION("""COMPUTED_VALUE"""),"M")</f>
        <v>M</v>
      </c>
      <c r="AE442" s="1" t="str">
        <f>IFERROR(__xludf.DUMMYFUNCTION("""COMPUTED_VALUE"""),"M")</f>
        <v>M</v>
      </c>
      <c r="AF442" s="1" t="str">
        <f>IFERROR(__xludf.DUMMYFUNCTION("""COMPUTED_VALUE"""),"M")</f>
        <v>M</v>
      </c>
      <c r="AG442" s="1" t="str">
        <f>IFERROR(__xludf.DUMMYFUNCTION("""COMPUTED_VALUE"""),"M")</f>
        <v>M</v>
      </c>
      <c r="AH442" s="1">
        <f>IFERROR(__xludf.DUMMYFUNCTION("""COMPUTED_VALUE"""),39)</f>
        <v>39</v>
      </c>
      <c r="AI442" s="1">
        <f>IFERROR(__xludf.DUMMYFUNCTION("""COMPUTED_VALUE"""),39)</f>
        <v>39</v>
      </c>
      <c r="AJ442" s="1">
        <f>IFERROR(__xludf.DUMMYFUNCTION("""COMPUTED_VALUE"""),39)</f>
        <v>39</v>
      </c>
      <c r="AK442" s="1">
        <f>IFERROR(__xludf.DUMMYFUNCTION("""COMPUTED_VALUE"""),39)</f>
        <v>39</v>
      </c>
      <c r="AL442" s="1" t="str">
        <f>IFERROR(__xludf.DUMMYFUNCTION("""COMPUTED_VALUE"""),"M")</f>
        <v>M</v>
      </c>
      <c r="AM442" s="1" t="str">
        <f>IFERROR(__xludf.DUMMYFUNCTION("""COMPUTED_VALUE"""),"M")</f>
        <v>M</v>
      </c>
      <c r="AN442" s="1" t="str">
        <f>IFERROR(__xludf.DUMMYFUNCTION("""COMPUTED_VALUE"""),"M")</f>
        <v>M</v>
      </c>
    </row>
    <row r="443" customHeight="1" spans="1:40">
      <c r="A443" s="1" t="str">
        <f>IFERROR(__xludf.DUMMYFUNCTION("""COMPUTED_VALUE"""),"06° BBM")</f>
        <v>06° BBM</v>
      </c>
      <c r="B443" s="1" t="str">
        <f>IFERROR(__xludf.DUMMYFUNCTION("""COMPUTED_VALUE"""),"Arambaré")</f>
        <v>Arambaré</v>
      </c>
      <c r="C443" s="119" t="str">
        <f>IFERROR(__xludf.DUMMYFUNCTION("""COMPUTED_VALUE"""),"CAB")</f>
        <v>CAB</v>
      </c>
      <c r="D443" s="1" t="str">
        <f>IFERROR(__xludf.DUMMYFUNCTION("""COMPUTED_VALUE"""),"JOSÉ RICARDO PEREIRA CUNHA")</f>
        <v>JOSÉ RICARDO PEREIRA CUNHA</v>
      </c>
      <c r="E443" s="119" t="str">
        <f>IFERROR(__xludf.DUMMYFUNCTION("""COMPUTED_VALUE"""),"Curso CAB operador concluído")</f>
        <v>Curso CAB operador concluído</v>
      </c>
      <c r="F443" s="1" t="str">
        <f>IFERROR(__xludf.DUMMYFUNCTION("""COMPUTED_VALUE"""),"676.007.270-72")</f>
        <v>676.007.270-72</v>
      </c>
      <c r="G443" s="1">
        <f>IFERROR(__xludf.DUMMYFUNCTION("""COMPUTED_VALUE"""),8064560504)</f>
        <v>8064560504</v>
      </c>
      <c r="H443" s="1" t="str">
        <f>IFERROR(__xludf.DUMMYFUNCTION("""COMPUTED_VALUE"""),"CAB/ COV")</f>
        <v>CAB/ COV</v>
      </c>
      <c r="I443" s="1" t="str">
        <f>IFERROR(__xludf.DUMMYFUNCTION("""COMPUTED_VALUE"""),"Bombeiro Civil; APH e BLS; CAT D; Resgate em altura")</f>
        <v>Bombeiro Civil; APH e BLS; CAT D; Resgate em altura</v>
      </c>
      <c r="J443" s="1" t="str">
        <f>IFERROR(__xludf.DUMMYFUNCTION("""COMPUTED_VALUE"""),"Não")</f>
        <v>Não</v>
      </c>
      <c r="K443" s="1" t="str">
        <f>IFERROR(__xludf.DUMMYFUNCTION("""COMPUTED_VALUE"""),"Sim")</f>
        <v>Sim</v>
      </c>
      <c r="L443" s="1" t="str">
        <f>IFERROR(__xludf.DUMMYFUNCTION("""COMPUTED_VALUE"""),"O-")</f>
        <v>O-</v>
      </c>
      <c r="M443" s="1" t="str">
        <f>IFERROR(__xludf.DUMMYFUNCTION("""COMPUTED_VALUE"""),"CUNHA")</f>
        <v>CUNHA</v>
      </c>
      <c r="N443" s="120">
        <f>IFERROR(__xludf.DUMMYFUNCTION("""COMPUTED_VALUE"""),27204)</f>
        <v>27204</v>
      </c>
      <c r="O443" s="1" t="str">
        <f>IFERROR(__xludf.DUMMYFUNCTION("""COMPUTED_VALUE"""),"Masculino")</f>
        <v>Masculino</v>
      </c>
      <c r="P443" s="1" t="str">
        <f>IFERROR(__xludf.DUMMYFUNCTION("""COMPUTED_VALUE"""),"Branca")</f>
        <v>Branca</v>
      </c>
      <c r="Q443" s="1" t="str">
        <f>IFERROR(__xludf.DUMMYFUNCTION("""COMPUTED_VALUE"""),"Ensino Médio")</f>
        <v>Ensino Médio</v>
      </c>
      <c r="R443" s="1" t="str">
        <f>IFERROR(__xludf.DUMMYFUNCTION("""COMPUTED_VALUE"""),"josericardopereiracunha176@gmail.com")</f>
        <v>josericardopereiracunha176@gmail.com</v>
      </c>
      <c r="S443" s="1">
        <f>IFERROR(__xludf.DUMMYFUNCTION("""COMPUTED_VALUE"""),79)</f>
        <v>79</v>
      </c>
      <c r="T443" s="1" t="str">
        <f>IFERROR(__xludf.DUMMYFUNCTION("""COMPUTED_VALUE"""),"Entre 1,61m e 1,65m")</f>
        <v>Entre 1,61m e 1,65m</v>
      </c>
      <c r="U443" s="1" t="str">
        <f>IFERROR(__xludf.DUMMYFUNCTION("""COMPUTED_VALUE"""),"Não POSSUI")</f>
        <v>Não POSSUI</v>
      </c>
      <c r="V443" s="1" t="str">
        <f>IFERROR(__xludf.DUMMYFUNCTION("""COMPUTED_VALUE"""),"(51) 99928-1696")</f>
        <v>(51) 99928-1696</v>
      </c>
      <c r="W443" s="1" t="str">
        <f>IFERROR(__xludf.DUMMYFUNCTION("""COMPUTED_VALUE"""),"(51)99928-1610")</f>
        <v>(51)99928-1610</v>
      </c>
      <c r="X443" s="1" t="str">
        <f>IFERROR(__xludf.DUMMYFUNCTION("""COMPUTED_VALUE"""),"RIO GRANDE DO SUL")</f>
        <v>RIO GRANDE DO SUL</v>
      </c>
      <c r="Y443" s="1" t="str">
        <f>IFERROR(__xludf.DUMMYFUNCTION("""COMPUTED_VALUE"""),"Arambaré")</f>
        <v>Arambaré</v>
      </c>
      <c r="Z443" s="1">
        <f>IFERROR(__xludf.DUMMYFUNCTION("""COMPUTED_VALUE"""),96180000)</f>
        <v>96180000</v>
      </c>
      <c r="AA443" s="1" t="str">
        <f>IFERROR(__xludf.DUMMYFUNCTION("""COMPUTED_VALUE"""),"Rua Luiz Delfino Scherer N° 56")</f>
        <v>Rua Luiz Delfino Scherer N° 56</v>
      </c>
      <c r="AB443" s="1" t="str">
        <f>IFERROR(__xludf.DUMMYFUNCTION("""COMPUTED_VALUE"""),"Caneleiras")</f>
        <v>Caneleiras</v>
      </c>
      <c r="AC443" s="1" t="str">
        <f>IFERROR(__xludf.DUMMYFUNCTION("""COMPUTED_VALUE"""),"G")</f>
        <v>G</v>
      </c>
      <c r="AD443" s="1" t="str">
        <f>IFERROR(__xludf.DUMMYFUNCTION("""COMPUTED_VALUE"""),"GG")</f>
        <v>GG</v>
      </c>
      <c r="AE443" s="1" t="str">
        <f>IFERROR(__xludf.DUMMYFUNCTION("""COMPUTED_VALUE"""),"G")</f>
        <v>G</v>
      </c>
      <c r="AF443" s="1" t="str">
        <f>IFERROR(__xludf.DUMMYFUNCTION("""COMPUTED_VALUE"""),"G")</f>
        <v>G</v>
      </c>
      <c r="AG443" s="1" t="str">
        <f>IFERROR(__xludf.DUMMYFUNCTION("""COMPUTED_VALUE"""),"G")</f>
        <v>G</v>
      </c>
      <c r="AH443" s="1">
        <f>IFERROR(__xludf.DUMMYFUNCTION("""COMPUTED_VALUE"""),39)</f>
        <v>39</v>
      </c>
      <c r="AI443" s="1">
        <f>IFERROR(__xludf.DUMMYFUNCTION("""COMPUTED_VALUE"""),38)</f>
        <v>38</v>
      </c>
      <c r="AJ443" s="1">
        <f>IFERROR(__xludf.DUMMYFUNCTION("""COMPUTED_VALUE"""),38)</f>
        <v>38</v>
      </c>
      <c r="AK443" s="1">
        <f>IFERROR(__xludf.DUMMYFUNCTION("""COMPUTED_VALUE"""),38)</f>
        <v>38</v>
      </c>
      <c r="AL443" s="1" t="str">
        <f>IFERROR(__xludf.DUMMYFUNCTION("""COMPUTED_VALUE"""),"G")</f>
        <v>G</v>
      </c>
      <c r="AM443" s="1" t="str">
        <f>IFERROR(__xludf.DUMMYFUNCTION("""COMPUTED_VALUE"""),"G")</f>
        <v>G</v>
      </c>
      <c r="AN443" s="1" t="str">
        <f>IFERROR(__xludf.DUMMYFUNCTION("""COMPUTED_VALUE"""),"M")</f>
        <v>M</v>
      </c>
    </row>
    <row r="444" customHeight="1" spans="1:40">
      <c r="A444" s="1" t="str">
        <f>IFERROR(__xludf.DUMMYFUNCTION("""COMPUTED_VALUE"""),"06° BBM")</f>
        <v>06° BBM</v>
      </c>
      <c r="B444" s="1" t="str">
        <f>IFERROR(__xludf.DUMMYFUNCTION("""COMPUTED_VALUE"""),"Vera Cruz")</f>
        <v>Vera Cruz</v>
      </c>
      <c r="C444" s="119" t="str">
        <f>IFERROR(__xludf.DUMMYFUNCTION("""COMPUTED_VALUE"""),"Comunitario")</f>
        <v>Comunitario</v>
      </c>
      <c r="D444" s="1" t="str">
        <f>IFERROR(__xludf.DUMMYFUNCTION("""COMPUTED_VALUE"""),"JUVENIL DA SILVA BENHARD")</f>
        <v>JUVENIL DA SILVA BENHARD</v>
      </c>
      <c r="E444" s="119" t="str">
        <f>IFERROR(__xludf.DUMMYFUNCTION("""COMPUTED_VALUE"""),"Curso CAB operador concluído")</f>
        <v>Curso CAB operador concluído</v>
      </c>
      <c r="F444" s="1" t="str">
        <f>IFERROR(__xludf.DUMMYFUNCTION("""COMPUTED_VALUE"""),"802.499.220-53")</f>
        <v>802.499.220-53</v>
      </c>
      <c r="G444" s="1">
        <f>IFERROR(__xludf.DUMMYFUNCTION("""COMPUTED_VALUE"""),8057448048)</f>
        <v>8057448048</v>
      </c>
      <c r="H444" s="1" t="str">
        <f>IFERROR(__xludf.DUMMYFUNCTION("""COMPUTED_VALUE"""),"Combatente/Socorrista")</f>
        <v>Combatente/Socorrista</v>
      </c>
      <c r="I444" s="1" t="str">
        <f>IFERROR(__xludf.DUMMYFUNCTION("""COMPUTED_VALUE"""),"APH e BLS")</f>
        <v>APH e BLS</v>
      </c>
      <c r="J444" s="1" t="str">
        <f>IFERROR(__xludf.DUMMYFUNCTION("""COMPUTED_VALUE"""),"Não")</f>
        <v>Não</v>
      </c>
      <c r="K444" s="1" t="str">
        <f>IFERROR(__xludf.DUMMYFUNCTION("""COMPUTED_VALUE"""),"Sim")</f>
        <v>Sim</v>
      </c>
      <c r="L444" s="1" t="str">
        <f>IFERROR(__xludf.DUMMYFUNCTION("""COMPUTED_VALUE"""),"O+")</f>
        <v>O+</v>
      </c>
      <c r="M444" s="1" t="str">
        <f>IFERROR(__xludf.DUMMYFUNCTION("""COMPUTED_VALUE"""),"Benhard")</f>
        <v>Benhard</v>
      </c>
      <c r="N444" s="121">
        <f>IFERROR(__xludf.DUMMYFUNCTION("""COMPUTED_VALUE"""),27079)</f>
        <v>27079</v>
      </c>
      <c r="O444" s="1" t="str">
        <f>IFERROR(__xludf.DUMMYFUNCTION("""COMPUTED_VALUE"""),"Masculino")</f>
        <v>Masculino</v>
      </c>
      <c r="P444" s="1" t="str">
        <f>IFERROR(__xludf.DUMMYFUNCTION("""COMPUTED_VALUE"""),"Branca")</f>
        <v>Branca</v>
      </c>
      <c r="Q444" s="1" t="str">
        <f>IFERROR(__xludf.DUMMYFUNCTION("""COMPUTED_VALUE"""),"Ensino Médio")</f>
        <v>Ensino Médio</v>
      </c>
      <c r="R444" s="1" t="str">
        <f>IFERROR(__xludf.DUMMYFUNCTION("""COMPUTED_VALUE"""),"juvenilbbc74@gmail.com")</f>
        <v>juvenilbbc74@gmail.com</v>
      </c>
      <c r="S444" s="1">
        <f>IFERROR(__xludf.DUMMYFUNCTION("""COMPUTED_VALUE"""),96)</f>
        <v>96</v>
      </c>
      <c r="T444" s="1" t="str">
        <f>IFERROR(__xludf.DUMMYFUNCTION("""COMPUTED_VALUE"""),"Entre 1,66m e 1,70m")</f>
        <v>Entre 1,66m e 1,70m</v>
      </c>
      <c r="U444" s="1" t="str">
        <f>IFERROR(__xludf.DUMMYFUNCTION("""COMPUTED_VALUE"""),"Não POSSUI")</f>
        <v>Não POSSUI</v>
      </c>
      <c r="V444" s="1" t="str">
        <f>IFERROR(__xludf.DUMMYFUNCTION("""COMPUTED_VALUE"""),"(51)99850-1241")</f>
        <v>(51)99850-1241</v>
      </c>
      <c r="W444" s="1" t="str">
        <f>IFERROR(__xludf.DUMMYFUNCTION("""COMPUTED_VALUE"""),"(51)99110-2826")</f>
        <v>(51)99110-2826</v>
      </c>
      <c r="X444" s="1" t="str">
        <f>IFERROR(__xludf.DUMMYFUNCTION("""COMPUTED_VALUE"""),"RS")</f>
        <v>RS</v>
      </c>
      <c r="Y444" s="1" t="str">
        <f>IFERROR(__xludf.DUMMYFUNCTION("""COMPUTED_VALUE"""),"Candelária")</f>
        <v>Candelária</v>
      </c>
      <c r="Z444" s="1" t="str">
        <f>IFERROR(__xludf.DUMMYFUNCTION("""COMPUTED_VALUE"""),"96930-000")</f>
        <v>96930-000</v>
      </c>
      <c r="AA444" s="1" t="str">
        <f>IFERROR(__xludf.DUMMYFUNCTION("""COMPUTED_VALUE"""),"ERS-410")</f>
        <v>ERS-410</v>
      </c>
      <c r="AB444" s="1" t="str">
        <f>IFERROR(__xludf.DUMMYFUNCTION("""COMPUTED_VALUE"""),"Fila Fátima")</f>
        <v>Fila Fátima</v>
      </c>
      <c r="AC444" s="1" t="str">
        <f>IFERROR(__xludf.DUMMYFUNCTION("""COMPUTED_VALUE"""),"G")</f>
        <v>G</v>
      </c>
      <c r="AD444" s="1" t="str">
        <f>IFERROR(__xludf.DUMMYFUNCTION("""COMPUTED_VALUE"""),"GG")</f>
        <v>GG</v>
      </c>
      <c r="AE444" s="1" t="str">
        <f>IFERROR(__xludf.DUMMYFUNCTION("""COMPUTED_VALUE"""),"GG")</f>
        <v>GG</v>
      </c>
      <c r="AF444" s="1" t="str">
        <f>IFERROR(__xludf.DUMMYFUNCTION("""COMPUTED_VALUE"""),"GG")</f>
        <v>GG</v>
      </c>
      <c r="AG444" s="1" t="str">
        <f>IFERROR(__xludf.DUMMYFUNCTION("""COMPUTED_VALUE"""),"G")</f>
        <v>G</v>
      </c>
      <c r="AH444" s="1">
        <f>IFERROR(__xludf.DUMMYFUNCTION("""COMPUTED_VALUE"""),40)</f>
        <v>40</v>
      </c>
      <c r="AI444" s="1">
        <f>IFERROR(__xludf.DUMMYFUNCTION("""COMPUTED_VALUE"""),40)</f>
        <v>40</v>
      </c>
      <c r="AJ444" s="1">
        <f>IFERROR(__xludf.DUMMYFUNCTION("""COMPUTED_VALUE"""),40)</f>
        <v>40</v>
      </c>
      <c r="AK444" s="1">
        <f>IFERROR(__xludf.DUMMYFUNCTION("""COMPUTED_VALUE"""),40)</f>
        <v>40</v>
      </c>
      <c r="AL444" s="1" t="str">
        <f>IFERROR(__xludf.DUMMYFUNCTION("""COMPUTED_VALUE"""),"GG")</f>
        <v>GG</v>
      </c>
      <c r="AM444" s="1" t="str">
        <f>IFERROR(__xludf.DUMMYFUNCTION("""COMPUTED_VALUE"""),"GG")</f>
        <v>GG</v>
      </c>
      <c r="AN444" s="1" t="str">
        <f>IFERROR(__xludf.DUMMYFUNCTION("""COMPUTED_VALUE"""),"G")</f>
        <v>G</v>
      </c>
    </row>
    <row r="445" customHeight="1" spans="1:40">
      <c r="A445" s="1" t="str">
        <f>IFERROR(__xludf.DUMMYFUNCTION("""COMPUTED_VALUE"""),"06° BBM")</f>
        <v>06° BBM</v>
      </c>
      <c r="B445" s="1" t="str">
        <f>IFERROR(__xludf.DUMMYFUNCTION("""COMPUTED_VALUE"""),"Encruzilhada do Sul")</f>
        <v>Encruzilhada do Sul</v>
      </c>
      <c r="C445" s="119" t="str">
        <f>IFERROR(__xludf.DUMMYFUNCTION("""COMPUTED_VALUE"""),"Comunitario")</f>
        <v>Comunitario</v>
      </c>
      <c r="D445" s="1" t="str">
        <f>IFERROR(__xludf.DUMMYFUNCTION("""COMPUTED_VALUE"""),"LEANDRO DA SILVA MOURA")</f>
        <v>LEANDRO DA SILVA MOURA</v>
      </c>
      <c r="E445" s="119" t="str">
        <f>IFERROR(__xludf.DUMMYFUNCTION("""COMPUTED_VALUE"""),"Curso CAB operador concluído")</f>
        <v>Curso CAB operador concluído</v>
      </c>
      <c r="F445" s="1" t="str">
        <f>IFERROR(__xludf.DUMMYFUNCTION("""COMPUTED_VALUE"""),"001.327.750-26")</f>
        <v>001.327.750-26</v>
      </c>
      <c r="G445" s="1">
        <f>IFERROR(__xludf.DUMMYFUNCTION("""COMPUTED_VALUE"""),2076062138)</f>
        <v>2076062138</v>
      </c>
      <c r="H445" s="1" t="str">
        <f>IFERROR(__xludf.DUMMYFUNCTION("""COMPUTED_VALUE"""),"CAB")</f>
        <v>CAB</v>
      </c>
      <c r="I445" s="1" t="str">
        <f>IFERROR(__xludf.DUMMYFUNCTION("""COMPUTED_VALUE"""),"Curso de técnica e tática de combate a incêndio para bombeiro misto - nivel I")</f>
        <v>Curso de técnica e tática de combate a incêndio para bombeiro misto - nivel I</v>
      </c>
      <c r="J445" s="1" t="str">
        <f>IFERROR(__xludf.DUMMYFUNCTION("""COMPUTED_VALUE"""),"Sim")</f>
        <v>Sim</v>
      </c>
      <c r="K445" s="1" t="str">
        <f>IFERROR(__xludf.DUMMYFUNCTION("""COMPUTED_VALUE"""),"Sim")</f>
        <v>Sim</v>
      </c>
      <c r="L445" s="1" t="str">
        <f>IFERROR(__xludf.DUMMYFUNCTION("""COMPUTED_VALUE"""),"B+")</f>
        <v>B+</v>
      </c>
      <c r="M445" s="1" t="str">
        <f>IFERROR(__xludf.DUMMYFUNCTION("""COMPUTED_VALUE"""),"Moura")</f>
        <v>Moura</v>
      </c>
      <c r="N445" s="120">
        <f>IFERROR(__xludf.DUMMYFUNCTION("""COMPUTED_VALUE"""),29686)</f>
        <v>29686</v>
      </c>
      <c r="O445" s="1" t="str">
        <f>IFERROR(__xludf.DUMMYFUNCTION("""COMPUTED_VALUE"""),"Masculino")</f>
        <v>Masculino</v>
      </c>
      <c r="P445" s="1" t="str">
        <f>IFERROR(__xludf.DUMMYFUNCTION("""COMPUTED_VALUE"""),"Branca")</f>
        <v>Branca</v>
      </c>
      <c r="Q445" s="1" t="str">
        <f>IFERROR(__xludf.DUMMYFUNCTION("""COMPUTED_VALUE"""),"Ensino Médio")</f>
        <v>Ensino Médio</v>
      </c>
      <c r="R445" s="1" t="str">
        <f>IFERROR(__xludf.DUMMYFUNCTION("""COMPUTED_VALUE"""),"bcmoura81@gmail.com")</f>
        <v>bcmoura81@gmail.com</v>
      </c>
      <c r="S445" s="1">
        <f>IFERROR(__xludf.DUMMYFUNCTION("""COMPUTED_VALUE"""),71)</f>
        <v>71</v>
      </c>
      <c r="T445" s="1" t="str">
        <f>IFERROR(__xludf.DUMMYFUNCTION("""COMPUTED_VALUE"""),"Entre 1,66m e 1,70m")</f>
        <v>Entre 1,66m e 1,70m</v>
      </c>
      <c r="U445" s="1" t="str">
        <f>IFERROR(__xludf.DUMMYFUNCTION("""COMPUTED_VALUE"""),"Não POSSUI")</f>
        <v>Não POSSUI</v>
      </c>
      <c r="V445" s="1" t="str">
        <f>IFERROR(__xludf.DUMMYFUNCTION("""COMPUTED_VALUE"""),"(51)99961-9587")</f>
        <v>(51)99961-9587</v>
      </c>
      <c r="W445" s="1" t="str">
        <f>IFERROR(__xludf.DUMMYFUNCTION("""COMPUTED_VALUE"""),"(51)99970-4362")</f>
        <v>(51)99970-4362</v>
      </c>
      <c r="X445" s="1" t="str">
        <f>IFERROR(__xludf.DUMMYFUNCTION("""COMPUTED_VALUE"""),"RS")</f>
        <v>RS</v>
      </c>
      <c r="Y445" s="1" t="str">
        <f>IFERROR(__xludf.DUMMYFUNCTION("""COMPUTED_VALUE"""),"Encruzilhada do Sul")</f>
        <v>Encruzilhada do Sul</v>
      </c>
      <c r="Z445" s="1" t="str">
        <f>IFERROR(__xludf.DUMMYFUNCTION("""COMPUTED_VALUE"""),"96610-000")</f>
        <v>96610-000</v>
      </c>
      <c r="AA445" s="1" t="str">
        <f>IFERROR(__xludf.DUMMYFUNCTION("""COMPUTED_VALUE"""),"rua Ernesto Dornelles 1270")</f>
        <v>rua Ernesto Dornelles 1270</v>
      </c>
      <c r="AB445" s="1" t="str">
        <f>IFERROR(__xludf.DUMMYFUNCTION("""COMPUTED_VALUE"""),"centro")</f>
        <v>centro</v>
      </c>
      <c r="AC445" s="1" t="str">
        <f>IFERROR(__xludf.DUMMYFUNCTION("""COMPUTED_VALUE"""),"M")</f>
        <v>M</v>
      </c>
      <c r="AD445" s="1" t="str">
        <f>IFERROR(__xludf.DUMMYFUNCTION("""COMPUTED_VALUE"""),"M")</f>
        <v>M</v>
      </c>
      <c r="AE445" s="1" t="str">
        <f>IFERROR(__xludf.DUMMYFUNCTION("""COMPUTED_VALUE"""),"M")</f>
        <v>M</v>
      </c>
      <c r="AF445" s="1" t="str">
        <f>IFERROR(__xludf.DUMMYFUNCTION("""COMPUTED_VALUE"""),"M")</f>
        <v>M</v>
      </c>
      <c r="AG445" s="1" t="str">
        <f>IFERROR(__xludf.DUMMYFUNCTION("""COMPUTED_VALUE"""),"M")</f>
        <v>M</v>
      </c>
      <c r="AH445" s="1">
        <f>IFERROR(__xludf.DUMMYFUNCTION("""COMPUTED_VALUE"""),40)</f>
        <v>40</v>
      </c>
      <c r="AI445" s="1">
        <f>IFERROR(__xludf.DUMMYFUNCTION("""COMPUTED_VALUE"""),40)</f>
        <v>40</v>
      </c>
      <c r="AJ445" s="1">
        <f>IFERROR(__xludf.DUMMYFUNCTION("""COMPUTED_VALUE"""),40)</f>
        <v>40</v>
      </c>
      <c r="AK445" s="1">
        <f>IFERROR(__xludf.DUMMYFUNCTION("""COMPUTED_VALUE"""),40)</f>
        <v>40</v>
      </c>
      <c r="AL445" s="1" t="str">
        <f>IFERROR(__xludf.DUMMYFUNCTION("""COMPUTED_VALUE"""),"M")</f>
        <v>M</v>
      </c>
      <c r="AM445" s="1" t="str">
        <f>IFERROR(__xludf.DUMMYFUNCTION("""COMPUTED_VALUE"""),"M")</f>
        <v>M</v>
      </c>
      <c r="AN445" s="1" t="str">
        <f>IFERROR(__xludf.DUMMYFUNCTION("""COMPUTED_VALUE"""),"M")</f>
        <v>M</v>
      </c>
    </row>
    <row r="446" customHeight="1" spans="1:40">
      <c r="A446" s="1"/>
      <c r="B446" s="1"/>
      <c r="C446" s="119"/>
      <c r="D446" s="1" t="str">
        <f>IFERROR(__xludf.DUMMYFUNCTION("""COMPUTED_VALUE"""),"LINDOMAR ROBERTO DA PAIXAO")</f>
        <v>LINDOMAR ROBERTO DA PAIXAO</v>
      </c>
      <c r="E446" s="119" t="str">
        <f>IFERROR(__xludf.DUMMYFUNCTION("""COMPUTED_VALUE"""),"Curso CAB operador concluído")</f>
        <v>Curso CAB operador concluído</v>
      </c>
      <c r="F446" s="1" t="str">
        <f>IFERROR(__xludf.DUMMYFUNCTION("""COMPUTED_VALUE"""),"684.415.760-68")</f>
        <v>684.415.760-68</v>
      </c>
      <c r="G446" s="1"/>
      <c r="H446" s="1"/>
      <c r="I446" s="1"/>
      <c r="J446" s="1"/>
      <c r="K446" s="1"/>
      <c r="L446" s="1"/>
      <c r="M446" s="1"/>
      <c r="N446" s="120"/>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row>
    <row r="447" customHeight="1" spans="1:40">
      <c r="A447" s="1" t="str">
        <f>IFERROR(__xludf.DUMMYFUNCTION("""COMPUTED_VALUE"""),"06° BBM")</f>
        <v>06° BBM</v>
      </c>
      <c r="B447" s="1" t="str">
        <f>IFERROR(__xludf.DUMMYFUNCTION("""COMPUTED_VALUE"""),"Encantado")</f>
        <v>Encantado</v>
      </c>
      <c r="C447" s="119" t="str">
        <f>IFERROR(__xludf.DUMMYFUNCTION("""COMPUTED_VALUE"""),"Comunitario")</f>
        <v>Comunitario</v>
      </c>
      <c r="D447" s="1" t="str">
        <f>IFERROR(__xludf.DUMMYFUNCTION("""COMPUTED_VALUE"""),"LINDOMAR ROBERTO DA PAIXÃO")</f>
        <v>LINDOMAR ROBERTO DA PAIXÃO</v>
      </c>
      <c r="E447" s="119" t="str">
        <f>IFERROR(__xludf.DUMMYFUNCTION("""COMPUTED_VALUE"""),"")</f>
        <v/>
      </c>
      <c r="F447" s="1" t="str">
        <f>IFERROR(__xludf.DUMMYFUNCTION("""COMPUTED_VALUE"""),"684.415.760.68")</f>
        <v>684.415.760.68</v>
      </c>
      <c r="G447" s="1">
        <f>IFERROR(__xludf.DUMMYFUNCTION("""COMPUTED_VALUE"""),6074741841)</f>
        <v>6074741841</v>
      </c>
      <c r="H447" s="1" t="str">
        <f>IFERROR(__xludf.DUMMYFUNCTION("""COMPUTED_VALUE"""),"Civil auxiliar")</f>
        <v>Civil auxiliar</v>
      </c>
      <c r="I447" s="1" t="str">
        <f>IFERROR(__xludf.DUMMYFUNCTION("""COMPUTED_VALUE"""),"operacional resgate")</f>
        <v>operacional resgate</v>
      </c>
      <c r="J447" s="1" t="str">
        <f>IFERROR(__xludf.DUMMYFUNCTION("""COMPUTED_VALUE"""),"Sim")</f>
        <v>Sim</v>
      </c>
      <c r="K447" s="1" t="str">
        <f>IFERROR(__xludf.DUMMYFUNCTION("""COMPUTED_VALUE"""),"Sim")</f>
        <v>Sim</v>
      </c>
      <c r="L447" s="1" t="str">
        <f>IFERROR(__xludf.DUMMYFUNCTION("""COMPUTED_VALUE"""),"A+")</f>
        <v>A+</v>
      </c>
      <c r="M447" s="1" t="str">
        <f>IFERROR(__xludf.DUMMYFUNCTION("""COMPUTED_VALUE"""),"Lindomar")</f>
        <v>Lindomar</v>
      </c>
      <c r="N447" s="120">
        <f>IFERROR(__xludf.DUMMYFUNCTION("""COMPUTED_VALUE"""),28891)</f>
        <v>28891</v>
      </c>
      <c r="O447" s="1" t="str">
        <f>IFERROR(__xludf.DUMMYFUNCTION("""COMPUTED_VALUE"""),"Masculino")</f>
        <v>Masculino</v>
      </c>
      <c r="P447" s="1" t="str">
        <f>IFERROR(__xludf.DUMMYFUNCTION("""COMPUTED_VALUE"""),"Branca")</f>
        <v>Branca</v>
      </c>
      <c r="Q447" s="1" t="str">
        <f>IFERROR(__xludf.DUMMYFUNCTION("""COMPUTED_VALUE"""),"Ensino Médio")</f>
        <v>Ensino Médio</v>
      </c>
      <c r="R447" s="1" t="str">
        <f>IFERROR(__xludf.DUMMYFUNCTION("""COMPUTED_VALUE"""),"pescoso1979tatuagem@gmail.com")</f>
        <v>pescoso1979tatuagem@gmail.com</v>
      </c>
      <c r="S447" s="1" t="str">
        <f>IFERROR(__xludf.DUMMYFUNCTION("""COMPUTED_VALUE"""),"82kg")</f>
        <v>82kg</v>
      </c>
      <c r="T447" s="1" t="str">
        <f>IFERROR(__xludf.DUMMYFUNCTION("""COMPUTED_VALUE"""),"Entre 1,71m e 1,75m")</f>
        <v>Entre 1,71m e 1,75m</v>
      </c>
      <c r="U447" s="1" t="str">
        <f>IFERROR(__xludf.DUMMYFUNCTION("""COMPUTED_VALUE"""),"Não POSSUI")</f>
        <v>Não POSSUI</v>
      </c>
      <c r="V447" s="1" t="str">
        <f>IFERROR(__xludf.DUMMYFUNCTION("""COMPUTED_VALUE"""),"(51) 99123-3444")</f>
        <v>(51) 99123-3444</v>
      </c>
      <c r="W447" s="1" t="str">
        <f>IFERROR(__xludf.DUMMYFUNCTION("""COMPUTED_VALUE"""),"(51)99123-3444")</f>
        <v>(51)99123-3444</v>
      </c>
      <c r="X447" s="1" t="str">
        <f>IFERROR(__xludf.DUMMYFUNCTION("""COMPUTED_VALUE"""),"Rio grande do Sul")</f>
        <v>Rio grande do Sul</v>
      </c>
      <c r="Y447" s="1" t="str">
        <f>IFERROR(__xludf.DUMMYFUNCTION("""COMPUTED_VALUE"""),"Encantado")</f>
        <v>Encantado</v>
      </c>
      <c r="Z447" s="1" t="str">
        <f>IFERROR(__xludf.DUMMYFUNCTION("""COMPUTED_VALUE"""),"95960-000")</f>
        <v>95960-000</v>
      </c>
      <c r="AA447" s="1" t="str">
        <f>IFERROR(__xludf.DUMMYFUNCTION("""COMPUTED_VALUE"""),"Rua das camélias, 26 rua Antônio Buffon, 165-02")</f>
        <v>Rua das camélias, 26 rua Antônio Buffon, 165-02</v>
      </c>
      <c r="AB447" s="1" t="str">
        <f>IFERROR(__xludf.DUMMYFUNCTION("""COMPUTED_VALUE"""),"Jardim do trabalhador")</f>
        <v>Jardim do trabalhador</v>
      </c>
      <c r="AC447" s="1" t="str">
        <f>IFERROR(__xludf.DUMMYFUNCTION("""COMPUTED_VALUE"""),"GG")</f>
        <v>GG</v>
      </c>
      <c r="AD447" s="1" t="str">
        <f>IFERROR(__xludf.DUMMYFUNCTION("""COMPUTED_VALUE"""),"GG")</f>
        <v>GG</v>
      </c>
      <c r="AE447" s="1" t="str">
        <f>IFERROR(__xludf.DUMMYFUNCTION("""COMPUTED_VALUE"""),"GG")</f>
        <v>GG</v>
      </c>
      <c r="AF447" s="1" t="str">
        <f>IFERROR(__xludf.DUMMYFUNCTION("""COMPUTED_VALUE"""),"GG")</f>
        <v>GG</v>
      </c>
      <c r="AG447" s="1" t="str">
        <f>IFERROR(__xludf.DUMMYFUNCTION("""COMPUTED_VALUE"""),"GG")</f>
        <v>GG</v>
      </c>
      <c r="AH447" s="1">
        <f>IFERROR(__xludf.DUMMYFUNCTION("""COMPUTED_VALUE"""),43)</f>
        <v>43</v>
      </c>
      <c r="AI447" s="1">
        <f>IFERROR(__xludf.DUMMYFUNCTION("""COMPUTED_VALUE"""),43)</f>
        <v>43</v>
      </c>
      <c r="AJ447" s="1">
        <f>IFERROR(__xludf.DUMMYFUNCTION("""COMPUTED_VALUE"""),43)</f>
        <v>43</v>
      </c>
      <c r="AK447" s="1">
        <f>IFERROR(__xludf.DUMMYFUNCTION("""COMPUTED_VALUE"""),43)</f>
        <v>43</v>
      </c>
      <c r="AL447" s="1" t="str">
        <f>IFERROR(__xludf.DUMMYFUNCTION("""COMPUTED_VALUE"""),"GG")</f>
        <v>GG</v>
      </c>
      <c r="AM447" s="1" t="str">
        <f>IFERROR(__xludf.DUMMYFUNCTION("""COMPUTED_VALUE"""),"GG")</f>
        <v>GG</v>
      </c>
      <c r="AN447" s="1" t="str">
        <f>IFERROR(__xludf.DUMMYFUNCTION("""COMPUTED_VALUE"""),"GG")</f>
        <v>GG</v>
      </c>
    </row>
    <row r="448" customHeight="1" spans="1:40">
      <c r="A448" s="1" t="str">
        <f>IFERROR(__xludf.DUMMYFUNCTION("""COMPUTED_VALUE"""),"06° BBM")</f>
        <v>06° BBM</v>
      </c>
      <c r="B448" s="1" t="str">
        <f>IFERROR(__xludf.DUMMYFUNCTION("""COMPUTED_VALUE"""),"Arambaré")</f>
        <v>Arambaré</v>
      </c>
      <c r="C448" s="119" t="str">
        <f>IFERROR(__xludf.DUMMYFUNCTION("""COMPUTED_VALUE"""),"CAB")</f>
        <v>CAB</v>
      </c>
      <c r="D448" s="1" t="str">
        <f>IFERROR(__xludf.DUMMYFUNCTION("""COMPUTED_VALUE"""),"LIZANDRA MENDES BARBOSA CUNHA")</f>
        <v>LIZANDRA MENDES BARBOSA CUNHA</v>
      </c>
      <c r="E448" s="119" t="str">
        <f>IFERROR(__xludf.DUMMYFUNCTION("""COMPUTED_VALUE"""),"")</f>
        <v/>
      </c>
      <c r="F448" s="1" t="str">
        <f>IFERROR(__xludf.DUMMYFUNCTION("""COMPUTED_VALUE"""),"029.036.770-00")</f>
        <v>029.036.770-00</v>
      </c>
      <c r="G448" s="1">
        <f>IFERROR(__xludf.DUMMYFUNCTION("""COMPUTED_VALUE"""),6117558913)</f>
        <v>6117558913</v>
      </c>
      <c r="H448" s="1" t="str">
        <f>IFERROR(__xludf.DUMMYFUNCTION("""COMPUTED_VALUE"""),"CAB")</f>
        <v>CAB</v>
      </c>
      <c r="I448" s="1" t="str">
        <f>IFERROR(__xludf.DUMMYFUNCTION("""COMPUTED_VALUE"""),"Bombeiro Civil; APH e BLS")</f>
        <v>Bombeiro Civil; APH e BLS</v>
      </c>
      <c r="J448" s="1" t="str">
        <f>IFERROR(__xludf.DUMMYFUNCTION("""COMPUTED_VALUE"""),"Não")</f>
        <v>Não</v>
      </c>
      <c r="K448" s="1" t="str">
        <f>IFERROR(__xludf.DUMMYFUNCTION("""COMPUTED_VALUE"""),"Sim")</f>
        <v>Sim</v>
      </c>
      <c r="L448" s="1" t="str">
        <f>IFERROR(__xludf.DUMMYFUNCTION("""COMPUTED_VALUE"""),"O+")</f>
        <v>O+</v>
      </c>
      <c r="M448" s="1" t="str">
        <f>IFERROR(__xludf.DUMMYFUNCTION("""COMPUTED_VALUE"""),"MENDES")</f>
        <v>MENDES</v>
      </c>
      <c r="N448" s="120">
        <f>IFERROR(__xludf.DUMMYFUNCTION("""COMPUTED_VALUE"""),34050)</f>
        <v>34050</v>
      </c>
      <c r="O448" s="1" t="str">
        <f>IFERROR(__xludf.DUMMYFUNCTION("""COMPUTED_VALUE"""),"Feminino")</f>
        <v>Feminino</v>
      </c>
      <c r="P448" s="1" t="str">
        <f>IFERROR(__xludf.DUMMYFUNCTION("""COMPUTED_VALUE"""),"Preta")</f>
        <v>Preta</v>
      </c>
      <c r="Q448" s="1" t="str">
        <f>IFERROR(__xludf.DUMMYFUNCTION("""COMPUTED_VALUE"""),"Ensino Médio")</f>
        <v>Ensino Médio</v>
      </c>
      <c r="R448" s="1" t="str">
        <f>IFERROR(__xludf.DUMMYFUNCTION("""COMPUTED_VALUE"""),"cunhalizandra02@gmail.com")</f>
        <v>cunhalizandra02@gmail.com</v>
      </c>
      <c r="S448" s="1">
        <f>IFERROR(__xludf.DUMMYFUNCTION("""COMPUTED_VALUE"""),68)</f>
        <v>68</v>
      </c>
      <c r="T448" s="1" t="str">
        <f>IFERROR(__xludf.DUMMYFUNCTION("""COMPUTED_VALUE"""),"Entre 1,50m e 1,55m")</f>
        <v>Entre 1,50m e 1,55m</v>
      </c>
      <c r="U448" s="1" t="str">
        <f>IFERROR(__xludf.DUMMYFUNCTION("""COMPUTED_VALUE"""),"Não POSSUI")</f>
        <v>Não POSSUI</v>
      </c>
      <c r="V448" s="1" t="str">
        <f>IFERROR(__xludf.DUMMYFUNCTION("""COMPUTED_VALUE"""),"(51)99928-1610")</f>
        <v>(51)99928-1610</v>
      </c>
      <c r="W448" s="1" t="str">
        <f>IFERROR(__xludf.DUMMYFUNCTION("""COMPUTED_VALUE"""),"(51)99928-1696")</f>
        <v>(51)99928-1696</v>
      </c>
      <c r="X448" s="1" t="str">
        <f>IFERROR(__xludf.DUMMYFUNCTION("""COMPUTED_VALUE"""),"RIO GRANDE DO SUL")</f>
        <v>RIO GRANDE DO SUL</v>
      </c>
      <c r="Y448" s="1" t="str">
        <f>IFERROR(__xludf.DUMMYFUNCTION("""COMPUTED_VALUE"""),"Arambaré")</f>
        <v>Arambaré</v>
      </c>
      <c r="Z448" s="1">
        <f>IFERROR(__xludf.DUMMYFUNCTION("""COMPUTED_VALUE"""),96180000)</f>
        <v>96180000</v>
      </c>
      <c r="AA448" s="1" t="str">
        <f>IFERROR(__xludf.DUMMYFUNCTION("""COMPUTED_VALUE"""),"Rua Luiz Delfino Scherer N°56")</f>
        <v>Rua Luiz Delfino Scherer N°56</v>
      </c>
      <c r="AB448" s="1" t="str">
        <f>IFERROR(__xludf.DUMMYFUNCTION("""COMPUTED_VALUE"""),"Caneleiras")</f>
        <v>Caneleiras</v>
      </c>
      <c r="AC448" s="1" t="str">
        <f>IFERROR(__xludf.DUMMYFUNCTION("""COMPUTED_VALUE"""),"G")</f>
        <v>G</v>
      </c>
      <c r="AD448" s="1" t="str">
        <f>IFERROR(__xludf.DUMMYFUNCTION("""COMPUTED_VALUE"""),"G")</f>
        <v>G</v>
      </c>
      <c r="AE448" s="1" t="str">
        <f>IFERROR(__xludf.DUMMYFUNCTION("""COMPUTED_VALUE"""),"M")</f>
        <v>M</v>
      </c>
      <c r="AF448" s="1" t="str">
        <f>IFERROR(__xludf.DUMMYFUNCTION("""COMPUTED_VALUE"""),"G")</f>
        <v>G</v>
      </c>
      <c r="AG448" s="1" t="str">
        <f>IFERROR(__xludf.DUMMYFUNCTION("""COMPUTED_VALUE"""),"G")</f>
        <v>G</v>
      </c>
      <c r="AH448" s="1">
        <f>IFERROR(__xludf.DUMMYFUNCTION("""COMPUTED_VALUE"""),36)</f>
        <v>36</v>
      </c>
      <c r="AI448" s="1">
        <f>IFERROR(__xludf.DUMMYFUNCTION("""COMPUTED_VALUE"""),36)</f>
        <v>36</v>
      </c>
      <c r="AJ448" s="1">
        <f>IFERROR(__xludf.DUMMYFUNCTION("""COMPUTED_VALUE"""),36)</f>
        <v>36</v>
      </c>
      <c r="AK448" s="1">
        <f>IFERROR(__xludf.DUMMYFUNCTION("""COMPUTED_VALUE"""),36)</f>
        <v>36</v>
      </c>
      <c r="AL448" s="1" t="str">
        <f>IFERROR(__xludf.DUMMYFUNCTION("""COMPUTED_VALUE"""),"G")</f>
        <v>G</v>
      </c>
      <c r="AM448" s="1" t="str">
        <f>IFERROR(__xludf.DUMMYFUNCTION("""COMPUTED_VALUE"""),"G")</f>
        <v>G</v>
      </c>
      <c r="AN448" s="1" t="str">
        <f>IFERROR(__xludf.DUMMYFUNCTION("""COMPUTED_VALUE"""),"M")</f>
        <v>M</v>
      </c>
    </row>
    <row r="449" customHeight="1" spans="1:40">
      <c r="A449" s="1" t="str">
        <f>IFERROR(__xludf.DUMMYFUNCTION("""COMPUTED_VALUE"""),"06° BBM")</f>
        <v>06° BBM</v>
      </c>
      <c r="B449" s="1" t="str">
        <f>IFERROR(__xludf.DUMMYFUNCTION("""COMPUTED_VALUE"""),"Encantado")</f>
        <v>Encantado</v>
      </c>
      <c r="C449" s="119" t="str">
        <f>IFERROR(__xludf.DUMMYFUNCTION("""COMPUTED_VALUE"""),"Comunitario")</f>
        <v>Comunitario</v>
      </c>
      <c r="D449" s="1" t="str">
        <f>IFERROR(__xludf.DUMMYFUNCTION("""COMPUTED_VALUE"""),"LOIVO CASTOLDI DEZORDI")</f>
        <v>LOIVO CASTOLDI DEZORDI</v>
      </c>
      <c r="E449" s="119" t="str">
        <f>IFERROR(__xludf.DUMMYFUNCTION("""COMPUTED_VALUE"""),"Curso CAB operador concluído")</f>
        <v>Curso CAB operador concluído</v>
      </c>
      <c r="F449" s="1" t="str">
        <f>IFERROR(__xludf.DUMMYFUNCTION("""COMPUTED_VALUE"""),"653.507.900-72")</f>
        <v>653.507.900-72</v>
      </c>
      <c r="G449" s="1">
        <f>IFERROR(__xludf.DUMMYFUNCTION("""COMPUTED_VALUE"""),9062515326)</f>
        <v>9062515326</v>
      </c>
      <c r="H449" s="1" t="str">
        <f>IFERROR(__xludf.DUMMYFUNCTION("""COMPUTED_VALUE"""),"CIVIL AUXILIAR")</f>
        <v>CIVIL AUXILIAR</v>
      </c>
      <c r="I449" s="1" t="str">
        <f>IFERROR(__xludf.DUMMYFUNCTION("""COMPUTED_VALUE"""),"OPERACIONAL RESGATISTA")</f>
        <v>OPERACIONAL RESGATISTA</v>
      </c>
      <c r="J449" s="1" t="str">
        <f>IFERROR(__xludf.DUMMYFUNCTION("""COMPUTED_VALUE"""),"Sim")</f>
        <v>Sim</v>
      </c>
      <c r="K449" s="1" t="str">
        <f>IFERROR(__xludf.DUMMYFUNCTION("""COMPUTED_VALUE"""),"Sim")</f>
        <v>Sim</v>
      </c>
      <c r="L449" s="1" t="str">
        <f>IFERROR(__xludf.DUMMYFUNCTION("""COMPUTED_VALUE"""),"O-")</f>
        <v>O-</v>
      </c>
      <c r="M449" s="1" t="str">
        <f>IFERROR(__xludf.DUMMYFUNCTION("""COMPUTED_VALUE"""),"LOIVO")</f>
        <v>LOIVO</v>
      </c>
      <c r="N449" s="120">
        <f>IFERROR(__xludf.DUMMYFUNCTION("""COMPUTED_VALUE"""),25995)</f>
        <v>25995</v>
      </c>
      <c r="O449" s="1" t="str">
        <f>IFERROR(__xludf.DUMMYFUNCTION("""COMPUTED_VALUE"""),"Masculino")</f>
        <v>Masculino</v>
      </c>
      <c r="P449" s="1" t="str">
        <f>IFERROR(__xludf.DUMMYFUNCTION("""COMPUTED_VALUE"""),"Branca")</f>
        <v>Branca</v>
      </c>
      <c r="Q449" s="1" t="str">
        <f>IFERROR(__xludf.DUMMYFUNCTION("""COMPUTED_VALUE"""),"Ensino Médio")</f>
        <v>Ensino Médio</v>
      </c>
      <c r="R449" s="1" t="str">
        <f>IFERROR(__xludf.DUMMYFUNCTION("""COMPUTED_VALUE"""),"loivodezordi44@gmail.com")</f>
        <v>loivodezordi44@gmail.com</v>
      </c>
      <c r="S449" s="1" t="str">
        <f>IFERROR(__xludf.DUMMYFUNCTION("""COMPUTED_VALUE"""),"77kg")</f>
        <v>77kg</v>
      </c>
      <c r="T449" s="1" t="str">
        <f>IFERROR(__xludf.DUMMYFUNCTION("""COMPUTED_VALUE"""),"Entre 1,76m e 1,80m")</f>
        <v>Entre 1,76m e 1,80m</v>
      </c>
      <c r="U449" s="1" t="str">
        <f>IFERROR(__xludf.DUMMYFUNCTION("""COMPUTED_VALUE"""),"Não POSSUI")</f>
        <v>Não POSSUI</v>
      </c>
      <c r="V449" s="1" t="str">
        <f>IFERROR(__xludf.DUMMYFUNCTION("""COMPUTED_VALUE"""),"(51)98065-8720")</f>
        <v>(51)98065-8720</v>
      </c>
      <c r="W449" s="1" t="str">
        <f>IFERROR(__xludf.DUMMYFUNCTION("""COMPUTED_VALUE"""),"(51)3751-3322")</f>
        <v>(51)3751-3322</v>
      </c>
      <c r="X449" s="1" t="str">
        <f>IFERROR(__xludf.DUMMYFUNCTION("""COMPUTED_VALUE"""),"RIO GRANDE DO DUL")</f>
        <v>RIO GRANDE DO DUL</v>
      </c>
      <c r="Y449" s="1" t="str">
        <f>IFERROR(__xludf.DUMMYFUNCTION("""COMPUTED_VALUE"""),"ENCANTADO")</f>
        <v>ENCANTADO</v>
      </c>
      <c r="Z449" s="1">
        <f>IFERROR(__xludf.DUMMYFUNCTION("""COMPUTED_VALUE"""),95960000)</f>
        <v>95960000</v>
      </c>
      <c r="AA449" s="1" t="str">
        <f>IFERROR(__xludf.DUMMYFUNCTION("""COMPUTED_VALUE"""),"RUA DAVID PIO DENES N 68")</f>
        <v>RUA DAVID PIO DENES N 68</v>
      </c>
      <c r="AB449" s="1" t="str">
        <f>IFERROR(__xludf.DUMMYFUNCTION("""COMPUTED_VALUE"""),"PORTO XV")</f>
        <v>PORTO XV</v>
      </c>
      <c r="AC449" s="1" t="str">
        <f>IFERROR(__xludf.DUMMYFUNCTION("""COMPUTED_VALUE"""),"G")</f>
        <v>G</v>
      </c>
      <c r="AD449" s="1" t="str">
        <f>IFERROR(__xludf.DUMMYFUNCTION("""COMPUTED_VALUE"""),"G")</f>
        <v>G</v>
      </c>
      <c r="AE449" s="1" t="str">
        <f>IFERROR(__xludf.DUMMYFUNCTION("""COMPUTED_VALUE"""),"G")</f>
        <v>G</v>
      </c>
      <c r="AF449" s="1" t="str">
        <f>IFERROR(__xludf.DUMMYFUNCTION("""COMPUTED_VALUE"""),"G")</f>
        <v>G</v>
      </c>
      <c r="AG449" s="1" t="str">
        <f>IFERROR(__xludf.DUMMYFUNCTION("""COMPUTED_VALUE"""),"G")</f>
        <v>G</v>
      </c>
      <c r="AH449" s="1">
        <f>IFERROR(__xludf.DUMMYFUNCTION("""COMPUTED_VALUE"""),42)</f>
        <v>42</v>
      </c>
      <c r="AI449" s="1">
        <f>IFERROR(__xludf.DUMMYFUNCTION("""COMPUTED_VALUE"""),42)</f>
        <v>42</v>
      </c>
      <c r="AJ449" s="1">
        <f>IFERROR(__xludf.DUMMYFUNCTION("""COMPUTED_VALUE"""),42)</f>
        <v>42</v>
      </c>
      <c r="AK449" s="1">
        <f>IFERROR(__xludf.DUMMYFUNCTION("""COMPUTED_VALUE"""),42)</f>
        <v>42</v>
      </c>
      <c r="AL449" s="1" t="str">
        <f>IFERROR(__xludf.DUMMYFUNCTION("""COMPUTED_VALUE"""),"G")</f>
        <v>G</v>
      </c>
      <c r="AM449" s="1" t="str">
        <f>IFERROR(__xludf.DUMMYFUNCTION("""COMPUTED_VALUE"""),"G")</f>
        <v>G</v>
      </c>
      <c r="AN449" s="1" t="str">
        <f>IFERROR(__xludf.DUMMYFUNCTION("""COMPUTED_VALUE"""),"G")</f>
        <v>G</v>
      </c>
    </row>
    <row r="450" customHeight="1" spans="1:40">
      <c r="A450" s="1" t="str">
        <f>IFERROR(__xludf.DUMMYFUNCTION("""COMPUTED_VALUE"""),"06° BBM")</f>
        <v>06° BBM</v>
      </c>
      <c r="B450" s="1" t="str">
        <f>IFERROR(__xludf.DUMMYFUNCTION("""COMPUTED_VALUE"""),"Encruzilhada do Sul")</f>
        <v>Encruzilhada do Sul</v>
      </c>
      <c r="C450" s="119" t="str">
        <f>IFERROR(__xludf.DUMMYFUNCTION("""COMPUTED_VALUE"""),"Comunitario")</f>
        <v>Comunitario</v>
      </c>
      <c r="D450" s="1" t="str">
        <f>IFERROR(__xludf.DUMMYFUNCTION("""COMPUTED_VALUE"""),"LUCAS SOARES PEREIRA LUZ")</f>
        <v>LUCAS SOARES PEREIRA LUZ</v>
      </c>
      <c r="E450" s="119" t="str">
        <f>IFERROR(__xludf.DUMMYFUNCTION("""COMPUTED_VALUE"""),"Curso CAB operador concluído")</f>
        <v>Curso CAB operador concluído</v>
      </c>
      <c r="F450" s="1" t="str">
        <f>IFERROR(__xludf.DUMMYFUNCTION("""COMPUTED_VALUE"""),"020.763.190-50")</f>
        <v>020.763.190-50</v>
      </c>
      <c r="G450" s="1">
        <f>IFERROR(__xludf.DUMMYFUNCTION("""COMPUTED_VALUE"""),9101084722)</f>
        <v>9101084722</v>
      </c>
      <c r="H450" s="1" t="str">
        <f>IFERROR(__xludf.DUMMYFUNCTION("""COMPUTED_VALUE"""),"CAB")</f>
        <v>CAB</v>
      </c>
      <c r="I450" s="1" t="str">
        <f>IFERROR(__xludf.DUMMYFUNCTION("""COMPUTED_VALUE"""),"Curso de técnica e tática de combate a incêndio")</f>
        <v>Curso de técnica e tática de combate a incêndio</v>
      </c>
      <c r="J450" s="1" t="str">
        <f>IFERROR(__xludf.DUMMYFUNCTION("""COMPUTED_VALUE"""),"Sim")</f>
        <v>Sim</v>
      </c>
      <c r="K450" s="1" t="str">
        <f>IFERROR(__xludf.DUMMYFUNCTION("""COMPUTED_VALUE"""),"Não")</f>
        <v>Não</v>
      </c>
      <c r="L450" s="1" t="str">
        <f>IFERROR(__xludf.DUMMYFUNCTION("""COMPUTED_VALUE"""),"O-")</f>
        <v>O-</v>
      </c>
      <c r="M450" s="1" t="str">
        <f>IFERROR(__xludf.DUMMYFUNCTION("""COMPUTED_VALUE"""),"Lucas")</f>
        <v>Lucas</v>
      </c>
      <c r="N450" s="120">
        <f>IFERROR(__xludf.DUMMYFUNCTION("""COMPUTED_VALUE"""),34093)</f>
        <v>34093</v>
      </c>
      <c r="O450" s="1" t="str">
        <f>IFERROR(__xludf.DUMMYFUNCTION("""COMPUTED_VALUE"""),"Masculino")</f>
        <v>Masculino</v>
      </c>
      <c r="P450" s="1" t="str">
        <f>IFERROR(__xludf.DUMMYFUNCTION("""COMPUTED_VALUE"""),"Branca")</f>
        <v>Branca</v>
      </c>
      <c r="Q450" s="1" t="str">
        <f>IFERROR(__xludf.DUMMYFUNCTION("""COMPUTED_VALUE"""),"Ensino Médio")</f>
        <v>Ensino Médio</v>
      </c>
      <c r="R450" s="1" t="str">
        <f>IFERROR(__xludf.DUMMYFUNCTION("""COMPUTED_VALUE"""),"saveirosurfluquinhas@gmail.com")</f>
        <v>saveirosurfluquinhas@gmail.com</v>
      </c>
      <c r="S450" s="1">
        <f>IFERROR(__xludf.DUMMYFUNCTION("""COMPUTED_VALUE"""),79)</f>
        <v>79</v>
      </c>
      <c r="T450" s="1" t="str">
        <f>IFERROR(__xludf.DUMMYFUNCTION("""COMPUTED_VALUE"""),"Entre 1,71m e 1,75m")</f>
        <v>Entre 1,71m e 1,75m</v>
      </c>
      <c r="U450" s="1" t="str">
        <f>IFERROR(__xludf.DUMMYFUNCTION("""COMPUTED_VALUE"""),"Não POSSUI")</f>
        <v>Não POSSUI</v>
      </c>
      <c r="V450" s="1" t="str">
        <f>IFERROR(__xludf.DUMMYFUNCTION("""COMPUTED_VALUE"""),"(51)99795-4682")</f>
        <v>(51)99795-4682</v>
      </c>
      <c r="W450" s="1" t="str">
        <f>IFERROR(__xludf.DUMMYFUNCTION("""COMPUTED_VALUE"""),"(51)99795-4682")</f>
        <v>(51)99795-4682</v>
      </c>
      <c r="X450" s="1"/>
      <c r="Y450" s="1" t="str">
        <f>IFERROR(__xludf.DUMMYFUNCTION("""COMPUTED_VALUE"""),"Encruzilhada do Sul")</f>
        <v>Encruzilhada do Sul</v>
      </c>
      <c r="Z450" s="1" t="str">
        <f>IFERROR(__xludf.DUMMYFUNCTION("""COMPUTED_VALUE"""),"96610-000")</f>
        <v>96610-000</v>
      </c>
      <c r="AA450" s="1" t="str">
        <f>IFERROR(__xludf.DUMMYFUNCTION("""COMPUTED_VALUE"""),"Rua beijamin Constant, 713")</f>
        <v>Rua beijamin Constant, 713</v>
      </c>
      <c r="AB450" s="1" t="str">
        <f>IFERROR(__xludf.DUMMYFUNCTION("""COMPUTED_VALUE"""),"Lava pés")</f>
        <v>Lava pés</v>
      </c>
      <c r="AC450" s="1" t="str">
        <f>IFERROR(__xludf.DUMMYFUNCTION("""COMPUTED_VALUE"""),"M")</f>
        <v>M</v>
      </c>
      <c r="AD450" s="1" t="str">
        <f>IFERROR(__xludf.DUMMYFUNCTION("""COMPUTED_VALUE"""),"M")</f>
        <v>M</v>
      </c>
      <c r="AE450" s="1" t="str">
        <f>IFERROR(__xludf.DUMMYFUNCTION("""COMPUTED_VALUE"""),"M")</f>
        <v>M</v>
      </c>
      <c r="AF450" s="1" t="str">
        <f>IFERROR(__xludf.DUMMYFUNCTION("""COMPUTED_VALUE"""),"M")</f>
        <v>M</v>
      </c>
      <c r="AG450" s="1" t="str">
        <f>IFERROR(__xludf.DUMMYFUNCTION("""COMPUTED_VALUE"""),"M")</f>
        <v>M</v>
      </c>
      <c r="AH450" s="1">
        <f>IFERROR(__xludf.DUMMYFUNCTION("""COMPUTED_VALUE"""),39)</f>
        <v>39</v>
      </c>
      <c r="AI450" s="1">
        <f>IFERROR(__xludf.DUMMYFUNCTION("""COMPUTED_VALUE"""),39)</f>
        <v>39</v>
      </c>
      <c r="AJ450" s="1">
        <f>IFERROR(__xludf.DUMMYFUNCTION("""COMPUTED_VALUE"""),39)</f>
        <v>39</v>
      </c>
      <c r="AK450" s="1">
        <f>IFERROR(__xludf.DUMMYFUNCTION("""COMPUTED_VALUE"""),39)</f>
        <v>39</v>
      </c>
      <c r="AL450" s="1" t="str">
        <f>IFERROR(__xludf.DUMMYFUNCTION("""COMPUTED_VALUE"""),"M")</f>
        <v>M</v>
      </c>
      <c r="AM450" s="1" t="str">
        <f>IFERROR(__xludf.DUMMYFUNCTION("""COMPUTED_VALUE"""),"M")</f>
        <v>M</v>
      </c>
      <c r="AN450" s="1" t="str">
        <f>IFERROR(__xludf.DUMMYFUNCTION("""COMPUTED_VALUE"""),"M")</f>
        <v>M</v>
      </c>
    </row>
    <row r="451" customHeight="1" spans="1:40">
      <c r="A451" s="1" t="str">
        <f>IFERROR(__xludf.DUMMYFUNCTION("""COMPUTED_VALUE"""),"06° BBM")</f>
        <v>06° BBM</v>
      </c>
      <c r="B451" s="1" t="str">
        <f>IFERROR(__xludf.DUMMYFUNCTION("""COMPUTED_VALUE"""),"Vera Cruz")</f>
        <v>Vera Cruz</v>
      </c>
      <c r="C451" s="119" t="str">
        <f>IFERROR(__xludf.DUMMYFUNCTION("""COMPUTED_VALUE"""),"Comunitario")</f>
        <v>Comunitario</v>
      </c>
      <c r="D451" s="1" t="str">
        <f>IFERROR(__xludf.DUMMYFUNCTION("""COMPUTED_VALUE"""),"LUÍS FERNANDO SILVEIRA DOS SANTOS")</f>
        <v>LUÍS FERNANDO SILVEIRA DOS SANTOS</v>
      </c>
      <c r="E451" s="119" t="str">
        <f>IFERROR(__xludf.DUMMYFUNCTION("""COMPUTED_VALUE"""),"Curso CAB operador concluído")</f>
        <v>Curso CAB operador concluído</v>
      </c>
      <c r="F451" s="1" t="str">
        <f>IFERROR(__xludf.DUMMYFUNCTION("""COMPUTED_VALUE"""),"764.779.670-49")</f>
        <v>764.779.670-49</v>
      </c>
      <c r="G451" s="1">
        <f>IFERROR(__xludf.DUMMYFUNCTION("""COMPUTED_VALUE"""),1046994214)</f>
        <v>1046994214</v>
      </c>
      <c r="H451" s="1" t="str">
        <f>IFERROR(__xludf.DUMMYFUNCTION("""COMPUTED_VALUE"""),"Combatente/Socorrista")</f>
        <v>Combatente/Socorrista</v>
      </c>
      <c r="I451" s="1" t="str">
        <f>IFERROR(__xludf.DUMMYFUNCTION("""COMPUTED_VALUE"""),"APH e BLS/ Condutor Veículo de Emergencia")</f>
        <v>APH e BLS/ Condutor Veículo de Emergencia</v>
      </c>
      <c r="J451" s="1" t="str">
        <f>IFERROR(__xludf.DUMMYFUNCTION("""COMPUTED_VALUE"""),"Não")</f>
        <v>Não</v>
      </c>
      <c r="K451" s="1" t="str">
        <f>IFERROR(__xludf.DUMMYFUNCTION("""COMPUTED_VALUE"""),"Sim")</f>
        <v>Sim</v>
      </c>
      <c r="L451" s="1" t="str">
        <f>IFERROR(__xludf.DUMMYFUNCTION("""COMPUTED_VALUE"""),"O+")</f>
        <v>O+</v>
      </c>
      <c r="M451" s="1" t="str">
        <f>IFERROR(__xludf.DUMMYFUNCTION("""COMPUTED_VALUE"""),"Fernando")</f>
        <v>Fernando</v>
      </c>
      <c r="N451" s="120">
        <f>IFERROR(__xludf.DUMMYFUNCTION("""COMPUTED_VALUE"""),26942)</f>
        <v>26942</v>
      </c>
      <c r="O451" s="1" t="str">
        <f>IFERROR(__xludf.DUMMYFUNCTION("""COMPUTED_VALUE"""),"Masculino")</f>
        <v>Masculino</v>
      </c>
      <c r="P451" s="1" t="str">
        <f>IFERROR(__xludf.DUMMYFUNCTION("""COMPUTED_VALUE"""),"Morena")</f>
        <v>Morena</v>
      </c>
      <c r="Q451" s="1" t="str">
        <f>IFERROR(__xludf.DUMMYFUNCTION("""COMPUTED_VALUE"""),"Ensino Superior Completo")</f>
        <v>Ensino Superior Completo</v>
      </c>
      <c r="R451" s="1" t="str">
        <f>IFERROR(__xludf.DUMMYFUNCTION("""COMPUTED_VALUE"""),"nandinhogaucho@gmail.com")</f>
        <v>nandinhogaucho@gmail.com</v>
      </c>
      <c r="S451" s="1">
        <f>IFERROR(__xludf.DUMMYFUNCTION("""COMPUTED_VALUE"""),71)</f>
        <v>71</v>
      </c>
      <c r="T451" s="1" t="str">
        <f>IFERROR(__xludf.DUMMYFUNCTION("""COMPUTED_VALUE"""),"Entre 1,66m e 1,70m")</f>
        <v>Entre 1,66m e 1,70m</v>
      </c>
      <c r="U451" s="1" t="str">
        <f>IFERROR(__xludf.DUMMYFUNCTION("""COMPUTED_VALUE"""),"Não POSSUI")</f>
        <v>Não POSSUI</v>
      </c>
      <c r="V451" s="1" t="str">
        <f>IFERROR(__xludf.DUMMYFUNCTION("""COMPUTED_VALUE"""),"(51)99633-4997")</f>
        <v>(51)99633-4997</v>
      </c>
      <c r="W451" s="1" t="str">
        <f>IFERROR(__xludf.DUMMYFUNCTION("""COMPUTED_VALUE"""),"(51)99902-9110")</f>
        <v>(51)99902-9110</v>
      </c>
      <c r="X451" s="1" t="str">
        <f>IFERROR(__xludf.DUMMYFUNCTION("""COMPUTED_VALUE"""),"RS")</f>
        <v>RS</v>
      </c>
      <c r="Y451" s="1" t="str">
        <f>IFERROR(__xludf.DUMMYFUNCTION("""COMPUTED_VALUE"""),"Santa Cruz do Sul")</f>
        <v>Santa Cruz do Sul</v>
      </c>
      <c r="Z451" s="1" t="str">
        <f>IFERROR(__xludf.DUMMYFUNCTION("""COMPUTED_VALUE"""),"96835-540")</f>
        <v>96835-540</v>
      </c>
      <c r="AA451" s="1" t="str">
        <f>IFERROR(__xludf.DUMMYFUNCTION("""COMPUTED_VALUE"""),"Rua Viamão Nº 131")</f>
        <v>Rua Viamão Nº 131</v>
      </c>
      <c r="AB451" s="1" t="str">
        <f>IFERROR(__xludf.DUMMYFUNCTION("""COMPUTED_VALUE"""),"Esmeralda")</f>
        <v>Esmeralda</v>
      </c>
      <c r="AC451" s="1" t="str">
        <f>IFERROR(__xludf.DUMMYFUNCTION("""COMPUTED_VALUE"""),"M")</f>
        <v>M</v>
      </c>
      <c r="AD451" s="1" t="str">
        <f>IFERROR(__xludf.DUMMYFUNCTION("""COMPUTED_VALUE"""),"M")</f>
        <v>M</v>
      </c>
      <c r="AE451" s="1" t="str">
        <f>IFERROR(__xludf.DUMMYFUNCTION("""COMPUTED_VALUE"""),"M")</f>
        <v>M</v>
      </c>
      <c r="AF451" s="1" t="str">
        <f>IFERROR(__xludf.DUMMYFUNCTION("""COMPUTED_VALUE"""),"M")</f>
        <v>M</v>
      </c>
      <c r="AG451" s="1" t="str">
        <f>IFERROR(__xludf.DUMMYFUNCTION("""COMPUTED_VALUE"""),"M")</f>
        <v>M</v>
      </c>
      <c r="AH451" s="1">
        <f>IFERROR(__xludf.DUMMYFUNCTION("""COMPUTED_VALUE"""),39)</f>
        <v>39</v>
      </c>
      <c r="AI451" s="1">
        <f>IFERROR(__xludf.DUMMYFUNCTION("""COMPUTED_VALUE"""),39)</f>
        <v>39</v>
      </c>
      <c r="AJ451" s="1">
        <f>IFERROR(__xludf.DUMMYFUNCTION("""COMPUTED_VALUE"""),39)</f>
        <v>39</v>
      </c>
      <c r="AK451" s="1">
        <f>IFERROR(__xludf.DUMMYFUNCTION("""COMPUTED_VALUE"""),39)</f>
        <v>39</v>
      </c>
      <c r="AL451" s="1" t="str">
        <f>IFERROR(__xludf.DUMMYFUNCTION("""COMPUTED_VALUE"""),"M")</f>
        <v>M</v>
      </c>
      <c r="AM451" s="1" t="str">
        <f>IFERROR(__xludf.DUMMYFUNCTION("""COMPUTED_VALUE"""),"M")</f>
        <v>M</v>
      </c>
      <c r="AN451" s="1" t="str">
        <f>IFERROR(__xludf.DUMMYFUNCTION("""COMPUTED_VALUE"""),"M")</f>
        <v>M</v>
      </c>
    </row>
    <row r="452" customHeight="1" spans="1:40">
      <c r="A452" s="1" t="str">
        <f>IFERROR(__xludf.DUMMYFUNCTION("""COMPUTED_VALUE"""),"06° BBM")</f>
        <v>06° BBM</v>
      </c>
      <c r="B452" s="1" t="str">
        <f>IFERROR(__xludf.DUMMYFUNCTION("""COMPUTED_VALUE"""),"Vera Cruz")</f>
        <v>Vera Cruz</v>
      </c>
      <c r="C452" s="119" t="str">
        <f>IFERROR(__xludf.DUMMYFUNCTION("""COMPUTED_VALUE"""),"Comunitario")</f>
        <v>Comunitario</v>
      </c>
      <c r="D452" s="1" t="str">
        <f>IFERROR(__xludf.DUMMYFUNCTION("""COMPUTED_VALUE"""),"LUIZ ALBERTO DA SILVA FREITAS")</f>
        <v>LUIZ ALBERTO DA SILVA FREITAS</v>
      </c>
      <c r="E452" s="119" t="str">
        <f>IFERROR(__xludf.DUMMYFUNCTION("""COMPUTED_VALUE"""),"Curso CAB operador concluído")</f>
        <v>Curso CAB operador concluído</v>
      </c>
      <c r="F452" s="1" t="str">
        <f>IFERROR(__xludf.DUMMYFUNCTION("""COMPUTED_VALUE"""),"012.054.420-22")</f>
        <v>012.054.420-22</v>
      </c>
      <c r="G452" s="1">
        <f>IFERROR(__xludf.DUMMYFUNCTION("""COMPUTED_VALUE"""),4098837117)</f>
        <v>4098837117</v>
      </c>
      <c r="H452" s="1" t="str">
        <f>IFERROR(__xludf.DUMMYFUNCTION("""COMPUTED_VALUE"""),"Combatente/Socorrista")</f>
        <v>Combatente/Socorrista</v>
      </c>
      <c r="I452" s="1" t="str">
        <f>IFERROR(__xludf.DUMMYFUNCTION("""COMPUTED_VALUE"""),"Tecnologo Sup. Gestão Pública/Tec. de Enfermagem / APH e BLS/")</f>
        <v>Tecnologo Sup. Gestão Pública/Tec. de Enfermagem / APH e BLS/</v>
      </c>
      <c r="J452" s="1" t="str">
        <f>IFERROR(__xludf.DUMMYFUNCTION("""COMPUTED_VALUE"""),"Não")</f>
        <v>Não</v>
      </c>
      <c r="K452" s="1" t="str">
        <f>IFERROR(__xludf.DUMMYFUNCTION("""COMPUTED_VALUE"""),"Sim")</f>
        <v>Sim</v>
      </c>
      <c r="L452" s="1" t="str">
        <f>IFERROR(__xludf.DUMMYFUNCTION("""COMPUTED_VALUE"""),"A+")</f>
        <v>A+</v>
      </c>
      <c r="M452" s="1" t="str">
        <f>IFERROR(__xludf.DUMMYFUNCTION("""COMPUTED_VALUE"""),"Luiz Freitas")</f>
        <v>Luiz Freitas</v>
      </c>
      <c r="N452" s="120">
        <f>IFERROR(__xludf.DUMMYFUNCTION("""COMPUTED_VALUE"""),33568)</f>
        <v>33568</v>
      </c>
      <c r="O452" s="1" t="str">
        <f>IFERROR(__xludf.DUMMYFUNCTION("""COMPUTED_VALUE"""),"Masculino")</f>
        <v>Masculino</v>
      </c>
      <c r="P452" s="1" t="str">
        <f>IFERROR(__xludf.DUMMYFUNCTION("""COMPUTED_VALUE"""),"Branca")</f>
        <v>Branca</v>
      </c>
      <c r="Q452" s="1" t="str">
        <f>IFERROR(__xludf.DUMMYFUNCTION("""COMPUTED_VALUE"""),"Ensino Superior Completo")</f>
        <v>Ensino Superior Completo</v>
      </c>
      <c r="R452" s="1" t="str">
        <f>IFERROR(__xludf.DUMMYFUNCTION("""COMPUTED_VALUE"""),"l-alberto35@hotmail.com")</f>
        <v>l-alberto35@hotmail.com</v>
      </c>
      <c r="S452" s="1">
        <f>IFERROR(__xludf.DUMMYFUNCTION("""COMPUTED_VALUE"""),79)</f>
        <v>79</v>
      </c>
      <c r="T452" s="1" t="str">
        <f>IFERROR(__xludf.DUMMYFUNCTION("""COMPUTED_VALUE"""),"Entre 1,76m e 1,80m")</f>
        <v>Entre 1,76m e 1,80m</v>
      </c>
      <c r="U452" s="1" t="str">
        <f>IFERROR(__xludf.DUMMYFUNCTION("""COMPUTED_VALUE"""),"Não POSSUI")</f>
        <v>Não POSSUI</v>
      </c>
      <c r="V452" s="1" t="str">
        <f>IFERROR(__xludf.DUMMYFUNCTION("""COMPUTED_VALUE"""),"(51) 99934-1893")</f>
        <v>(51) 99934-1893</v>
      </c>
      <c r="W452" s="1" t="str">
        <f>IFERROR(__xludf.DUMMYFUNCTION("""COMPUTED_VALUE"""),"(51) 3718-1528")</f>
        <v>(51) 3718-1528</v>
      </c>
      <c r="X452" s="1" t="str">
        <f>IFERROR(__xludf.DUMMYFUNCTION("""COMPUTED_VALUE"""),"RS")</f>
        <v>RS</v>
      </c>
      <c r="Y452" s="1" t="str">
        <f>IFERROR(__xludf.DUMMYFUNCTION("""COMPUTED_VALUE"""),"Vera Cruz")</f>
        <v>Vera Cruz</v>
      </c>
      <c r="Z452" s="1" t="str">
        <f>IFERROR(__xludf.DUMMYFUNCTION("""COMPUTED_VALUE"""),"96880-000")</f>
        <v>96880-000</v>
      </c>
      <c r="AA452" s="1" t="str">
        <f>IFERROR(__xludf.DUMMYFUNCTION("""COMPUTED_VALUE"""),"Rua Martim Francisco")</f>
        <v>Rua Martim Francisco</v>
      </c>
      <c r="AB452" s="1" t="str">
        <f>IFERROR(__xludf.DUMMYFUNCTION("""COMPUTED_VALUE"""),"Centro")</f>
        <v>Centro</v>
      </c>
      <c r="AC452" s="1" t="str">
        <f>IFERROR(__xludf.DUMMYFUNCTION("""COMPUTED_VALUE"""),"G")</f>
        <v>G</v>
      </c>
      <c r="AD452" s="1" t="str">
        <f>IFERROR(__xludf.DUMMYFUNCTION("""COMPUTED_VALUE"""),"G")</f>
        <v>G</v>
      </c>
      <c r="AE452" s="1" t="str">
        <f>IFERROR(__xludf.DUMMYFUNCTION("""COMPUTED_VALUE"""),"G")</f>
        <v>G</v>
      </c>
      <c r="AF452" s="1" t="str">
        <f>IFERROR(__xludf.DUMMYFUNCTION("""COMPUTED_VALUE"""),"G")</f>
        <v>G</v>
      </c>
      <c r="AG452" s="1" t="str">
        <f>IFERROR(__xludf.DUMMYFUNCTION("""COMPUTED_VALUE"""),"G")</f>
        <v>G</v>
      </c>
      <c r="AH452" s="1">
        <f>IFERROR(__xludf.DUMMYFUNCTION("""COMPUTED_VALUE"""),41)</f>
        <v>41</v>
      </c>
      <c r="AI452" s="1">
        <f>IFERROR(__xludf.DUMMYFUNCTION("""COMPUTED_VALUE"""),41)</f>
        <v>41</v>
      </c>
      <c r="AJ452" s="1">
        <f>IFERROR(__xludf.DUMMYFUNCTION("""COMPUTED_VALUE"""),41)</f>
        <v>41</v>
      </c>
      <c r="AK452" s="1">
        <f>IFERROR(__xludf.DUMMYFUNCTION("""COMPUTED_VALUE"""),41)</f>
        <v>41</v>
      </c>
      <c r="AL452" s="1" t="str">
        <f>IFERROR(__xludf.DUMMYFUNCTION("""COMPUTED_VALUE"""),"G")</f>
        <v>G</v>
      </c>
      <c r="AM452" s="1" t="str">
        <f>IFERROR(__xludf.DUMMYFUNCTION("""COMPUTED_VALUE"""),"G")</f>
        <v>G</v>
      </c>
      <c r="AN452" s="1" t="str">
        <f>IFERROR(__xludf.DUMMYFUNCTION("""COMPUTED_VALUE"""),"G")</f>
        <v>G</v>
      </c>
    </row>
    <row r="453" customHeight="1" spans="1:40">
      <c r="A453" s="1" t="str">
        <f>IFERROR(__xludf.DUMMYFUNCTION("""COMPUTED_VALUE"""),"06° BBM")</f>
        <v>06° BBM</v>
      </c>
      <c r="B453" s="1" t="str">
        <f>IFERROR(__xludf.DUMMYFUNCTION("""COMPUTED_VALUE"""),"Camaquã")</f>
        <v>Camaquã</v>
      </c>
      <c r="C453" s="119" t="str">
        <f>IFERROR(__xludf.DUMMYFUNCTION("""COMPUTED_VALUE"""),"Comunitario")</f>
        <v>Comunitario</v>
      </c>
      <c r="D453" s="1" t="str">
        <f>IFERROR(__xludf.DUMMYFUNCTION("""COMPUTED_VALUE"""),"MARCELO DE SOUZA NERES")</f>
        <v>MARCELO DE SOUZA NERES</v>
      </c>
      <c r="E453" s="119" t="str">
        <f>IFERROR(__xludf.DUMMYFUNCTION("""COMPUTED_VALUE"""),"Curso CAB operador concluído")</f>
        <v>Curso CAB operador concluído</v>
      </c>
      <c r="F453" s="1" t="str">
        <f>IFERROR(__xludf.DUMMYFUNCTION("""COMPUTED_VALUE"""),"519126860-15")</f>
        <v>519126860-15</v>
      </c>
      <c r="G453" s="1">
        <f>IFERROR(__xludf.DUMMYFUNCTION("""COMPUTED_VALUE"""),6040465368)</f>
        <v>6040465368</v>
      </c>
      <c r="H453" s="1" t="str">
        <f>IFERROR(__xludf.DUMMYFUNCTION("""COMPUTED_VALUE"""),"Combatente/ COV")</f>
        <v>Combatente/ COV</v>
      </c>
      <c r="I453" s="1"/>
      <c r="J453" s="1" t="str">
        <f>IFERROR(__xludf.DUMMYFUNCTION("""COMPUTED_VALUE"""),"Sim")</f>
        <v>Sim</v>
      </c>
      <c r="K453" s="1" t="str">
        <f>IFERROR(__xludf.DUMMYFUNCTION("""COMPUTED_VALUE"""),"Sim")</f>
        <v>Sim</v>
      </c>
      <c r="L453" s="1" t="str">
        <f>IFERROR(__xludf.DUMMYFUNCTION("""COMPUTED_VALUE"""),"O-")</f>
        <v>O-</v>
      </c>
      <c r="M453" s="1" t="str">
        <f>IFERROR(__xludf.DUMMYFUNCTION("""COMPUTED_VALUE"""),"MARCELO")</f>
        <v>MARCELO</v>
      </c>
      <c r="N453" s="121">
        <f>IFERROR(__xludf.DUMMYFUNCTION("""COMPUTED_VALUE"""),25887)</f>
        <v>25887</v>
      </c>
      <c r="O453" s="1" t="str">
        <f>IFERROR(__xludf.DUMMYFUNCTION("""COMPUTED_VALUE"""),"Masculino")</f>
        <v>Masculino</v>
      </c>
      <c r="P453" s="1" t="str">
        <f>IFERROR(__xludf.DUMMYFUNCTION("""COMPUTED_VALUE"""),"Parda")</f>
        <v>Parda</v>
      </c>
      <c r="Q453" s="1" t="str">
        <f>IFERROR(__xludf.DUMMYFUNCTION("""COMPUTED_VALUE"""),"Ensino Médio")</f>
        <v>Ensino Médio</v>
      </c>
      <c r="R453" s="1" t="str">
        <f>IFERROR(__xludf.DUMMYFUNCTION("""COMPUTED_VALUE"""),"marcelodesouzaneres15@gmail.com")</f>
        <v>marcelodesouzaneres15@gmail.com</v>
      </c>
      <c r="S453" s="1">
        <f>IFERROR(__xludf.DUMMYFUNCTION("""COMPUTED_VALUE"""),98)</f>
        <v>98</v>
      </c>
      <c r="T453" s="1" t="str">
        <f>IFERROR(__xludf.DUMMYFUNCTION("""COMPUTED_VALUE"""),"Entre 1,76m e 1,80m")</f>
        <v>Entre 1,76m e 1,80m</v>
      </c>
      <c r="U453" s="1" t="str">
        <f>IFERROR(__xludf.DUMMYFUNCTION("""COMPUTED_VALUE"""),"Não POSSUI")</f>
        <v>Não POSSUI</v>
      </c>
      <c r="V453" s="1" t="str">
        <f>IFERROR(__xludf.DUMMYFUNCTION("""COMPUTED_VALUE"""),"(51)99639-3574")</f>
        <v>(51)99639-3574</v>
      </c>
      <c r="W453" s="1" t="str">
        <f>IFERROR(__xludf.DUMMYFUNCTION("""COMPUTED_VALUE"""),"(51)99227-1234")</f>
        <v>(51)99227-1234</v>
      </c>
      <c r="X453" s="1" t="str">
        <f>IFERROR(__xludf.DUMMYFUNCTION("""COMPUTED_VALUE"""),"RS")</f>
        <v>RS</v>
      </c>
      <c r="Y453" s="1" t="str">
        <f>IFERROR(__xludf.DUMMYFUNCTION("""COMPUTED_VALUE"""),"Camaquã")</f>
        <v>Camaquã</v>
      </c>
      <c r="Z453" s="1">
        <f>IFERROR(__xludf.DUMMYFUNCTION("""COMPUTED_VALUE"""),96180000)</f>
        <v>96180000</v>
      </c>
      <c r="AA453" s="1" t="str">
        <f>IFERROR(__xludf.DUMMYFUNCTION("""COMPUTED_VALUE"""),"SÃO JOÃO BATISTA 799")</f>
        <v>SÃO JOÃO BATISTA 799</v>
      </c>
      <c r="AB453" s="1" t="str">
        <f>IFERROR(__xludf.DUMMYFUNCTION("""COMPUTED_VALUE"""),"HÍPICO")</f>
        <v>HÍPICO</v>
      </c>
      <c r="AC453" s="1" t="str">
        <f>IFERROR(__xludf.DUMMYFUNCTION("""COMPUTED_VALUE"""),"GG")</f>
        <v>GG</v>
      </c>
      <c r="AD453" s="1" t="str">
        <f>IFERROR(__xludf.DUMMYFUNCTION("""COMPUTED_VALUE"""),"GG")</f>
        <v>GG</v>
      </c>
      <c r="AE453" s="1" t="str">
        <f>IFERROR(__xludf.DUMMYFUNCTION("""COMPUTED_VALUE"""),"GG")</f>
        <v>GG</v>
      </c>
      <c r="AF453" s="1" t="str">
        <f>IFERROR(__xludf.DUMMYFUNCTION("""COMPUTED_VALUE"""),"GG")</f>
        <v>GG</v>
      </c>
      <c r="AG453" s="1" t="str">
        <f>IFERROR(__xludf.DUMMYFUNCTION("""COMPUTED_VALUE"""),"GG")</f>
        <v>GG</v>
      </c>
      <c r="AH453" s="1">
        <f>IFERROR(__xludf.DUMMYFUNCTION("""COMPUTED_VALUE"""),43)</f>
        <v>43</v>
      </c>
      <c r="AI453" s="1">
        <f>IFERROR(__xludf.DUMMYFUNCTION("""COMPUTED_VALUE"""),42)</f>
        <v>42</v>
      </c>
      <c r="AJ453" s="1">
        <f>IFERROR(__xludf.DUMMYFUNCTION("""COMPUTED_VALUE"""),42)</f>
        <v>42</v>
      </c>
      <c r="AK453" s="1">
        <f>IFERROR(__xludf.DUMMYFUNCTION("""COMPUTED_VALUE"""),42)</f>
        <v>42</v>
      </c>
      <c r="AL453" s="1" t="str">
        <f>IFERROR(__xludf.DUMMYFUNCTION("""COMPUTED_VALUE"""),"GG")</f>
        <v>GG</v>
      </c>
      <c r="AM453" s="1" t="str">
        <f>IFERROR(__xludf.DUMMYFUNCTION("""COMPUTED_VALUE"""),"GG")</f>
        <v>GG</v>
      </c>
      <c r="AN453" s="1" t="str">
        <f>IFERROR(__xludf.DUMMYFUNCTION("""COMPUTED_VALUE"""),"G")</f>
        <v>G</v>
      </c>
    </row>
    <row r="454" customHeight="1" spans="1:40">
      <c r="A454" s="1" t="str">
        <f>IFERROR(__xludf.DUMMYFUNCTION("""COMPUTED_VALUE"""),"06° BBM")</f>
        <v>06° BBM</v>
      </c>
      <c r="B454" s="1" t="str">
        <f>IFERROR(__xludf.DUMMYFUNCTION("""COMPUTED_VALUE"""),"Encantado")</f>
        <v>Encantado</v>
      </c>
      <c r="C454" s="119" t="str">
        <f>IFERROR(__xludf.DUMMYFUNCTION("""COMPUTED_VALUE"""),"Comunitario")</f>
        <v>Comunitario</v>
      </c>
      <c r="D454" s="1" t="str">
        <f>IFERROR(__xludf.DUMMYFUNCTION("""COMPUTED_VALUE"""),"MARCELO DISEGNA")</f>
        <v>MARCELO DISEGNA</v>
      </c>
      <c r="E454" s="119" t="str">
        <f>IFERROR(__xludf.DUMMYFUNCTION("""COMPUTED_VALUE"""),"Módulo 1 concluído")</f>
        <v>Módulo 1 concluído</v>
      </c>
      <c r="F454" s="1" t="str">
        <f>IFERROR(__xludf.DUMMYFUNCTION("""COMPUTED_VALUE"""),"017.683.420-67")</f>
        <v>017.683.420-67</v>
      </c>
      <c r="G454" s="1">
        <f>IFERROR(__xludf.DUMMYFUNCTION("""COMPUTED_VALUE"""),7100427462)</f>
        <v>7100427462</v>
      </c>
      <c r="H454" s="1" t="str">
        <f>IFERROR(__xludf.DUMMYFUNCTION("""COMPUTED_VALUE"""),"DESLIGADO")</f>
        <v>DESLIGADO</v>
      </c>
      <c r="I454" s="1" t="str">
        <f>IFERROR(__xludf.DUMMYFUNCTION("""COMPUTED_VALUE"""),"OPERACIONAL, RESGATE VEÍCULAR, APH,NR35")</f>
        <v>OPERACIONAL, RESGATE VEÍCULAR, APH,NR35</v>
      </c>
      <c r="J454" s="1" t="str">
        <f>IFERROR(__xludf.DUMMYFUNCTION("""COMPUTED_VALUE"""),"Sim")</f>
        <v>Sim</v>
      </c>
      <c r="K454" s="1" t="str">
        <f>IFERROR(__xludf.DUMMYFUNCTION("""COMPUTED_VALUE"""),"Sim")</f>
        <v>Sim</v>
      </c>
      <c r="L454" s="1" t="str">
        <f>IFERROR(__xludf.DUMMYFUNCTION("""COMPUTED_VALUE"""),"A+")</f>
        <v>A+</v>
      </c>
      <c r="M454" s="1" t="str">
        <f>IFERROR(__xludf.DUMMYFUNCTION("""COMPUTED_VALUE"""),"MARCELO")</f>
        <v>MARCELO</v>
      </c>
      <c r="N454" s="120">
        <f>IFERROR(__xludf.DUMMYFUNCTION("""COMPUTED_VALUE"""),33466)</f>
        <v>33466</v>
      </c>
      <c r="O454" s="1" t="str">
        <f>IFERROR(__xludf.DUMMYFUNCTION("""COMPUTED_VALUE"""),"Masculino")</f>
        <v>Masculino</v>
      </c>
      <c r="P454" s="1" t="str">
        <f>IFERROR(__xludf.DUMMYFUNCTION("""COMPUTED_VALUE"""),"Branca")</f>
        <v>Branca</v>
      </c>
      <c r="Q454" s="1" t="str">
        <f>IFERROR(__xludf.DUMMYFUNCTION("""COMPUTED_VALUE"""),"Ensino Médio")</f>
        <v>Ensino Médio</v>
      </c>
      <c r="R454" s="1" t="str">
        <f>IFERROR(__xludf.DUMMYFUNCTION("""COMPUTED_VALUE"""),"marcelodisegna001@gmail.com")</f>
        <v>marcelodisegna001@gmail.com</v>
      </c>
      <c r="S454" s="1" t="str">
        <f>IFERROR(__xludf.DUMMYFUNCTION("""COMPUTED_VALUE"""),"89 kg")</f>
        <v>89 kg</v>
      </c>
      <c r="T454" s="1" t="str">
        <f>IFERROR(__xludf.DUMMYFUNCTION("""COMPUTED_VALUE"""),"Entre 1,81m e 1,85m")</f>
        <v>Entre 1,81m e 1,85m</v>
      </c>
      <c r="U454" s="1" t="str">
        <f>IFERROR(__xludf.DUMMYFUNCTION("""COMPUTED_VALUE"""),"Não POSSUI")</f>
        <v>Não POSSUI</v>
      </c>
      <c r="V454" s="1" t="str">
        <f>IFERROR(__xludf.DUMMYFUNCTION("""COMPUTED_VALUE"""),"(51) 99317-1809")</f>
        <v>(51) 99317-1809</v>
      </c>
      <c r="W454" s="1" t="str">
        <f>IFERROR(__xludf.DUMMYFUNCTION("""COMPUTED_VALUE"""),"(51) 98057-3159")</f>
        <v>(51) 98057-3159</v>
      </c>
      <c r="X454" s="1" t="str">
        <f>IFERROR(__xludf.DUMMYFUNCTION("""COMPUTED_VALUE"""),"RIO GRANDE DO SUL")</f>
        <v>RIO GRANDE DO SUL</v>
      </c>
      <c r="Y454" s="1" t="str">
        <f>IFERROR(__xludf.DUMMYFUNCTION("""COMPUTED_VALUE"""),"Encantado")</f>
        <v>Encantado</v>
      </c>
      <c r="Z454" s="1" t="str">
        <f>IFERROR(__xludf.DUMMYFUNCTION("""COMPUTED_VALUE"""),"95960-000")</f>
        <v>95960-000</v>
      </c>
      <c r="AA454" s="1" t="str">
        <f>IFERROR(__xludf.DUMMYFUNCTION("""COMPUTED_VALUE"""),"RS 332 KM 06 Nº 261")</f>
        <v>RS 332 KM 06 Nº 261</v>
      </c>
      <c r="AB454" s="1" t="str">
        <f>IFERROR(__xludf.DUMMYFUNCTION("""COMPUTED_VALUE"""),"LINHA JACARÉ")</f>
        <v>LINHA JACARÉ</v>
      </c>
      <c r="AC454" s="1" t="str">
        <f>IFERROR(__xludf.DUMMYFUNCTION("""COMPUTED_VALUE"""),"G")</f>
        <v>G</v>
      </c>
      <c r="AD454" s="1" t="str">
        <f>IFERROR(__xludf.DUMMYFUNCTION("""COMPUTED_VALUE"""),"G")</f>
        <v>G</v>
      </c>
      <c r="AE454" s="1" t="str">
        <f>IFERROR(__xludf.DUMMYFUNCTION("""COMPUTED_VALUE"""),"G")</f>
        <v>G</v>
      </c>
      <c r="AF454" s="1" t="str">
        <f>IFERROR(__xludf.DUMMYFUNCTION("""COMPUTED_VALUE"""),"G")</f>
        <v>G</v>
      </c>
      <c r="AG454" s="1" t="str">
        <f>IFERROR(__xludf.DUMMYFUNCTION("""COMPUTED_VALUE"""),"G")</f>
        <v>G</v>
      </c>
      <c r="AH454" s="1">
        <f>IFERROR(__xludf.DUMMYFUNCTION("""COMPUTED_VALUE"""),42)</f>
        <v>42</v>
      </c>
      <c r="AI454" s="1">
        <f>IFERROR(__xludf.DUMMYFUNCTION("""COMPUTED_VALUE"""),42)</f>
        <v>42</v>
      </c>
      <c r="AJ454" s="1">
        <f>IFERROR(__xludf.DUMMYFUNCTION("""COMPUTED_VALUE"""),42)</f>
        <v>42</v>
      </c>
      <c r="AK454" s="1">
        <f>IFERROR(__xludf.DUMMYFUNCTION("""COMPUTED_VALUE"""),44)</f>
        <v>44</v>
      </c>
      <c r="AL454" s="1" t="str">
        <f>IFERROR(__xludf.DUMMYFUNCTION("""COMPUTED_VALUE"""),"G")</f>
        <v>G</v>
      </c>
      <c r="AM454" s="1" t="str">
        <f>IFERROR(__xludf.DUMMYFUNCTION("""COMPUTED_VALUE"""),"G")</f>
        <v>G</v>
      </c>
      <c r="AN454" s="1" t="str">
        <f>IFERROR(__xludf.DUMMYFUNCTION("""COMPUTED_VALUE"""),"G")</f>
        <v>G</v>
      </c>
    </row>
    <row r="455" customHeight="1" spans="1:40">
      <c r="A455" s="1" t="str">
        <f>IFERROR(__xludf.DUMMYFUNCTION("""COMPUTED_VALUE"""),"06° BBM")</f>
        <v>06° BBM</v>
      </c>
      <c r="B455" s="1" t="str">
        <f>IFERROR(__xludf.DUMMYFUNCTION("""COMPUTED_VALUE"""),"Camaquã")</f>
        <v>Camaquã</v>
      </c>
      <c r="C455" s="119" t="str">
        <f>IFERROR(__xludf.DUMMYFUNCTION("""COMPUTED_VALUE"""),"Comunitario")</f>
        <v>Comunitario</v>
      </c>
      <c r="D455" s="1" t="str">
        <f>IFERROR(__xludf.DUMMYFUNCTION("""COMPUTED_VALUE"""),"MARCIO ANDRE RODRIGUES PIRES")</f>
        <v>MARCIO ANDRE RODRIGUES PIRES</v>
      </c>
      <c r="E455" s="119" t="str">
        <f>IFERROR(__xludf.DUMMYFUNCTION("""COMPUTED_VALUE"""),"Curso CAB operador concluído")</f>
        <v>Curso CAB operador concluído</v>
      </c>
      <c r="F455" s="1" t="str">
        <f>IFERROR(__xludf.DUMMYFUNCTION("""COMPUTED_VALUE"""),"671619520-34")</f>
        <v>671619520-34</v>
      </c>
      <c r="G455" s="1">
        <f>IFERROR(__xludf.DUMMYFUNCTION("""COMPUTED_VALUE"""),1054973605)</f>
        <v>1054973605</v>
      </c>
      <c r="H455" s="1" t="str">
        <f>IFERROR(__xludf.DUMMYFUNCTION("""COMPUTED_VALUE"""),"Combatente/ COV")</f>
        <v>Combatente/ COV</v>
      </c>
      <c r="I455" s="1"/>
      <c r="J455" s="1" t="str">
        <f>IFERROR(__xludf.DUMMYFUNCTION("""COMPUTED_VALUE"""),"Sim")</f>
        <v>Sim</v>
      </c>
      <c r="K455" s="1" t="str">
        <f>IFERROR(__xludf.DUMMYFUNCTION("""COMPUTED_VALUE"""),"Sim")</f>
        <v>Sim</v>
      </c>
      <c r="L455" s="1" t="str">
        <f>IFERROR(__xludf.DUMMYFUNCTION("""COMPUTED_VALUE"""),"A+")</f>
        <v>A+</v>
      </c>
      <c r="M455" s="1" t="str">
        <f>IFERROR(__xludf.DUMMYFUNCTION("""COMPUTED_VALUE"""),"MARCIO")</f>
        <v>MARCIO</v>
      </c>
      <c r="N455" s="120">
        <f>IFERROR(__xludf.DUMMYFUNCTION("""COMPUTED_VALUE"""),27639)</f>
        <v>27639</v>
      </c>
      <c r="O455" s="1" t="str">
        <f>IFERROR(__xludf.DUMMYFUNCTION("""COMPUTED_VALUE"""),"Masculino")</f>
        <v>Masculino</v>
      </c>
      <c r="P455" s="1" t="str">
        <f>IFERROR(__xludf.DUMMYFUNCTION("""COMPUTED_VALUE"""),"Branca")</f>
        <v>Branca</v>
      </c>
      <c r="Q455" s="1" t="str">
        <f>IFERROR(__xludf.DUMMYFUNCTION("""COMPUTED_VALUE"""),"Ensino Médio")</f>
        <v>Ensino Médio</v>
      </c>
      <c r="R455" s="1" t="str">
        <f>IFERROR(__xludf.DUMMYFUNCTION("""COMPUTED_VALUE"""),"m051996812295@gmail.com")</f>
        <v>m051996812295@gmail.com</v>
      </c>
      <c r="S455" s="1">
        <f>IFERROR(__xludf.DUMMYFUNCTION("""COMPUTED_VALUE"""),84)</f>
        <v>84</v>
      </c>
      <c r="T455" s="1" t="str">
        <f>IFERROR(__xludf.DUMMYFUNCTION("""COMPUTED_VALUE"""),"Entre 1,66m e 1,70m")</f>
        <v>Entre 1,66m e 1,70m</v>
      </c>
      <c r="U455" s="1" t="str">
        <f>IFERROR(__xludf.DUMMYFUNCTION("""COMPUTED_VALUE"""),"Não POSSUI")</f>
        <v>Não POSSUI</v>
      </c>
      <c r="V455" s="1" t="str">
        <f>IFERROR(__xludf.DUMMYFUNCTION("""COMPUTED_VALUE"""),"(51)99681-2295")</f>
        <v>(51)99681-2295</v>
      </c>
      <c r="W455" s="1" t="str">
        <f>IFERROR(__xludf.DUMMYFUNCTION("""COMPUTED_VALUE"""),"(51)99170-8058")</f>
        <v>(51)99170-8058</v>
      </c>
      <c r="X455" s="1" t="str">
        <f>IFERROR(__xludf.DUMMYFUNCTION("""COMPUTED_VALUE"""),"RS")</f>
        <v>RS</v>
      </c>
      <c r="Y455" s="1" t="str">
        <f>IFERROR(__xludf.DUMMYFUNCTION("""COMPUTED_VALUE"""),"Camaquã")</f>
        <v>Camaquã</v>
      </c>
      <c r="Z455" s="1">
        <f>IFERROR(__xludf.DUMMYFUNCTION("""COMPUTED_VALUE"""),96180000)</f>
        <v>96180000</v>
      </c>
      <c r="AA455" s="1" t="str">
        <f>IFERROR(__xludf.DUMMYFUNCTION("""COMPUTED_VALUE"""),"FLAMBOIANT Nº 150")</f>
        <v>FLAMBOIANT Nº 150</v>
      </c>
      <c r="AB455" s="1" t="str">
        <f>IFERROR(__xludf.DUMMYFUNCTION("""COMPUTED_VALUE"""),"OURO VERDE")</f>
        <v>OURO VERDE</v>
      </c>
      <c r="AC455" s="1" t="str">
        <f>IFERROR(__xludf.DUMMYFUNCTION("""COMPUTED_VALUE"""),"G")</f>
        <v>G</v>
      </c>
      <c r="AD455" s="1" t="str">
        <f>IFERROR(__xludf.DUMMYFUNCTION("""COMPUTED_VALUE"""),"G")</f>
        <v>G</v>
      </c>
      <c r="AE455" s="1" t="str">
        <f>IFERROR(__xludf.DUMMYFUNCTION("""COMPUTED_VALUE"""),"G")</f>
        <v>G</v>
      </c>
      <c r="AF455" s="1" t="str">
        <f>IFERROR(__xludf.DUMMYFUNCTION("""COMPUTED_VALUE"""),"G")</f>
        <v>G</v>
      </c>
      <c r="AG455" s="1" t="str">
        <f>IFERROR(__xludf.DUMMYFUNCTION("""COMPUTED_VALUE"""),"G")</f>
        <v>G</v>
      </c>
      <c r="AH455" s="1">
        <f>IFERROR(__xludf.DUMMYFUNCTION("""COMPUTED_VALUE"""),41)</f>
        <v>41</v>
      </c>
      <c r="AI455" s="1">
        <f>IFERROR(__xludf.DUMMYFUNCTION("""COMPUTED_VALUE"""),41)</f>
        <v>41</v>
      </c>
      <c r="AJ455" s="1">
        <f>IFERROR(__xludf.DUMMYFUNCTION("""COMPUTED_VALUE"""),41)</f>
        <v>41</v>
      </c>
      <c r="AK455" s="1">
        <f>IFERROR(__xludf.DUMMYFUNCTION("""COMPUTED_VALUE"""),41)</f>
        <v>41</v>
      </c>
      <c r="AL455" s="1" t="str">
        <f>IFERROR(__xludf.DUMMYFUNCTION("""COMPUTED_VALUE"""),"G")</f>
        <v>G</v>
      </c>
      <c r="AM455" s="1" t="str">
        <f>IFERROR(__xludf.DUMMYFUNCTION("""COMPUTED_VALUE"""),"M")</f>
        <v>M</v>
      </c>
      <c r="AN455" s="1" t="str">
        <f>IFERROR(__xludf.DUMMYFUNCTION("""COMPUTED_VALUE"""),"G")</f>
        <v>G</v>
      </c>
    </row>
    <row r="456" customHeight="1" spans="1:40">
      <c r="A456" s="1" t="str">
        <f>IFERROR(__xludf.DUMMYFUNCTION("""COMPUTED_VALUE"""),"06° BBM")</f>
        <v>06° BBM</v>
      </c>
      <c r="B456" s="1" t="str">
        <f>IFERROR(__xludf.DUMMYFUNCTION("""COMPUTED_VALUE"""),"Encruzilhada do Sul")</f>
        <v>Encruzilhada do Sul</v>
      </c>
      <c r="C456" s="119" t="str">
        <f>IFERROR(__xludf.DUMMYFUNCTION("""COMPUTED_VALUE"""),"Comunitario")</f>
        <v>Comunitario</v>
      </c>
      <c r="D456" s="1" t="str">
        <f>IFERROR(__xludf.DUMMYFUNCTION("""COMPUTED_VALUE"""),"MÁRCIO AZEREDO GAEDKE")</f>
        <v>MÁRCIO AZEREDO GAEDKE</v>
      </c>
      <c r="E456" s="119" t="str">
        <f>IFERROR(__xludf.DUMMYFUNCTION("""COMPUTED_VALUE"""),"")</f>
        <v/>
      </c>
      <c r="F456" s="1" t="str">
        <f>IFERROR(__xludf.DUMMYFUNCTION("""COMPUTED_VALUE"""),"006.948.4104-8")</f>
        <v>006.948.4104-8</v>
      </c>
      <c r="G456" s="1">
        <f>IFERROR(__xludf.DUMMYFUNCTION("""COMPUTED_VALUE"""),1074838606)</f>
        <v>1074838606</v>
      </c>
      <c r="H456" s="1" t="str">
        <f>IFERROR(__xludf.DUMMYFUNCTION("""COMPUTED_VALUE"""),"CAB")</f>
        <v>CAB</v>
      </c>
      <c r="I456" s="1" t="str">
        <f>IFERROR(__xludf.DUMMYFUNCTION("""COMPUTED_VALUE"""),"Curso de técnica e tática de combate a incêndio para bombeiro misto - nivel I")</f>
        <v>Curso de técnica e tática de combate a incêndio para bombeiro misto - nivel I</v>
      </c>
      <c r="J456" s="1" t="str">
        <f>IFERROR(__xludf.DUMMYFUNCTION("""COMPUTED_VALUE"""),"Sim")</f>
        <v>Sim</v>
      </c>
      <c r="K456" s="1" t="str">
        <f>IFERROR(__xludf.DUMMYFUNCTION("""COMPUTED_VALUE"""),"Sim")</f>
        <v>Sim</v>
      </c>
      <c r="L456" s="1" t="str">
        <f>IFERROR(__xludf.DUMMYFUNCTION("""COMPUTED_VALUE"""),"O+")</f>
        <v>O+</v>
      </c>
      <c r="M456" s="1" t="str">
        <f>IFERROR(__xludf.DUMMYFUNCTION("""COMPUTED_VALUE"""),"Márcio")</f>
        <v>Márcio</v>
      </c>
      <c r="N456" s="120">
        <f>IFERROR(__xludf.DUMMYFUNCTION("""COMPUTED_VALUE"""),30932)</f>
        <v>30932</v>
      </c>
      <c r="O456" s="1" t="str">
        <f>IFERROR(__xludf.DUMMYFUNCTION("""COMPUTED_VALUE"""),"Masculino")</f>
        <v>Masculino</v>
      </c>
      <c r="P456" s="1" t="str">
        <f>IFERROR(__xludf.DUMMYFUNCTION("""COMPUTED_VALUE"""),"Branca")</f>
        <v>Branca</v>
      </c>
      <c r="Q456" s="1" t="str">
        <f>IFERROR(__xludf.DUMMYFUNCTION("""COMPUTED_VALUE"""),"Ensino Médio")</f>
        <v>Ensino Médio</v>
      </c>
      <c r="R456" s="1" t="str">
        <f>IFERROR(__xludf.DUMMYFUNCTION("""COMPUTED_VALUE"""),"marcio.gaedke@yahoo.com")</f>
        <v>marcio.gaedke@yahoo.com</v>
      </c>
      <c r="S456" s="1">
        <f>IFERROR(__xludf.DUMMYFUNCTION("""COMPUTED_VALUE"""),93)</f>
        <v>93</v>
      </c>
      <c r="T456" s="1" t="str">
        <f>IFERROR(__xludf.DUMMYFUNCTION("""COMPUTED_VALUE"""),"Entre 1,76m e 1,80m")</f>
        <v>Entre 1,76m e 1,80m</v>
      </c>
      <c r="U456" s="1" t="str">
        <f>IFERROR(__xludf.DUMMYFUNCTION("""COMPUTED_VALUE"""),"Não POSSUI")</f>
        <v>Não POSSUI</v>
      </c>
      <c r="V456" s="1" t="str">
        <f>IFERROR(__xludf.DUMMYFUNCTION("""COMPUTED_VALUE"""),"(51)99737-4814")</f>
        <v>(51)99737-4814</v>
      </c>
      <c r="W456" s="1" t="str">
        <f>IFERROR(__xludf.DUMMYFUNCTION("""COMPUTED_VALUE"""),"(51)99772-0758")</f>
        <v>(51)99772-0758</v>
      </c>
      <c r="X456" s="1"/>
      <c r="Y456" s="1" t="str">
        <f>IFERROR(__xludf.DUMMYFUNCTION("""COMPUTED_VALUE"""),"Rio Pardo")</f>
        <v>Rio Pardo</v>
      </c>
      <c r="Z456" s="1" t="str">
        <f>IFERROR(__xludf.DUMMYFUNCTION("""COMPUTED_VALUE"""),"96640-000")</f>
        <v>96640-000</v>
      </c>
      <c r="AA456" s="1" t="str">
        <f>IFERROR(__xludf.DUMMYFUNCTION("""COMPUTED_VALUE"""),"Rua Manoel Alfeu de Borba,179")</f>
        <v>Rua Manoel Alfeu de Borba,179</v>
      </c>
      <c r="AB456" s="1" t="str">
        <f>IFERROR(__xludf.DUMMYFUNCTION("""COMPUTED_VALUE"""),"Fahrion")</f>
        <v>Fahrion</v>
      </c>
      <c r="AC456" s="1" t="str">
        <f>IFERROR(__xludf.DUMMYFUNCTION("""COMPUTED_VALUE"""),"G")</f>
        <v>G</v>
      </c>
      <c r="AD456" s="1" t="str">
        <f>IFERROR(__xludf.DUMMYFUNCTION("""COMPUTED_VALUE"""),"G")</f>
        <v>G</v>
      </c>
      <c r="AE456" s="1" t="str">
        <f>IFERROR(__xludf.DUMMYFUNCTION("""COMPUTED_VALUE"""),"G")</f>
        <v>G</v>
      </c>
      <c r="AF456" s="1" t="str">
        <f>IFERROR(__xludf.DUMMYFUNCTION("""COMPUTED_VALUE"""),"G")</f>
        <v>G</v>
      </c>
      <c r="AG456" s="1" t="str">
        <f>IFERROR(__xludf.DUMMYFUNCTION("""COMPUTED_VALUE"""),"G")</f>
        <v>G</v>
      </c>
      <c r="AH456" s="1">
        <f>IFERROR(__xludf.DUMMYFUNCTION("""COMPUTED_VALUE"""),41)</f>
        <v>41</v>
      </c>
      <c r="AI456" s="1">
        <f>IFERROR(__xludf.DUMMYFUNCTION("""COMPUTED_VALUE"""),41)</f>
        <v>41</v>
      </c>
      <c r="AJ456" s="1">
        <f>IFERROR(__xludf.DUMMYFUNCTION("""COMPUTED_VALUE"""),41)</f>
        <v>41</v>
      </c>
      <c r="AK456" s="1">
        <f>IFERROR(__xludf.DUMMYFUNCTION("""COMPUTED_VALUE"""),41)</f>
        <v>41</v>
      </c>
      <c r="AL456" s="1" t="str">
        <f>IFERROR(__xludf.DUMMYFUNCTION("""COMPUTED_VALUE"""),"G")</f>
        <v>G</v>
      </c>
      <c r="AM456" s="1" t="str">
        <f>IFERROR(__xludf.DUMMYFUNCTION("""COMPUTED_VALUE"""),"G")</f>
        <v>G</v>
      </c>
      <c r="AN456" s="1" t="str">
        <f>IFERROR(__xludf.DUMMYFUNCTION("""COMPUTED_VALUE"""),"G")</f>
        <v>G</v>
      </c>
    </row>
    <row r="457" customHeight="1" spans="1:40">
      <c r="A457" s="1"/>
      <c r="B457" s="1"/>
      <c r="C457" s="119"/>
      <c r="D457" s="1" t="str">
        <f>IFERROR(__xludf.DUMMYFUNCTION("""COMPUTED_VALUE"""),"MÁRCIO AZEREDO GAEDKE")</f>
        <v>MÁRCIO AZEREDO GAEDKE</v>
      </c>
      <c r="E457" s="119" t="str">
        <f>IFERROR(__xludf.DUMMYFUNCTION("""COMPUTED_VALUE"""),"Curso CAB operador concluído")</f>
        <v>Curso CAB operador concluído</v>
      </c>
      <c r="F457" s="1" t="str">
        <f>IFERROR(__xludf.DUMMYFUNCTION("""COMPUTED_VALUE"""),"006.948.410-48")</f>
        <v>006.948.410-48</v>
      </c>
      <c r="G457" s="1"/>
      <c r="H457" s="1"/>
      <c r="I457" s="1"/>
      <c r="J457" s="1"/>
      <c r="K457" s="1"/>
      <c r="L457" s="1"/>
      <c r="M457" s="1"/>
      <c r="N457" s="120"/>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row>
    <row r="458" customHeight="1" spans="1:40">
      <c r="A458" s="1" t="str">
        <f>IFERROR(__xludf.DUMMYFUNCTION("""COMPUTED_VALUE"""),"06° BBM")</f>
        <v>06° BBM</v>
      </c>
      <c r="B458" s="1" t="str">
        <f>IFERROR(__xludf.DUMMYFUNCTION("""COMPUTED_VALUE"""),"Encruzilhada do sul")</f>
        <v>Encruzilhada do sul</v>
      </c>
      <c r="C458" s="119" t="str">
        <f>IFERROR(__xludf.DUMMYFUNCTION("""COMPUTED_VALUE"""),"Comunitario")</f>
        <v>Comunitario</v>
      </c>
      <c r="D458" s="1" t="str">
        <f>IFERROR(__xludf.DUMMYFUNCTION("""COMPUTED_VALUE"""),"MARCIO RAFAEL ARAGÃO")</f>
        <v>MARCIO RAFAEL ARAGÃO</v>
      </c>
      <c r="E458" s="119" t="str">
        <f>IFERROR(__xludf.DUMMYFUNCTION("""COMPUTED_VALUE"""),"")</f>
        <v/>
      </c>
      <c r="F458" s="1" t="str">
        <f>IFERROR(__xludf.DUMMYFUNCTION("""COMPUTED_VALUE"""),"895.212.180.53")</f>
        <v>895.212.180.53</v>
      </c>
      <c r="G458" s="1">
        <f>IFERROR(__xludf.DUMMYFUNCTION("""COMPUTED_VALUE"""),2062614785)</f>
        <v>2062614785</v>
      </c>
      <c r="H458" s="1" t="str">
        <f>IFERROR(__xludf.DUMMYFUNCTION("""COMPUTED_VALUE"""),"CAB")</f>
        <v>CAB</v>
      </c>
      <c r="I458" s="1" t="str">
        <f>IFERROR(__xludf.DUMMYFUNCTION("""COMPUTED_VALUE"""),"Curso de técnica e tática de combate a incêndio para bombeiro misto - nivel I")</f>
        <v>Curso de técnica e tática de combate a incêndio para bombeiro misto - nivel I</v>
      </c>
      <c r="J458" s="1" t="str">
        <f>IFERROR(__xludf.DUMMYFUNCTION("""COMPUTED_VALUE"""),"Sim")</f>
        <v>Sim</v>
      </c>
      <c r="K458" s="1" t="str">
        <f>IFERROR(__xludf.DUMMYFUNCTION("""COMPUTED_VALUE"""),"Sim")</f>
        <v>Sim</v>
      </c>
      <c r="L458" s="1" t="str">
        <f>IFERROR(__xludf.DUMMYFUNCTION("""COMPUTED_VALUE"""),"AB+")</f>
        <v>AB+</v>
      </c>
      <c r="M458" s="1" t="str">
        <f>IFERROR(__xludf.DUMMYFUNCTION("""COMPUTED_VALUE"""),"Aragão")</f>
        <v>Aragão</v>
      </c>
      <c r="N458" s="120">
        <f>IFERROR(__xludf.DUMMYFUNCTION("""COMPUTED_VALUE"""),27664)</f>
        <v>27664</v>
      </c>
      <c r="O458" s="1" t="str">
        <f>IFERROR(__xludf.DUMMYFUNCTION("""COMPUTED_VALUE"""),"Masculino")</f>
        <v>Masculino</v>
      </c>
      <c r="P458" s="1" t="str">
        <f>IFERROR(__xludf.DUMMYFUNCTION("""COMPUTED_VALUE"""),"Branca")</f>
        <v>Branca</v>
      </c>
      <c r="Q458" s="1" t="str">
        <f>IFERROR(__xludf.DUMMYFUNCTION("""COMPUTED_VALUE"""),"Ensino Médio")</f>
        <v>Ensino Médio</v>
      </c>
      <c r="R458" s="1" t="str">
        <f>IFERROR(__xludf.DUMMYFUNCTION("""COMPUTED_VALUE"""),"macoaragao@gmail.com")</f>
        <v>macoaragao@gmail.com</v>
      </c>
      <c r="S458" s="1">
        <f>IFERROR(__xludf.DUMMYFUNCTION("""COMPUTED_VALUE"""),95)</f>
        <v>95</v>
      </c>
      <c r="T458" s="1" t="str">
        <f>IFERROR(__xludf.DUMMYFUNCTION("""COMPUTED_VALUE"""),"Entre 1,76m e 1,80m")</f>
        <v>Entre 1,76m e 1,80m</v>
      </c>
      <c r="U458" s="1" t="str">
        <f>IFERROR(__xludf.DUMMYFUNCTION("""COMPUTED_VALUE"""),"Não POSSUI")</f>
        <v>Não POSSUI</v>
      </c>
      <c r="V458" s="1" t="str">
        <f>IFERROR(__xludf.DUMMYFUNCTION("""COMPUTED_VALUE"""),"(51)99546-4564")</f>
        <v>(51)99546-4564</v>
      </c>
      <c r="W458" s="1" t="str">
        <f>IFERROR(__xludf.DUMMYFUNCTION("""COMPUTED_VALUE"""),"(51)98426-6712")</f>
        <v>(51)98426-6712</v>
      </c>
      <c r="X458" s="1" t="str">
        <f>IFERROR(__xludf.DUMMYFUNCTION("""COMPUTED_VALUE"""),"RS")</f>
        <v>RS</v>
      </c>
      <c r="Y458" s="1" t="str">
        <f>IFERROR(__xludf.DUMMYFUNCTION("""COMPUTED_VALUE"""),"Cachoeira do Sul")</f>
        <v>Cachoeira do Sul</v>
      </c>
      <c r="Z458" s="1" t="str">
        <f>IFERROR(__xludf.DUMMYFUNCTION("""COMPUTED_VALUE"""),"96505-420")</f>
        <v>96505-420</v>
      </c>
      <c r="AA458" s="1" t="str">
        <f>IFERROR(__xludf.DUMMYFUNCTION("""COMPUTED_VALUE"""),"Rua Ismael Pereira 664")</f>
        <v>Rua Ismael Pereira 664</v>
      </c>
      <c r="AB458" s="1" t="str">
        <f>IFERROR(__xludf.DUMMYFUNCTION("""COMPUTED_VALUE"""),"oliveira")</f>
        <v>oliveira</v>
      </c>
      <c r="AC458" s="1" t="str">
        <f>IFERROR(__xludf.DUMMYFUNCTION("""COMPUTED_VALUE"""),"M")</f>
        <v>M</v>
      </c>
      <c r="AD458" s="1" t="str">
        <f>IFERROR(__xludf.DUMMYFUNCTION("""COMPUTED_VALUE"""),"M")</f>
        <v>M</v>
      </c>
      <c r="AE458" s="1" t="str">
        <f>IFERROR(__xludf.DUMMYFUNCTION("""COMPUTED_VALUE"""),"M")</f>
        <v>M</v>
      </c>
      <c r="AF458" s="1" t="str">
        <f>IFERROR(__xludf.DUMMYFUNCTION("""COMPUTED_VALUE"""),"M")</f>
        <v>M</v>
      </c>
      <c r="AG458" s="1" t="str">
        <f>IFERROR(__xludf.DUMMYFUNCTION("""COMPUTED_VALUE"""),"M")</f>
        <v>M</v>
      </c>
      <c r="AH458" s="1">
        <f>IFERROR(__xludf.DUMMYFUNCTION("""COMPUTED_VALUE"""),42)</f>
        <v>42</v>
      </c>
      <c r="AI458" s="1">
        <f>IFERROR(__xludf.DUMMYFUNCTION("""COMPUTED_VALUE"""),42)</f>
        <v>42</v>
      </c>
      <c r="AJ458" s="1">
        <f>IFERROR(__xludf.DUMMYFUNCTION("""COMPUTED_VALUE"""),42)</f>
        <v>42</v>
      </c>
      <c r="AK458" s="1">
        <f>IFERROR(__xludf.DUMMYFUNCTION("""COMPUTED_VALUE"""),42)</f>
        <v>42</v>
      </c>
      <c r="AL458" s="1" t="str">
        <f>IFERROR(__xludf.DUMMYFUNCTION("""COMPUTED_VALUE"""),"M")</f>
        <v>M</v>
      </c>
      <c r="AM458" s="1" t="str">
        <f>IFERROR(__xludf.DUMMYFUNCTION("""COMPUTED_VALUE"""),"M")</f>
        <v>M</v>
      </c>
      <c r="AN458" s="1" t="str">
        <f>IFERROR(__xludf.DUMMYFUNCTION("""COMPUTED_VALUE"""),"M")</f>
        <v>M</v>
      </c>
    </row>
    <row r="459" customHeight="1" spans="1:40">
      <c r="A459" s="1"/>
      <c r="B459" s="1"/>
      <c r="C459" s="119"/>
      <c r="D459" s="1" t="str">
        <f>IFERROR(__xludf.DUMMYFUNCTION("""COMPUTED_VALUE"""),"MÁRCIO RAFAEL ARAGÃO")</f>
        <v>MÁRCIO RAFAEL ARAGÃO</v>
      </c>
      <c r="E459" s="119" t="str">
        <f>IFERROR(__xludf.DUMMYFUNCTION("""COMPUTED_VALUE"""),"Curso CAB operador concluído")</f>
        <v>Curso CAB operador concluído</v>
      </c>
      <c r="F459" s="1" t="str">
        <f>IFERROR(__xludf.DUMMYFUNCTION("""COMPUTED_VALUE"""),"895.212.180-53")</f>
        <v>895.212.180-53</v>
      </c>
      <c r="G459" s="1"/>
      <c r="H459" s="1"/>
      <c r="I459" s="1"/>
      <c r="J459" s="1"/>
      <c r="K459" s="1"/>
      <c r="L459" s="1"/>
      <c r="M459" s="1"/>
      <c r="N459" s="120"/>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row>
    <row r="460" customHeight="1" spans="1:40">
      <c r="A460" s="1" t="str">
        <f>IFERROR(__xludf.DUMMYFUNCTION("""COMPUTED_VALUE"""),"06° BBM")</f>
        <v>06° BBM</v>
      </c>
      <c r="B460" s="1" t="str">
        <f>IFERROR(__xludf.DUMMYFUNCTION("""COMPUTED_VALUE"""),"Arambaré")</f>
        <v>Arambaré</v>
      </c>
      <c r="C460" s="119" t="str">
        <f>IFERROR(__xludf.DUMMYFUNCTION("""COMPUTED_VALUE"""),"CAB")</f>
        <v>CAB</v>
      </c>
      <c r="D460" s="1" t="str">
        <f>IFERROR(__xludf.DUMMYFUNCTION("""COMPUTED_VALUE"""),"MARCOS ROBERTO SILVA PEIXOTO")</f>
        <v>MARCOS ROBERTO SILVA PEIXOTO</v>
      </c>
      <c r="E460" s="119" t="str">
        <f>IFERROR(__xludf.DUMMYFUNCTION("""COMPUTED_VALUE"""),"Curso CAB operador concluído")</f>
        <v>Curso CAB operador concluído</v>
      </c>
      <c r="F460" s="1" t="str">
        <f>IFERROR(__xludf.DUMMYFUNCTION("""COMPUTED_VALUE"""),"751.535.250-91")</f>
        <v>751.535.250-91</v>
      </c>
      <c r="G460" s="1">
        <f>IFERROR(__xludf.DUMMYFUNCTION("""COMPUTED_VALUE"""),6064195321)</f>
        <v>6064195321</v>
      </c>
      <c r="H460" s="1" t="str">
        <f>IFERROR(__xludf.DUMMYFUNCTION("""COMPUTED_VALUE"""),"Coordenador/ COV/ combatente")</f>
        <v>Coordenador/ COV/ combatente</v>
      </c>
      <c r="I460" s="1" t="str">
        <f>IFERROR(__xludf.DUMMYFUNCTION("""COMPUTED_VALUE"""),"BC; mergulho; CAT D; Arrais Piloto de busca (Marinha do Brasil- Rio Grande); BLS; Resgate em altura e espaço confinado; APH.")</f>
        <v>BC; mergulho; CAT D; Arrais Piloto de busca (Marinha do Brasil- Rio Grande); BLS; Resgate em altura e espaço confinado; APH.</v>
      </c>
      <c r="J460" s="1" t="str">
        <f>IFERROR(__xludf.DUMMYFUNCTION("""COMPUTED_VALUE"""),"Sim")</f>
        <v>Sim</v>
      </c>
      <c r="K460" s="1" t="str">
        <f>IFERROR(__xludf.DUMMYFUNCTION("""COMPUTED_VALUE"""),"Sim")</f>
        <v>Sim</v>
      </c>
      <c r="L460" s="1" t="str">
        <f>IFERROR(__xludf.DUMMYFUNCTION("""COMPUTED_VALUE"""),"A-")</f>
        <v>A-</v>
      </c>
      <c r="M460" s="1" t="str">
        <f>IFERROR(__xludf.DUMMYFUNCTION("""COMPUTED_VALUE"""),"PEIXOTO")</f>
        <v>PEIXOTO</v>
      </c>
      <c r="N460" s="120">
        <f>IFERROR(__xludf.DUMMYFUNCTION("""COMPUTED_VALUE"""),28625)</f>
        <v>28625</v>
      </c>
      <c r="O460" s="1" t="str">
        <f>IFERROR(__xludf.DUMMYFUNCTION("""COMPUTED_VALUE"""),"Masculino")</f>
        <v>Masculino</v>
      </c>
      <c r="P460" s="1" t="str">
        <f>IFERROR(__xludf.DUMMYFUNCTION("""COMPUTED_VALUE"""),"Branca")</f>
        <v>Branca</v>
      </c>
      <c r="Q460" s="1" t="str">
        <f>IFERROR(__xludf.DUMMYFUNCTION("""COMPUTED_VALUE"""),"Ensino Médio")</f>
        <v>Ensino Médio</v>
      </c>
      <c r="R460" s="1" t="str">
        <f>IFERROR(__xludf.DUMMYFUNCTION("""COMPUTED_VALUE"""),"MERGULHADORPEIXOTO@GMAIL.COM")</f>
        <v>MERGULHADORPEIXOTO@GMAIL.COM</v>
      </c>
      <c r="S460" s="1">
        <f>IFERROR(__xludf.DUMMYFUNCTION("""COMPUTED_VALUE"""),72)</f>
        <v>72</v>
      </c>
      <c r="T460" s="1" t="str">
        <f>IFERROR(__xludf.DUMMYFUNCTION("""COMPUTED_VALUE"""),"Entre 1,66m e 1,70m")</f>
        <v>Entre 1,66m e 1,70m</v>
      </c>
      <c r="U460" s="1" t="str">
        <f>IFERROR(__xludf.DUMMYFUNCTION("""COMPUTED_VALUE"""),"Não POSSUI")</f>
        <v>Não POSSUI</v>
      </c>
      <c r="V460" s="1" t="str">
        <f>IFERROR(__xludf.DUMMYFUNCTION("""COMPUTED_VALUE"""),"(51)98060-3565")</f>
        <v>(51)98060-3565</v>
      </c>
      <c r="W460" s="1" t="str">
        <f>IFERROR(__xludf.DUMMYFUNCTION("""COMPUTED_VALUE"""),"(51)98060-3565")</f>
        <v>(51)98060-3565</v>
      </c>
      <c r="X460" s="1" t="str">
        <f>IFERROR(__xludf.DUMMYFUNCTION("""COMPUTED_VALUE"""),"RIO GRANDE DO SUL")</f>
        <v>RIO GRANDE DO SUL</v>
      </c>
      <c r="Y460" s="1" t="str">
        <f>IFERROR(__xludf.DUMMYFUNCTION("""COMPUTED_VALUE"""),"Arambaré")</f>
        <v>Arambaré</v>
      </c>
      <c r="Z460" s="1">
        <f>IFERROR(__xludf.DUMMYFUNCTION("""COMPUTED_VALUE"""),96180000)</f>
        <v>96180000</v>
      </c>
      <c r="AA460" s="1" t="str">
        <f>IFERROR(__xludf.DUMMYFUNCTION("""COMPUTED_VALUE"""),"Rua do Calçadão n° 10")</f>
        <v>Rua do Calçadão n° 10</v>
      </c>
      <c r="AB460" s="1" t="str">
        <f>IFERROR(__xludf.DUMMYFUNCTION("""COMPUTED_VALUE"""),"centro")</f>
        <v>centro</v>
      </c>
      <c r="AC460" s="1" t="str">
        <f>IFERROR(__xludf.DUMMYFUNCTION("""COMPUTED_VALUE"""),"G")</f>
        <v>G</v>
      </c>
      <c r="AD460" s="1" t="str">
        <f>IFERROR(__xludf.DUMMYFUNCTION("""COMPUTED_VALUE"""),"G")</f>
        <v>G</v>
      </c>
      <c r="AE460" s="1" t="str">
        <f>IFERROR(__xludf.DUMMYFUNCTION("""COMPUTED_VALUE"""),"G")</f>
        <v>G</v>
      </c>
      <c r="AF460" s="1" t="str">
        <f>IFERROR(__xludf.DUMMYFUNCTION("""COMPUTED_VALUE"""),"G")</f>
        <v>G</v>
      </c>
      <c r="AG460" s="1" t="str">
        <f>IFERROR(__xludf.DUMMYFUNCTION("""COMPUTED_VALUE"""),"G")</f>
        <v>G</v>
      </c>
      <c r="AH460" s="1">
        <f>IFERROR(__xludf.DUMMYFUNCTION("""COMPUTED_VALUE"""),40)</f>
        <v>40</v>
      </c>
      <c r="AI460" s="1">
        <f>IFERROR(__xludf.DUMMYFUNCTION("""COMPUTED_VALUE"""),40)</f>
        <v>40</v>
      </c>
      <c r="AJ460" s="1">
        <f>IFERROR(__xludf.DUMMYFUNCTION("""COMPUTED_VALUE"""),40)</f>
        <v>40</v>
      </c>
      <c r="AK460" s="1">
        <f>IFERROR(__xludf.DUMMYFUNCTION("""COMPUTED_VALUE"""),40)</f>
        <v>40</v>
      </c>
      <c r="AL460" s="1" t="str">
        <f>IFERROR(__xludf.DUMMYFUNCTION("""COMPUTED_VALUE"""),"G")</f>
        <v>G</v>
      </c>
      <c r="AM460" s="1" t="str">
        <f>IFERROR(__xludf.DUMMYFUNCTION("""COMPUTED_VALUE"""),"G")</f>
        <v>G</v>
      </c>
      <c r="AN460" s="1" t="str">
        <f>IFERROR(__xludf.DUMMYFUNCTION("""COMPUTED_VALUE"""),"M")</f>
        <v>M</v>
      </c>
    </row>
    <row r="461" customHeight="1" spans="1:40">
      <c r="A461" s="1" t="str">
        <f>IFERROR(__xludf.DUMMYFUNCTION("""COMPUTED_VALUE"""),"06° BBM")</f>
        <v>06° BBM</v>
      </c>
      <c r="B461" s="1" t="str">
        <f>IFERROR(__xludf.DUMMYFUNCTION("""COMPUTED_VALUE"""),"Vera Cruz")</f>
        <v>Vera Cruz</v>
      </c>
      <c r="C461" s="119" t="str">
        <f>IFERROR(__xludf.DUMMYFUNCTION("""COMPUTED_VALUE"""),"Comunitario")</f>
        <v>Comunitario</v>
      </c>
      <c r="D461" s="1" t="str">
        <f>IFERROR(__xludf.DUMMYFUNCTION("""COMPUTED_VALUE"""),"MARIA EDUARDA BARBIERI")</f>
        <v>MARIA EDUARDA BARBIERI</v>
      </c>
      <c r="E461" s="119" t="str">
        <f>IFERROR(__xludf.DUMMYFUNCTION("""COMPUTED_VALUE"""),"")</f>
        <v/>
      </c>
      <c r="F461" s="1" t="str">
        <f>IFERROR(__xludf.DUMMYFUNCTION("""COMPUTED_VALUE"""),"045.548.860-69")</f>
        <v>045.548.860-69</v>
      </c>
      <c r="G461" s="1">
        <f>IFERROR(__xludf.DUMMYFUNCTION("""COMPUTED_VALUE"""),1127922977)</f>
        <v>1127922977</v>
      </c>
      <c r="H461" s="1" t="str">
        <f>IFERROR(__xludf.DUMMYFUNCTION("""COMPUTED_VALUE"""),"Combatente/Socorrista")</f>
        <v>Combatente/Socorrista</v>
      </c>
      <c r="I461" s="1" t="str">
        <f>IFERROR(__xludf.DUMMYFUNCTION("""COMPUTED_VALUE"""),"APH e BLS/ Bombeiro Civil")</f>
        <v>APH e BLS/ Bombeiro Civil</v>
      </c>
      <c r="J461" s="1" t="str">
        <f>IFERROR(__xludf.DUMMYFUNCTION("""COMPUTED_VALUE"""),"Não")</f>
        <v>Não</v>
      </c>
      <c r="K461" s="1" t="str">
        <f>IFERROR(__xludf.DUMMYFUNCTION("""COMPUTED_VALUE"""),"Não")</f>
        <v>Não</v>
      </c>
      <c r="L461" s="1" t="str">
        <f>IFERROR(__xludf.DUMMYFUNCTION("""COMPUTED_VALUE"""),"A+")</f>
        <v>A+</v>
      </c>
      <c r="M461" s="1" t="str">
        <f>IFERROR(__xludf.DUMMYFUNCTION("""COMPUTED_VALUE"""),"Eduarda")</f>
        <v>Eduarda</v>
      </c>
      <c r="N461" s="120">
        <f>IFERROR(__xludf.DUMMYFUNCTION("""COMPUTED_VALUE"""),37703)</f>
        <v>37703</v>
      </c>
      <c r="O461" s="1" t="str">
        <f>IFERROR(__xludf.DUMMYFUNCTION("""COMPUTED_VALUE"""),"Feminino")</f>
        <v>Feminino</v>
      </c>
      <c r="P461" s="1" t="str">
        <f>IFERROR(__xludf.DUMMYFUNCTION("""COMPUTED_VALUE"""),"Branca")</f>
        <v>Branca</v>
      </c>
      <c r="Q461" s="1" t="str">
        <f>IFERROR(__xludf.DUMMYFUNCTION("""COMPUTED_VALUE"""),"Ensino Médio")</f>
        <v>Ensino Médio</v>
      </c>
      <c r="R461" s="1" t="str">
        <f>IFERROR(__xludf.DUMMYFUNCTION("""COMPUTED_VALUE"""),"eduardabarbieri9@gmail.com")</f>
        <v>eduardabarbieri9@gmail.com</v>
      </c>
      <c r="S461" s="1">
        <f>IFERROR(__xludf.DUMMYFUNCTION("""COMPUTED_VALUE"""),80)</f>
        <v>80</v>
      </c>
      <c r="T461" s="1" t="str">
        <f>IFERROR(__xludf.DUMMYFUNCTION("""COMPUTED_VALUE"""),"Entre 1,61m e 1,65m")</f>
        <v>Entre 1,61m e 1,65m</v>
      </c>
      <c r="U461" s="1" t="str">
        <f>IFERROR(__xludf.DUMMYFUNCTION("""COMPUTED_VALUE"""),"Não POSSUI")</f>
        <v>Não POSSUI</v>
      </c>
      <c r="V461" s="1" t="str">
        <f>IFERROR(__xludf.DUMMYFUNCTION("""COMPUTED_VALUE"""),"(51) 99523-3967")</f>
        <v>(51) 99523-3967</v>
      </c>
      <c r="W461" s="1" t="str">
        <f>IFERROR(__xludf.DUMMYFUNCTION("""COMPUTED_VALUE"""),"(51) 99557-3107")</f>
        <v>(51) 99557-3107</v>
      </c>
      <c r="X461" s="1" t="str">
        <f>IFERROR(__xludf.DUMMYFUNCTION("""COMPUTED_VALUE"""),"RS")</f>
        <v>RS</v>
      </c>
      <c r="Y461" s="1" t="str">
        <f>IFERROR(__xludf.DUMMYFUNCTION("""COMPUTED_VALUE"""),"Vera Cruz")</f>
        <v>Vera Cruz</v>
      </c>
      <c r="Z461" s="1" t="str">
        <f>IFERROR(__xludf.DUMMYFUNCTION("""COMPUTED_VALUE"""),"96880-000")</f>
        <v>96880-000</v>
      </c>
      <c r="AA461" s="1" t="str">
        <f>IFERROR(__xludf.DUMMYFUNCTION("""COMPUTED_VALUE"""),"Rua Carlos Hepp Nº 111")</f>
        <v>Rua Carlos Hepp Nº 111</v>
      </c>
      <c r="AB461" s="1" t="str">
        <f>IFERROR(__xludf.DUMMYFUNCTION("""COMPUTED_VALUE"""),"Arco Íris")</f>
        <v>Arco Íris</v>
      </c>
      <c r="AC461" s="1" t="str">
        <f>IFERROR(__xludf.DUMMYFUNCTION("""COMPUTED_VALUE"""),"M")</f>
        <v>M</v>
      </c>
      <c r="AD461" s="1" t="str">
        <f>IFERROR(__xludf.DUMMYFUNCTION("""COMPUTED_VALUE"""),"G")</f>
        <v>G</v>
      </c>
      <c r="AE461" s="1" t="str">
        <f>IFERROR(__xludf.DUMMYFUNCTION("""COMPUTED_VALUE"""),"G")</f>
        <v>G</v>
      </c>
      <c r="AF461" s="1" t="str">
        <f>IFERROR(__xludf.DUMMYFUNCTION("""COMPUTED_VALUE"""),"G")</f>
        <v>G</v>
      </c>
      <c r="AG461" s="1" t="str">
        <f>IFERROR(__xludf.DUMMYFUNCTION("""COMPUTED_VALUE"""),"M")</f>
        <v>M</v>
      </c>
      <c r="AH461" s="1">
        <f>IFERROR(__xludf.DUMMYFUNCTION("""COMPUTED_VALUE"""),37)</f>
        <v>37</v>
      </c>
      <c r="AI461" s="1">
        <f>IFERROR(__xludf.DUMMYFUNCTION("""COMPUTED_VALUE"""),37)</f>
        <v>37</v>
      </c>
      <c r="AJ461" s="1">
        <f>IFERROR(__xludf.DUMMYFUNCTION("""COMPUTED_VALUE"""),37)</f>
        <v>37</v>
      </c>
      <c r="AK461" s="1">
        <f>IFERROR(__xludf.DUMMYFUNCTION("""COMPUTED_VALUE"""),37)</f>
        <v>37</v>
      </c>
      <c r="AL461" s="1" t="str">
        <f>IFERROR(__xludf.DUMMYFUNCTION("""COMPUTED_VALUE"""),"G")</f>
        <v>G</v>
      </c>
      <c r="AM461" s="1" t="str">
        <f>IFERROR(__xludf.DUMMYFUNCTION("""COMPUTED_VALUE"""),"M")</f>
        <v>M</v>
      </c>
      <c r="AN461" s="1" t="str">
        <f>IFERROR(__xludf.DUMMYFUNCTION("""COMPUTED_VALUE"""),"M")</f>
        <v>M</v>
      </c>
    </row>
    <row r="462" customHeight="1" spans="1:40">
      <c r="A462" s="1" t="str">
        <f>IFERROR(__xludf.DUMMYFUNCTION("""COMPUTED_VALUE"""),"06° BBM")</f>
        <v>06° BBM</v>
      </c>
      <c r="B462" s="1" t="str">
        <f>IFERROR(__xludf.DUMMYFUNCTION("""COMPUTED_VALUE"""),"Vera Cruz")</f>
        <v>Vera Cruz</v>
      </c>
      <c r="C462" s="119" t="str">
        <f>IFERROR(__xludf.DUMMYFUNCTION("""COMPUTED_VALUE"""),"Comunitario")</f>
        <v>Comunitario</v>
      </c>
      <c r="D462" s="1" t="str">
        <f>IFERROR(__xludf.DUMMYFUNCTION("""COMPUTED_VALUE"""),"MAURO LUIS HOFF")</f>
        <v>MAURO LUIS HOFF</v>
      </c>
      <c r="E462" s="119" t="str">
        <f>IFERROR(__xludf.DUMMYFUNCTION("""COMPUTED_VALUE"""),"")</f>
        <v/>
      </c>
      <c r="F462" s="1" t="str">
        <f>IFERROR(__xludf.DUMMYFUNCTION("""COMPUTED_VALUE"""),"689.518.090-72")</f>
        <v>689.518.090-72</v>
      </c>
      <c r="G462" s="1">
        <f>IFERROR(__xludf.DUMMYFUNCTION("""COMPUTED_VALUE"""),1065674449)</f>
        <v>1065674449</v>
      </c>
      <c r="H462" s="1" t="str">
        <f>IFERROR(__xludf.DUMMYFUNCTION("""COMPUTED_VALUE"""),"Combatente/Socorrista")</f>
        <v>Combatente/Socorrista</v>
      </c>
      <c r="I462" s="1" t="str">
        <f>IFERROR(__xludf.DUMMYFUNCTION("""COMPUTED_VALUE"""),"APH e BLS")</f>
        <v>APH e BLS</v>
      </c>
      <c r="J462" s="1" t="str">
        <f>IFERROR(__xludf.DUMMYFUNCTION("""COMPUTED_VALUE"""),"Não")</f>
        <v>Não</v>
      </c>
      <c r="K462" s="1" t="str">
        <f>IFERROR(__xludf.DUMMYFUNCTION("""COMPUTED_VALUE"""),"Não")</f>
        <v>Não</v>
      </c>
      <c r="L462" s="1" t="str">
        <f>IFERROR(__xludf.DUMMYFUNCTION("""COMPUTED_VALUE"""),"A+")</f>
        <v>A+</v>
      </c>
      <c r="M462" s="1" t="str">
        <f>IFERROR(__xludf.DUMMYFUNCTION("""COMPUTED_VALUE"""),"Mauro")</f>
        <v>Mauro</v>
      </c>
      <c r="N462" s="120">
        <f>IFERROR(__xludf.DUMMYFUNCTION("""COMPUTED_VALUE"""),27730)</f>
        <v>27730</v>
      </c>
      <c r="O462" s="1" t="str">
        <f>IFERROR(__xludf.DUMMYFUNCTION("""COMPUTED_VALUE"""),"Masculino")</f>
        <v>Masculino</v>
      </c>
      <c r="P462" s="1" t="str">
        <f>IFERROR(__xludf.DUMMYFUNCTION("""COMPUTED_VALUE"""),"Branca")</f>
        <v>Branca</v>
      </c>
      <c r="Q462" s="1" t="str">
        <f>IFERROR(__xludf.DUMMYFUNCTION("""COMPUTED_VALUE"""),"Ensino Médio")</f>
        <v>Ensino Médio</v>
      </c>
      <c r="R462" s="1" t="str">
        <f>IFERROR(__xludf.DUMMYFUNCTION("""COMPUTED_VALUE"""),"hoffmauro8@gmail.com")</f>
        <v>hoffmauro8@gmail.com</v>
      </c>
      <c r="S462" s="1">
        <f>IFERROR(__xludf.DUMMYFUNCTION("""COMPUTED_VALUE"""),85)</f>
        <v>85</v>
      </c>
      <c r="T462" s="1" t="str">
        <f>IFERROR(__xludf.DUMMYFUNCTION("""COMPUTED_VALUE"""),"Entre 1,61m e 1,65m")</f>
        <v>Entre 1,61m e 1,65m</v>
      </c>
      <c r="U462" s="1" t="str">
        <f>IFERROR(__xludf.DUMMYFUNCTION("""COMPUTED_VALUE"""),"Não POSSUI")</f>
        <v>Não POSSUI</v>
      </c>
      <c r="V462" s="1" t="str">
        <f>IFERROR(__xludf.DUMMYFUNCTION("""COMPUTED_VALUE"""),"(51)99647-0386")</f>
        <v>(51)99647-0386</v>
      </c>
      <c r="W462" s="1" t="str">
        <f>IFERROR(__xludf.DUMMYFUNCTION("""COMPUTED_VALUE"""),"(51)99674-2722")</f>
        <v>(51)99674-2722</v>
      </c>
      <c r="X462" s="1" t="str">
        <f>IFERROR(__xludf.DUMMYFUNCTION("""COMPUTED_VALUE"""),"RS")</f>
        <v>RS</v>
      </c>
      <c r="Y462" s="1" t="str">
        <f>IFERROR(__xludf.DUMMYFUNCTION("""COMPUTED_VALUE"""),"Vera Cruz")</f>
        <v>Vera Cruz</v>
      </c>
      <c r="Z462" s="1" t="str">
        <f>IFERROR(__xludf.DUMMYFUNCTION("""COMPUTED_VALUE"""),"96880-000")</f>
        <v>96880-000</v>
      </c>
      <c r="AA462" s="1" t="str">
        <f>IFERROR(__xludf.DUMMYFUNCTION("""COMPUTED_VALUE"""),"Rua Prof. Fernando Klinger Nº 575")</f>
        <v>Rua Prof. Fernando Klinger Nº 575</v>
      </c>
      <c r="AB462" s="1" t="str">
        <f>IFERROR(__xludf.DUMMYFUNCTION("""COMPUTED_VALUE"""),"Arco Íris")</f>
        <v>Arco Íris</v>
      </c>
      <c r="AC462" s="1" t="str">
        <f>IFERROR(__xludf.DUMMYFUNCTION("""COMPUTED_VALUE"""),"GG")</f>
        <v>GG</v>
      </c>
      <c r="AD462" s="1" t="str">
        <f>IFERROR(__xludf.DUMMYFUNCTION("""COMPUTED_VALUE"""),"GG")</f>
        <v>GG</v>
      </c>
      <c r="AE462" s="1" t="str">
        <f>IFERROR(__xludf.DUMMYFUNCTION("""COMPUTED_VALUE"""),"GG")</f>
        <v>GG</v>
      </c>
      <c r="AF462" s="1" t="str">
        <f>IFERROR(__xludf.DUMMYFUNCTION("""COMPUTED_VALUE"""),"GG")</f>
        <v>GG</v>
      </c>
      <c r="AG462" s="1" t="str">
        <f>IFERROR(__xludf.DUMMYFUNCTION("""COMPUTED_VALUE"""),"GG")</f>
        <v>GG</v>
      </c>
      <c r="AH462" s="1">
        <f>IFERROR(__xludf.DUMMYFUNCTION("""COMPUTED_VALUE"""),41)</f>
        <v>41</v>
      </c>
      <c r="AI462" s="1">
        <f>IFERROR(__xludf.DUMMYFUNCTION("""COMPUTED_VALUE"""),41)</f>
        <v>41</v>
      </c>
      <c r="AJ462" s="1">
        <f>IFERROR(__xludf.DUMMYFUNCTION("""COMPUTED_VALUE"""),41)</f>
        <v>41</v>
      </c>
      <c r="AK462" s="1">
        <f>IFERROR(__xludf.DUMMYFUNCTION("""COMPUTED_VALUE"""),41)</f>
        <v>41</v>
      </c>
      <c r="AL462" s="1" t="str">
        <f>IFERROR(__xludf.DUMMYFUNCTION("""COMPUTED_VALUE"""),"GG")</f>
        <v>GG</v>
      </c>
      <c r="AM462" s="1" t="str">
        <f>IFERROR(__xludf.DUMMYFUNCTION("""COMPUTED_VALUE"""),"GG")</f>
        <v>GG</v>
      </c>
      <c r="AN462" s="1" t="str">
        <f>IFERROR(__xludf.DUMMYFUNCTION("""COMPUTED_VALUE"""),"G")</f>
        <v>G</v>
      </c>
    </row>
    <row r="463" customHeight="1" spans="1:40">
      <c r="A463" s="1" t="str">
        <f>IFERROR(__xludf.DUMMYFUNCTION("""COMPUTED_VALUE"""),"06° BBM")</f>
        <v>06° BBM</v>
      </c>
      <c r="B463" s="1" t="str">
        <f>IFERROR(__xludf.DUMMYFUNCTION("""COMPUTED_VALUE"""),"Camaquã")</f>
        <v>Camaquã</v>
      </c>
      <c r="C463" s="119" t="str">
        <f>IFERROR(__xludf.DUMMYFUNCTION("""COMPUTED_VALUE"""),"Comunitario")</f>
        <v>Comunitario</v>
      </c>
      <c r="D463" s="1" t="str">
        <f>IFERROR(__xludf.DUMMYFUNCTION("""COMPUTED_VALUE"""),"MAYKON VIEIRA DOS SANTOS - DESLIGADO")</f>
        <v>MAYKON VIEIRA DOS SANTOS - DESLIGADO</v>
      </c>
      <c r="E463" s="119" t="str">
        <f>IFERROR(__xludf.DUMMYFUNCTION("""COMPUTED_VALUE"""),"Módulo 1 concluído")</f>
        <v>Módulo 1 concluído</v>
      </c>
      <c r="F463" s="1" t="str">
        <f>IFERROR(__xludf.DUMMYFUNCTION("""COMPUTED_VALUE"""),"023976300-95")</f>
        <v>023976300-95</v>
      </c>
      <c r="G463" s="1">
        <f>IFERROR(__xludf.DUMMYFUNCTION("""COMPUTED_VALUE"""),3085146359)</f>
        <v>3085146359</v>
      </c>
      <c r="H463" s="1" t="str">
        <f>IFERROR(__xludf.DUMMYFUNCTION("""COMPUTED_VALUE"""),"DESLIGADO")</f>
        <v>DESLIGADO</v>
      </c>
      <c r="I463" s="1" t="str">
        <f>IFERROR(__xludf.DUMMYFUNCTION("""COMPUTED_VALUE"""),"DESLIGADO")</f>
        <v>DESLIGADO</v>
      </c>
      <c r="J463" s="1" t="str">
        <f>IFERROR(__xludf.DUMMYFUNCTION("""COMPUTED_VALUE"""),"Sim")</f>
        <v>Sim</v>
      </c>
      <c r="K463" s="1" t="str">
        <f>IFERROR(__xludf.DUMMYFUNCTION("""COMPUTED_VALUE"""),"Sim")</f>
        <v>Sim</v>
      </c>
      <c r="L463" s="1" t="str">
        <f>IFERROR(__xludf.DUMMYFUNCTION("""COMPUTED_VALUE"""),"A+")</f>
        <v>A+</v>
      </c>
      <c r="M463" s="1" t="str">
        <f>IFERROR(__xludf.DUMMYFUNCTION("""COMPUTED_VALUE"""),"MAYKON")</f>
        <v>MAYKON</v>
      </c>
      <c r="N463" s="121">
        <f>IFERROR(__xludf.DUMMYFUNCTION("""COMPUTED_VALUE"""),33228)</f>
        <v>33228</v>
      </c>
      <c r="O463" s="1" t="str">
        <f>IFERROR(__xludf.DUMMYFUNCTION("""COMPUTED_VALUE"""),"Masculino")</f>
        <v>Masculino</v>
      </c>
      <c r="P463" s="1" t="str">
        <f>IFERROR(__xludf.DUMMYFUNCTION("""COMPUTED_VALUE"""),"Parda")</f>
        <v>Parda</v>
      </c>
      <c r="Q463" s="1" t="str">
        <f>IFERROR(__xludf.DUMMYFUNCTION("""COMPUTED_VALUE"""),"Ensino Médio")</f>
        <v>Ensino Médio</v>
      </c>
      <c r="R463" s="1" t="str">
        <f>IFERROR(__xludf.DUMMYFUNCTION("""COMPUTED_VALUE"""),"mayconvieira801@gmail.com")</f>
        <v>mayconvieira801@gmail.com</v>
      </c>
      <c r="S463" s="1">
        <f>IFERROR(__xludf.DUMMYFUNCTION("""COMPUTED_VALUE"""),103)</f>
        <v>103</v>
      </c>
      <c r="T463" s="1" t="str">
        <f>IFERROR(__xludf.DUMMYFUNCTION("""COMPUTED_VALUE"""),"Entre 1,81m e 1,85m")</f>
        <v>Entre 1,81m e 1,85m</v>
      </c>
      <c r="U463" s="1" t="str">
        <f>IFERROR(__xludf.DUMMYFUNCTION("""COMPUTED_VALUE"""),"Não POSSUI")</f>
        <v>Não POSSUI</v>
      </c>
      <c r="V463" s="1" t="str">
        <f>IFERROR(__xludf.DUMMYFUNCTION("""COMPUTED_VALUE"""),"(51)99892-9985")</f>
        <v>(51)99892-9985</v>
      </c>
      <c r="W463" s="1" t="str">
        <f>IFERROR(__xludf.DUMMYFUNCTION("""COMPUTED_VALUE"""),"(51)3671-8012")</f>
        <v>(51)3671-8012</v>
      </c>
      <c r="X463" s="1" t="str">
        <f>IFERROR(__xludf.DUMMYFUNCTION("""COMPUTED_VALUE"""),"RS")</f>
        <v>RS</v>
      </c>
      <c r="Y463" s="1" t="str">
        <f>IFERROR(__xludf.DUMMYFUNCTION("""COMPUTED_VALUE"""),"Camaquã")</f>
        <v>Camaquã</v>
      </c>
      <c r="Z463" s="1">
        <f>IFERROR(__xludf.DUMMYFUNCTION("""COMPUTED_VALUE"""),96180000)</f>
        <v>96180000</v>
      </c>
      <c r="AA463" s="1" t="str">
        <f>IFERROR(__xludf.DUMMYFUNCTION("""COMPUTED_VALUE"""),"CRISTOVÃO GOMES DE ANDRADE N° 1141")</f>
        <v>CRISTOVÃO GOMES DE ANDRADE N° 1141</v>
      </c>
      <c r="AB463" s="1" t="str">
        <f>IFERROR(__xludf.DUMMYFUNCTION("""COMPUTED_VALUE"""),"CENTRO")</f>
        <v>CENTRO</v>
      </c>
      <c r="AC463" s="1" t="str">
        <f>IFERROR(__xludf.DUMMYFUNCTION("""COMPUTED_VALUE"""),"GG")</f>
        <v>GG</v>
      </c>
      <c r="AD463" s="1" t="str">
        <f>IFERROR(__xludf.DUMMYFUNCTION("""COMPUTED_VALUE"""),"GG")</f>
        <v>GG</v>
      </c>
      <c r="AE463" s="1" t="str">
        <f>IFERROR(__xludf.DUMMYFUNCTION("""COMPUTED_VALUE"""),"G")</f>
        <v>G</v>
      </c>
      <c r="AF463" s="1" t="str">
        <f>IFERROR(__xludf.DUMMYFUNCTION("""COMPUTED_VALUE"""),"G")</f>
        <v>G</v>
      </c>
      <c r="AG463" s="1" t="str">
        <f>IFERROR(__xludf.DUMMYFUNCTION("""COMPUTED_VALUE"""),"G")</f>
        <v>G</v>
      </c>
      <c r="AH463" s="1">
        <f>IFERROR(__xludf.DUMMYFUNCTION("""COMPUTED_VALUE"""),42)</f>
        <v>42</v>
      </c>
      <c r="AI463" s="1">
        <f>IFERROR(__xludf.DUMMYFUNCTION("""COMPUTED_VALUE"""),42)</f>
        <v>42</v>
      </c>
      <c r="AJ463" s="1">
        <f>IFERROR(__xludf.DUMMYFUNCTION("""COMPUTED_VALUE"""),42)</f>
        <v>42</v>
      </c>
      <c r="AK463" s="1">
        <f>IFERROR(__xludf.DUMMYFUNCTION("""COMPUTED_VALUE"""),44)</f>
        <v>44</v>
      </c>
      <c r="AL463" s="1" t="str">
        <f>IFERROR(__xludf.DUMMYFUNCTION("""COMPUTED_VALUE"""),"G")</f>
        <v>G</v>
      </c>
      <c r="AM463" s="1" t="str">
        <f>IFERROR(__xludf.DUMMYFUNCTION("""COMPUTED_VALUE"""),"GG")</f>
        <v>GG</v>
      </c>
      <c r="AN463" s="1" t="str">
        <f>IFERROR(__xludf.DUMMYFUNCTION("""COMPUTED_VALUE"""),"G")</f>
        <v>G</v>
      </c>
    </row>
    <row r="464" customHeight="1" spans="1:40">
      <c r="A464" s="1" t="str">
        <f>IFERROR(__xludf.DUMMYFUNCTION("""COMPUTED_VALUE"""),"06° BBM")</f>
        <v>06° BBM</v>
      </c>
      <c r="B464" s="1" t="str">
        <f>IFERROR(__xludf.DUMMYFUNCTION("""COMPUTED_VALUE"""),"Arambaré")</f>
        <v>Arambaré</v>
      </c>
      <c r="C464" s="119" t="str">
        <f>IFERROR(__xludf.DUMMYFUNCTION("""COMPUTED_VALUE"""),"CAB")</f>
        <v>CAB</v>
      </c>
      <c r="D464" s="1" t="str">
        <f>IFERROR(__xludf.DUMMYFUNCTION("""COMPUTED_VALUE"""),"NICOLAS FLORES DE FLORES")</f>
        <v>NICOLAS FLORES DE FLORES</v>
      </c>
      <c r="E464" s="119" t="str">
        <f>IFERROR(__xludf.DUMMYFUNCTION("""COMPUTED_VALUE"""),"Curso CAB operador concluído")</f>
        <v>Curso CAB operador concluído</v>
      </c>
      <c r="F464" s="1" t="str">
        <f>IFERROR(__xludf.DUMMYFUNCTION("""COMPUTED_VALUE"""),"039.875.450-03")</f>
        <v>039.875.450-03</v>
      </c>
      <c r="G464" s="1">
        <f>IFERROR(__xludf.DUMMYFUNCTION("""COMPUTED_VALUE"""),9116289399)</f>
        <v>9116289399</v>
      </c>
      <c r="H464" s="1" t="str">
        <f>IFERROR(__xludf.DUMMYFUNCTION("""COMPUTED_VALUE"""),"CAB/ Administrativo")</f>
        <v>CAB/ Administrativo</v>
      </c>
      <c r="I464" s="1" t="str">
        <f>IFERROR(__xludf.DUMMYFUNCTION("""COMPUTED_VALUE"""),"Bombeiro Civil; APH e BLS; Mergulho")</f>
        <v>Bombeiro Civil; APH e BLS; Mergulho</v>
      </c>
      <c r="J464" s="1" t="str">
        <f>IFERROR(__xludf.DUMMYFUNCTION("""COMPUTED_VALUE"""),"Não")</f>
        <v>Não</v>
      </c>
      <c r="K464" s="1" t="str">
        <f>IFERROR(__xludf.DUMMYFUNCTION("""COMPUTED_VALUE"""),"Sim")</f>
        <v>Sim</v>
      </c>
      <c r="L464" s="1" t="str">
        <f>IFERROR(__xludf.DUMMYFUNCTION("""COMPUTED_VALUE"""),"B+")</f>
        <v>B+</v>
      </c>
      <c r="M464" s="1" t="str">
        <f>IFERROR(__xludf.DUMMYFUNCTION("""COMPUTED_VALUE"""),"FLORES")</f>
        <v>FLORES</v>
      </c>
      <c r="N464" s="120">
        <f>IFERROR(__xludf.DUMMYFUNCTION("""COMPUTED_VALUE"""),38493)</f>
        <v>38493</v>
      </c>
      <c r="O464" s="1" t="str">
        <f>IFERROR(__xludf.DUMMYFUNCTION("""COMPUTED_VALUE"""),"Masculino")</f>
        <v>Masculino</v>
      </c>
      <c r="P464" s="1" t="str">
        <f>IFERROR(__xludf.DUMMYFUNCTION("""COMPUTED_VALUE"""),"Preta")</f>
        <v>Preta</v>
      </c>
      <c r="Q464" s="1" t="str">
        <f>IFERROR(__xludf.DUMMYFUNCTION("""COMPUTED_VALUE"""),"Ensino Superior Incompleto")</f>
        <v>Ensino Superior Incompleto</v>
      </c>
      <c r="R464" s="1" t="str">
        <f>IFERROR(__xludf.DUMMYFUNCTION("""COMPUTED_VALUE"""),"nicolasflorescm03@gmail.com")</f>
        <v>nicolasflorescm03@gmail.com</v>
      </c>
      <c r="S464" s="1">
        <f>IFERROR(__xludf.DUMMYFUNCTION("""COMPUTED_VALUE"""),73)</f>
        <v>73</v>
      </c>
      <c r="T464" s="1" t="str">
        <f>IFERROR(__xludf.DUMMYFUNCTION("""COMPUTED_VALUE"""),"Entre 1,66m e 1,70m")</f>
        <v>Entre 1,66m e 1,70m</v>
      </c>
      <c r="U464" s="1" t="str">
        <f>IFERROR(__xludf.DUMMYFUNCTION("""COMPUTED_VALUE"""),"Não POSSUI")</f>
        <v>Não POSSUI</v>
      </c>
      <c r="V464" s="1" t="str">
        <f>IFERROR(__xludf.DUMMYFUNCTION("""COMPUTED_VALUE"""),"(51)99809-5985")</f>
        <v>(51)99809-5985</v>
      </c>
      <c r="W464" s="1" t="str">
        <f>IFERROR(__xludf.DUMMYFUNCTION("""COMPUTED_VALUE"""),"(51)99998-7954")</f>
        <v>(51)99998-7954</v>
      </c>
      <c r="X464" s="1" t="str">
        <f>IFERROR(__xludf.DUMMYFUNCTION("""COMPUTED_VALUE"""),"RIO GRANDE DO SUL")</f>
        <v>RIO GRANDE DO SUL</v>
      </c>
      <c r="Y464" s="1" t="str">
        <f>IFERROR(__xludf.DUMMYFUNCTION("""COMPUTED_VALUE"""),"Pelotas")</f>
        <v>Pelotas</v>
      </c>
      <c r="Z464" s="1">
        <f>IFERROR(__xludf.DUMMYFUNCTION("""COMPUTED_VALUE"""),96075030)</f>
        <v>96075030</v>
      </c>
      <c r="AA464" s="1" t="str">
        <f>IFERROR(__xludf.DUMMYFUNCTION("""COMPUTED_VALUE"""),"Rua. Barão de Cotegipe n° 312, ap.110, blc. 3")</f>
        <v>Rua. Barão de Cotegipe n° 312, ap.110, blc. 3</v>
      </c>
      <c r="AB464" s="1" t="str">
        <f>IFERROR(__xludf.DUMMYFUNCTION("""COMPUTED_VALUE"""),"Areal")</f>
        <v>Areal</v>
      </c>
      <c r="AC464" s="1" t="str">
        <f>IFERROR(__xludf.DUMMYFUNCTION("""COMPUTED_VALUE"""),"G")</f>
        <v>G</v>
      </c>
      <c r="AD464" s="1" t="str">
        <f>IFERROR(__xludf.DUMMYFUNCTION("""COMPUTED_VALUE"""),"G")</f>
        <v>G</v>
      </c>
      <c r="AE464" s="1" t="str">
        <f>IFERROR(__xludf.DUMMYFUNCTION("""COMPUTED_VALUE"""),"G")</f>
        <v>G</v>
      </c>
      <c r="AF464" s="1" t="str">
        <f>IFERROR(__xludf.DUMMYFUNCTION("""COMPUTED_VALUE"""),"G")</f>
        <v>G</v>
      </c>
      <c r="AG464" s="1" t="str">
        <f>IFERROR(__xludf.DUMMYFUNCTION("""COMPUTED_VALUE"""),"GG")</f>
        <v>GG</v>
      </c>
      <c r="AH464" s="1">
        <f>IFERROR(__xludf.DUMMYFUNCTION("""COMPUTED_VALUE"""),42)</f>
        <v>42</v>
      </c>
      <c r="AI464" s="1">
        <f>IFERROR(__xludf.DUMMYFUNCTION("""COMPUTED_VALUE"""),42)</f>
        <v>42</v>
      </c>
      <c r="AJ464" s="1">
        <f>IFERROR(__xludf.DUMMYFUNCTION("""COMPUTED_VALUE"""),42)</f>
        <v>42</v>
      </c>
      <c r="AK464" s="1">
        <f>IFERROR(__xludf.DUMMYFUNCTION("""COMPUTED_VALUE"""),42)</f>
        <v>42</v>
      </c>
      <c r="AL464" s="1" t="str">
        <f>IFERROR(__xludf.DUMMYFUNCTION("""COMPUTED_VALUE"""),"G")</f>
        <v>G</v>
      </c>
      <c r="AM464" s="1" t="str">
        <f>IFERROR(__xludf.DUMMYFUNCTION("""COMPUTED_VALUE"""),"M")</f>
        <v>M</v>
      </c>
      <c r="AN464" s="1" t="str">
        <f>IFERROR(__xludf.DUMMYFUNCTION("""COMPUTED_VALUE"""),"G")</f>
        <v>G</v>
      </c>
    </row>
    <row r="465" customHeight="1" spans="1:40">
      <c r="A465" s="1" t="str">
        <f>IFERROR(__xludf.DUMMYFUNCTION("""COMPUTED_VALUE"""),"06° BBM")</f>
        <v>06° BBM</v>
      </c>
      <c r="B465" s="1" t="str">
        <f>IFERROR(__xludf.DUMMYFUNCTION("""COMPUTED_VALUE"""),"Arambaré")</f>
        <v>Arambaré</v>
      </c>
      <c r="C465" s="119" t="str">
        <f>IFERROR(__xludf.DUMMYFUNCTION("""COMPUTED_VALUE"""),"CAB")</f>
        <v>CAB</v>
      </c>
      <c r="D465" s="1" t="str">
        <f>IFERROR(__xludf.DUMMYFUNCTION("""COMPUTED_VALUE"""),"PEDRO DO VAL DIAS")</f>
        <v>PEDRO DO VAL DIAS</v>
      </c>
      <c r="E465" s="119" t="str">
        <f>IFERROR(__xludf.DUMMYFUNCTION("""COMPUTED_VALUE"""),"")</f>
        <v/>
      </c>
      <c r="F465" s="1" t="str">
        <f>IFERROR(__xludf.DUMMYFUNCTION("""COMPUTED_VALUE"""),"043.133.680-60")</f>
        <v>043.133.680-60</v>
      </c>
      <c r="G465" s="1">
        <f>IFERROR(__xludf.DUMMYFUNCTION("""COMPUTED_VALUE"""),5125794916)</f>
        <v>5125794916</v>
      </c>
      <c r="H465" s="1" t="str">
        <f>IFERROR(__xludf.DUMMYFUNCTION("""COMPUTED_VALUE"""),"CAB")</f>
        <v>CAB</v>
      </c>
      <c r="I465" s="1" t="str">
        <f>IFERROR(__xludf.DUMMYFUNCTION("""COMPUTED_VALUE"""),"Bombeiro Civil; APH e BLS; Mergulho")</f>
        <v>Bombeiro Civil; APH e BLS; Mergulho</v>
      </c>
      <c r="J465" s="1" t="str">
        <f>IFERROR(__xludf.DUMMYFUNCTION("""COMPUTED_VALUE"""),"Não")</f>
        <v>Não</v>
      </c>
      <c r="K465" s="1" t="str">
        <f>IFERROR(__xludf.DUMMYFUNCTION("""COMPUTED_VALUE"""),"Sim")</f>
        <v>Sim</v>
      </c>
      <c r="L465" s="1" t="str">
        <f>IFERROR(__xludf.DUMMYFUNCTION("""COMPUTED_VALUE"""),"O+")</f>
        <v>O+</v>
      </c>
      <c r="M465" s="1" t="str">
        <f>IFERROR(__xludf.DUMMYFUNCTION("""COMPUTED_VALUE"""),"PEDRO")</f>
        <v>PEDRO</v>
      </c>
      <c r="N465" s="120">
        <f>IFERROR(__xludf.DUMMYFUNCTION("""COMPUTED_VALUE"""),37853)</f>
        <v>37853</v>
      </c>
      <c r="O465" s="1" t="str">
        <f>IFERROR(__xludf.DUMMYFUNCTION("""COMPUTED_VALUE"""),"Masculino")</f>
        <v>Masculino</v>
      </c>
      <c r="P465" s="1" t="str">
        <f>IFERROR(__xludf.DUMMYFUNCTION("""COMPUTED_VALUE"""),"Branca")</f>
        <v>Branca</v>
      </c>
      <c r="Q465" s="1" t="str">
        <f>IFERROR(__xludf.DUMMYFUNCTION("""COMPUTED_VALUE"""),"Ensino Superior Incompleto")</f>
        <v>Ensino Superior Incompleto</v>
      </c>
      <c r="R465" s="1" t="str">
        <f>IFERROR(__xludf.DUMMYFUNCTION("""COMPUTED_VALUE"""),"pedro.dvd@hotmail.com")</f>
        <v>pedro.dvd@hotmail.com</v>
      </c>
      <c r="S465" s="1">
        <f>IFERROR(__xludf.DUMMYFUNCTION("""COMPUTED_VALUE"""),68)</f>
        <v>68</v>
      </c>
      <c r="T465" s="1" t="str">
        <f>IFERROR(__xludf.DUMMYFUNCTION("""COMPUTED_VALUE"""),"Entre 1,66m e 1,70m")</f>
        <v>Entre 1,66m e 1,70m</v>
      </c>
      <c r="U465" s="1" t="str">
        <f>IFERROR(__xludf.DUMMYFUNCTION("""COMPUTED_VALUE"""),"Não POSSUI")</f>
        <v>Não POSSUI</v>
      </c>
      <c r="V465" s="1" t="str">
        <f>IFERROR(__xludf.DUMMYFUNCTION("""COMPUTED_VALUE"""),"(51)99596-0321")</f>
        <v>(51)99596-0321</v>
      </c>
      <c r="W465" s="1" t="str">
        <f>IFERROR(__xludf.DUMMYFUNCTION("""COMPUTED_VALUE"""),"(51)99710-8817")</f>
        <v>(51)99710-8817</v>
      </c>
      <c r="X465" s="1" t="str">
        <f>IFERROR(__xludf.DUMMYFUNCTION("""COMPUTED_VALUE"""),"RIO GRANDE DO SUL")</f>
        <v>RIO GRANDE DO SUL</v>
      </c>
      <c r="Y465" s="1" t="str">
        <f>IFERROR(__xludf.DUMMYFUNCTION("""COMPUTED_VALUE"""),"Camaquã")</f>
        <v>Camaquã</v>
      </c>
      <c r="Z465" s="1">
        <f>IFERROR(__xludf.DUMMYFUNCTION("""COMPUTED_VALUE"""),96180000)</f>
        <v>96180000</v>
      </c>
      <c r="AA465" s="1" t="str">
        <f>IFERROR(__xludf.DUMMYFUNCTION("""COMPUTED_VALUE"""),"Rua Hugo birk n° 137")</f>
        <v>Rua Hugo birk n° 137</v>
      </c>
      <c r="AB465" s="1" t="str">
        <f>IFERROR(__xludf.DUMMYFUNCTION("""COMPUTED_VALUE"""),"Dona Tereza")</f>
        <v>Dona Tereza</v>
      </c>
      <c r="AC465" s="1" t="str">
        <f>IFERROR(__xludf.DUMMYFUNCTION("""COMPUTED_VALUE"""),"M")</f>
        <v>M</v>
      </c>
      <c r="AD465" s="1" t="str">
        <f>IFERROR(__xludf.DUMMYFUNCTION("""COMPUTED_VALUE"""),"M")</f>
        <v>M</v>
      </c>
      <c r="AE465" s="1" t="str">
        <f>IFERROR(__xludf.DUMMYFUNCTION("""COMPUTED_VALUE"""),"M")</f>
        <v>M</v>
      </c>
      <c r="AF465" s="1" t="str">
        <f>IFERROR(__xludf.DUMMYFUNCTION("""COMPUTED_VALUE"""),"M")</f>
        <v>M</v>
      </c>
      <c r="AG465" s="1" t="str">
        <f>IFERROR(__xludf.DUMMYFUNCTION("""COMPUTED_VALUE"""),"M")</f>
        <v>M</v>
      </c>
      <c r="AH465" s="1">
        <f>IFERROR(__xludf.DUMMYFUNCTION("""COMPUTED_VALUE"""),40)</f>
        <v>40</v>
      </c>
      <c r="AI465" s="1">
        <f>IFERROR(__xludf.DUMMYFUNCTION("""COMPUTED_VALUE"""),40)</f>
        <v>40</v>
      </c>
      <c r="AJ465" s="1">
        <f>IFERROR(__xludf.DUMMYFUNCTION("""COMPUTED_VALUE"""),40)</f>
        <v>40</v>
      </c>
      <c r="AK465" s="1">
        <f>IFERROR(__xludf.DUMMYFUNCTION("""COMPUTED_VALUE"""),42)</f>
        <v>42</v>
      </c>
      <c r="AL465" s="1" t="str">
        <f>IFERROR(__xludf.DUMMYFUNCTION("""COMPUTED_VALUE"""),"M")</f>
        <v>M</v>
      </c>
      <c r="AM465" s="1" t="str">
        <f>IFERROR(__xludf.DUMMYFUNCTION("""COMPUTED_VALUE"""),"M")</f>
        <v>M</v>
      </c>
      <c r="AN465" s="1" t="str">
        <f>IFERROR(__xludf.DUMMYFUNCTION("""COMPUTED_VALUE"""),"M")</f>
        <v>M</v>
      </c>
    </row>
    <row r="466" customHeight="1" spans="1:40">
      <c r="A466" s="1" t="str">
        <f>IFERROR(__xludf.DUMMYFUNCTION("""COMPUTED_VALUE"""),"06° BBM")</f>
        <v>06° BBM</v>
      </c>
      <c r="B466" s="1" t="str">
        <f>IFERROR(__xludf.DUMMYFUNCTION("""COMPUTED_VALUE"""),"Camaquã")</f>
        <v>Camaquã</v>
      </c>
      <c r="C466" s="119" t="str">
        <f>IFERROR(__xludf.DUMMYFUNCTION("""COMPUTED_VALUE"""),"Comunitario")</f>
        <v>Comunitario</v>
      </c>
      <c r="D466" s="1" t="str">
        <f>IFERROR(__xludf.DUMMYFUNCTION("""COMPUTED_VALUE"""),"RENI LUIS CENTENO")</f>
        <v>RENI LUIS CENTENO</v>
      </c>
      <c r="E466" s="119" t="str">
        <f>IFERROR(__xludf.DUMMYFUNCTION("""COMPUTED_VALUE"""),"Curso CAB operador concluído")</f>
        <v>Curso CAB operador concluído</v>
      </c>
      <c r="F466" s="1" t="str">
        <f>IFERROR(__xludf.DUMMYFUNCTION("""COMPUTED_VALUE"""),"361393780-87")</f>
        <v>361393780-87</v>
      </c>
      <c r="G466" s="1">
        <f>IFERROR(__xludf.DUMMYFUNCTION("""COMPUTED_VALUE"""),7055471549)</f>
        <v>7055471549</v>
      </c>
      <c r="H466" s="1" t="str">
        <f>IFERROR(__xludf.DUMMYFUNCTION("""COMPUTED_VALUE"""),"Combatente")</f>
        <v>Combatente</v>
      </c>
      <c r="I466" s="1"/>
      <c r="J466" s="1" t="str">
        <f>IFERROR(__xludf.DUMMYFUNCTION("""COMPUTED_VALUE"""),"Sim")</f>
        <v>Sim</v>
      </c>
      <c r="K466" s="1" t="str">
        <f>IFERROR(__xludf.DUMMYFUNCTION("""COMPUTED_VALUE"""),"Sim")</f>
        <v>Sim</v>
      </c>
      <c r="L466" s="1" t="str">
        <f>IFERROR(__xludf.DUMMYFUNCTION("""COMPUTED_VALUE"""),"A+")</f>
        <v>A+</v>
      </c>
      <c r="M466" s="1" t="str">
        <f>IFERROR(__xludf.DUMMYFUNCTION("""COMPUTED_VALUE"""),"RENI")</f>
        <v>RENI</v>
      </c>
      <c r="N466" s="120">
        <f>IFERROR(__xludf.DUMMYFUNCTION("""COMPUTED_VALUE"""),22682)</f>
        <v>22682</v>
      </c>
      <c r="O466" s="1" t="str">
        <f>IFERROR(__xludf.DUMMYFUNCTION("""COMPUTED_VALUE"""),"Masculino")</f>
        <v>Masculino</v>
      </c>
      <c r="P466" s="1" t="str">
        <f>IFERROR(__xludf.DUMMYFUNCTION("""COMPUTED_VALUE"""),"Parda")</f>
        <v>Parda</v>
      </c>
      <c r="Q466" s="1" t="str">
        <f>IFERROR(__xludf.DUMMYFUNCTION("""COMPUTED_VALUE"""),"Ensino Médio")</f>
        <v>Ensino Médio</v>
      </c>
      <c r="R466" s="1" t="str">
        <f>IFERROR(__xludf.DUMMYFUNCTION("""COMPUTED_VALUE"""),"reniluis56@gmail.com")</f>
        <v>reniluis56@gmail.com</v>
      </c>
      <c r="S466" s="1">
        <f>IFERROR(__xludf.DUMMYFUNCTION("""COMPUTED_VALUE"""),85)</f>
        <v>85</v>
      </c>
      <c r="T466" s="1" t="str">
        <f>IFERROR(__xludf.DUMMYFUNCTION("""COMPUTED_VALUE"""),"Entre 1,61m e 1,65m")</f>
        <v>Entre 1,61m e 1,65m</v>
      </c>
      <c r="U466" s="1" t="str">
        <f>IFERROR(__xludf.DUMMYFUNCTION("""COMPUTED_VALUE"""),"Não POSSUI")</f>
        <v>Não POSSUI</v>
      </c>
      <c r="V466" s="1" t="str">
        <f>IFERROR(__xludf.DUMMYFUNCTION("""COMPUTED_VALUE"""),"(51)98185-7790")</f>
        <v>(51)98185-7790</v>
      </c>
      <c r="W466" s="1" t="str">
        <f>IFERROR(__xludf.DUMMYFUNCTION("""COMPUTED_VALUE"""),"(51)98320-9886")</f>
        <v>(51)98320-9886</v>
      </c>
      <c r="X466" s="1" t="str">
        <f>IFERROR(__xludf.DUMMYFUNCTION("""COMPUTED_VALUE"""),"RS")</f>
        <v>RS</v>
      </c>
      <c r="Y466" s="1" t="str">
        <f>IFERROR(__xludf.DUMMYFUNCTION("""COMPUTED_VALUE"""),"Camaquã")</f>
        <v>Camaquã</v>
      </c>
      <c r="Z466" s="1">
        <f>IFERROR(__xludf.DUMMYFUNCTION("""COMPUTED_VALUE"""),96180000)</f>
        <v>96180000</v>
      </c>
      <c r="AA466" s="1" t="str">
        <f>IFERROR(__xludf.DUMMYFUNCTION("""COMPUTED_VALUE"""),"SERGIPE CASA 7 - N° 1139")</f>
        <v>SERGIPE CASA 7 - N° 1139</v>
      </c>
      <c r="AB466" s="1" t="str">
        <f>IFERROR(__xludf.DUMMYFUNCTION("""COMPUTED_VALUE"""),"OLIVEIRA")</f>
        <v>OLIVEIRA</v>
      </c>
      <c r="AC466" s="1" t="str">
        <f>IFERROR(__xludf.DUMMYFUNCTION("""COMPUTED_VALUE"""),"M")</f>
        <v>M</v>
      </c>
      <c r="AD466" s="1" t="str">
        <f>IFERROR(__xludf.DUMMYFUNCTION("""COMPUTED_VALUE"""),"G")</f>
        <v>G</v>
      </c>
      <c r="AE466" s="1" t="str">
        <f>IFERROR(__xludf.DUMMYFUNCTION("""COMPUTED_VALUE"""),"G")</f>
        <v>G</v>
      </c>
      <c r="AF466" s="1" t="str">
        <f>IFERROR(__xludf.DUMMYFUNCTION("""COMPUTED_VALUE"""),"G")</f>
        <v>G</v>
      </c>
      <c r="AG466" s="1" t="str">
        <f>IFERROR(__xludf.DUMMYFUNCTION("""COMPUTED_VALUE"""),"G")</f>
        <v>G</v>
      </c>
      <c r="AH466" s="1">
        <f>IFERROR(__xludf.DUMMYFUNCTION("""COMPUTED_VALUE"""),40)</f>
        <v>40</v>
      </c>
      <c r="AI466" s="1">
        <f>IFERROR(__xludf.DUMMYFUNCTION("""COMPUTED_VALUE"""),40)</f>
        <v>40</v>
      </c>
      <c r="AJ466" s="1">
        <f>IFERROR(__xludf.DUMMYFUNCTION("""COMPUTED_VALUE"""),40)</f>
        <v>40</v>
      </c>
      <c r="AK466" s="1">
        <f>IFERROR(__xludf.DUMMYFUNCTION("""COMPUTED_VALUE"""),40)</f>
        <v>40</v>
      </c>
      <c r="AL466" s="1" t="str">
        <f>IFERROR(__xludf.DUMMYFUNCTION("""COMPUTED_VALUE"""),"G")</f>
        <v>G</v>
      </c>
      <c r="AM466" s="1" t="str">
        <f>IFERROR(__xludf.DUMMYFUNCTION("""COMPUTED_VALUE"""),"G")</f>
        <v>G</v>
      </c>
      <c r="AN466" s="1" t="str">
        <f>IFERROR(__xludf.DUMMYFUNCTION("""COMPUTED_VALUE"""),"M")</f>
        <v>M</v>
      </c>
    </row>
    <row r="467" customHeight="1" spans="1:40">
      <c r="A467" s="1" t="str">
        <f>IFERROR(__xludf.DUMMYFUNCTION("""COMPUTED_VALUE"""),"06° BBM")</f>
        <v>06° BBM</v>
      </c>
      <c r="B467" s="1" t="str">
        <f>IFERROR(__xludf.DUMMYFUNCTION("""COMPUTED_VALUE"""),"Encruzilhada do Sul")</f>
        <v>Encruzilhada do Sul</v>
      </c>
      <c r="C467" s="119" t="str">
        <f>IFERROR(__xludf.DUMMYFUNCTION("""COMPUTED_VALUE"""),"Comunitario")</f>
        <v>Comunitario</v>
      </c>
      <c r="D467" s="1" t="str">
        <f>IFERROR(__xludf.DUMMYFUNCTION("""COMPUTED_VALUE"""),"RICARDO AFONSO PETRY")</f>
        <v>RICARDO AFONSO PETRY</v>
      </c>
      <c r="E467" s="119" t="str">
        <f>IFERROR(__xludf.DUMMYFUNCTION("""COMPUTED_VALUE"""),"Curso CAB operador concluído")</f>
        <v>Curso CAB operador concluído</v>
      </c>
      <c r="F467" s="1" t="str">
        <f>IFERROR(__xludf.DUMMYFUNCTION("""COMPUTED_VALUE"""),"011.943.780-56")</f>
        <v>011.943.780-56</v>
      </c>
      <c r="G467" s="1">
        <f>IFERROR(__xludf.DUMMYFUNCTION("""COMPUTED_VALUE"""),6064311019)</f>
        <v>6064311019</v>
      </c>
      <c r="H467" s="1" t="str">
        <f>IFERROR(__xludf.DUMMYFUNCTION("""COMPUTED_VALUE"""),"CAB")</f>
        <v>CAB</v>
      </c>
      <c r="I467" s="1" t="str">
        <f>IFERROR(__xludf.DUMMYFUNCTION("""COMPUTED_VALUE"""),"Curso de técnica e tática de combate a incêndio para bombeiro misto - nivel I")</f>
        <v>Curso de técnica e tática de combate a incêndio para bombeiro misto - nivel I</v>
      </c>
      <c r="J467" s="1" t="str">
        <f>IFERROR(__xludf.DUMMYFUNCTION("""COMPUTED_VALUE"""),"Sim")</f>
        <v>Sim</v>
      </c>
      <c r="K467" s="1" t="str">
        <f>IFERROR(__xludf.DUMMYFUNCTION("""COMPUTED_VALUE"""),"Sim")</f>
        <v>Sim</v>
      </c>
      <c r="L467" s="1" t="str">
        <f>IFERROR(__xludf.DUMMYFUNCTION("""COMPUTED_VALUE"""),"O+")</f>
        <v>O+</v>
      </c>
      <c r="M467" s="1" t="str">
        <f>IFERROR(__xludf.DUMMYFUNCTION("""COMPUTED_VALUE"""),"Petry")</f>
        <v>Petry</v>
      </c>
      <c r="N467" s="120">
        <f>IFERROR(__xludf.DUMMYFUNCTION("""COMPUTED_VALUE"""),31222)</f>
        <v>31222</v>
      </c>
      <c r="O467" s="1" t="str">
        <f>IFERROR(__xludf.DUMMYFUNCTION("""COMPUTED_VALUE"""),"Masculino")</f>
        <v>Masculino</v>
      </c>
      <c r="P467" s="1" t="str">
        <f>IFERROR(__xludf.DUMMYFUNCTION("""COMPUTED_VALUE"""),"Branca")</f>
        <v>Branca</v>
      </c>
      <c r="Q467" s="1" t="str">
        <f>IFERROR(__xludf.DUMMYFUNCTION("""COMPUTED_VALUE"""),"Ensino Médio")</f>
        <v>Ensino Médio</v>
      </c>
      <c r="R467" s="1" t="str">
        <f>IFERROR(__xludf.DUMMYFUNCTION("""COMPUTED_VALUE"""),"ricardoapetry@gmail.com")</f>
        <v>ricardoapetry@gmail.com</v>
      </c>
      <c r="S467" s="1">
        <f>IFERROR(__xludf.DUMMYFUNCTION("""COMPUTED_VALUE"""),90)</f>
        <v>90</v>
      </c>
      <c r="T467" s="1" t="str">
        <f>IFERROR(__xludf.DUMMYFUNCTION("""COMPUTED_VALUE"""),"Entre 1,81m e 1,85m")</f>
        <v>Entre 1,81m e 1,85m</v>
      </c>
      <c r="U467" s="1" t="str">
        <f>IFERROR(__xludf.DUMMYFUNCTION("""COMPUTED_VALUE"""),"Não POSSUI")</f>
        <v>Não POSSUI</v>
      </c>
      <c r="V467" s="1" t="str">
        <f>IFERROR(__xludf.DUMMYFUNCTION("""COMPUTED_VALUE"""),"(51)98329-9044")</f>
        <v>(51)98329-9044</v>
      </c>
      <c r="W467" s="1" t="str">
        <f>IFERROR(__xludf.DUMMYFUNCTION("""COMPUTED_VALUE"""),"(51)99878-2296")</f>
        <v>(51)99878-2296</v>
      </c>
      <c r="X467" s="1" t="str">
        <f>IFERROR(__xludf.DUMMYFUNCTION("""COMPUTED_VALUE"""),"RS")</f>
        <v>RS</v>
      </c>
      <c r="Y467" s="1" t="str">
        <f>IFERROR(__xludf.DUMMYFUNCTION("""COMPUTED_VALUE"""),"Encruzilhada do Sul")</f>
        <v>Encruzilhada do Sul</v>
      </c>
      <c r="Z467" s="1" t="str">
        <f>IFERROR(__xludf.DUMMYFUNCTION("""COMPUTED_VALUE"""),"96610-000")</f>
        <v>96610-000</v>
      </c>
      <c r="AA467" s="1" t="str">
        <f>IFERROR(__xludf.DUMMYFUNCTION("""COMPUTED_VALUE"""),"Rua Rui Barbosa 849")</f>
        <v>Rua Rui Barbosa 849</v>
      </c>
      <c r="AB467" s="1" t="str">
        <f>IFERROR(__xludf.DUMMYFUNCTION("""COMPUTED_VALUE"""),"Centro")</f>
        <v>Centro</v>
      </c>
      <c r="AC467" s="1" t="str">
        <f>IFERROR(__xludf.DUMMYFUNCTION("""COMPUTED_VALUE"""),"G")</f>
        <v>G</v>
      </c>
      <c r="AD467" s="1" t="str">
        <f>IFERROR(__xludf.DUMMYFUNCTION("""COMPUTED_VALUE"""),"G")</f>
        <v>G</v>
      </c>
      <c r="AE467" s="1" t="str">
        <f>IFERROR(__xludf.DUMMYFUNCTION("""COMPUTED_VALUE"""),"G")</f>
        <v>G</v>
      </c>
      <c r="AF467" s="1" t="str">
        <f>IFERROR(__xludf.DUMMYFUNCTION("""COMPUTED_VALUE"""),"G")</f>
        <v>G</v>
      </c>
      <c r="AG467" s="1" t="str">
        <f>IFERROR(__xludf.DUMMYFUNCTION("""COMPUTED_VALUE"""),"G")</f>
        <v>G</v>
      </c>
      <c r="AH467" s="1">
        <f>IFERROR(__xludf.DUMMYFUNCTION("""COMPUTED_VALUE"""),42)</f>
        <v>42</v>
      </c>
      <c r="AI467" s="1">
        <f>IFERROR(__xludf.DUMMYFUNCTION("""COMPUTED_VALUE"""),42)</f>
        <v>42</v>
      </c>
      <c r="AJ467" s="1">
        <f>IFERROR(__xludf.DUMMYFUNCTION("""COMPUTED_VALUE"""),42)</f>
        <v>42</v>
      </c>
      <c r="AK467" s="1">
        <f>IFERROR(__xludf.DUMMYFUNCTION("""COMPUTED_VALUE"""),42)</f>
        <v>42</v>
      </c>
      <c r="AL467" s="1" t="str">
        <f>IFERROR(__xludf.DUMMYFUNCTION("""COMPUTED_VALUE"""),"G")</f>
        <v>G</v>
      </c>
      <c r="AM467" s="1" t="str">
        <f>IFERROR(__xludf.DUMMYFUNCTION("""COMPUTED_VALUE"""),"G")</f>
        <v>G</v>
      </c>
      <c r="AN467" s="1" t="str">
        <f>IFERROR(__xludf.DUMMYFUNCTION("""COMPUTED_VALUE"""),"G")</f>
        <v>G</v>
      </c>
    </row>
    <row r="468" customHeight="1" spans="1:40">
      <c r="A468" s="1" t="str">
        <f>IFERROR(__xludf.DUMMYFUNCTION("""COMPUTED_VALUE"""),"06° BBM")</f>
        <v>06° BBM</v>
      </c>
      <c r="B468" s="1" t="str">
        <f>IFERROR(__xludf.DUMMYFUNCTION("""COMPUTED_VALUE"""),"Camaquã")</f>
        <v>Camaquã</v>
      </c>
      <c r="C468" s="119" t="str">
        <f>IFERROR(__xludf.DUMMYFUNCTION("""COMPUTED_VALUE"""),"Comunitario")</f>
        <v>Comunitario</v>
      </c>
      <c r="D468" s="1" t="str">
        <f>IFERROR(__xludf.DUMMYFUNCTION("""COMPUTED_VALUE"""),"RODRIGO DE SOUZA CENTENO")</f>
        <v>RODRIGO DE SOUZA CENTENO</v>
      </c>
      <c r="E468" s="119" t="str">
        <f>IFERROR(__xludf.DUMMYFUNCTION("""COMPUTED_VALUE"""),"Curso CAB operador concluído")</f>
        <v>Curso CAB operador concluído</v>
      </c>
      <c r="F468" s="1" t="str">
        <f>IFERROR(__xludf.DUMMYFUNCTION("""COMPUTED_VALUE"""),"626581660-87")</f>
        <v>626581660-87</v>
      </c>
      <c r="G468" s="1">
        <f>IFERROR(__xludf.DUMMYFUNCTION("""COMPUTED_VALUE"""),8047498947)</f>
        <v>8047498947</v>
      </c>
      <c r="H468" s="1" t="str">
        <f>IFERROR(__xludf.DUMMYFUNCTION("""COMPUTED_VALUE"""),"Combatente/ COV")</f>
        <v>Combatente/ COV</v>
      </c>
      <c r="I468" s="1"/>
      <c r="J468" s="1" t="str">
        <f>IFERROR(__xludf.DUMMYFUNCTION("""COMPUTED_VALUE"""),"Sim")</f>
        <v>Sim</v>
      </c>
      <c r="K468" s="1" t="str">
        <f>IFERROR(__xludf.DUMMYFUNCTION("""COMPUTED_VALUE"""),"Sim")</f>
        <v>Sim</v>
      </c>
      <c r="L468" s="1" t="str">
        <f>IFERROR(__xludf.DUMMYFUNCTION("""COMPUTED_VALUE"""),"O+")</f>
        <v>O+</v>
      </c>
      <c r="M468" s="1" t="str">
        <f>IFERROR(__xludf.DUMMYFUNCTION("""COMPUTED_VALUE"""),"CENTENO")</f>
        <v>CENTENO</v>
      </c>
      <c r="N468" s="120">
        <f>IFERROR(__xludf.DUMMYFUNCTION("""COMPUTED_VALUE"""),25956)</f>
        <v>25956</v>
      </c>
      <c r="O468" s="1" t="str">
        <f>IFERROR(__xludf.DUMMYFUNCTION("""COMPUTED_VALUE"""),"Masculino")</f>
        <v>Masculino</v>
      </c>
      <c r="P468" s="1" t="str">
        <f>IFERROR(__xludf.DUMMYFUNCTION("""COMPUTED_VALUE"""),"Parda")</f>
        <v>Parda</v>
      </c>
      <c r="Q468" s="1" t="str">
        <f>IFERROR(__xludf.DUMMYFUNCTION("""COMPUTED_VALUE"""),"Ensino Médio")</f>
        <v>Ensino Médio</v>
      </c>
      <c r="R468" s="1" t="str">
        <f>IFERROR(__xludf.DUMMYFUNCTION("""COMPUTED_VALUE"""),"rodrigocenteno648@gmail.com")</f>
        <v>rodrigocenteno648@gmail.com</v>
      </c>
      <c r="S468" s="1">
        <f>IFERROR(__xludf.DUMMYFUNCTION("""COMPUTED_VALUE"""),105)</f>
        <v>105</v>
      </c>
      <c r="T468" s="1" t="str">
        <f>IFERROR(__xludf.DUMMYFUNCTION("""COMPUTED_VALUE"""),"Entre 1,71m e 1,75m")</f>
        <v>Entre 1,71m e 1,75m</v>
      </c>
      <c r="U468" s="1" t="str">
        <f>IFERROR(__xludf.DUMMYFUNCTION("""COMPUTED_VALUE"""),"Não POSSUI")</f>
        <v>Não POSSUI</v>
      </c>
      <c r="V468" s="1" t="str">
        <f>IFERROR(__xludf.DUMMYFUNCTION("""COMPUTED_VALUE"""),"(51)99815-0370")</f>
        <v>(51)99815-0370</v>
      </c>
      <c r="W468" s="1" t="str">
        <f>IFERROR(__xludf.DUMMYFUNCTION("""COMPUTED_VALUE"""),"(51)99815-0370")</f>
        <v>(51)99815-0370</v>
      </c>
      <c r="X468" s="1" t="str">
        <f>IFERROR(__xludf.DUMMYFUNCTION("""COMPUTED_VALUE"""),"RS")</f>
        <v>RS</v>
      </c>
      <c r="Y468" s="1" t="str">
        <f>IFERROR(__xludf.DUMMYFUNCTION("""COMPUTED_VALUE"""),"Cristal")</f>
        <v>Cristal</v>
      </c>
      <c r="Z468" s="1">
        <f>IFERROR(__xludf.DUMMYFUNCTION("""COMPUTED_VALUE"""),98368000)</f>
        <v>98368000</v>
      </c>
      <c r="AA468" s="1" t="str">
        <f>IFERROR(__xludf.DUMMYFUNCTION("""COMPUTED_VALUE"""),"SETE DE SETEMBRO N° 590")</f>
        <v>SETE DE SETEMBRO N° 590</v>
      </c>
      <c r="AB468" s="1" t="str">
        <f>IFERROR(__xludf.DUMMYFUNCTION("""COMPUTED_VALUE"""),"CENTRO")</f>
        <v>CENTRO</v>
      </c>
      <c r="AC468" s="1" t="str">
        <f>IFERROR(__xludf.DUMMYFUNCTION("""COMPUTED_VALUE"""),"GG")</f>
        <v>GG</v>
      </c>
      <c r="AD468" s="1" t="str">
        <f>IFERROR(__xludf.DUMMYFUNCTION("""COMPUTED_VALUE"""),"GG")</f>
        <v>GG</v>
      </c>
      <c r="AE468" s="1" t="str">
        <f>IFERROR(__xludf.DUMMYFUNCTION("""COMPUTED_VALUE"""),"GG")</f>
        <v>GG</v>
      </c>
      <c r="AF468" s="1" t="str">
        <f>IFERROR(__xludf.DUMMYFUNCTION("""COMPUTED_VALUE"""),"GG")</f>
        <v>GG</v>
      </c>
      <c r="AG468" s="1" t="str">
        <f>IFERROR(__xludf.DUMMYFUNCTION("""COMPUTED_VALUE"""),"EXG")</f>
        <v>EXG</v>
      </c>
      <c r="AH468" s="1">
        <f>IFERROR(__xludf.DUMMYFUNCTION("""COMPUTED_VALUE"""),42)</f>
        <v>42</v>
      </c>
      <c r="AI468" s="1">
        <f>IFERROR(__xludf.DUMMYFUNCTION("""COMPUTED_VALUE"""),42)</f>
        <v>42</v>
      </c>
      <c r="AJ468" s="1">
        <f>IFERROR(__xludf.DUMMYFUNCTION("""COMPUTED_VALUE"""),42)</f>
        <v>42</v>
      </c>
      <c r="AK468" s="1">
        <f>IFERROR(__xludf.DUMMYFUNCTION("""COMPUTED_VALUE"""),44)</f>
        <v>44</v>
      </c>
      <c r="AL468" s="1" t="str">
        <f>IFERROR(__xludf.DUMMYFUNCTION("""COMPUTED_VALUE"""),"GG")</f>
        <v>GG</v>
      </c>
      <c r="AM468" s="1" t="str">
        <f>IFERROR(__xludf.DUMMYFUNCTION("""COMPUTED_VALUE"""),"GG")</f>
        <v>GG</v>
      </c>
      <c r="AN468" s="1" t="str">
        <f>IFERROR(__xludf.DUMMYFUNCTION("""COMPUTED_VALUE"""),"G")</f>
        <v>G</v>
      </c>
    </row>
    <row r="469" customHeight="1" spans="1:40">
      <c r="A469" s="1" t="str">
        <f>IFERROR(__xludf.DUMMYFUNCTION("""COMPUTED_VALUE"""),"06° BBM")</f>
        <v>06° BBM</v>
      </c>
      <c r="B469" s="1" t="str">
        <f>IFERROR(__xludf.DUMMYFUNCTION("""COMPUTED_VALUE"""),"Vera Cruz")</f>
        <v>Vera Cruz</v>
      </c>
      <c r="C469" s="119" t="str">
        <f>IFERROR(__xludf.DUMMYFUNCTION("""COMPUTED_VALUE"""),"Comunitario")</f>
        <v>Comunitario</v>
      </c>
      <c r="D469" s="1" t="str">
        <f>IFERROR(__xludf.DUMMYFUNCTION("""COMPUTED_VALUE"""),"SALOMÃO GEBIN CLARO")</f>
        <v>SALOMÃO GEBIN CLARO</v>
      </c>
      <c r="E469" s="119" t="str">
        <f>IFERROR(__xludf.DUMMYFUNCTION("""COMPUTED_VALUE"""),"Curso CAB operador concluído")</f>
        <v>Curso CAB operador concluído</v>
      </c>
      <c r="F469" s="1" t="str">
        <f>IFERROR(__xludf.DUMMYFUNCTION("""COMPUTED_VALUE"""),"025.259.300-61")</f>
        <v>025.259.300-61</v>
      </c>
      <c r="G469" s="1">
        <f>IFERROR(__xludf.DUMMYFUNCTION("""COMPUTED_VALUE"""),7109921531)</f>
        <v>7109921531</v>
      </c>
      <c r="H469" s="1" t="str">
        <f>IFERROR(__xludf.DUMMYFUNCTION("""COMPUTED_VALUE"""),"Combatente/Socorrista")</f>
        <v>Combatente/Socorrista</v>
      </c>
      <c r="I469" s="1" t="str">
        <f>IFERROR(__xludf.DUMMYFUNCTION("""COMPUTED_VALUE"""),"APH e BLS")</f>
        <v>APH e BLS</v>
      </c>
      <c r="J469" s="1" t="str">
        <f>IFERROR(__xludf.DUMMYFUNCTION("""COMPUTED_VALUE"""),"Não")</f>
        <v>Não</v>
      </c>
      <c r="K469" s="1" t="str">
        <f>IFERROR(__xludf.DUMMYFUNCTION("""COMPUTED_VALUE"""),"Não")</f>
        <v>Não</v>
      </c>
      <c r="L469" s="1" t="str">
        <f>IFERROR(__xludf.DUMMYFUNCTION("""COMPUTED_VALUE"""),"O+")</f>
        <v>O+</v>
      </c>
      <c r="M469" s="1" t="str">
        <f>IFERROR(__xludf.DUMMYFUNCTION("""COMPUTED_VALUE"""),"Claro")</f>
        <v>Claro</v>
      </c>
      <c r="N469" s="120">
        <f>IFERROR(__xludf.DUMMYFUNCTION("""COMPUTED_VALUE"""),35581)</f>
        <v>35581</v>
      </c>
      <c r="O469" s="1" t="str">
        <f>IFERROR(__xludf.DUMMYFUNCTION("""COMPUTED_VALUE"""),"Masculino")</f>
        <v>Masculino</v>
      </c>
      <c r="P469" s="1" t="str">
        <f>IFERROR(__xludf.DUMMYFUNCTION("""COMPUTED_VALUE"""),"Branca")</f>
        <v>Branca</v>
      </c>
      <c r="Q469" s="1" t="str">
        <f>IFERROR(__xludf.DUMMYFUNCTION("""COMPUTED_VALUE"""),"Ensino Superior Incompleto")</f>
        <v>Ensino Superior Incompleto</v>
      </c>
      <c r="R469" s="1" t="str">
        <f>IFERROR(__xludf.DUMMYFUNCTION("""COMPUTED_VALUE"""),"salomaogebin@gmail.com")</f>
        <v>salomaogebin@gmail.com</v>
      </c>
      <c r="S469" s="1">
        <f>IFERROR(__xludf.DUMMYFUNCTION("""COMPUTED_VALUE"""),128)</f>
        <v>128</v>
      </c>
      <c r="T469" s="1" t="str">
        <f>IFERROR(__xludf.DUMMYFUNCTION("""COMPUTED_VALUE"""),"Entre 1,86m e 1,90m")</f>
        <v>Entre 1,86m e 1,90m</v>
      </c>
      <c r="U469" s="1" t="str">
        <f>IFERROR(__xludf.DUMMYFUNCTION("""COMPUTED_VALUE"""),"Não POSSUI")</f>
        <v>Não POSSUI</v>
      </c>
      <c r="V469" s="1" t="str">
        <f>IFERROR(__xludf.DUMMYFUNCTION("""COMPUTED_VALUE"""),"(51)99955-8234")</f>
        <v>(51)99955-8234</v>
      </c>
      <c r="W469" s="1" t="str">
        <f>IFERROR(__xludf.DUMMYFUNCTION("""COMPUTED_VALUE"""),"(51)99752-1182")</f>
        <v>(51)99752-1182</v>
      </c>
      <c r="X469" s="1" t="str">
        <f>IFERROR(__xludf.DUMMYFUNCTION("""COMPUTED_VALUE"""),"RS")</f>
        <v>RS</v>
      </c>
      <c r="Y469" s="1" t="str">
        <f>IFERROR(__xludf.DUMMYFUNCTION("""COMPUTED_VALUE"""),"Vera Cruz")</f>
        <v>Vera Cruz</v>
      </c>
      <c r="Z469" s="1" t="str">
        <f>IFERROR(__xludf.DUMMYFUNCTION("""COMPUTED_VALUE"""),"96880-000")</f>
        <v>96880-000</v>
      </c>
      <c r="AA469" s="1" t="str">
        <f>IFERROR(__xludf.DUMMYFUNCTION("""COMPUTED_VALUE"""),"Corredor Santos")</f>
        <v>Corredor Santos</v>
      </c>
      <c r="AB469" s="1" t="str">
        <f>IFERROR(__xludf.DUMMYFUNCTION("""COMPUTED_VALUE"""),"Lot. Roma")</f>
        <v>Lot. Roma</v>
      </c>
      <c r="AC469" s="1" t="str">
        <f>IFERROR(__xludf.DUMMYFUNCTION("""COMPUTED_VALUE"""),"XXG")</f>
        <v>XXG</v>
      </c>
      <c r="AD469" s="1" t="str">
        <f>IFERROR(__xludf.DUMMYFUNCTION("""COMPUTED_VALUE"""),"XXG")</f>
        <v>XXG</v>
      </c>
      <c r="AE469" s="1" t="str">
        <f>IFERROR(__xludf.DUMMYFUNCTION("""COMPUTED_VALUE"""),"XXG")</f>
        <v>XXG</v>
      </c>
      <c r="AF469" s="1" t="str">
        <f>IFERROR(__xludf.DUMMYFUNCTION("""COMPUTED_VALUE"""),"XXG")</f>
        <v>XXG</v>
      </c>
      <c r="AG469" s="1" t="str">
        <f>IFERROR(__xludf.DUMMYFUNCTION("""COMPUTED_VALUE"""),"XXG")</f>
        <v>XXG</v>
      </c>
      <c r="AH469" s="1">
        <f>IFERROR(__xludf.DUMMYFUNCTION("""COMPUTED_VALUE"""),44)</f>
        <v>44</v>
      </c>
      <c r="AI469" s="1">
        <f>IFERROR(__xludf.DUMMYFUNCTION("""COMPUTED_VALUE"""),44)</f>
        <v>44</v>
      </c>
      <c r="AJ469" s="1">
        <f>IFERROR(__xludf.DUMMYFUNCTION("""COMPUTED_VALUE"""),44)</f>
        <v>44</v>
      </c>
      <c r="AK469" s="1">
        <f>IFERROR(__xludf.DUMMYFUNCTION("""COMPUTED_VALUE"""),44)</f>
        <v>44</v>
      </c>
      <c r="AL469" s="1" t="str">
        <f>IFERROR(__xludf.DUMMYFUNCTION("""COMPUTED_VALUE"""),"XXG")</f>
        <v>XXG</v>
      </c>
      <c r="AM469" s="1" t="str">
        <f>IFERROR(__xludf.DUMMYFUNCTION("""COMPUTED_VALUE"""),"XXG")</f>
        <v>XXG</v>
      </c>
      <c r="AN469" s="1" t="str">
        <f>IFERROR(__xludf.DUMMYFUNCTION("""COMPUTED_VALUE"""),"G")</f>
        <v>G</v>
      </c>
    </row>
    <row r="470" customHeight="1" spans="1:40">
      <c r="A470" s="1" t="str">
        <f>IFERROR(__xludf.DUMMYFUNCTION("""COMPUTED_VALUE"""),"06° BBM")</f>
        <v>06° BBM</v>
      </c>
      <c r="B470" s="1" t="str">
        <f>IFERROR(__xludf.DUMMYFUNCTION("""COMPUTED_VALUE"""),"Encantado")</f>
        <v>Encantado</v>
      </c>
      <c r="C470" s="119" t="str">
        <f>IFERROR(__xludf.DUMMYFUNCTION("""COMPUTED_VALUE"""),"Comunitario")</f>
        <v>Comunitario</v>
      </c>
      <c r="D470" s="1" t="str">
        <f>IFERROR(__xludf.DUMMYFUNCTION("""COMPUTED_VALUE"""),"SAMIR IUNG PADILHA")</f>
        <v>SAMIR IUNG PADILHA</v>
      </c>
      <c r="E470" s="119" t="str">
        <f>IFERROR(__xludf.DUMMYFUNCTION("""COMPUTED_VALUE"""),"Curso CAB operador concluído")</f>
        <v>Curso CAB operador concluído</v>
      </c>
      <c r="F470" s="1" t="str">
        <f>IFERROR(__xludf.DUMMYFUNCTION("""COMPUTED_VALUE"""),"003.122.780-55")</f>
        <v>003.122.780-55</v>
      </c>
      <c r="G470" s="1">
        <f>IFERROR(__xludf.DUMMYFUNCTION("""COMPUTED_VALUE"""),6084727368)</f>
        <v>6084727368</v>
      </c>
      <c r="H470" s="1" t="str">
        <f>IFERROR(__xludf.DUMMYFUNCTION("""COMPUTED_VALUE"""),"CÍVIL AUXILIAR DE BOMBEIRO")</f>
        <v>CÍVIL AUXILIAR DE BOMBEIRO</v>
      </c>
      <c r="I470" s="1" t="str">
        <f>IFERROR(__xludf.DUMMYFUNCTION("""COMPUTED_VALUE"""),"operacional, resgate veicular, APH, START, ETSP, EMR, SBV, RIT")</f>
        <v>operacional, resgate veicular, APH, START, ETSP, EMR, SBV, RIT</v>
      </c>
      <c r="J470" s="1" t="str">
        <f>IFERROR(__xludf.DUMMYFUNCTION("""COMPUTED_VALUE"""),"Sim")</f>
        <v>Sim</v>
      </c>
      <c r="K470" s="1" t="str">
        <f>IFERROR(__xludf.DUMMYFUNCTION("""COMPUTED_VALUE"""),"Sim")</f>
        <v>Sim</v>
      </c>
      <c r="L470" s="1" t="str">
        <f>IFERROR(__xludf.DUMMYFUNCTION("""COMPUTED_VALUE"""),"O+")</f>
        <v>O+</v>
      </c>
      <c r="M470" s="1" t="str">
        <f>IFERROR(__xludf.DUMMYFUNCTION("""COMPUTED_VALUE"""),"PADILHA")</f>
        <v>PADILHA</v>
      </c>
      <c r="N470" s="120">
        <f>IFERROR(__xludf.DUMMYFUNCTION("""COMPUTED_VALUE"""),29319)</f>
        <v>29319</v>
      </c>
      <c r="O470" s="1" t="str">
        <f>IFERROR(__xludf.DUMMYFUNCTION("""COMPUTED_VALUE"""),"Masculino")</f>
        <v>Masculino</v>
      </c>
      <c r="P470" s="1" t="str">
        <f>IFERROR(__xludf.DUMMYFUNCTION("""COMPUTED_VALUE"""),"Branca")</f>
        <v>Branca</v>
      </c>
      <c r="Q470" s="1" t="str">
        <f>IFERROR(__xludf.DUMMYFUNCTION("""COMPUTED_VALUE"""),"Ensino Superior Incompleto")</f>
        <v>Ensino Superior Incompleto</v>
      </c>
      <c r="R470" s="1" t="str">
        <f>IFERROR(__xludf.DUMMYFUNCTION("""COMPUTED_VALUE"""),"samirpadilha@hotmail.com")</f>
        <v>samirpadilha@hotmail.com</v>
      </c>
      <c r="S470" s="1" t="str">
        <f>IFERROR(__xludf.DUMMYFUNCTION("""COMPUTED_VALUE"""),"79kg")</f>
        <v>79kg</v>
      </c>
      <c r="T470" s="1" t="str">
        <f>IFERROR(__xludf.DUMMYFUNCTION("""COMPUTED_VALUE"""),"Entre 1,66m e 1,70m")</f>
        <v>Entre 1,66m e 1,70m</v>
      </c>
      <c r="U470" s="1" t="str">
        <f>IFERROR(__xludf.DUMMYFUNCTION("""COMPUTED_VALUE"""),"Não POSSUI")</f>
        <v>Não POSSUI</v>
      </c>
      <c r="V470" s="1" t="str">
        <f>IFERROR(__xludf.DUMMYFUNCTION("""COMPUTED_VALUE"""),"(51)99603-1344")</f>
        <v>(51)99603-1344</v>
      </c>
      <c r="W470" s="1" t="str">
        <f>IFERROR(__xludf.DUMMYFUNCTION("""COMPUTED_VALUE"""),"(51)99679-3293")</f>
        <v>(51)99679-3293</v>
      </c>
      <c r="X470" s="1" t="str">
        <f>IFERROR(__xludf.DUMMYFUNCTION("""COMPUTED_VALUE"""),"RIO GRANDE DO SUL")</f>
        <v>RIO GRANDE DO SUL</v>
      </c>
      <c r="Y470" s="1" t="str">
        <f>IFERROR(__xludf.DUMMYFUNCTION("""COMPUTED_VALUE"""),"Encantado")</f>
        <v>Encantado</v>
      </c>
      <c r="Z470" s="1" t="str">
        <f>IFERROR(__xludf.DUMMYFUNCTION("""COMPUTED_VALUE"""),"95960-000")</f>
        <v>95960-000</v>
      </c>
      <c r="AA470" s="1" t="str">
        <f>IFERROR(__xludf.DUMMYFUNCTION("""COMPUTED_VALUE"""),"RUA BRASIL 88")</f>
        <v>RUA BRASIL 88</v>
      </c>
      <c r="AB470" s="1" t="str">
        <f>IFERROR(__xludf.DUMMYFUNCTION("""COMPUTED_VALUE"""),"LAGO AZUL")</f>
        <v>LAGO AZUL</v>
      </c>
      <c r="AC470" s="1" t="str">
        <f>IFERROR(__xludf.DUMMYFUNCTION("""COMPUTED_VALUE"""),"M")</f>
        <v>M</v>
      </c>
      <c r="AD470" s="1" t="str">
        <f>IFERROR(__xludf.DUMMYFUNCTION("""COMPUTED_VALUE"""),"M")</f>
        <v>M</v>
      </c>
      <c r="AE470" s="1" t="str">
        <f>IFERROR(__xludf.DUMMYFUNCTION("""COMPUTED_VALUE"""),"M")</f>
        <v>M</v>
      </c>
      <c r="AF470" s="1" t="str">
        <f>IFERROR(__xludf.DUMMYFUNCTION("""COMPUTED_VALUE"""),"M")</f>
        <v>M</v>
      </c>
      <c r="AG470" s="1" t="str">
        <f>IFERROR(__xludf.DUMMYFUNCTION("""COMPUTED_VALUE"""),"M")</f>
        <v>M</v>
      </c>
      <c r="AH470" s="1">
        <f>IFERROR(__xludf.DUMMYFUNCTION("""COMPUTED_VALUE"""),39)</f>
        <v>39</v>
      </c>
      <c r="AI470" s="1">
        <f>IFERROR(__xludf.DUMMYFUNCTION("""COMPUTED_VALUE"""),39)</f>
        <v>39</v>
      </c>
      <c r="AJ470" s="1">
        <f>IFERROR(__xludf.DUMMYFUNCTION("""COMPUTED_VALUE"""),39)</f>
        <v>39</v>
      </c>
      <c r="AK470" s="1">
        <f>IFERROR(__xludf.DUMMYFUNCTION("""COMPUTED_VALUE"""),39)</f>
        <v>39</v>
      </c>
      <c r="AL470" s="1" t="str">
        <f>IFERROR(__xludf.DUMMYFUNCTION("""COMPUTED_VALUE"""),"M")</f>
        <v>M</v>
      </c>
      <c r="AM470" s="1" t="str">
        <f>IFERROR(__xludf.DUMMYFUNCTION("""COMPUTED_VALUE"""),"M")</f>
        <v>M</v>
      </c>
      <c r="AN470" s="1" t="str">
        <f>IFERROR(__xludf.DUMMYFUNCTION("""COMPUTED_VALUE"""),"M")</f>
        <v>M</v>
      </c>
    </row>
    <row r="471" customHeight="1" spans="1:40">
      <c r="A471" s="1" t="str">
        <f>IFERROR(__xludf.DUMMYFUNCTION("""COMPUTED_VALUE"""),"06° BBM")</f>
        <v>06° BBM</v>
      </c>
      <c r="B471" s="1" t="str">
        <f>IFERROR(__xludf.DUMMYFUNCTION("""COMPUTED_VALUE"""),"Encantado")</f>
        <v>Encantado</v>
      </c>
      <c r="C471" s="119" t="str">
        <f>IFERROR(__xludf.DUMMYFUNCTION("""COMPUTED_VALUE"""),"Comunitario")</f>
        <v>Comunitario</v>
      </c>
      <c r="D471" s="1" t="str">
        <f>IFERROR(__xludf.DUMMYFUNCTION("""COMPUTED_VALUE"""),"SERGIO BARRONIO")</f>
        <v>SERGIO BARRONIO</v>
      </c>
      <c r="E471" s="119" t="str">
        <f>IFERROR(__xludf.DUMMYFUNCTION("""COMPUTED_VALUE"""),"Curso CAB operador concluído")</f>
        <v>Curso CAB operador concluído</v>
      </c>
      <c r="F471" s="1" t="str">
        <f>IFERROR(__xludf.DUMMYFUNCTION("""COMPUTED_VALUE"""),"482.909.550-49")</f>
        <v>482.909.550-49</v>
      </c>
      <c r="G471" s="1">
        <f>IFERROR(__xludf.DUMMYFUNCTION("""COMPUTED_VALUE"""),9038281731)</f>
        <v>9038281731</v>
      </c>
      <c r="H471" s="1" t="str">
        <f>IFERROR(__xludf.DUMMYFUNCTION("""COMPUTED_VALUE"""),"CIVIL AUXILIAR")</f>
        <v>CIVIL AUXILIAR</v>
      </c>
      <c r="I471" s="1" t="str">
        <f>IFERROR(__xludf.DUMMYFUNCTION("""COMPUTED_VALUE"""),"OPERACIONAL RESGATISTA, RESGATE VEICULAR, APH")</f>
        <v>OPERACIONAL RESGATISTA, RESGATE VEICULAR, APH</v>
      </c>
      <c r="J471" s="1" t="str">
        <f>IFERROR(__xludf.DUMMYFUNCTION("""COMPUTED_VALUE"""),"Sim")</f>
        <v>Sim</v>
      </c>
      <c r="K471" s="1" t="str">
        <f>IFERROR(__xludf.DUMMYFUNCTION("""COMPUTED_VALUE"""),"Sim")</f>
        <v>Sim</v>
      </c>
      <c r="L471" s="1" t="str">
        <f>IFERROR(__xludf.DUMMYFUNCTION("""COMPUTED_VALUE"""),"O+")</f>
        <v>O+</v>
      </c>
      <c r="M471" s="1" t="str">
        <f>IFERROR(__xludf.DUMMYFUNCTION("""COMPUTED_VALUE"""),"BARRONIO")</f>
        <v>BARRONIO</v>
      </c>
      <c r="N471" s="120">
        <f>IFERROR(__xludf.DUMMYFUNCTION("""COMPUTED_VALUE"""),23827)</f>
        <v>23827</v>
      </c>
      <c r="O471" s="1" t="str">
        <f>IFERROR(__xludf.DUMMYFUNCTION("""COMPUTED_VALUE"""),"Masculino")</f>
        <v>Masculino</v>
      </c>
      <c r="P471" s="1" t="str">
        <f>IFERROR(__xludf.DUMMYFUNCTION("""COMPUTED_VALUE"""),"Branca")</f>
        <v>Branca</v>
      </c>
      <c r="Q471" s="1" t="str">
        <f>IFERROR(__xludf.DUMMYFUNCTION("""COMPUTED_VALUE"""),"Ensino Médio")</f>
        <v>Ensino Médio</v>
      </c>
      <c r="R471" s="1" t="str">
        <f>IFERROR(__xludf.DUMMYFUNCTION("""COMPUTED_VALUE"""),"sergiobarronio5@gmail.com")</f>
        <v>sergiobarronio5@gmail.com</v>
      </c>
      <c r="S471" s="1" t="str">
        <f>IFERROR(__xludf.DUMMYFUNCTION("""COMPUTED_VALUE"""),"67kg")</f>
        <v>67kg</v>
      </c>
      <c r="T471" s="1" t="str">
        <f>IFERROR(__xludf.DUMMYFUNCTION("""COMPUTED_VALUE"""),"Entre 1,61m e 1,65m")</f>
        <v>Entre 1,61m e 1,65m</v>
      </c>
      <c r="U471" s="1" t="str">
        <f>IFERROR(__xludf.DUMMYFUNCTION("""COMPUTED_VALUE"""),"Não POSSUI")</f>
        <v>Não POSSUI</v>
      </c>
      <c r="V471" s="1" t="str">
        <f>IFERROR(__xludf.DUMMYFUNCTION("""COMPUTED_VALUE"""),"(51)98938-3288")</f>
        <v>(51)98938-3288</v>
      </c>
      <c r="W471" s="1" t="str">
        <f>IFERROR(__xludf.DUMMYFUNCTION("""COMPUTED_VALUE"""),"(51)99783-7947")</f>
        <v>(51)99783-7947</v>
      </c>
      <c r="X471" s="1" t="str">
        <f>IFERROR(__xludf.DUMMYFUNCTION("""COMPUTED_VALUE"""),"RIO GRANDE DO SUL")</f>
        <v>RIO GRANDE DO SUL</v>
      </c>
      <c r="Y471" s="1" t="str">
        <f>IFERROR(__xludf.DUMMYFUNCTION("""COMPUTED_VALUE"""),"Encantado")</f>
        <v>Encantado</v>
      </c>
      <c r="Z471" s="1" t="str">
        <f>IFERROR(__xludf.DUMMYFUNCTION("""COMPUTED_VALUE"""),"95960-000")</f>
        <v>95960-000</v>
      </c>
      <c r="AA471" s="1" t="str">
        <f>IFERROR(__xludf.DUMMYFUNCTION("""COMPUTED_VALUE"""),"RUA VENEZA, 182")</f>
        <v>RUA VENEZA, 182</v>
      </c>
      <c r="AB471" s="1" t="str">
        <f>IFERROR(__xludf.DUMMYFUNCTION("""COMPUTED_VALUE"""),"SANTO ANTAO")</f>
        <v>SANTO ANTAO</v>
      </c>
      <c r="AC471" s="1" t="str">
        <f>IFERROR(__xludf.DUMMYFUNCTION("""COMPUTED_VALUE"""),"P")</f>
        <v>P</v>
      </c>
      <c r="AD471" s="1" t="str">
        <f>IFERROR(__xludf.DUMMYFUNCTION("""COMPUTED_VALUE"""),"P")</f>
        <v>P</v>
      </c>
      <c r="AE471" s="1" t="str">
        <f>IFERROR(__xludf.DUMMYFUNCTION("""COMPUTED_VALUE"""),"P")</f>
        <v>P</v>
      </c>
      <c r="AF471" s="1" t="str">
        <f>IFERROR(__xludf.DUMMYFUNCTION("""COMPUTED_VALUE"""),"P")</f>
        <v>P</v>
      </c>
      <c r="AG471" s="1" t="str">
        <f>IFERROR(__xludf.DUMMYFUNCTION("""COMPUTED_VALUE"""),"M")</f>
        <v>M</v>
      </c>
      <c r="AH471" s="1">
        <f>IFERROR(__xludf.DUMMYFUNCTION("""COMPUTED_VALUE"""),39)</f>
        <v>39</v>
      </c>
      <c r="AI471" s="1">
        <f>IFERROR(__xludf.DUMMYFUNCTION("""COMPUTED_VALUE"""),39)</f>
        <v>39</v>
      </c>
      <c r="AJ471" s="1">
        <f>IFERROR(__xludf.DUMMYFUNCTION("""COMPUTED_VALUE"""),39)</f>
        <v>39</v>
      </c>
      <c r="AK471" s="1">
        <f>IFERROR(__xludf.DUMMYFUNCTION("""COMPUTED_VALUE"""),40)</f>
        <v>40</v>
      </c>
      <c r="AL471" s="1" t="str">
        <f>IFERROR(__xludf.DUMMYFUNCTION("""COMPUTED_VALUE"""),"P")</f>
        <v>P</v>
      </c>
      <c r="AM471" s="1" t="str">
        <f>IFERROR(__xludf.DUMMYFUNCTION("""COMPUTED_VALUE"""),"P")</f>
        <v>P</v>
      </c>
      <c r="AN471" s="1" t="str">
        <f>IFERROR(__xludf.DUMMYFUNCTION("""COMPUTED_VALUE"""),"M")</f>
        <v>M</v>
      </c>
    </row>
    <row r="472" customHeight="1" spans="1:40">
      <c r="A472" s="1" t="str">
        <f>IFERROR(__xludf.DUMMYFUNCTION("""COMPUTED_VALUE"""),"06° BBM")</f>
        <v>06° BBM</v>
      </c>
      <c r="B472" s="1" t="str">
        <f>IFERROR(__xludf.DUMMYFUNCTION("""COMPUTED_VALUE"""),"Arambaré")</f>
        <v>Arambaré</v>
      </c>
      <c r="C472" s="119" t="str">
        <f>IFERROR(__xludf.DUMMYFUNCTION("""COMPUTED_VALUE"""),"CAB")</f>
        <v>CAB</v>
      </c>
      <c r="D472" s="1" t="str">
        <f>IFERROR(__xludf.DUMMYFUNCTION("""COMPUTED_VALUE"""),"SOLANGE BEATRIZ NUNES BARBOSA")</f>
        <v>SOLANGE BEATRIZ NUNES BARBOSA</v>
      </c>
      <c r="E472" s="119" t="str">
        <f>IFERROR(__xludf.DUMMYFUNCTION("""COMPUTED_VALUE"""),"Curso CAB operador concluído")</f>
        <v>Curso CAB operador concluído</v>
      </c>
      <c r="F472" s="1" t="str">
        <f>IFERROR(__xludf.DUMMYFUNCTION("""COMPUTED_VALUE"""),"651.094.730-72")</f>
        <v>651.094.730-72</v>
      </c>
      <c r="G472" s="1">
        <f>IFERROR(__xludf.DUMMYFUNCTION("""COMPUTED_VALUE"""),6061806284)</f>
        <v>6061806284</v>
      </c>
      <c r="H472" s="1" t="str">
        <f>IFERROR(__xludf.DUMMYFUNCTION("""COMPUTED_VALUE"""),"CAB-Subcoordenador-Administrativo")</f>
        <v>CAB-Subcoordenador-Administrativo</v>
      </c>
      <c r="I472" s="1" t="str">
        <f>IFERROR(__xludf.DUMMYFUNCTION("""COMPUTED_VALUE"""),"Bombeiro Civil; APH e BLS")</f>
        <v>Bombeiro Civil; APH e BLS</v>
      </c>
      <c r="J472" s="1" t="str">
        <f>IFERROR(__xludf.DUMMYFUNCTION("""COMPUTED_VALUE"""),"Não")</f>
        <v>Não</v>
      </c>
      <c r="K472" s="1" t="str">
        <f>IFERROR(__xludf.DUMMYFUNCTION("""COMPUTED_VALUE"""),"Sim")</f>
        <v>Sim</v>
      </c>
      <c r="L472" s="1" t="str">
        <f>IFERROR(__xludf.DUMMYFUNCTION("""COMPUTED_VALUE"""),"A+")</f>
        <v>A+</v>
      </c>
      <c r="M472" s="1" t="str">
        <f>IFERROR(__xludf.DUMMYFUNCTION("""COMPUTED_VALUE"""),"BARBOSA")</f>
        <v>BARBOSA</v>
      </c>
      <c r="N472" s="121">
        <f>IFERROR(__xludf.DUMMYFUNCTION("""COMPUTED_VALUE"""),27328)</f>
        <v>27328</v>
      </c>
      <c r="O472" s="1" t="str">
        <f>IFERROR(__xludf.DUMMYFUNCTION("""COMPUTED_VALUE"""),"Feminino")</f>
        <v>Feminino</v>
      </c>
      <c r="P472" s="1" t="str">
        <f>IFERROR(__xludf.DUMMYFUNCTION("""COMPUTED_VALUE"""),"Branca")</f>
        <v>Branca</v>
      </c>
      <c r="Q472" s="1" t="str">
        <f>IFERROR(__xludf.DUMMYFUNCTION("""COMPUTED_VALUE"""),"Ensino Médio")</f>
        <v>Ensino Médio</v>
      </c>
      <c r="R472" s="1" t="str">
        <f>IFERROR(__xludf.DUMMYFUNCTION("""COMPUTED_VALUE"""),"solangenunesbarbosa0@gmail.com")</f>
        <v>solangenunesbarbosa0@gmail.com</v>
      </c>
      <c r="S472" s="1">
        <f>IFERROR(__xludf.DUMMYFUNCTION("""COMPUTED_VALUE"""),50)</f>
        <v>50</v>
      </c>
      <c r="T472" s="1" t="str">
        <f>IFERROR(__xludf.DUMMYFUNCTION("""COMPUTED_VALUE"""),"Entre 1,50m e 1,55m")</f>
        <v>Entre 1,50m e 1,55m</v>
      </c>
      <c r="U472" s="1" t="str">
        <f>IFERROR(__xludf.DUMMYFUNCTION("""COMPUTED_VALUE"""),"Não POSSUI")</f>
        <v>Não POSSUI</v>
      </c>
      <c r="V472" s="1" t="str">
        <f>IFERROR(__xludf.DUMMYFUNCTION("""COMPUTED_VALUE"""),"(51)99541-6604")</f>
        <v>(51)99541-6604</v>
      </c>
      <c r="W472" s="1" t="str">
        <f>IFERROR(__xludf.DUMMYFUNCTION("""COMPUTED_VALUE"""),"(51)99541-6605")</f>
        <v>(51)99541-6605</v>
      </c>
      <c r="X472" s="1" t="str">
        <f>IFERROR(__xludf.DUMMYFUNCTION("""COMPUTED_VALUE"""),"RIO GRANDE DO SUL")</f>
        <v>RIO GRANDE DO SUL</v>
      </c>
      <c r="Y472" s="1" t="str">
        <f>IFERROR(__xludf.DUMMYFUNCTION("""COMPUTED_VALUE"""),"Arambaré")</f>
        <v>Arambaré</v>
      </c>
      <c r="Z472" s="1">
        <f>IFERROR(__xludf.DUMMYFUNCTION("""COMPUTED_VALUE"""),96180000)</f>
        <v>96180000</v>
      </c>
      <c r="AA472" s="1" t="str">
        <f>IFERROR(__xludf.DUMMYFUNCTION("""COMPUTED_VALUE"""),"Rua do Calçadão n° 10")</f>
        <v>Rua do Calçadão n° 10</v>
      </c>
      <c r="AB472" s="1" t="str">
        <f>IFERROR(__xludf.DUMMYFUNCTION("""COMPUTED_VALUE"""),"CENTRO")</f>
        <v>CENTRO</v>
      </c>
      <c r="AC472" s="1" t="str">
        <f>IFERROR(__xludf.DUMMYFUNCTION("""COMPUTED_VALUE"""),"M")</f>
        <v>M</v>
      </c>
      <c r="AD472" s="1" t="str">
        <f>IFERROR(__xludf.DUMMYFUNCTION("""COMPUTED_VALUE"""),"M")</f>
        <v>M</v>
      </c>
      <c r="AE472" s="1" t="str">
        <f>IFERROR(__xludf.DUMMYFUNCTION("""COMPUTED_VALUE"""),"M")</f>
        <v>M</v>
      </c>
      <c r="AF472" s="1" t="str">
        <f>IFERROR(__xludf.DUMMYFUNCTION("""COMPUTED_VALUE"""),"M")</f>
        <v>M</v>
      </c>
      <c r="AG472" s="1" t="str">
        <f>IFERROR(__xludf.DUMMYFUNCTION("""COMPUTED_VALUE"""),"M")</f>
        <v>M</v>
      </c>
      <c r="AH472" s="1">
        <f>IFERROR(__xludf.DUMMYFUNCTION("""COMPUTED_VALUE"""),35)</f>
        <v>35</v>
      </c>
      <c r="AI472" s="1">
        <f>IFERROR(__xludf.DUMMYFUNCTION("""COMPUTED_VALUE"""),35)</f>
        <v>35</v>
      </c>
      <c r="AJ472" s="1">
        <f>IFERROR(__xludf.DUMMYFUNCTION("""COMPUTED_VALUE"""),35)</f>
        <v>35</v>
      </c>
      <c r="AK472" s="1">
        <f>IFERROR(__xludf.DUMMYFUNCTION("""COMPUTED_VALUE"""),34)</f>
        <v>34</v>
      </c>
      <c r="AL472" s="1" t="str">
        <f>IFERROR(__xludf.DUMMYFUNCTION("""COMPUTED_VALUE"""),"M")</f>
        <v>M</v>
      </c>
      <c r="AM472" s="1" t="str">
        <f>IFERROR(__xludf.DUMMYFUNCTION("""COMPUTED_VALUE"""),"M")</f>
        <v>M</v>
      </c>
      <c r="AN472" s="1" t="str">
        <f>IFERROR(__xludf.DUMMYFUNCTION("""COMPUTED_VALUE"""),"P")</f>
        <v>P</v>
      </c>
    </row>
    <row r="473" customHeight="1" spans="1:40">
      <c r="A473" s="1" t="str">
        <f>IFERROR(__xludf.DUMMYFUNCTION("""COMPUTED_VALUE"""),"06° BBM")</f>
        <v>06° BBM</v>
      </c>
      <c r="B473" s="1" t="str">
        <f>IFERROR(__xludf.DUMMYFUNCTION("""COMPUTED_VALUE"""),"Camaquã")</f>
        <v>Camaquã</v>
      </c>
      <c r="C473" s="119" t="str">
        <f>IFERROR(__xludf.DUMMYFUNCTION("""COMPUTED_VALUE"""),"Comunitario")</f>
        <v>Comunitario</v>
      </c>
      <c r="D473" s="1" t="str">
        <f>IFERROR(__xludf.DUMMYFUNCTION("""COMPUTED_VALUE"""),"VAGNER ELPIDIO SERRRATTE")</f>
        <v>VAGNER ELPIDIO SERRRATTE</v>
      </c>
      <c r="E473" s="119" t="str">
        <f>IFERROR(__xludf.DUMMYFUNCTION("""COMPUTED_VALUE"""),"Curso CAB operador concluído")</f>
        <v>Curso CAB operador concluído</v>
      </c>
      <c r="F473" s="1" t="str">
        <f>IFERROR(__xludf.DUMMYFUNCTION("""COMPUTED_VALUE"""),"922096880-00")</f>
        <v>922096880-00</v>
      </c>
      <c r="G473" s="1">
        <f>IFERROR(__xludf.DUMMYFUNCTION("""COMPUTED_VALUE"""),3055279362)</f>
        <v>3055279362</v>
      </c>
      <c r="H473" s="1" t="str">
        <f>IFERROR(__xludf.DUMMYFUNCTION("""COMPUTED_VALUE"""),"Combatente")</f>
        <v>Combatente</v>
      </c>
      <c r="I473" s="1"/>
      <c r="J473" s="1" t="str">
        <f>IFERROR(__xludf.DUMMYFUNCTION("""COMPUTED_VALUE"""),"Sim")</f>
        <v>Sim</v>
      </c>
      <c r="K473" s="1" t="str">
        <f>IFERROR(__xludf.DUMMYFUNCTION("""COMPUTED_VALUE"""),"Sim")</f>
        <v>Sim</v>
      </c>
      <c r="L473" s="1" t="str">
        <f>IFERROR(__xludf.DUMMYFUNCTION("""COMPUTED_VALUE"""),"O+")</f>
        <v>O+</v>
      </c>
      <c r="M473" s="1" t="str">
        <f>IFERROR(__xludf.DUMMYFUNCTION("""COMPUTED_VALUE"""),"SERRRATTE")</f>
        <v>SERRRATTE</v>
      </c>
      <c r="N473" s="120">
        <f>IFERROR(__xludf.DUMMYFUNCTION("""COMPUTED_VALUE"""),28737)</f>
        <v>28737</v>
      </c>
      <c r="O473" s="1" t="str">
        <f>IFERROR(__xludf.DUMMYFUNCTION("""COMPUTED_VALUE"""),"Masculino")</f>
        <v>Masculino</v>
      </c>
      <c r="P473" s="1" t="str">
        <f>IFERROR(__xludf.DUMMYFUNCTION("""COMPUTED_VALUE"""),"Branca")</f>
        <v>Branca</v>
      </c>
      <c r="Q473" s="1" t="str">
        <f>IFERROR(__xludf.DUMMYFUNCTION("""COMPUTED_VALUE"""),"Ensino Médio")</f>
        <v>Ensino Médio</v>
      </c>
      <c r="R473" s="1" t="str">
        <f>IFERROR(__xludf.DUMMYFUNCTION("""COMPUTED_VALUE"""),"vagnerserratte@hotmail.com")</f>
        <v>vagnerserratte@hotmail.com</v>
      </c>
      <c r="S473" s="1">
        <f>IFERROR(__xludf.DUMMYFUNCTION("""COMPUTED_VALUE"""),84)</f>
        <v>84</v>
      </c>
      <c r="T473" s="1" t="str">
        <f>IFERROR(__xludf.DUMMYFUNCTION("""COMPUTED_VALUE"""),"Entre 1,66m e 1,70m")</f>
        <v>Entre 1,66m e 1,70m</v>
      </c>
      <c r="U473" s="1" t="str">
        <f>IFERROR(__xludf.DUMMYFUNCTION("""COMPUTED_VALUE"""),"Não POSSUI")</f>
        <v>Não POSSUI</v>
      </c>
      <c r="V473" s="1" t="str">
        <f>IFERROR(__xludf.DUMMYFUNCTION("""COMPUTED_VALUE"""),"(51)99890-6358")</f>
        <v>(51)99890-6358</v>
      </c>
      <c r="W473" s="1" t="str">
        <f>IFERROR(__xludf.DUMMYFUNCTION("""COMPUTED_VALUE"""),"(51)99862-3313")</f>
        <v>(51)99862-3313</v>
      </c>
      <c r="X473" s="1" t="str">
        <f>IFERROR(__xludf.DUMMYFUNCTION("""COMPUTED_VALUE"""),"RS")</f>
        <v>RS</v>
      </c>
      <c r="Y473" s="1" t="str">
        <f>IFERROR(__xludf.DUMMYFUNCTION("""COMPUTED_VALUE"""),"Camaquã")</f>
        <v>Camaquã</v>
      </c>
      <c r="Z473" s="1">
        <f>IFERROR(__xludf.DUMMYFUNCTION("""COMPUTED_VALUE"""),96180000)</f>
        <v>96180000</v>
      </c>
      <c r="AA473" s="1" t="str">
        <f>IFERROR(__xludf.DUMMYFUNCTION("""COMPUTED_VALUE"""),"ERNANI SILVEIRA N° 350 AP 305")</f>
        <v>ERNANI SILVEIRA N° 350 AP 305</v>
      </c>
      <c r="AB473" s="1" t="str">
        <f>IFERROR(__xludf.DUMMYFUNCTION("""COMPUTED_VALUE"""),"OLARIA")</f>
        <v>OLARIA</v>
      </c>
      <c r="AC473" s="1" t="str">
        <f>IFERROR(__xludf.DUMMYFUNCTION("""COMPUTED_VALUE"""),"GG")</f>
        <v>GG</v>
      </c>
      <c r="AD473" s="1" t="str">
        <f>IFERROR(__xludf.DUMMYFUNCTION("""COMPUTED_VALUE"""),"GG")</f>
        <v>GG</v>
      </c>
      <c r="AE473" s="1" t="str">
        <f>IFERROR(__xludf.DUMMYFUNCTION("""COMPUTED_VALUE"""),"GG")</f>
        <v>GG</v>
      </c>
      <c r="AF473" s="1" t="str">
        <f>IFERROR(__xludf.DUMMYFUNCTION("""COMPUTED_VALUE"""),"G")</f>
        <v>G</v>
      </c>
      <c r="AG473" s="1" t="str">
        <f>IFERROR(__xludf.DUMMYFUNCTION("""COMPUTED_VALUE"""),"G")</f>
        <v>G</v>
      </c>
      <c r="AH473" s="1">
        <f>IFERROR(__xludf.DUMMYFUNCTION("""COMPUTED_VALUE"""),40)</f>
        <v>40</v>
      </c>
      <c r="AI473" s="1">
        <f>IFERROR(__xludf.DUMMYFUNCTION("""COMPUTED_VALUE"""),40)</f>
        <v>40</v>
      </c>
      <c r="AJ473" s="1">
        <f>IFERROR(__xludf.DUMMYFUNCTION("""COMPUTED_VALUE"""),40)</f>
        <v>40</v>
      </c>
      <c r="AK473" s="1">
        <f>IFERROR(__xludf.DUMMYFUNCTION("""COMPUTED_VALUE"""),40)</f>
        <v>40</v>
      </c>
      <c r="AL473" s="1" t="str">
        <f>IFERROR(__xludf.DUMMYFUNCTION("""COMPUTED_VALUE"""),"G")</f>
        <v>G</v>
      </c>
      <c r="AM473" s="1" t="str">
        <f>IFERROR(__xludf.DUMMYFUNCTION("""COMPUTED_VALUE"""),"GG")</f>
        <v>GG</v>
      </c>
      <c r="AN473" s="1" t="str">
        <f>IFERROR(__xludf.DUMMYFUNCTION("""COMPUTED_VALUE"""),"G")</f>
        <v>G</v>
      </c>
    </row>
    <row r="474" customHeight="1" spans="1:40">
      <c r="A474" s="1" t="str">
        <f>IFERROR(__xludf.DUMMYFUNCTION("""COMPUTED_VALUE"""),"06° BBM")</f>
        <v>06° BBM</v>
      </c>
      <c r="B474" s="1" t="str">
        <f>IFERROR(__xludf.DUMMYFUNCTION("""COMPUTED_VALUE"""),"Vera Cruz")</f>
        <v>Vera Cruz</v>
      </c>
      <c r="C474" s="119" t="str">
        <f>IFERROR(__xludf.DUMMYFUNCTION("""COMPUTED_VALUE"""),"Comunitario")</f>
        <v>Comunitario</v>
      </c>
      <c r="D474" s="1" t="str">
        <f>IFERROR(__xludf.DUMMYFUNCTION("""COMPUTED_VALUE"""),"VALDECIR ANTON")</f>
        <v>VALDECIR ANTON</v>
      </c>
      <c r="E474" s="119" t="str">
        <f>IFERROR(__xludf.DUMMYFUNCTION("""COMPUTED_VALUE"""),"Curso CAB operador concluído")</f>
        <v>Curso CAB operador concluído</v>
      </c>
      <c r="F474" s="1" t="str">
        <f>IFERROR(__xludf.DUMMYFUNCTION("""COMPUTED_VALUE"""),"024.262.730-70")</f>
        <v>024.262.730-70</v>
      </c>
      <c r="G474" s="1">
        <f>IFERROR(__xludf.DUMMYFUNCTION("""COMPUTED_VALUE"""),6109661121)</f>
        <v>6109661121</v>
      </c>
      <c r="H474" s="1" t="str">
        <f>IFERROR(__xludf.DUMMYFUNCTION("""COMPUTED_VALUE"""),"Combatente/Socorrista")</f>
        <v>Combatente/Socorrista</v>
      </c>
      <c r="I474" s="1" t="str">
        <f>IFERROR(__xludf.DUMMYFUNCTION("""COMPUTED_VALUE"""),"APH e BLS/ Bombeiro Civil")</f>
        <v>APH e BLS/ Bombeiro Civil</v>
      </c>
      <c r="J474" s="1" t="str">
        <f>IFERROR(__xludf.DUMMYFUNCTION("""COMPUTED_VALUE"""),"Não")</f>
        <v>Não</v>
      </c>
      <c r="K474" s="1" t="str">
        <f>IFERROR(__xludf.DUMMYFUNCTION("""COMPUTED_VALUE"""),"Sim")</f>
        <v>Sim</v>
      </c>
      <c r="L474" s="1" t="str">
        <f>IFERROR(__xludf.DUMMYFUNCTION("""COMPUTED_VALUE"""),"O+")</f>
        <v>O+</v>
      </c>
      <c r="M474" s="1" t="str">
        <f>IFERROR(__xludf.DUMMYFUNCTION("""COMPUTED_VALUE"""),"Valdecir")</f>
        <v>Valdecir</v>
      </c>
      <c r="N474" s="120">
        <f>IFERROR(__xludf.DUMMYFUNCTION("""COMPUTED_VALUE"""),33874)</f>
        <v>33874</v>
      </c>
      <c r="O474" s="1" t="str">
        <f>IFERROR(__xludf.DUMMYFUNCTION("""COMPUTED_VALUE"""),"Masculino")</f>
        <v>Masculino</v>
      </c>
      <c r="P474" s="1" t="str">
        <f>IFERROR(__xludf.DUMMYFUNCTION("""COMPUTED_VALUE"""),"Branca")</f>
        <v>Branca</v>
      </c>
      <c r="Q474" s="1" t="str">
        <f>IFERROR(__xludf.DUMMYFUNCTION("""COMPUTED_VALUE"""),"Ensino Superior Completo")</f>
        <v>Ensino Superior Completo</v>
      </c>
      <c r="R474" s="1" t="str">
        <f>IFERROR(__xludf.DUMMYFUNCTION("""COMPUTED_VALUE"""),"valdecir22anton@gmail.com")</f>
        <v>valdecir22anton@gmail.com</v>
      </c>
      <c r="S474" s="1">
        <f>IFERROR(__xludf.DUMMYFUNCTION("""COMPUTED_VALUE"""),66)</f>
        <v>66</v>
      </c>
      <c r="T474" s="1" t="str">
        <f>IFERROR(__xludf.DUMMYFUNCTION("""COMPUTED_VALUE"""),"Entre 1,76m e 1,80m")</f>
        <v>Entre 1,76m e 1,80m</v>
      </c>
      <c r="U474" s="1" t="str">
        <f>IFERROR(__xludf.DUMMYFUNCTION("""COMPUTED_VALUE"""),"Não POSSUI")</f>
        <v>Não POSSUI</v>
      </c>
      <c r="V474" s="1" t="str">
        <f>IFERROR(__xludf.DUMMYFUNCTION("""COMPUTED_VALUE"""),"(51) 99301-2620")</f>
        <v>(51) 99301-2620</v>
      </c>
      <c r="W474" s="1" t="str">
        <f>IFERROR(__xludf.DUMMYFUNCTION("""COMPUTED_VALUE"""),"(51) 99331-0404")</f>
        <v>(51) 99331-0404</v>
      </c>
      <c r="X474" s="1" t="str">
        <f>IFERROR(__xludf.DUMMYFUNCTION("""COMPUTED_VALUE"""),"RS")</f>
        <v>RS</v>
      </c>
      <c r="Y474" s="1" t="str">
        <f>IFERROR(__xludf.DUMMYFUNCTION("""COMPUTED_VALUE"""),"Santa Cruz do Sul")</f>
        <v>Santa Cruz do Sul</v>
      </c>
      <c r="Z474" s="1" t="str">
        <f>IFERROR(__xludf.DUMMYFUNCTION("""COMPUTED_VALUE"""),"96835-160")</f>
        <v>96835-160</v>
      </c>
      <c r="AA474" s="1" t="str">
        <f>IFERROR(__xludf.DUMMYFUNCTION("""COMPUTED_VALUE"""),"Rua Itaqui Nº 19")</f>
        <v>Rua Itaqui Nº 19</v>
      </c>
      <c r="AB474" s="1" t="str">
        <f>IFERROR(__xludf.DUMMYFUNCTION("""COMPUTED_VALUE"""),"Arroio Grande")</f>
        <v>Arroio Grande</v>
      </c>
      <c r="AC474" s="1" t="str">
        <f>IFERROR(__xludf.DUMMYFUNCTION("""COMPUTED_VALUE"""),"M")</f>
        <v>M</v>
      </c>
      <c r="AD474" s="1" t="str">
        <f>IFERROR(__xludf.DUMMYFUNCTION("""COMPUTED_VALUE"""),"M")</f>
        <v>M</v>
      </c>
      <c r="AE474" s="1" t="str">
        <f>IFERROR(__xludf.DUMMYFUNCTION("""COMPUTED_VALUE"""),"M")</f>
        <v>M</v>
      </c>
      <c r="AF474" s="1" t="str">
        <f>IFERROR(__xludf.DUMMYFUNCTION("""COMPUTED_VALUE"""),"M")</f>
        <v>M</v>
      </c>
      <c r="AG474" s="1" t="str">
        <f>IFERROR(__xludf.DUMMYFUNCTION("""COMPUTED_VALUE"""),"M")</f>
        <v>M</v>
      </c>
      <c r="AH474" s="1">
        <f>IFERROR(__xludf.DUMMYFUNCTION("""COMPUTED_VALUE"""),42)</f>
        <v>42</v>
      </c>
      <c r="AI474" s="1">
        <f>IFERROR(__xludf.DUMMYFUNCTION("""COMPUTED_VALUE"""),42)</f>
        <v>42</v>
      </c>
      <c r="AJ474" s="1">
        <f>IFERROR(__xludf.DUMMYFUNCTION("""COMPUTED_VALUE"""),42)</f>
        <v>42</v>
      </c>
      <c r="AK474" s="1">
        <f>IFERROR(__xludf.DUMMYFUNCTION("""COMPUTED_VALUE"""),42)</f>
        <v>42</v>
      </c>
      <c r="AL474" s="1" t="str">
        <f>IFERROR(__xludf.DUMMYFUNCTION("""COMPUTED_VALUE"""),"M")</f>
        <v>M</v>
      </c>
      <c r="AM474" s="1" t="str">
        <f>IFERROR(__xludf.DUMMYFUNCTION("""COMPUTED_VALUE"""),"M")</f>
        <v>M</v>
      </c>
      <c r="AN474" s="1" t="str">
        <f>IFERROR(__xludf.DUMMYFUNCTION("""COMPUTED_VALUE"""),"M")</f>
        <v>M</v>
      </c>
    </row>
    <row r="475" customHeight="1" spans="1:40">
      <c r="A475" s="1" t="str">
        <f>IFERROR(__xludf.DUMMYFUNCTION("""COMPUTED_VALUE"""),"06° BBM")</f>
        <v>06° BBM</v>
      </c>
      <c r="B475" s="1" t="str">
        <f>IFERROR(__xludf.DUMMYFUNCTION("""COMPUTED_VALUE"""),"Camaquã")</f>
        <v>Camaquã</v>
      </c>
      <c r="C475" s="119" t="str">
        <f>IFERROR(__xludf.DUMMYFUNCTION("""COMPUTED_VALUE"""),"Comunitario")</f>
        <v>Comunitario</v>
      </c>
      <c r="D475" s="1" t="str">
        <f>IFERROR(__xludf.DUMMYFUNCTION("""COMPUTED_VALUE"""),"VALMIR FAGUNDES DE FAGUNDES")</f>
        <v>VALMIR FAGUNDES DE FAGUNDES</v>
      </c>
      <c r="E475" s="119" t="str">
        <f>IFERROR(__xludf.DUMMYFUNCTION("""COMPUTED_VALUE"""),"Curso CAB operador concluído")</f>
        <v>Curso CAB operador concluído</v>
      </c>
      <c r="F475" s="1" t="str">
        <f>IFERROR(__xludf.DUMMYFUNCTION("""COMPUTED_VALUE"""),"505662530-20")</f>
        <v>505662530-20</v>
      </c>
      <c r="G475" s="1">
        <f>IFERROR(__xludf.DUMMYFUNCTION("""COMPUTED_VALUE"""),7038388323)</f>
        <v>7038388323</v>
      </c>
      <c r="H475" s="1" t="str">
        <f>IFERROR(__xludf.DUMMYFUNCTION("""COMPUTED_VALUE"""),"Combatente/ COV")</f>
        <v>Combatente/ COV</v>
      </c>
      <c r="I475" s="1"/>
      <c r="J475" s="1" t="str">
        <f>IFERROR(__xludf.DUMMYFUNCTION("""COMPUTED_VALUE"""),"Sim")</f>
        <v>Sim</v>
      </c>
      <c r="K475" s="1" t="str">
        <f>IFERROR(__xludf.DUMMYFUNCTION("""COMPUTED_VALUE"""),"Sim")</f>
        <v>Sim</v>
      </c>
      <c r="L475" s="1" t="str">
        <f>IFERROR(__xludf.DUMMYFUNCTION("""COMPUTED_VALUE"""),"O+")</f>
        <v>O+</v>
      </c>
      <c r="M475" s="1" t="str">
        <f>IFERROR(__xludf.DUMMYFUNCTION("""COMPUTED_VALUE"""),"VALMIR")</f>
        <v>VALMIR</v>
      </c>
      <c r="N475" s="120">
        <f>IFERROR(__xludf.DUMMYFUNCTION("""COMPUTED_VALUE"""),24508)</f>
        <v>24508</v>
      </c>
      <c r="O475" s="1" t="str">
        <f>IFERROR(__xludf.DUMMYFUNCTION("""COMPUTED_VALUE"""),"Masculino")</f>
        <v>Masculino</v>
      </c>
      <c r="P475" s="1" t="str">
        <f>IFERROR(__xludf.DUMMYFUNCTION("""COMPUTED_VALUE"""),"Branca")</f>
        <v>Branca</v>
      </c>
      <c r="Q475" s="1" t="str">
        <f>IFERROR(__xludf.DUMMYFUNCTION("""COMPUTED_VALUE"""),"Ensino Médio")</f>
        <v>Ensino Médio</v>
      </c>
      <c r="R475" s="1" t="str">
        <f>IFERROR(__xludf.DUMMYFUNCTION("""COMPUTED_VALUE"""),"valmirfagundes9758@gmail.com")</f>
        <v>valmirfagundes9758@gmail.com</v>
      </c>
      <c r="S475" s="1">
        <f>IFERROR(__xludf.DUMMYFUNCTION("""COMPUTED_VALUE"""),90)</f>
        <v>90</v>
      </c>
      <c r="T475" s="1" t="str">
        <f>IFERROR(__xludf.DUMMYFUNCTION("""COMPUTED_VALUE"""),"Entre 1,86m e 1,90m")</f>
        <v>Entre 1,86m e 1,90m</v>
      </c>
      <c r="U475" s="1" t="str">
        <f>IFERROR(__xludf.DUMMYFUNCTION("""COMPUTED_VALUE"""),"Não POSSUI")</f>
        <v>Não POSSUI</v>
      </c>
      <c r="V475" s="1" t="str">
        <f>IFERROR(__xludf.DUMMYFUNCTION("""COMPUTED_VALUE"""),"(51)99621-4725")</f>
        <v>(51)99621-4725</v>
      </c>
      <c r="W475" s="1" t="str">
        <f>IFERROR(__xludf.DUMMYFUNCTION("""COMPUTED_VALUE"""),"(51)99720-7721")</f>
        <v>(51)99720-7721</v>
      </c>
      <c r="X475" s="1" t="str">
        <f>IFERROR(__xludf.DUMMYFUNCTION("""COMPUTED_VALUE"""),"RS")</f>
        <v>RS</v>
      </c>
      <c r="Y475" s="1" t="str">
        <f>IFERROR(__xludf.DUMMYFUNCTION("""COMPUTED_VALUE"""),"Camaquã")</f>
        <v>Camaquã</v>
      </c>
      <c r="Z475" s="1">
        <f>IFERROR(__xludf.DUMMYFUNCTION("""COMPUTED_VALUE"""),96180000)</f>
        <v>96180000</v>
      </c>
      <c r="AA475" s="1" t="str">
        <f>IFERROR(__xludf.DUMMYFUNCTION("""COMPUTED_VALUE"""),"JOSÉ ADOLFO CASTRO N° 176")</f>
        <v>JOSÉ ADOLFO CASTRO N° 176</v>
      </c>
      <c r="AB475" s="1" t="str">
        <f>IFERROR(__xludf.DUMMYFUNCTION("""COMPUTED_VALUE"""),"SÃO JOSÉ")</f>
        <v>SÃO JOSÉ</v>
      </c>
      <c r="AC475" s="1" t="str">
        <f>IFERROR(__xludf.DUMMYFUNCTION("""COMPUTED_VALUE"""),"GG")</f>
        <v>GG</v>
      </c>
      <c r="AD475" s="1" t="str">
        <f>IFERROR(__xludf.DUMMYFUNCTION("""COMPUTED_VALUE"""),"GG")</f>
        <v>GG</v>
      </c>
      <c r="AE475" s="1" t="str">
        <f>IFERROR(__xludf.DUMMYFUNCTION("""COMPUTED_VALUE"""),"GG")</f>
        <v>GG</v>
      </c>
      <c r="AF475" s="1" t="str">
        <f>IFERROR(__xludf.DUMMYFUNCTION("""COMPUTED_VALUE"""),"GG")</f>
        <v>GG</v>
      </c>
      <c r="AG475" s="1" t="str">
        <f>IFERROR(__xludf.DUMMYFUNCTION("""COMPUTED_VALUE"""),"GG")</f>
        <v>GG</v>
      </c>
      <c r="AH475" s="1">
        <f>IFERROR(__xludf.DUMMYFUNCTION("""COMPUTED_VALUE"""),41)</f>
        <v>41</v>
      </c>
      <c r="AI475" s="1">
        <f>IFERROR(__xludf.DUMMYFUNCTION("""COMPUTED_VALUE"""),41)</f>
        <v>41</v>
      </c>
      <c r="AJ475" s="1">
        <f>IFERROR(__xludf.DUMMYFUNCTION("""COMPUTED_VALUE"""),41)</f>
        <v>41</v>
      </c>
      <c r="AK475" s="1">
        <f>IFERROR(__xludf.DUMMYFUNCTION("""COMPUTED_VALUE"""),41)</f>
        <v>41</v>
      </c>
      <c r="AL475" s="1" t="str">
        <f>IFERROR(__xludf.DUMMYFUNCTION("""COMPUTED_VALUE"""),"GG")</f>
        <v>GG</v>
      </c>
      <c r="AM475" s="1" t="str">
        <f>IFERROR(__xludf.DUMMYFUNCTION("""COMPUTED_VALUE"""),"GG")</f>
        <v>GG</v>
      </c>
      <c r="AN475" s="1" t="str">
        <f>IFERROR(__xludf.DUMMYFUNCTION("""COMPUTED_VALUE"""),"G")</f>
        <v>G</v>
      </c>
    </row>
    <row r="476" customHeight="1" spans="1:40">
      <c r="A476" s="1" t="str">
        <f>IFERROR(__xludf.DUMMYFUNCTION("""COMPUTED_VALUE"""),"06° BBM")</f>
        <v>06° BBM</v>
      </c>
      <c r="B476" s="1" t="str">
        <f>IFERROR(__xludf.DUMMYFUNCTION("""COMPUTED_VALUE"""),"Camaquã")</f>
        <v>Camaquã</v>
      </c>
      <c r="C476" s="119" t="str">
        <f>IFERROR(__xludf.DUMMYFUNCTION("""COMPUTED_VALUE"""),"Comunitario")</f>
        <v>Comunitario</v>
      </c>
      <c r="D476" s="1" t="str">
        <f>IFERROR(__xludf.DUMMYFUNCTION("""COMPUTED_VALUE"""),"VANDERLEI MEDEIROS DOS SANTOS")</f>
        <v>VANDERLEI MEDEIROS DOS SANTOS</v>
      </c>
      <c r="E476" s="119" t="str">
        <f>IFERROR(__xludf.DUMMYFUNCTION("""COMPUTED_VALUE"""),"Curso CAB operador concluído")</f>
        <v>Curso CAB operador concluído</v>
      </c>
      <c r="F476" s="1" t="str">
        <f>IFERROR(__xludf.DUMMYFUNCTION("""COMPUTED_VALUE"""),"813970620-53")</f>
        <v>813970620-53</v>
      </c>
      <c r="G476" s="1">
        <f>IFERROR(__xludf.DUMMYFUNCTION("""COMPUTED_VALUE"""),1070649734)</f>
        <v>1070649734</v>
      </c>
      <c r="H476" s="1" t="str">
        <f>IFERROR(__xludf.DUMMYFUNCTION("""COMPUTED_VALUE"""),"Combatente/ COV")</f>
        <v>Combatente/ COV</v>
      </c>
      <c r="I476" s="1"/>
      <c r="J476" s="1" t="str">
        <f>IFERROR(__xludf.DUMMYFUNCTION("""COMPUTED_VALUE"""),"Sim")</f>
        <v>Sim</v>
      </c>
      <c r="K476" s="1" t="str">
        <f>IFERROR(__xludf.DUMMYFUNCTION("""COMPUTED_VALUE"""),"Sim")</f>
        <v>Sim</v>
      </c>
      <c r="L476" s="1" t="str">
        <f>IFERROR(__xludf.DUMMYFUNCTION("""COMPUTED_VALUE"""),"A+")</f>
        <v>A+</v>
      </c>
      <c r="M476" s="1" t="str">
        <f>IFERROR(__xludf.DUMMYFUNCTION("""COMPUTED_VALUE"""),"VANDERLEI")</f>
        <v>VANDERLEI</v>
      </c>
      <c r="N476" s="120">
        <f>IFERROR(__xludf.DUMMYFUNCTION("""COMPUTED_VALUE"""),28883)</f>
        <v>28883</v>
      </c>
      <c r="O476" s="1" t="str">
        <f>IFERROR(__xludf.DUMMYFUNCTION("""COMPUTED_VALUE"""),"Masculino")</f>
        <v>Masculino</v>
      </c>
      <c r="P476" s="1" t="str">
        <f>IFERROR(__xludf.DUMMYFUNCTION("""COMPUTED_VALUE"""),"Branca")</f>
        <v>Branca</v>
      </c>
      <c r="Q476" s="1" t="str">
        <f>IFERROR(__xludf.DUMMYFUNCTION("""COMPUTED_VALUE"""),"Ensino Médio")</f>
        <v>Ensino Médio</v>
      </c>
      <c r="R476" s="1" t="str">
        <f>IFERROR(__xludf.DUMMYFUNCTION("""COMPUTED_VALUE"""),"vanderleimsantos51@hotmail.com")</f>
        <v>vanderleimsantos51@hotmail.com</v>
      </c>
      <c r="S476" s="1">
        <f>IFERROR(__xludf.DUMMYFUNCTION("""COMPUTED_VALUE"""),83)</f>
        <v>83</v>
      </c>
      <c r="T476" s="1" t="str">
        <f>IFERROR(__xludf.DUMMYFUNCTION("""COMPUTED_VALUE"""),"Menos de 1,49m")</f>
        <v>Menos de 1,49m</v>
      </c>
      <c r="U476" s="1" t="str">
        <f>IFERROR(__xludf.DUMMYFUNCTION("""COMPUTED_VALUE"""),"Não POSSUI")</f>
        <v>Não POSSUI</v>
      </c>
      <c r="V476" s="1" t="str">
        <f>IFERROR(__xludf.DUMMYFUNCTION("""COMPUTED_VALUE"""),"(51)99783-4720")</f>
        <v>(51)99783-4720</v>
      </c>
      <c r="W476" s="1" t="str">
        <f>IFERROR(__xludf.DUMMYFUNCTION("""COMPUTED_VALUE"""),"(51)99551-6303")</f>
        <v>(51)99551-6303</v>
      </c>
      <c r="X476" s="1" t="str">
        <f>IFERROR(__xludf.DUMMYFUNCTION("""COMPUTED_VALUE"""),"RS")</f>
        <v>RS</v>
      </c>
      <c r="Y476" s="1" t="str">
        <f>IFERROR(__xludf.DUMMYFUNCTION("""COMPUTED_VALUE"""),"Camaquã")</f>
        <v>Camaquã</v>
      </c>
      <c r="Z476" s="1">
        <f>IFERROR(__xludf.DUMMYFUNCTION("""COMPUTED_VALUE"""),96180000)</f>
        <v>96180000</v>
      </c>
      <c r="AA476" s="1" t="str">
        <f>IFERROR(__xludf.DUMMYFUNCTION("""COMPUTED_VALUE"""),"SANTO ÂNGELO N° 151")</f>
        <v>SANTO ÂNGELO N° 151</v>
      </c>
      <c r="AB476" s="1" t="str">
        <f>IFERROR(__xludf.DUMMYFUNCTION("""COMPUTED_VALUE"""),"VILA NOVA")</f>
        <v>VILA NOVA</v>
      </c>
      <c r="AC476" s="1" t="str">
        <f>IFERROR(__xludf.DUMMYFUNCTION("""COMPUTED_VALUE"""),"G")</f>
        <v>G</v>
      </c>
      <c r="AD476" s="1" t="str">
        <f>IFERROR(__xludf.DUMMYFUNCTION("""COMPUTED_VALUE"""),"GG")</f>
        <v>GG</v>
      </c>
      <c r="AE476" s="1" t="str">
        <f>IFERROR(__xludf.DUMMYFUNCTION("""COMPUTED_VALUE"""),"G")</f>
        <v>G</v>
      </c>
      <c r="AF476" s="1" t="str">
        <f>IFERROR(__xludf.DUMMYFUNCTION("""COMPUTED_VALUE"""),"G")</f>
        <v>G</v>
      </c>
      <c r="AG476" s="1" t="str">
        <f>IFERROR(__xludf.DUMMYFUNCTION("""COMPUTED_VALUE"""),"G")</f>
        <v>G</v>
      </c>
      <c r="AH476" s="1">
        <f>IFERROR(__xludf.DUMMYFUNCTION("""COMPUTED_VALUE"""),40)</f>
        <v>40</v>
      </c>
      <c r="AI476" s="1">
        <f>IFERROR(__xludf.DUMMYFUNCTION("""COMPUTED_VALUE"""),40)</f>
        <v>40</v>
      </c>
      <c r="AJ476" s="1">
        <f>IFERROR(__xludf.DUMMYFUNCTION("""COMPUTED_VALUE"""),40)</f>
        <v>40</v>
      </c>
      <c r="AK476" s="1">
        <f>IFERROR(__xludf.DUMMYFUNCTION("""COMPUTED_VALUE"""),40)</f>
        <v>40</v>
      </c>
      <c r="AL476" s="1" t="str">
        <f>IFERROR(__xludf.DUMMYFUNCTION("""COMPUTED_VALUE"""),"G")</f>
        <v>G</v>
      </c>
      <c r="AM476" s="1" t="str">
        <f>IFERROR(__xludf.DUMMYFUNCTION("""COMPUTED_VALUE"""),"G")</f>
        <v>G</v>
      </c>
      <c r="AN476" s="1" t="str">
        <f>IFERROR(__xludf.DUMMYFUNCTION("""COMPUTED_VALUE"""),"G")</f>
        <v>G</v>
      </c>
    </row>
    <row r="477" customHeight="1" spans="1:40">
      <c r="A477" s="1" t="str">
        <f>IFERROR(__xludf.DUMMYFUNCTION("""COMPUTED_VALUE"""),"06° BBM")</f>
        <v>06° BBM</v>
      </c>
      <c r="B477" s="1" t="str">
        <f>IFERROR(__xludf.DUMMYFUNCTION("""COMPUTED_VALUE"""),"Arambaré")</f>
        <v>Arambaré</v>
      </c>
      <c r="C477" s="119" t="str">
        <f>IFERROR(__xludf.DUMMYFUNCTION("""COMPUTED_VALUE"""),"CAB")</f>
        <v>CAB</v>
      </c>
      <c r="D477" s="1" t="str">
        <f>IFERROR(__xludf.DUMMYFUNCTION("""COMPUTED_VALUE"""),"VLADIMIR DE SOUZA DICK")</f>
        <v>VLADIMIR DE SOUZA DICK</v>
      </c>
      <c r="E477" s="119" t="str">
        <f>IFERROR(__xludf.DUMMYFUNCTION("""COMPUTED_VALUE"""),"")</f>
        <v/>
      </c>
      <c r="F477" s="1" t="str">
        <f>IFERROR(__xludf.DUMMYFUNCTION("""COMPUTED_VALUE"""),"001.903.410-50")</f>
        <v>001.903.410-50</v>
      </c>
      <c r="G477" s="1">
        <f>IFERROR(__xludf.DUMMYFUNCTION("""COMPUTED_VALUE"""),3086439894)</f>
        <v>3086439894</v>
      </c>
      <c r="H477" s="1" t="str">
        <f>IFERROR(__xludf.DUMMYFUNCTION("""COMPUTED_VALUE"""),"CAB")</f>
        <v>CAB</v>
      </c>
      <c r="I477" s="1" t="str">
        <f>IFERROR(__xludf.DUMMYFUNCTION("""COMPUTED_VALUE"""),"Bombeiro Civil; APH e BLS")</f>
        <v>Bombeiro Civil; APH e BLS</v>
      </c>
      <c r="J477" s="1" t="str">
        <f>IFERROR(__xludf.DUMMYFUNCTION("""COMPUTED_VALUE"""),"Não")</f>
        <v>Não</v>
      </c>
      <c r="K477" s="1" t="str">
        <f>IFERROR(__xludf.DUMMYFUNCTION("""COMPUTED_VALUE"""),"Sim")</f>
        <v>Sim</v>
      </c>
      <c r="L477" s="1" t="str">
        <f>IFERROR(__xludf.DUMMYFUNCTION("""COMPUTED_VALUE"""),"A+")</f>
        <v>A+</v>
      </c>
      <c r="M477" s="1" t="str">
        <f>IFERROR(__xludf.DUMMYFUNCTION("""COMPUTED_VALUE"""),"SOUZA")</f>
        <v>SOUZA</v>
      </c>
      <c r="N477" s="121">
        <f>IFERROR(__xludf.DUMMYFUNCTION("""COMPUTED_VALUE"""),29942)</f>
        <v>29942</v>
      </c>
      <c r="O477" s="1" t="str">
        <f>IFERROR(__xludf.DUMMYFUNCTION("""COMPUTED_VALUE"""),"Masculino")</f>
        <v>Masculino</v>
      </c>
      <c r="P477" s="1" t="str">
        <f>IFERROR(__xludf.DUMMYFUNCTION("""COMPUTED_VALUE"""),"Branca")</f>
        <v>Branca</v>
      </c>
      <c r="Q477" s="1" t="str">
        <f>IFERROR(__xludf.DUMMYFUNCTION("""COMPUTED_VALUE"""),"Ensino Médio")</f>
        <v>Ensino Médio</v>
      </c>
      <c r="R477" s="1" t="str">
        <f>IFERROR(__xludf.DUMMYFUNCTION("""COMPUTED_VALUE"""),"vladimirsouza1903@gamail.com")</f>
        <v>vladimirsouza1903@gamail.com</v>
      </c>
      <c r="S477" s="1">
        <f>IFERROR(__xludf.DUMMYFUNCTION("""COMPUTED_VALUE"""),65)</f>
        <v>65</v>
      </c>
      <c r="T477" s="1" t="str">
        <f>IFERROR(__xludf.DUMMYFUNCTION("""COMPUTED_VALUE"""),"Entre 1,71m e 1,75m")</f>
        <v>Entre 1,71m e 1,75m</v>
      </c>
      <c r="U477" s="1" t="str">
        <f>IFERROR(__xludf.DUMMYFUNCTION("""COMPUTED_VALUE"""),"Não POSSUI")</f>
        <v>Não POSSUI</v>
      </c>
      <c r="V477" s="1" t="str">
        <f>IFERROR(__xludf.DUMMYFUNCTION("""COMPUTED_VALUE"""),"(51) 98056-3358")</f>
        <v>(51) 98056-3358</v>
      </c>
      <c r="W477" s="1" t="str">
        <f>IFERROR(__xludf.DUMMYFUNCTION("""COMPUTED_VALUE"""),"(51)98405-8700")</f>
        <v>(51)98405-8700</v>
      </c>
      <c r="X477" s="1" t="str">
        <f>IFERROR(__xludf.DUMMYFUNCTION("""COMPUTED_VALUE"""),"RIO GRANDE DO SUL")</f>
        <v>RIO GRANDE DO SUL</v>
      </c>
      <c r="Y477" s="1" t="str">
        <f>IFERROR(__xludf.DUMMYFUNCTION("""COMPUTED_VALUE"""),"Canoas")</f>
        <v>Canoas</v>
      </c>
      <c r="Z477" s="1" t="str">
        <f>IFERROR(__xludf.DUMMYFUNCTION("""COMPUTED_VALUE"""),"Indef.")</f>
        <v>Indef.</v>
      </c>
      <c r="AA477" s="1" t="str">
        <f>IFERROR(__xludf.DUMMYFUNCTION("""COMPUTED_VALUE"""),"Rua Reinaldo Appel n° 60")</f>
        <v>Rua Reinaldo Appel n° 60</v>
      </c>
      <c r="AB477" s="1" t="str">
        <f>IFERROR(__xludf.DUMMYFUNCTION("""COMPUTED_VALUE"""),"Olaria")</f>
        <v>Olaria</v>
      </c>
      <c r="AC477" s="1" t="str">
        <f>IFERROR(__xludf.DUMMYFUNCTION("""COMPUTED_VALUE"""),"G")</f>
        <v>G</v>
      </c>
      <c r="AD477" s="1" t="str">
        <f>IFERROR(__xludf.DUMMYFUNCTION("""COMPUTED_VALUE"""),"G")</f>
        <v>G</v>
      </c>
      <c r="AE477" s="1" t="str">
        <f>IFERROR(__xludf.DUMMYFUNCTION("""COMPUTED_VALUE"""),"G")</f>
        <v>G</v>
      </c>
      <c r="AF477" s="1" t="str">
        <f>IFERROR(__xludf.DUMMYFUNCTION("""COMPUTED_VALUE"""),"G")</f>
        <v>G</v>
      </c>
      <c r="AG477" s="1" t="str">
        <f>IFERROR(__xludf.DUMMYFUNCTION("""COMPUTED_VALUE"""),"G")</f>
        <v>G</v>
      </c>
      <c r="AH477" s="1">
        <f>IFERROR(__xludf.DUMMYFUNCTION("""COMPUTED_VALUE"""),40)</f>
        <v>40</v>
      </c>
      <c r="AI477" s="1">
        <f>IFERROR(__xludf.DUMMYFUNCTION("""COMPUTED_VALUE"""),40)</f>
        <v>40</v>
      </c>
      <c r="AJ477" s="1">
        <f>IFERROR(__xludf.DUMMYFUNCTION("""COMPUTED_VALUE"""),40)</f>
        <v>40</v>
      </c>
      <c r="AK477" s="1">
        <f>IFERROR(__xludf.DUMMYFUNCTION("""COMPUTED_VALUE"""),40)</f>
        <v>40</v>
      </c>
      <c r="AL477" s="1" t="str">
        <f>IFERROR(__xludf.DUMMYFUNCTION("""COMPUTED_VALUE"""),"G")</f>
        <v>G</v>
      </c>
      <c r="AM477" s="1" t="str">
        <f>IFERROR(__xludf.DUMMYFUNCTION("""COMPUTED_VALUE"""),"G")</f>
        <v>G</v>
      </c>
      <c r="AN477" s="1" t="str">
        <f>IFERROR(__xludf.DUMMYFUNCTION("""COMPUTED_VALUE"""),"G")</f>
        <v>G</v>
      </c>
    </row>
    <row r="520" customHeight="1" spans="1:40">
      <c r="A520" s="126" t="str">
        <f>IFERROR(__xludf.DUMMYFUNCTION("IMPORTRANGE(""1uCBYq_B1noXDnZ2hAWfjmyqidVGOrreR1eUpbj41kZg/edit?gid=516654854"",""7BBM!A2:AN"")"),"07° BBM")</f>
        <v>07° BBM</v>
      </c>
      <c r="B520" s="1" t="str">
        <f>IFERROR(__xludf.DUMMYFUNCTION("""COMPUTED_VALUE"""),"Faxinalzinho")</f>
        <v>Faxinalzinho</v>
      </c>
      <c r="C520" s="119" t="str">
        <f>IFERROR(__xludf.DUMMYFUNCTION("""COMPUTED_VALUE"""),"CAB")</f>
        <v>CAB</v>
      </c>
      <c r="D520" s="1" t="str">
        <f>IFERROR(__xludf.DUMMYFUNCTION("""COMPUTED_VALUE"""),"ADAILTON GOSH MACHADO")</f>
        <v>ADAILTON GOSH MACHADO</v>
      </c>
      <c r="E520" s="119" t="str">
        <f>IFERROR(__xludf.DUMMYFUNCTION("""COMPUTED_VALUE"""),"")</f>
        <v/>
      </c>
      <c r="F520" s="1" t="str">
        <f>IFERROR(__xludf.DUMMYFUNCTION("""COMPUTED_VALUE"""),"028.025.500-47")</f>
        <v>028.025.500-47</v>
      </c>
      <c r="G520" s="1">
        <f>IFERROR(__xludf.DUMMYFUNCTION("""COMPUTED_VALUE"""),7035047558)</f>
        <v>7035047558</v>
      </c>
      <c r="H520" s="1" t="str">
        <f>IFERROR(__xludf.DUMMYFUNCTION("""COMPUTED_VALUE"""),"Membro")</f>
        <v>Membro</v>
      </c>
      <c r="I520" s="1" t="str">
        <f>IFERROR(__xludf.DUMMYFUNCTION("""COMPUTED_VALUE"""),"Combate a incêndio")</f>
        <v>Combate a incêndio</v>
      </c>
      <c r="J520" s="1"/>
      <c r="K520" s="1" t="str">
        <f>IFERROR(__xludf.DUMMYFUNCTION("""COMPUTED_VALUE"""),"Não")</f>
        <v>Não</v>
      </c>
      <c r="L520" s="1"/>
      <c r="M520" s="1"/>
      <c r="N520" s="120"/>
      <c r="O520" s="1" t="str">
        <f>IFERROR(__xludf.DUMMYFUNCTION("""COMPUTED_VALUE"""),"Masculino")</f>
        <v>Masculino</v>
      </c>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row>
    <row r="521" customHeight="1" spans="1:40">
      <c r="A521" s="1" t="str">
        <f>IFERROR(__xludf.DUMMYFUNCTION("""COMPUTED_VALUE"""),"07° BBM")</f>
        <v>07° BBM</v>
      </c>
      <c r="B521" s="1" t="str">
        <f>IFERROR(__xludf.DUMMYFUNCTION("""COMPUTED_VALUE"""),"Serafina Corrêa")</f>
        <v>Serafina Corrêa</v>
      </c>
      <c r="C521" s="119" t="str">
        <f>IFERROR(__xludf.DUMMYFUNCTION("""COMPUTED_VALUE"""),"CAB")</f>
        <v>CAB</v>
      </c>
      <c r="D521" s="1" t="str">
        <f>IFERROR(__xludf.DUMMYFUNCTION("""COMPUTED_VALUE"""),"ADENILSON RODRIGUES")</f>
        <v>ADENILSON RODRIGUES</v>
      </c>
      <c r="E521" s="119" t="str">
        <f>IFERROR(__xludf.DUMMYFUNCTION("""COMPUTED_VALUE"""),"")</f>
        <v/>
      </c>
      <c r="F521" s="1" t="str">
        <f>IFERROR(__xludf.DUMMYFUNCTION("""COMPUTED_VALUE"""),"008.651.220-08")</f>
        <v>008.651.220-08</v>
      </c>
      <c r="G521" s="1">
        <f>IFERROR(__xludf.DUMMYFUNCTION("""COMPUTED_VALUE"""),6095486277)</f>
        <v>6095486277</v>
      </c>
      <c r="H521" s="1" t="str">
        <f>IFERROR(__xludf.DUMMYFUNCTION("""COMPUTED_VALUE"""),"CAB - ALUNO")</f>
        <v>CAB - ALUNO</v>
      </c>
      <c r="I521" s="1" t="str">
        <f>IFERROR(__xludf.DUMMYFUNCTION("""COMPUTED_VALUE"""),"APH / BLS - NR 10 NR 33 NR 35 ")</f>
        <v>APH / BLS - NR 10 NR 33 NR 35 </v>
      </c>
      <c r="J521" s="1" t="str">
        <f>IFERROR(__xludf.DUMMYFUNCTION("""COMPUTED_VALUE"""),"Não")</f>
        <v>Não</v>
      </c>
      <c r="K521" s="1" t="str">
        <f>IFERROR(__xludf.DUMMYFUNCTION("""COMPUTED_VALUE"""),"Não")</f>
        <v>Não</v>
      </c>
      <c r="L521" s="1" t="str">
        <f>IFERROR(__xludf.DUMMYFUNCTION("""COMPUTED_VALUE"""),"A+")</f>
        <v>A+</v>
      </c>
      <c r="M521" s="1" t="str">
        <f>IFERROR(__xludf.DUMMYFUNCTION("""COMPUTED_VALUE"""),"Adenilson")</f>
        <v>Adenilson</v>
      </c>
      <c r="N521" s="120">
        <f>IFERROR(__xludf.DUMMYFUNCTION("""COMPUTED_VALUE"""),31661)</f>
        <v>31661</v>
      </c>
      <c r="O521" s="1" t="str">
        <f>IFERROR(__xludf.DUMMYFUNCTION("""COMPUTED_VALUE"""),"Masculino")</f>
        <v>Masculino</v>
      </c>
      <c r="P521" s="1" t="str">
        <f>IFERROR(__xludf.DUMMYFUNCTION("""COMPUTED_VALUE"""),"Parda")</f>
        <v>Parda</v>
      </c>
      <c r="Q521" s="1" t="str">
        <f>IFERROR(__xludf.DUMMYFUNCTION("""COMPUTED_VALUE"""),"Ensino Médio")</f>
        <v>Ensino Médio</v>
      </c>
      <c r="R521" s="1" t="str">
        <f>IFERROR(__xludf.DUMMYFUNCTION("""COMPUTED_VALUE"""),"rrodrigues.ade@gmail.com")</f>
        <v>rrodrigues.ade@gmail.com</v>
      </c>
      <c r="S521" s="1">
        <f>IFERROR(__xludf.DUMMYFUNCTION("""COMPUTED_VALUE"""),90)</f>
        <v>90</v>
      </c>
      <c r="T521" s="1" t="str">
        <f>IFERROR(__xludf.DUMMYFUNCTION("""COMPUTED_VALUE"""),"Entre 1,81m e 1,85m")</f>
        <v>Entre 1,81m e 1,85m</v>
      </c>
      <c r="U521" s="1"/>
      <c r="V521" s="1" t="str">
        <f>IFERROR(__xludf.DUMMYFUNCTION("""COMPUTED_VALUE"""),"(54)99670-5789")</f>
        <v>(54)99670-5789</v>
      </c>
      <c r="W521" s="1" t="str">
        <f>IFERROR(__xludf.DUMMYFUNCTION("""COMPUTED_VALUE"""),"(54)99918-8770")</f>
        <v>(54)99918-8770</v>
      </c>
      <c r="X521" s="1" t="str">
        <f>IFERROR(__xludf.DUMMYFUNCTION("""COMPUTED_VALUE"""),"RS")</f>
        <v>RS</v>
      </c>
      <c r="Y521" s="1" t="str">
        <f>IFERROR(__xludf.DUMMYFUNCTION("""COMPUTED_VALUE"""),"Serafina Corrêa")</f>
        <v>Serafina Corrêa</v>
      </c>
      <c r="Z521" s="1" t="str">
        <f>IFERROR(__xludf.DUMMYFUNCTION("""COMPUTED_VALUE"""),"99250-000")</f>
        <v>99250-000</v>
      </c>
      <c r="AA521" s="1" t="str">
        <f>IFERROR(__xludf.DUMMYFUNCTION("""COMPUTED_VALUE"""),"Rua da beleza, 204")</f>
        <v>Rua da beleza, 204</v>
      </c>
      <c r="AB521" s="1" t="str">
        <f>IFERROR(__xludf.DUMMYFUNCTION("""COMPUTED_VALUE"""),"Verdes Vales")</f>
        <v>Verdes Vales</v>
      </c>
      <c r="AC521" s="1" t="str">
        <f>IFERROR(__xludf.DUMMYFUNCTION("""COMPUTED_VALUE"""),"G")</f>
        <v>G</v>
      </c>
      <c r="AD521" s="1" t="str">
        <f>IFERROR(__xludf.DUMMYFUNCTION("""COMPUTED_VALUE"""),"G")</f>
        <v>G</v>
      </c>
      <c r="AE521" s="1" t="str">
        <f>IFERROR(__xludf.DUMMYFUNCTION("""COMPUTED_VALUE"""),"GG")</f>
        <v>GG</v>
      </c>
      <c r="AF521" s="1" t="str">
        <f>IFERROR(__xludf.DUMMYFUNCTION("""COMPUTED_VALUE"""),"GG")</f>
        <v>GG</v>
      </c>
      <c r="AG521" s="1" t="str">
        <f>IFERROR(__xludf.DUMMYFUNCTION("""COMPUTED_VALUE"""),"GG")</f>
        <v>GG</v>
      </c>
      <c r="AH521" s="1">
        <f>IFERROR(__xludf.DUMMYFUNCTION("""COMPUTED_VALUE"""),42)</f>
        <v>42</v>
      </c>
      <c r="AI521" s="1">
        <f>IFERROR(__xludf.DUMMYFUNCTION("""COMPUTED_VALUE"""),42)</f>
        <v>42</v>
      </c>
      <c r="AJ521" s="1">
        <f>IFERROR(__xludf.DUMMYFUNCTION("""COMPUTED_VALUE"""),42)</f>
        <v>42</v>
      </c>
      <c r="AK521" s="1">
        <f>IFERROR(__xludf.DUMMYFUNCTION("""COMPUTED_VALUE"""),42)</f>
        <v>42</v>
      </c>
      <c r="AL521" s="1" t="str">
        <f>IFERROR(__xludf.DUMMYFUNCTION("""COMPUTED_VALUE"""),"GG")</f>
        <v>GG</v>
      </c>
      <c r="AM521" s="1" t="str">
        <f>IFERROR(__xludf.DUMMYFUNCTION("""COMPUTED_VALUE"""),"GG")</f>
        <v>GG</v>
      </c>
      <c r="AN521" s="1" t="str">
        <f>IFERROR(__xludf.DUMMYFUNCTION("""COMPUTED_VALUE"""),"G")</f>
        <v>G</v>
      </c>
    </row>
    <row r="522" customHeight="1" spans="1:40">
      <c r="A522" s="1" t="str">
        <f>IFERROR(__xludf.DUMMYFUNCTION("""COMPUTED_VALUE"""),"07° BBM")</f>
        <v>07° BBM</v>
      </c>
      <c r="B522" s="1" t="str">
        <f>IFERROR(__xludf.DUMMYFUNCTION("""COMPUTED_VALUE"""),"Serafina Corrêa")</f>
        <v>Serafina Corrêa</v>
      </c>
      <c r="C522" s="119" t="str">
        <f>IFERROR(__xludf.DUMMYFUNCTION("""COMPUTED_VALUE"""),"CAB")</f>
        <v>CAB</v>
      </c>
      <c r="D522" s="1" t="str">
        <f>IFERROR(__xludf.DUMMYFUNCTION("""COMPUTED_VALUE"""),"ADRIANO CADE DE SOUZA")</f>
        <v>ADRIANO CADE DE SOUZA</v>
      </c>
      <c r="E522" s="119" t="str">
        <f>IFERROR(__xludf.DUMMYFUNCTION("""COMPUTED_VALUE"""),"Módulo 1 concluído")</f>
        <v>Módulo 1 concluído</v>
      </c>
      <c r="F522" s="1" t="str">
        <f>IFERROR(__xludf.DUMMYFUNCTION("""COMPUTED_VALUE"""),"973.136.020-49")</f>
        <v>973.136.020-49</v>
      </c>
      <c r="G522" s="1">
        <f>IFERROR(__xludf.DUMMYFUNCTION("""COMPUTED_VALUE"""),9078032969)</f>
        <v>9078032969</v>
      </c>
      <c r="H522" s="1" t="str">
        <f>IFERROR(__xludf.DUMMYFUNCTION("""COMPUTED_VALUE"""),"CAB - ALUNO")</f>
        <v>CAB - ALUNO</v>
      </c>
      <c r="I522" s="1" t="str">
        <f>IFERROR(__xludf.DUMMYFUNCTION("""COMPUTED_VALUE"""),"APH / BLS - NR 10 NR 33 NR 35 ")</f>
        <v>APH / BLS - NR 10 NR 33 NR 35 </v>
      </c>
      <c r="J522" s="1" t="str">
        <f>IFERROR(__xludf.DUMMYFUNCTION("""COMPUTED_VALUE"""),"Não")</f>
        <v>Não</v>
      </c>
      <c r="K522" s="1" t="str">
        <f>IFERROR(__xludf.DUMMYFUNCTION("""COMPUTED_VALUE"""),"Não")</f>
        <v>Não</v>
      </c>
      <c r="L522" s="1" t="str">
        <f>IFERROR(__xludf.DUMMYFUNCTION("""COMPUTED_VALUE"""),"O+")</f>
        <v>O+</v>
      </c>
      <c r="M522" s="1" t="str">
        <f>IFERROR(__xludf.DUMMYFUNCTION("""COMPUTED_VALUE"""),"Souza")</f>
        <v>Souza</v>
      </c>
      <c r="N522" s="120">
        <f>IFERROR(__xludf.DUMMYFUNCTION("""COMPUTED_VALUE"""),29926)</f>
        <v>29926</v>
      </c>
      <c r="O522" s="1" t="str">
        <f>IFERROR(__xludf.DUMMYFUNCTION("""COMPUTED_VALUE"""),"Masculino")</f>
        <v>Masculino</v>
      </c>
      <c r="P522" s="1" t="str">
        <f>IFERROR(__xludf.DUMMYFUNCTION("""COMPUTED_VALUE"""),"Branca")</f>
        <v>Branca</v>
      </c>
      <c r="Q522" s="1" t="str">
        <f>IFERROR(__xludf.DUMMYFUNCTION("""COMPUTED_VALUE"""),"Ensino Médio")</f>
        <v>Ensino Médio</v>
      </c>
      <c r="R522" s="1" t="str">
        <f>IFERROR(__xludf.DUMMYFUNCTION("""COMPUTED_VALUE"""),"adriano.cade@yahoo.com.br")</f>
        <v>adriano.cade@yahoo.com.br</v>
      </c>
      <c r="S522" s="1">
        <f>IFERROR(__xludf.DUMMYFUNCTION("""COMPUTED_VALUE"""),93)</f>
        <v>93</v>
      </c>
      <c r="T522" s="1" t="str">
        <f>IFERROR(__xludf.DUMMYFUNCTION("""COMPUTED_VALUE"""),"Entre 1,71m e 1,75m")</f>
        <v>Entre 1,71m e 1,75m</v>
      </c>
      <c r="U522" s="1"/>
      <c r="V522" s="1" t="str">
        <f>IFERROR(__xludf.DUMMYFUNCTION("""COMPUTED_VALUE"""),"(54)99149-4189")</f>
        <v>(54)99149-4189</v>
      </c>
      <c r="W522" s="1"/>
      <c r="X522" s="1" t="str">
        <f>IFERROR(__xludf.DUMMYFUNCTION("""COMPUTED_VALUE"""),"RS")</f>
        <v>RS</v>
      </c>
      <c r="Y522" s="1" t="str">
        <f>IFERROR(__xludf.DUMMYFUNCTION("""COMPUTED_VALUE"""),"Casca")</f>
        <v>Casca</v>
      </c>
      <c r="Z522" s="1" t="str">
        <f>IFERROR(__xludf.DUMMYFUNCTION("""COMPUTED_VALUE"""),"99260-000")</f>
        <v>99260-000</v>
      </c>
      <c r="AA522" s="1" t="str">
        <f>IFERROR(__xludf.DUMMYFUNCTION("""COMPUTED_VALUE"""),"Rua Victor Franciosi, 156")</f>
        <v>Rua Victor Franciosi, 156</v>
      </c>
      <c r="AB522" s="1" t="str">
        <f>IFERROR(__xludf.DUMMYFUNCTION("""COMPUTED_VALUE"""),"Jardim Brasil")</f>
        <v>Jardim Brasil</v>
      </c>
      <c r="AC522" s="1" t="str">
        <f>IFERROR(__xludf.DUMMYFUNCTION("""COMPUTED_VALUE"""),"GG")</f>
        <v>GG</v>
      </c>
      <c r="AD522" s="1" t="str">
        <f>IFERROR(__xludf.DUMMYFUNCTION("""COMPUTED_VALUE"""),"GG")</f>
        <v>GG</v>
      </c>
      <c r="AE522" s="1" t="str">
        <f>IFERROR(__xludf.DUMMYFUNCTION("""COMPUTED_VALUE"""),"GG")</f>
        <v>GG</v>
      </c>
      <c r="AF522" s="1" t="str">
        <f>IFERROR(__xludf.DUMMYFUNCTION("""COMPUTED_VALUE"""),"GG")</f>
        <v>GG</v>
      </c>
      <c r="AG522" s="1" t="str">
        <f>IFERROR(__xludf.DUMMYFUNCTION("""COMPUTED_VALUE"""),"GG")</f>
        <v>GG</v>
      </c>
      <c r="AH522" s="1">
        <f>IFERROR(__xludf.DUMMYFUNCTION("""COMPUTED_VALUE"""),42)</f>
        <v>42</v>
      </c>
      <c r="AI522" s="1">
        <f>IFERROR(__xludf.DUMMYFUNCTION("""COMPUTED_VALUE"""),42)</f>
        <v>42</v>
      </c>
      <c r="AJ522" s="1">
        <f>IFERROR(__xludf.DUMMYFUNCTION("""COMPUTED_VALUE"""),42)</f>
        <v>42</v>
      </c>
      <c r="AK522" s="1">
        <f>IFERROR(__xludf.DUMMYFUNCTION("""COMPUTED_VALUE"""),42)</f>
        <v>42</v>
      </c>
      <c r="AL522" s="1" t="str">
        <f>IFERROR(__xludf.DUMMYFUNCTION("""COMPUTED_VALUE"""),"GG")</f>
        <v>GG</v>
      </c>
      <c r="AM522" s="1" t="str">
        <f>IFERROR(__xludf.DUMMYFUNCTION("""COMPUTED_VALUE"""),"GG")</f>
        <v>GG</v>
      </c>
      <c r="AN522" s="1" t="str">
        <f>IFERROR(__xludf.DUMMYFUNCTION("""COMPUTED_VALUE"""),"GG")</f>
        <v>GG</v>
      </c>
    </row>
    <row r="523" customHeight="1" spans="1:40">
      <c r="A523" s="1" t="str">
        <f>IFERROR(__xludf.DUMMYFUNCTION("""COMPUTED_VALUE"""),"07° BBM")</f>
        <v>07° BBM</v>
      </c>
      <c r="B523" s="1" t="str">
        <f>IFERROR(__xludf.DUMMYFUNCTION("""COMPUTED_VALUE"""),"Serafina Corrêa")</f>
        <v>Serafina Corrêa</v>
      </c>
      <c r="C523" s="119" t="str">
        <f>IFERROR(__xludf.DUMMYFUNCTION("""COMPUTED_VALUE"""),"CAB")</f>
        <v>CAB</v>
      </c>
      <c r="D523" s="1" t="str">
        <f>IFERROR(__xludf.DUMMYFUNCTION("""COMPUTED_VALUE"""),"ALAN JOVINO PEREIRA DA SILVA")</f>
        <v>ALAN JOVINO PEREIRA DA SILVA</v>
      </c>
      <c r="E523" s="119" t="str">
        <f>IFERROR(__xludf.DUMMYFUNCTION("""COMPUTED_VALUE"""),"")</f>
        <v/>
      </c>
      <c r="F523" s="1" t="str">
        <f>IFERROR(__xludf.DUMMYFUNCTION("""COMPUTED_VALUE"""),"009.930.350-78")</f>
        <v>009.930.350-78</v>
      </c>
      <c r="G523" s="1">
        <f>IFERROR(__xludf.DUMMYFUNCTION("""COMPUTED_VALUE"""),2097318634)</f>
        <v>2097318634</v>
      </c>
      <c r="H523" s="1" t="str">
        <f>IFERROR(__xludf.DUMMYFUNCTION("""COMPUTED_VALUE"""),"CAB")</f>
        <v>CAB</v>
      </c>
      <c r="I523" s="1" t="str">
        <f>IFERROR(__xludf.DUMMYFUNCTION("""COMPUTED_VALUE"""),"Bombeiro Civil Classe I - 306 HORAS CEVTE - Condutor de veiculo de emergencia - SEST/SENAT APH / BLS Primeira resposta em produtos perigosos - HAZMAT NR 10 NR 33 NR 35 Resgate de Passageiros Em Elevadores - Tyssen Kroup APH Tatico")</f>
        <v>Bombeiro Civil Classe I - 306 HORAS CEVTE - Condutor de veiculo de emergencia - SEST/SENAT APH / BLS Primeira resposta em produtos perigosos - HAZMAT NR 10 NR 33 NR 35 Resgate de Passageiros Em Elevadores - Tyssen Kroup APH Tatico</v>
      </c>
      <c r="J523" s="1" t="str">
        <f>IFERROR(__xludf.DUMMYFUNCTION("""COMPUTED_VALUE"""),"Não")</f>
        <v>Não</v>
      </c>
      <c r="K523" s="1" t="str">
        <f>IFERROR(__xludf.DUMMYFUNCTION("""COMPUTED_VALUE"""),"Não")</f>
        <v>Não</v>
      </c>
      <c r="L523" s="1" t="str">
        <f>IFERROR(__xludf.DUMMYFUNCTION("""COMPUTED_VALUE"""),"O-")</f>
        <v>O-</v>
      </c>
      <c r="M523" s="1" t="str">
        <f>IFERROR(__xludf.DUMMYFUNCTION("""COMPUTED_VALUE"""),"Alan")</f>
        <v>Alan</v>
      </c>
      <c r="N523" s="120">
        <f>IFERROR(__xludf.DUMMYFUNCTION("""COMPUTED_VALUE"""),30532)</f>
        <v>30532</v>
      </c>
      <c r="O523" s="1" t="str">
        <f>IFERROR(__xludf.DUMMYFUNCTION("""COMPUTED_VALUE"""),"Masculino")</f>
        <v>Masculino</v>
      </c>
      <c r="P523" s="1" t="str">
        <f>IFERROR(__xludf.DUMMYFUNCTION("""COMPUTED_VALUE"""),"Branca")</f>
        <v>Branca</v>
      </c>
      <c r="Q523" s="1" t="str">
        <f>IFERROR(__xludf.DUMMYFUNCTION("""COMPUTED_VALUE"""),"Ensino Médio")</f>
        <v>Ensino Médio</v>
      </c>
      <c r="R523" s="1" t="str">
        <f>IFERROR(__xludf.DUMMYFUNCTION("""COMPUTED_VALUE"""),"alananjosdaguarda1@gmail.com")</f>
        <v>alananjosdaguarda1@gmail.com</v>
      </c>
      <c r="S523" s="1">
        <f>IFERROR(__xludf.DUMMYFUNCTION("""COMPUTED_VALUE"""),98)</f>
        <v>98</v>
      </c>
      <c r="T523" s="1" t="str">
        <f>IFERROR(__xludf.DUMMYFUNCTION("""COMPUTED_VALUE"""),"Entre 1,76m e 1,80m")</f>
        <v>Entre 1,76m e 1,80m</v>
      </c>
      <c r="U523" s="1"/>
      <c r="V523" s="1" t="str">
        <f>IFERROR(__xludf.DUMMYFUNCTION("""COMPUTED_VALUE"""),"(54)99211-6360")</f>
        <v>(54)99211-6360</v>
      </c>
      <c r="W523" s="1" t="str">
        <f>IFERROR(__xludf.DUMMYFUNCTION("""COMPUTED_VALUE"""),"(54)99649-6609")</f>
        <v>(54)99649-6609</v>
      </c>
      <c r="X523" s="1" t="str">
        <f>IFERROR(__xludf.DUMMYFUNCTION("""COMPUTED_VALUE"""),"RS")</f>
        <v>RS</v>
      </c>
      <c r="Y523" s="1" t="str">
        <f>IFERROR(__xludf.DUMMYFUNCTION("""COMPUTED_VALUE"""),"Guaporé")</f>
        <v>Guaporé</v>
      </c>
      <c r="Z523" s="1" t="str">
        <f>IFERROR(__xludf.DUMMYFUNCTION("""COMPUTED_VALUE"""),"99200-000")</f>
        <v>99200-000</v>
      </c>
      <c r="AA523" s="1" t="str">
        <f>IFERROR(__xludf.DUMMYFUNCTION("""COMPUTED_VALUE"""),"Rua Aurora, 1495")</f>
        <v>Rua Aurora, 1495</v>
      </c>
      <c r="AB523" s="1" t="str">
        <f>IFERROR(__xludf.DUMMYFUNCTION("""COMPUTED_VALUE"""),"Centro")</f>
        <v>Centro</v>
      </c>
      <c r="AC523" s="1" t="str">
        <f>IFERROR(__xludf.DUMMYFUNCTION("""COMPUTED_VALUE"""),"G")</f>
        <v>G</v>
      </c>
      <c r="AD523" s="1" t="str">
        <f>IFERROR(__xludf.DUMMYFUNCTION("""COMPUTED_VALUE"""),"G")</f>
        <v>G</v>
      </c>
      <c r="AE523" s="1" t="str">
        <f>IFERROR(__xludf.DUMMYFUNCTION("""COMPUTED_VALUE"""),"G")</f>
        <v>G</v>
      </c>
      <c r="AF523" s="1" t="str">
        <f>IFERROR(__xludf.DUMMYFUNCTION("""COMPUTED_VALUE"""),"G")</f>
        <v>G</v>
      </c>
      <c r="AG523" s="1" t="str">
        <f>IFERROR(__xludf.DUMMYFUNCTION("""COMPUTED_VALUE"""),"G")</f>
        <v>G</v>
      </c>
      <c r="AH523" s="1">
        <f>IFERROR(__xludf.DUMMYFUNCTION("""COMPUTED_VALUE"""),42)</f>
        <v>42</v>
      </c>
      <c r="AI523" s="1">
        <f>IFERROR(__xludf.DUMMYFUNCTION("""COMPUTED_VALUE"""),42)</f>
        <v>42</v>
      </c>
      <c r="AJ523" s="1">
        <f>IFERROR(__xludf.DUMMYFUNCTION("""COMPUTED_VALUE"""),42)</f>
        <v>42</v>
      </c>
      <c r="AK523" s="1">
        <f>IFERROR(__xludf.DUMMYFUNCTION("""COMPUTED_VALUE"""),43)</f>
        <v>43</v>
      </c>
      <c r="AL523" s="1" t="str">
        <f>IFERROR(__xludf.DUMMYFUNCTION("""COMPUTED_VALUE"""),"G")</f>
        <v>G</v>
      </c>
      <c r="AM523" s="1" t="str">
        <f>IFERROR(__xludf.DUMMYFUNCTION("""COMPUTED_VALUE"""),"G")</f>
        <v>G</v>
      </c>
      <c r="AN523" s="1" t="str">
        <f>IFERROR(__xludf.DUMMYFUNCTION("""COMPUTED_VALUE"""),"G")</f>
        <v>G</v>
      </c>
    </row>
    <row r="524" customHeight="1" spans="1:40">
      <c r="A524" s="1"/>
      <c r="B524" s="1"/>
      <c r="C524" s="119"/>
      <c r="D524" s="1" t="str">
        <f>IFERROR(__xludf.DUMMYFUNCTION("""COMPUTED_VALUE"""),"ALCINDO MACIEL DE MORAES")</f>
        <v>ALCINDO MACIEL DE MORAES</v>
      </c>
      <c r="E524" s="119" t="str">
        <f>IFERROR(__xludf.DUMMYFUNCTION("""COMPUTED_VALUE"""),"Módulo 1 concluído")</f>
        <v>Módulo 1 concluído</v>
      </c>
      <c r="F524" s="1" t="str">
        <f>IFERROR(__xludf.DUMMYFUNCTION("""COMPUTED_VALUE"""),"662.903.920-34")</f>
        <v>662.903.920-34</v>
      </c>
      <c r="G524" s="1"/>
      <c r="H524" s="1"/>
      <c r="I524" s="1"/>
      <c r="J524" s="1"/>
      <c r="K524" s="1"/>
      <c r="L524" s="1"/>
      <c r="M524" s="1"/>
      <c r="N524" s="120"/>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row>
    <row r="525" customHeight="1" spans="1:40">
      <c r="A525" s="1" t="str">
        <f>IFERROR(__xludf.DUMMYFUNCTION("""COMPUTED_VALUE"""),"07° BBM")</f>
        <v>07° BBM</v>
      </c>
      <c r="B525" s="1" t="str">
        <f>IFERROR(__xludf.DUMMYFUNCTION("""COMPUTED_VALUE"""),"Áurea")</f>
        <v>Áurea</v>
      </c>
      <c r="C525" s="119" t="str">
        <f>IFERROR(__xludf.DUMMYFUNCTION("""COMPUTED_VALUE"""),"CAB")</f>
        <v>CAB</v>
      </c>
      <c r="D525" s="1" t="str">
        <f>IFERROR(__xludf.DUMMYFUNCTION("""COMPUTED_VALUE"""),"ALDO LUIZ ZAVORSKI")</f>
        <v>ALDO LUIZ ZAVORSKI</v>
      </c>
      <c r="E525" s="119" t="str">
        <f>IFERROR(__xludf.DUMMYFUNCTION("""COMPUTED_VALUE"""),"")</f>
        <v/>
      </c>
      <c r="F525" s="1" t="str">
        <f>IFERROR(__xludf.DUMMYFUNCTION("""COMPUTED_VALUE"""),"451.044.410-91")</f>
        <v>451.044.410-91</v>
      </c>
      <c r="G525" s="1">
        <f>IFERROR(__xludf.DUMMYFUNCTION("""COMPUTED_VALUE"""),2036098321)</f>
        <v>2036098321</v>
      </c>
      <c r="H525" s="1" t="str">
        <f>IFERROR(__xludf.DUMMYFUNCTION("""COMPUTED_VALUE"""),"voluntário")</f>
        <v>voluntário</v>
      </c>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row>
    <row r="526" customHeight="1" spans="1:40">
      <c r="A526" s="1" t="str">
        <f>IFERROR(__xludf.DUMMYFUNCTION("""COMPUTED_VALUE"""),"07° BBM")</f>
        <v>07° BBM</v>
      </c>
      <c r="B526" s="1" t="str">
        <f>IFERROR(__xludf.DUMMYFUNCTION("""COMPUTED_VALUE"""),"Constantina")</f>
        <v>Constantina</v>
      </c>
      <c r="C526" s="119" t="str">
        <f>IFERROR(__xludf.DUMMYFUNCTION("""COMPUTED_VALUE"""),"CAB")</f>
        <v>CAB</v>
      </c>
      <c r="D526" s="1" t="str">
        <f>IFERROR(__xludf.DUMMYFUNCTION("""COMPUTED_VALUE"""),"ALENCAR FRANCIO DA FONTOURA")</f>
        <v>ALENCAR FRANCIO DA FONTOURA</v>
      </c>
      <c r="E526" s="119" t="str">
        <f>IFERROR(__xludf.DUMMYFUNCTION("""COMPUTED_VALUE"""),"")</f>
        <v/>
      </c>
      <c r="F526" s="1" t="str">
        <f>IFERROR(__xludf.DUMMYFUNCTION("""COMPUTED_VALUE"""),"971.623.450-34 ")</f>
        <v>971.623.450-34 </v>
      </c>
      <c r="G526" s="1">
        <f>IFERROR(__xludf.DUMMYFUNCTION("""COMPUTED_VALUE"""),4081296206)</f>
        <v>4081296206</v>
      </c>
      <c r="H526" s="1" t="str">
        <f>IFERROR(__xludf.DUMMYFUNCTION("""COMPUTED_VALUE"""),"voluntário")</f>
        <v>voluntário</v>
      </c>
      <c r="I526" s="1"/>
      <c r="J526" s="1"/>
      <c r="K526" s="1"/>
      <c r="L526" s="1" t="str">
        <f>IFERROR(__xludf.DUMMYFUNCTION("""COMPUTED_VALUE"""),"O+")</f>
        <v>O+</v>
      </c>
      <c r="M526" s="1" t="str">
        <f>IFERROR(__xludf.DUMMYFUNCTION("""COMPUTED_VALUE"""),"CALE")</f>
        <v>CALE</v>
      </c>
      <c r="N526" s="120">
        <f>IFERROR(__xludf.DUMMYFUNCTION("""COMPUTED_VALUE"""),29987)</f>
        <v>29987</v>
      </c>
      <c r="O526" s="1" t="str">
        <f>IFERROR(__xludf.DUMMYFUNCTION("""COMPUTED_VALUE"""),"Masculino")</f>
        <v>Masculino</v>
      </c>
      <c r="P526" s="1" t="str">
        <f>IFERROR(__xludf.DUMMYFUNCTION("""COMPUTED_VALUE"""),"Parda")</f>
        <v>Parda</v>
      </c>
      <c r="Q526" s="1" t="str">
        <f>IFERROR(__xludf.DUMMYFUNCTION("""COMPUTED_VALUE"""),"Ensino Médio")</f>
        <v>Ensino Médio</v>
      </c>
      <c r="R526" s="1" t="str">
        <f>IFERROR(__xludf.DUMMYFUNCTION("""COMPUTED_VALUE"""),"obras@constantina.rs.gov.br")</f>
        <v>obras@constantina.rs.gov.br</v>
      </c>
      <c r="S526" s="1">
        <f>IFERROR(__xludf.DUMMYFUNCTION("""COMPUTED_VALUE"""),70)</f>
        <v>70</v>
      </c>
      <c r="T526" s="1" t="str">
        <f>IFERROR(__xludf.DUMMYFUNCTION("""COMPUTED_VALUE"""),"Entre 1,71m e 1,75m")</f>
        <v>Entre 1,71m e 1,75m</v>
      </c>
      <c r="U526" s="1" t="str">
        <f>IFERROR(__xludf.DUMMYFUNCTION("""COMPUTED_VALUE"""),"(54) 9 96886071")</f>
        <v>(54) 9 96886071</v>
      </c>
      <c r="V526" s="1"/>
      <c r="W526" s="1"/>
      <c r="X526" s="1" t="str">
        <f>IFERROR(__xludf.DUMMYFUNCTION("""COMPUTED_VALUE"""),"RS")</f>
        <v>RS</v>
      </c>
      <c r="Y526" s="1" t="str">
        <f>IFERROR(__xludf.DUMMYFUNCTION("""COMPUTED_VALUE"""),"Constantina")</f>
        <v>Constantina</v>
      </c>
      <c r="Z526" s="1" t="str">
        <f>IFERROR(__xludf.DUMMYFUNCTION("""COMPUTED_VALUE"""),"99680-000")</f>
        <v>99680-000</v>
      </c>
      <c r="AA526" s="1" t="str">
        <f>IFERROR(__xludf.DUMMYFUNCTION("""COMPUTED_VALUE"""),"Rua Jacob Giacomini")</f>
        <v>Rua Jacob Giacomini</v>
      </c>
      <c r="AB526" s="1" t="str">
        <f>IFERROR(__xludf.DUMMYFUNCTION("""COMPUTED_VALUE"""),"Bairro Herval")</f>
        <v>Bairro Herval</v>
      </c>
      <c r="AC526" s="1" t="str">
        <f>IFERROR(__xludf.DUMMYFUNCTION("""COMPUTED_VALUE"""),"M")</f>
        <v>M</v>
      </c>
      <c r="AD526" s="1" t="str">
        <f>IFERROR(__xludf.DUMMYFUNCTION("""COMPUTED_VALUE"""),"M")</f>
        <v>M</v>
      </c>
      <c r="AE526" s="1" t="str">
        <f>IFERROR(__xludf.DUMMYFUNCTION("""COMPUTED_VALUE"""),"M")</f>
        <v>M</v>
      </c>
      <c r="AF526" s="1" t="str">
        <f>IFERROR(__xludf.DUMMYFUNCTION("""COMPUTED_VALUE"""),"M")</f>
        <v>M</v>
      </c>
      <c r="AG526" s="1" t="str">
        <f>IFERROR(__xludf.DUMMYFUNCTION("""COMPUTED_VALUE"""),"M")</f>
        <v>M</v>
      </c>
      <c r="AH526" s="1">
        <f>IFERROR(__xludf.DUMMYFUNCTION("""COMPUTED_VALUE"""),40)</f>
        <v>40</v>
      </c>
      <c r="AI526" s="1">
        <f>IFERROR(__xludf.DUMMYFUNCTION("""COMPUTED_VALUE"""),40)</f>
        <v>40</v>
      </c>
      <c r="AJ526" s="1">
        <f>IFERROR(__xludf.DUMMYFUNCTION("""COMPUTED_VALUE"""),40)</f>
        <v>40</v>
      </c>
      <c r="AK526" s="1">
        <f>IFERROR(__xludf.DUMMYFUNCTION("""COMPUTED_VALUE"""),40)</f>
        <v>40</v>
      </c>
      <c r="AL526" s="1" t="str">
        <f>IFERROR(__xludf.DUMMYFUNCTION("""COMPUTED_VALUE"""),"M")</f>
        <v>M</v>
      </c>
      <c r="AM526" s="1" t="str">
        <f>IFERROR(__xludf.DUMMYFUNCTION("""COMPUTED_VALUE"""),"M")</f>
        <v>M</v>
      </c>
      <c r="AN526" s="1" t="str">
        <f>IFERROR(__xludf.DUMMYFUNCTION("""COMPUTED_VALUE"""),"M")</f>
        <v>M</v>
      </c>
    </row>
    <row r="527" customHeight="1" spans="1:40">
      <c r="A527" s="1" t="str">
        <f>IFERROR(__xludf.DUMMYFUNCTION("""COMPUTED_VALUE"""),"07° BBM")</f>
        <v>07° BBM</v>
      </c>
      <c r="B527" s="1" t="str">
        <f>IFERROR(__xludf.DUMMYFUNCTION("""COMPUTED_VALUE"""),"Barão de Cotegipe")</f>
        <v>Barão de Cotegipe</v>
      </c>
      <c r="C527" s="119" t="str">
        <f>IFERROR(__xludf.DUMMYFUNCTION("""COMPUTED_VALUE"""),"CAB")</f>
        <v>CAB</v>
      </c>
      <c r="D527" s="1" t="str">
        <f>IFERROR(__xludf.DUMMYFUNCTION("""COMPUTED_VALUE"""),"ALESSANDRA TUSSI")</f>
        <v>ALESSANDRA TUSSI</v>
      </c>
      <c r="E527" s="119" t="str">
        <f>IFERROR(__xludf.DUMMYFUNCTION("""COMPUTED_VALUE"""),"")</f>
        <v/>
      </c>
      <c r="F527" s="1" t="str">
        <f>IFERROR(__xludf.DUMMYFUNCTION("""COMPUTED_VALUE"""),"048.991.110-29")</f>
        <v>048.991.110-29</v>
      </c>
      <c r="G527" s="1">
        <f>IFERROR(__xludf.DUMMYFUNCTION("""COMPUTED_VALUE"""),4132440068)</f>
        <v>4132440068</v>
      </c>
      <c r="H527" s="1" t="str">
        <f>IFERROR(__xludf.DUMMYFUNCTION("""COMPUTED_VALUE"""),"Secretaria")</f>
        <v>Secretaria</v>
      </c>
      <c r="I527" s="1" t="str">
        <f>IFERROR(__xludf.DUMMYFUNCTION("""COMPUTED_VALUE"""),"Não")</f>
        <v>Não</v>
      </c>
      <c r="J527" s="1" t="str">
        <f>IFERROR(__xludf.DUMMYFUNCTION("""COMPUTED_VALUE"""),"Não")</f>
        <v>Não</v>
      </c>
      <c r="K527" s="1" t="str">
        <f>IFERROR(__xludf.DUMMYFUNCTION("""COMPUTED_VALUE"""),"Sim")</f>
        <v>Sim</v>
      </c>
      <c r="L527" s="1" t="str">
        <f>IFERROR(__xludf.DUMMYFUNCTION("""COMPUTED_VALUE"""),"O-")</f>
        <v>O-</v>
      </c>
      <c r="M527" s="1" t="str">
        <f>IFERROR(__xludf.DUMMYFUNCTION("""COMPUTED_VALUE"""),"ALESSANDRA")</f>
        <v>ALESSANDRA</v>
      </c>
      <c r="N527" s="120">
        <f>IFERROR(__xludf.DUMMYFUNCTION("""COMPUTED_VALUE"""),37857)</f>
        <v>37857</v>
      </c>
      <c r="O527" s="1" t="str">
        <f>IFERROR(__xludf.DUMMYFUNCTION("""COMPUTED_VALUE"""),"Feminino")</f>
        <v>Feminino</v>
      </c>
      <c r="P527" s="1" t="str">
        <f>IFERROR(__xludf.DUMMYFUNCTION("""COMPUTED_VALUE"""),"BRANCA")</f>
        <v>BRANCA</v>
      </c>
      <c r="Q527" s="1" t="str">
        <f>IFERROR(__xludf.DUMMYFUNCTION("""COMPUTED_VALUE"""),"ENSINO MÉDIO COMPLETO")</f>
        <v>ENSINO MÉDIO COMPLETO</v>
      </c>
      <c r="R527" s="1" t="str">
        <f>IFERROR(__xludf.DUMMYFUNCTION("""COMPUTED_VALUE"""),"alessandratussi2408@gmail.com")</f>
        <v>alessandratussi2408@gmail.com</v>
      </c>
      <c r="S527" s="1">
        <f>IFERROR(__xludf.DUMMYFUNCTION("""COMPUTED_VALUE"""),68)</f>
        <v>68</v>
      </c>
      <c r="T527" s="1" t="str">
        <f>IFERROR(__xludf.DUMMYFUNCTION("""COMPUTED_VALUE"""),"Entre 1,66m e 1,70m")</f>
        <v>Entre 1,66m e 1,70m</v>
      </c>
      <c r="U527" s="1" t="str">
        <f>IFERROR(__xludf.DUMMYFUNCTION("""COMPUTED_VALUE"""),"(54) 999395904")</f>
        <v>(54) 999395904</v>
      </c>
      <c r="V527" s="1" t="str">
        <f>IFERROR(__xludf.DUMMYFUNCTION("""COMPUTED_VALUE"""),"(54) 996462699")</f>
        <v>(54) 996462699</v>
      </c>
      <c r="W527" s="1" t="str">
        <f>IFERROR(__xludf.DUMMYFUNCTION("""COMPUTED_VALUE"""),"(54) 996462699")</f>
        <v>(54) 996462699</v>
      </c>
      <c r="X527" s="1" t="str">
        <f>IFERROR(__xludf.DUMMYFUNCTION("""COMPUTED_VALUE"""),"RS")</f>
        <v>RS</v>
      </c>
      <c r="Y527" s="1" t="str">
        <f>IFERROR(__xludf.DUMMYFUNCTION("""COMPUTED_VALUE"""),"BARÃO DE COTEGIPE")</f>
        <v>BARÃO DE COTEGIPE</v>
      </c>
      <c r="Z527" s="1" t="str">
        <f>IFERROR(__xludf.DUMMYFUNCTION("""COMPUTED_VALUE"""),"99740-000")</f>
        <v>99740-000</v>
      </c>
      <c r="AA527" s="1" t="str">
        <f>IFERROR(__xludf.DUMMYFUNCTION("""COMPUTED_VALUE"""),"RUA ANTONIO DAUMER")</f>
        <v>RUA ANTONIO DAUMER</v>
      </c>
      <c r="AB527" s="1" t="str">
        <f>IFERROR(__xludf.DUMMYFUNCTION("""COMPUTED_VALUE"""),"JARDIM AMERICA")</f>
        <v>JARDIM AMERICA</v>
      </c>
      <c r="AC527" s="1" t="str">
        <f>IFERROR(__xludf.DUMMYFUNCTION("""COMPUTED_VALUE"""),"M")</f>
        <v>M</v>
      </c>
      <c r="AD527" s="1" t="str">
        <f>IFERROR(__xludf.DUMMYFUNCTION("""COMPUTED_VALUE"""),"M")</f>
        <v>M</v>
      </c>
      <c r="AE527" s="1" t="str">
        <f>IFERROR(__xludf.DUMMYFUNCTION("""COMPUTED_VALUE"""),"M")</f>
        <v>M</v>
      </c>
      <c r="AF527" s="1" t="str">
        <f>IFERROR(__xludf.DUMMYFUNCTION("""COMPUTED_VALUE"""),"M")</f>
        <v>M</v>
      </c>
      <c r="AG527" s="1" t="str">
        <f>IFERROR(__xludf.DUMMYFUNCTION("""COMPUTED_VALUE"""),"M")</f>
        <v>M</v>
      </c>
      <c r="AH527" s="1" t="str">
        <f>IFERROR(__xludf.DUMMYFUNCTION("""COMPUTED_VALUE"""),"M")</f>
        <v>M</v>
      </c>
      <c r="AI527" s="1">
        <f>IFERROR(__xludf.DUMMYFUNCTION("""COMPUTED_VALUE"""),39)</f>
        <v>39</v>
      </c>
      <c r="AJ527" s="1">
        <f>IFERROR(__xludf.DUMMYFUNCTION("""COMPUTED_VALUE"""),39)</f>
        <v>39</v>
      </c>
      <c r="AK527" s="1">
        <f>IFERROR(__xludf.DUMMYFUNCTION("""COMPUTED_VALUE"""),39)</f>
        <v>39</v>
      </c>
      <c r="AL527" s="1">
        <f>IFERROR(__xludf.DUMMYFUNCTION("""COMPUTED_VALUE"""),39)</f>
        <v>39</v>
      </c>
      <c r="AM527" s="1" t="str">
        <f>IFERROR(__xludf.DUMMYFUNCTION("""COMPUTED_VALUE"""),"M")</f>
        <v>M</v>
      </c>
      <c r="AN527" s="1">
        <f>IFERROR(__xludf.DUMMYFUNCTION("""COMPUTED_VALUE"""),52)</f>
        <v>52</v>
      </c>
    </row>
    <row r="528" customHeight="1" spans="1:40">
      <c r="A528" s="1" t="str">
        <f>IFERROR(__xludf.DUMMYFUNCTION("""COMPUTED_VALUE"""),"07° BBM")</f>
        <v>07° BBM</v>
      </c>
      <c r="B528" s="1" t="str">
        <f>IFERROR(__xludf.DUMMYFUNCTION("""COMPUTED_VALUE"""),"Viadutos")</f>
        <v>Viadutos</v>
      </c>
      <c r="C528" s="119" t="str">
        <f>IFERROR(__xludf.DUMMYFUNCTION("""COMPUTED_VALUE"""),"CAB")</f>
        <v>CAB</v>
      </c>
      <c r="D528" s="1" t="str">
        <f>IFERROR(__xludf.DUMMYFUNCTION("""COMPUTED_VALUE"""),"ALEX EDUARDO TOCHETTO")</f>
        <v>ALEX EDUARDO TOCHETTO</v>
      </c>
      <c r="E528" s="119" t="str">
        <f>IFERROR(__xludf.DUMMYFUNCTION("""COMPUTED_VALUE"""),"Módulo 1 concluído")</f>
        <v>Módulo 1 concluído</v>
      </c>
      <c r="F528" s="1" t="str">
        <f>IFERROR(__xludf.DUMMYFUNCTION("""COMPUTED_VALUE"""),"034.659.060-47")</f>
        <v>034.659.060-47</v>
      </c>
      <c r="G528" s="1">
        <f>IFERROR(__xludf.DUMMYFUNCTION("""COMPUTED_VALUE"""),1104159882)</f>
        <v>1104159882</v>
      </c>
      <c r="H528" s="1" t="str">
        <f>IFERROR(__xludf.DUMMYFUNCTION("""COMPUTED_VALUE"""),"COMBATENTE")</f>
        <v>COMBATENTE</v>
      </c>
      <c r="I528" s="1" t="str">
        <f>IFERROR(__xludf.DUMMYFUNCTION("""COMPUTED_VALUE"""),"Atendiimento Suporte Básico de Vida")</f>
        <v>Atendiimento Suporte Básico de Vida</v>
      </c>
      <c r="J528" s="1" t="str">
        <f>IFERROR(__xludf.DUMMYFUNCTION("""COMPUTED_VALUE"""),"Não")</f>
        <v>Não</v>
      </c>
      <c r="K528" s="1" t="str">
        <f>IFERROR(__xludf.DUMMYFUNCTION("""COMPUTED_VALUE"""),"Não")</f>
        <v>Não</v>
      </c>
      <c r="L528" s="1" t="str">
        <f>IFERROR(__xludf.DUMMYFUNCTION("""COMPUTED_VALUE"""),"A+")</f>
        <v>A+</v>
      </c>
      <c r="M528" s="1" t="str">
        <f>IFERROR(__xludf.DUMMYFUNCTION("""COMPUTED_VALUE"""),"ALEX")</f>
        <v>ALEX</v>
      </c>
      <c r="N528" s="120">
        <f>IFERROR(__xludf.DUMMYFUNCTION("""COMPUTED_VALUE"""),34875)</f>
        <v>34875</v>
      </c>
      <c r="O528" s="1" t="str">
        <f>IFERROR(__xludf.DUMMYFUNCTION("""COMPUTED_VALUE"""),"Masculino")</f>
        <v>Masculino</v>
      </c>
      <c r="P528" s="1" t="str">
        <f>IFERROR(__xludf.DUMMYFUNCTION("""COMPUTED_VALUE"""),"Branca")</f>
        <v>Branca</v>
      </c>
      <c r="Q528" s="1" t="str">
        <f>IFERROR(__xludf.DUMMYFUNCTION("""COMPUTED_VALUE"""),"Ensino Médio")</f>
        <v>Ensino Médio</v>
      </c>
      <c r="R528" s="1" t="str">
        <f>IFERROR(__xludf.DUMMYFUNCTION("""COMPUTED_VALUE"""),"alextochetto2@gmail.com")</f>
        <v>alextochetto2@gmail.com</v>
      </c>
      <c r="S528" s="1">
        <f>IFERROR(__xludf.DUMMYFUNCTION("""COMPUTED_VALUE"""),75)</f>
        <v>75</v>
      </c>
      <c r="T528" s="1" t="str">
        <f>IFERROR(__xludf.DUMMYFUNCTION("""COMPUTED_VALUE"""),"Entre 1,71m e 1,75m")</f>
        <v>Entre 1,71m e 1,75m</v>
      </c>
      <c r="U528" s="1"/>
      <c r="V528" s="1" t="str">
        <f>IFERROR(__xludf.DUMMYFUNCTION("""COMPUTED_VALUE"""),"(54) 996891751")</f>
        <v>(54) 996891751</v>
      </c>
      <c r="W528" s="1" t="str">
        <f>IFERROR(__xludf.DUMMYFUNCTION("""COMPUTED_VALUE"""),"(54) 999249531")</f>
        <v>(54) 999249531</v>
      </c>
      <c r="X528" s="1" t="str">
        <f>IFERROR(__xludf.DUMMYFUNCTION("""COMPUTED_VALUE"""),"RS")</f>
        <v>RS</v>
      </c>
      <c r="Y528" s="1" t="str">
        <f>IFERROR(__xludf.DUMMYFUNCTION("""COMPUTED_VALUE"""),"Viadutos")</f>
        <v>Viadutos</v>
      </c>
      <c r="Z528" s="1" t="str">
        <f>IFERROR(__xludf.DUMMYFUNCTION("""COMPUTED_VALUE"""),"99820-000")</f>
        <v>99820-000</v>
      </c>
      <c r="AA528" s="1" t="str">
        <f>IFERROR(__xludf.DUMMYFUNCTION("""COMPUTED_VALUE"""),"Linha Geral S/N")</f>
        <v>Linha Geral S/N</v>
      </c>
      <c r="AB528" s="1" t="str">
        <f>IFERROR(__xludf.DUMMYFUNCTION("""COMPUTED_VALUE"""),"Interior")</f>
        <v>Interior</v>
      </c>
      <c r="AC528" s="1" t="str">
        <f>IFERROR(__xludf.DUMMYFUNCTION("""COMPUTED_VALUE"""),"M")</f>
        <v>M</v>
      </c>
      <c r="AD528" s="1" t="str">
        <f>IFERROR(__xludf.DUMMYFUNCTION("""COMPUTED_VALUE"""),"M")</f>
        <v>M</v>
      </c>
      <c r="AE528" s="1" t="str">
        <f>IFERROR(__xludf.DUMMYFUNCTION("""COMPUTED_VALUE"""),"M")</f>
        <v>M</v>
      </c>
      <c r="AF528" s="1" t="str">
        <f>IFERROR(__xludf.DUMMYFUNCTION("""COMPUTED_VALUE"""),"G")</f>
        <v>G</v>
      </c>
      <c r="AG528" s="1" t="str">
        <f>IFERROR(__xludf.DUMMYFUNCTION("""COMPUTED_VALUE"""),"M")</f>
        <v>M</v>
      </c>
      <c r="AH528" s="1">
        <f>IFERROR(__xludf.DUMMYFUNCTION("""COMPUTED_VALUE"""),41)</f>
        <v>41</v>
      </c>
      <c r="AI528" s="1">
        <f>IFERROR(__xludf.DUMMYFUNCTION("""COMPUTED_VALUE"""),41)</f>
        <v>41</v>
      </c>
      <c r="AJ528" s="1">
        <f>IFERROR(__xludf.DUMMYFUNCTION("""COMPUTED_VALUE"""),41)</f>
        <v>41</v>
      </c>
      <c r="AK528" s="1">
        <f>IFERROR(__xludf.DUMMYFUNCTION("""COMPUTED_VALUE"""),41)</f>
        <v>41</v>
      </c>
      <c r="AL528" s="1" t="str">
        <f>IFERROR(__xludf.DUMMYFUNCTION("""COMPUTED_VALUE"""),"M")</f>
        <v>M</v>
      </c>
      <c r="AM528" s="1" t="str">
        <f>IFERROR(__xludf.DUMMYFUNCTION("""COMPUTED_VALUE"""),"M")</f>
        <v>M</v>
      </c>
      <c r="AN528" s="1" t="str">
        <f>IFERROR(__xludf.DUMMYFUNCTION("""COMPUTED_VALUE"""),"G")</f>
        <v>G</v>
      </c>
    </row>
    <row r="529" customHeight="1" spans="1:40">
      <c r="A529" s="1" t="str">
        <f>IFERROR(__xludf.DUMMYFUNCTION("""COMPUTED_VALUE"""),"07° BBM")</f>
        <v>07° BBM</v>
      </c>
      <c r="B529" s="1" t="str">
        <f>IFERROR(__xludf.DUMMYFUNCTION("""COMPUTED_VALUE"""),"Não-Me-Toque")</f>
        <v>Não-Me-Toque</v>
      </c>
      <c r="C529" s="119" t="str">
        <f>IFERROR(__xludf.DUMMYFUNCTION("""COMPUTED_VALUE"""),"CAB")</f>
        <v>CAB</v>
      </c>
      <c r="D529" s="1" t="str">
        <f>IFERROR(__xludf.DUMMYFUNCTION("""COMPUTED_VALUE"""),"ALEXANDRE DO NASCIMENTO")</f>
        <v>ALEXANDRE DO NASCIMENTO</v>
      </c>
      <c r="E529" s="119" t="str">
        <f>IFERROR(__xludf.DUMMYFUNCTION("""COMPUTED_VALUE"""),"")</f>
        <v/>
      </c>
      <c r="F529" s="1" t="str">
        <f>IFERROR(__xludf.DUMMYFUNCTION("""COMPUTED_VALUE"""),"962.034.550-91")</f>
        <v>962.034.550-91</v>
      </c>
      <c r="G529" s="1">
        <f>IFERROR(__xludf.DUMMYFUNCTION("""COMPUTED_VALUE"""),1074187525)</f>
        <v>1074187525</v>
      </c>
      <c r="H529" s="1" t="str">
        <f>IFERROR(__xludf.DUMMYFUNCTION("""COMPUTED_VALUE"""),"COVE")</f>
        <v>COVE</v>
      </c>
      <c r="I529" s="1" t="str">
        <f>IFERROR(__xludf.DUMMYFUNCTION("""COMPUTED_VALUE"""),"Condutor Veiculos de Emergência/Operação Caminhão/Nivelamento operacional CBMRS")</f>
        <v>Condutor Veiculos de Emergência/Operação Caminhão/Nivelamento operacional CBMRS</v>
      </c>
      <c r="J529" s="1" t="str">
        <f>IFERROR(__xludf.DUMMYFUNCTION("""COMPUTED_VALUE"""),"Não")</f>
        <v>Não</v>
      </c>
      <c r="K529" s="1" t="str">
        <f>IFERROR(__xludf.DUMMYFUNCTION("""COMPUTED_VALUE"""),"Não")</f>
        <v>Não</v>
      </c>
      <c r="L529" s="1" t="str">
        <f>IFERROR(__xludf.DUMMYFUNCTION("""COMPUTED_VALUE"""),"O+")</f>
        <v>O+</v>
      </c>
      <c r="M529" s="1" t="str">
        <f>IFERROR(__xludf.DUMMYFUNCTION("""COMPUTED_VALUE"""),"XANDE")</f>
        <v>XANDE</v>
      </c>
      <c r="N529" s="120">
        <f>IFERROR(__xludf.DUMMYFUNCTION("""COMPUTED_VALUE"""),28654)</f>
        <v>28654</v>
      </c>
      <c r="O529" s="1" t="str">
        <f>IFERROR(__xludf.DUMMYFUNCTION("""COMPUTED_VALUE"""),"Masculino")</f>
        <v>Masculino</v>
      </c>
      <c r="P529" s="1" t="str">
        <f>IFERROR(__xludf.DUMMYFUNCTION("""COMPUTED_VALUE"""),"Morena")</f>
        <v>Morena</v>
      </c>
      <c r="Q529" s="1" t="str">
        <f>IFERROR(__xludf.DUMMYFUNCTION("""COMPUTED_VALUE"""),"Ensino Médio")</f>
        <v>Ensino Médio</v>
      </c>
      <c r="R529" s="1" t="str">
        <f>IFERROR(__xludf.DUMMYFUNCTION("""COMPUTED_VALUE"""),"alexandrenascimento70@gmail.com")</f>
        <v>alexandrenascimento70@gmail.com</v>
      </c>
      <c r="S529" s="1">
        <f>IFERROR(__xludf.DUMMYFUNCTION("""COMPUTED_VALUE"""),85)</f>
        <v>85</v>
      </c>
      <c r="T529" s="1" t="str">
        <f>IFERROR(__xludf.DUMMYFUNCTION("""COMPUTED_VALUE"""),"Entre 1,66m e 1,70m")</f>
        <v>Entre 1,66m e 1,70m</v>
      </c>
      <c r="U529" s="1"/>
      <c r="V529" s="1" t="str">
        <f>IFERROR(__xludf.DUMMYFUNCTION("""COMPUTED_VALUE"""),"(54)999371989")</f>
        <v>(54)999371989</v>
      </c>
      <c r="W529" s="1"/>
      <c r="X529" s="1" t="str">
        <f>IFERROR(__xludf.DUMMYFUNCTION("""COMPUTED_VALUE"""),"RS")</f>
        <v>RS</v>
      </c>
      <c r="Y529" s="1" t="str">
        <f>IFERROR(__xludf.DUMMYFUNCTION("""COMPUTED_VALUE"""),"Não-Me-Toque")</f>
        <v>Não-Me-Toque</v>
      </c>
      <c r="Z529" s="1" t="str">
        <f>IFERROR(__xludf.DUMMYFUNCTION("""COMPUTED_VALUE"""),"99470-000")</f>
        <v>99470-000</v>
      </c>
      <c r="AA529" s="1" t="str">
        <f>IFERROR(__xludf.DUMMYFUNCTION("""COMPUTED_VALUE"""),"Rua Lúcio Vargas da Silva,12")</f>
        <v>Rua Lúcio Vargas da Silva,12</v>
      </c>
      <c r="AB529" s="1" t="str">
        <f>IFERROR(__xludf.DUMMYFUNCTION("""COMPUTED_VALUE"""),"Vial")</f>
        <v>Vial</v>
      </c>
      <c r="AC529" s="1" t="str">
        <f>IFERROR(__xludf.DUMMYFUNCTION("""COMPUTED_VALUE"""),"G")</f>
        <v>G</v>
      </c>
      <c r="AD529" s="1" t="str">
        <f>IFERROR(__xludf.DUMMYFUNCTION("""COMPUTED_VALUE"""),"G")</f>
        <v>G</v>
      </c>
      <c r="AE529" s="1" t="str">
        <f>IFERROR(__xludf.DUMMYFUNCTION("""COMPUTED_VALUE"""),"G")</f>
        <v>G</v>
      </c>
      <c r="AF529" s="1" t="str">
        <f>IFERROR(__xludf.DUMMYFUNCTION("""COMPUTED_VALUE"""),"GG")</f>
        <v>GG</v>
      </c>
      <c r="AG529" s="1" t="str">
        <f>IFERROR(__xludf.DUMMYFUNCTION("""COMPUTED_VALUE"""),"M")</f>
        <v>M</v>
      </c>
      <c r="AH529" s="1">
        <f>IFERROR(__xludf.DUMMYFUNCTION("""COMPUTED_VALUE"""),42)</f>
        <v>42</v>
      </c>
      <c r="AI529" s="1">
        <f>IFERROR(__xludf.DUMMYFUNCTION("""COMPUTED_VALUE"""),42)</f>
        <v>42</v>
      </c>
      <c r="AJ529" s="1">
        <f>IFERROR(__xludf.DUMMYFUNCTION("""COMPUTED_VALUE"""),42)</f>
        <v>42</v>
      </c>
      <c r="AK529" s="1">
        <f>IFERROR(__xludf.DUMMYFUNCTION("""COMPUTED_VALUE"""),42)</f>
        <v>42</v>
      </c>
      <c r="AL529" s="1" t="str">
        <f>IFERROR(__xludf.DUMMYFUNCTION("""COMPUTED_VALUE"""),"G")</f>
        <v>G</v>
      </c>
      <c r="AM529" s="1" t="str">
        <f>IFERROR(__xludf.DUMMYFUNCTION("""COMPUTED_VALUE"""),"G")</f>
        <v>G</v>
      </c>
      <c r="AN529" s="1" t="str">
        <f>IFERROR(__xludf.DUMMYFUNCTION("""COMPUTED_VALUE"""),"G")</f>
        <v>G</v>
      </c>
    </row>
    <row r="530" customHeight="1" spans="1:40">
      <c r="A530" s="1" t="str">
        <f>IFERROR(__xludf.DUMMYFUNCTION("""COMPUTED_VALUE"""),"07° BBM")</f>
        <v>07° BBM</v>
      </c>
      <c r="B530" s="1" t="str">
        <f>IFERROR(__xludf.DUMMYFUNCTION("""COMPUTED_VALUE"""),"Jacutinga")</f>
        <v>Jacutinga</v>
      </c>
      <c r="C530" s="119" t="str">
        <f>IFERROR(__xludf.DUMMYFUNCTION("""COMPUTED_VALUE"""),"CAB")</f>
        <v>CAB</v>
      </c>
      <c r="D530" s="1" t="str">
        <f>IFERROR(__xludf.DUMMYFUNCTION("""COMPUTED_VALUE"""),"ALEXSANDER SANGALLI LUFT")</f>
        <v>ALEXSANDER SANGALLI LUFT</v>
      </c>
      <c r="E530" s="119" t="str">
        <f>IFERROR(__xludf.DUMMYFUNCTION("""COMPUTED_VALUE"""),"Módulo 1 concluído")</f>
        <v>Módulo 1 concluído</v>
      </c>
      <c r="F530" s="1" t="str">
        <f>IFERROR(__xludf.DUMMYFUNCTION("""COMPUTED_VALUE"""),"015.242.560-80")</f>
        <v>015.242.560-80</v>
      </c>
      <c r="G530" s="1">
        <f>IFERROR(__xludf.DUMMYFUNCTION("""COMPUTED_VALUE"""),1100069853)</f>
        <v>1100069853</v>
      </c>
      <c r="H530" s="1" t="str">
        <f>IFERROR(__xludf.DUMMYFUNCTION("""COMPUTED_VALUE"""),"Integrante")</f>
        <v>Integrante</v>
      </c>
      <c r="I530" s="1" t="str">
        <f>IFERROR(__xludf.DUMMYFUNCTION("""COMPUTED_VALUE"""),"CURSO APH/BLS - CURSO DE CONTROLE DE HEMORRAGIAS ""STOP THE BLEEDING - CURSO DE RESGATE EM ALTURA - CURSO DE PRIMEIROS SOCORROS E PREVENÇÃO E COMBATE A INCÊNDIOS VIA EAD - TREINAMENTO EM MANUTENÇÃO E USO DE EQUIPAMENTOS - TREINAMENTOS EM APH, PREVENÇÃO E "&amp;"COMBATE A INCÊNDIOS E RESGATE EM ALTURA JUNTO AO CBM/RS")</f>
        <v>CURSO APH/BLS - CURSO DE CONTROLE DE HEMORRAGIAS "STOP THE BLEEDING - CURSO DE RESGATE EM ALTURA - CURSO DE PRIMEIROS SOCORROS E PREVENÇÃO E COMBATE A INCÊNDIOS VIA EAD - TREINAMENTO EM MANUTENÇÃO E USO DE EQUIPAMENTOS - TREINAMENTOS EM APH, PREVENÇÃO E COMBATE A INCÊNDIOS E RESGATE EM ALTURA JUNTO AO CBM/RS</v>
      </c>
      <c r="J530" s="1" t="str">
        <f>IFERROR(__xludf.DUMMYFUNCTION("""COMPUTED_VALUE"""),"Sim")</f>
        <v>Sim</v>
      </c>
      <c r="K530" s="1" t="str">
        <f>IFERROR(__xludf.DUMMYFUNCTION("""COMPUTED_VALUE"""),"Não")</f>
        <v>Não</v>
      </c>
      <c r="L530" s="1" t="str">
        <f>IFERROR(__xludf.DUMMYFUNCTION("""COMPUTED_VALUE"""),"O+")</f>
        <v>O+</v>
      </c>
      <c r="M530" s="1" t="str">
        <f>IFERROR(__xludf.DUMMYFUNCTION("""COMPUTED_VALUE"""),"Alex")</f>
        <v>Alex</v>
      </c>
      <c r="N530" s="120">
        <f>IFERROR(__xludf.DUMMYFUNCTION("""COMPUTED_VALUE"""),32530)</f>
        <v>32530</v>
      </c>
      <c r="O530" s="1" t="str">
        <f>IFERROR(__xludf.DUMMYFUNCTION("""COMPUTED_VALUE"""),"Masculino")</f>
        <v>Masculino</v>
      </c>
      <c r="P530" s="1" t="str">
        <f>IFERROR(__xludf.DUMMYFUNCTION("""COMPUTED_VALUE"""),"Branca")</f>
        <v>Branca</v>
      </c>
      <c r="Q530" s="1" t="str">
        <f>IFERROR(__xludf.DUMMYFUNCTION("""COMPUTED_VALUE"""),"Ensino Superior Completo")</f>
        <v>Ensino Superior Completo</v>
      </c>
      <c r="R530" s="1" t="str">
        <f>IFERROR(__xludf.DUMMYFUNCTION("""COMPUTED_VALUE"""),"alex_leki@hotmail.com")</f>
        <v>alex_leki@hotmail.com</v>
      </c>
      <c r="S530" s="1">
        <f>IFERROR(__xludf.DUMMYFUNCTION("""COMPUTED_VALUE"""),80)</f>
        <v>80</v>
      </c>
      <c r="T530" s="1" t="str">
        <f>IFERROR(__xludf.DUMMYFUNCTION("""COMPUTED_VALUE"""),"Entre 1,76m e 1,80m")</f>
        <v>Entre 1,76m e 1,80m</v>
      </c>
      <c r="U530" s="1"/>
      <c r="V530" s="1" t="str">
        <f>IFERROR(__xludf.DUMMYFUNCTION("""COMPUTED_VALUE"""),"(54)991672063")</f>
        <v>(54)991672063</v>
      </c>
      <c r="W530" s="1" t="str">
        <f>IFERROR(__xludf.DUMMYFUNCTION("""COMPUTED_VALUE"""),"(54)991022063")</f>
        <v>(54)991022063</v>
      </c>
      <c r="X530" s="1" t="str">
        <f>IFERROR(__xludf.DUMMYFUNCTION("""COMPUTED_VALUE"""),"RS")</f>
        <v>RS</v>
      </c>
      <c r="Y530" s="1" t="str">
        <f>IFERROR(__xludf.DUMMYFUNCTION("""COMPUTED_VALUE"""),"Jacutinga")</f>
        <v>Jacutinga</v>
      </c>
      <c r="Z530" s="1" t="str">
        <f>IFERROR(__xludf.DUMMYFUNCTION("""COMPUTED_VALUE"""),"99730-000")</f>
        <v>99730-000</v>
      </c>
      <c r="AA530" s="1" t="str">
        <f>IFERROR(__xludf.DUMMYFUNCTION("""COMPUTED_VALUE"""),"Rua Angelo Stefani, 90")</f>
        <v>Rua Angelo Stefani, 90</v>
      </c>
      <c r="AB530" s="1" t="str">
        <f>IFERROR(__xludf.DUMMYFUNCTION("""COMPUTED_VALUE"""),"Centro")</f>
        <v>Centro</v>
      </c>
      <c r="AC530" s="1" t="str">
        <f>IFERROR(__xludf.DUMMYFUNCTION("""COMPUTED_VALUE"""),"M")</f>
        <v>M</v>
      </c>
      <c r="AD530" s="1" t="str">
        <f>IFERROR(__xludf.DUMMYFUNCTION("""COMPUTED_VALUE"""),"M")</f>
        <v>M</v>
      </c>
      <c r="AE530" s="1" t="str">
        <f>IFERROR(__xludf.DUMMYFUNCTION("""COMPUTED_VALUE"""),"M")</f>
        <v>M</v>
      </c>
      <c r="AF530" s="1" t="str">
        <f>IFERROR(__xludf.DUMMYFUNCTION("""COMPUTED_VALUE"""),"M")</f>
        <v>M</v>
      </c>
      <c r="AG530" s="1" t="str">
        <f>IFERROR(__xludf.DUMMYFUNCTION("""COMPUTED_VALUE"""),"M")</f>
        <v>M</v>
      </c>
      <c r="AH530" s="1">
        <f>IFERROR(__xludf.DUMMYFUNCTION("""COMPUTED_VALUE"""),40)</f>
        <v>40</v>
      </c>
      <c r="AI530" s="1">
        <f>IFERROR(__xludf.DUMMYFUNCTION("""COMPUTED_VALUE"""),40)</f>
        <v>40</v>
      </c>
      <c r="AJ530" s="1">
        <f>IFERROR(__xludf.DUMMYFUNCTION("""COMPUTED_VALUE"""),40)</f>
        <v>40</v>
      </c>
      <c r="AK530" s="1">
        <f>IFERROR(__xludf.DUMMYFUNCTION("""COMPUTED_VALUE"""),40)</f>
        <v>40</v>
      </c>
      <c r="AL530" s="1" t="str">
        <f>IFERROR(__xludf.DUMMYFUNCTION("""COMPUTED_VALUE"""),"M")</f>
        <v>M</v>
      </c>
      <c r="AM530" s="1" t="str">
        <f>IFERROR(__xludf.DUMMYFUNCTION("""COMPUTED_VALUE"""),"M")</f>
        <v>M</v>
      </c>
      <c r="AN530" s="1" t="str">
        <f>IFERROR(__xludf.DUMMYFUNCTION("""COMPUTED_VALUE"""),"M")</f>
        <v>M</v>
      </c>
    </row>
    <row r="531" customHeight="1" spans="1:40">
      <c r="A531" s="1" t="str">
        <f>IFERROR(__xludf.DUMMYFUNCTION("""COMPUTED_VALUE"""),"07° BBM")</f>
        <v>07° BBM</v>
      </c>
      <c r="B531" s="1" t="str">
        <f>IFERROR(__xludf.DUMMYFUNCTION("""COMPUTED_VALUE"""),"TAPERA")</f>
        <v>TAPERA</v>
      </c>
      <c r="C531" s="119" t="str">
        <f>IFERROR(__xludf.DUMMYFUNCTION("""COMPUTED_VALUE"""),"Comunitário")</f>
        <v>Comunitário</v>
      </c>
      <c r="D531" s="1" t="str">
        <f>IFERROR(__xludf.DUMMYFUNCTION("""COMPUTED_VALUE"""),"ALMIRO ADILSON DE PAULA")</f>
        <v>ALMIRO ADILSON DE PAULA</v>
      </c>
      <c r="E531" s="119" t="str">
        <f>IFERROR(__xludf.DUMMYFUNCTION("""COMPUTED_VALUE"""),"")</f>
        <v/>
      </c>
      <c r="F531" s="1">
        <f>IFERROR(__xludf.DUMMYFUNCTION("""COMPUTED_VALUE"""),77121228068)</f>
        <v>77121228068</v>
      </c>
      <c r="G531" s="1">
        <f>IFERROR(__xludf.DUMMYFUNCTION("""COMPUTED_VALUE"""),7045553257)</f>
        <v>7045553257</v>
      </c>
      <c r="H531" s="1" t="str">
        <f>IFERROR(__xludf.DUMMYFUNCTION("""COMPUTED_VALUE"""),"OP")</f>
        <v>OP</v>
      </c>
      <c r="I531" s="1"/>
      <c r="J531" s="1"/>
      <c r="K531" s="1"/>
      <c r="L531" s="1"/>
      <c r="M531" s="1"/>
      <c r="N531" s="125">
        <f>IFERROR(__xludf.DUMMYFUNCTION("""COMPUTED_VALUE"""),26936)</f>
        <v>26936</v>
      </c>
      <c r="O531" s="1" t="str">
        <f>IFERROR(__xludf.DUMMYFUNCTION("""COMPUTED_VALUE"""),"Masculino")</f>
        <v>Masculino</v>
      </c>
      <c r="P531" s="1"/>
      <c r="Q531" s="1"/>
      <c r="R531" s="1"/>
      <c r="S531" s="1"/>
      <c r="T531" s="1"/>
      <c r="U531" s="1"/>
      <c r="V531" s="1"/>
      <c r="W531" s="1"/>
      <c r="X531" s="1"/>
      <c r="Y531" s="1" t="str">
        <f>IFERROR(__xludf.DUMMYFUNCTION("""COMPUTED_VALUE"""),"Tapera")</f>
        <v>Tapera</v>
      </c>
      <c r="Z531" s="1"/>
      <c r="AA531" s="1"/>
      <c r="AB531" s="1"/>
      <c r="AC531" s="1"/>
      <c r="AD531" s="1"/>
      <c r="AE531" s="1"/>
      <c r="AF531" s="1"/>
      <c r="AG531" s="1" t="str">
        <f>IFERROR(__xludf.DUMMYFUNCTION("""COMPUTED_VALUE"""),"G")</f>
        <v>G</v>
      </c>
      <c r="AH531" s="1">
        <f>IFERROR(__xludf.DUMMYFUNCTION("""COMPUTED_VALUE"""),42)</f>
        <v>42</v>
      </c>
      <c r="AI531" s="1"/>
      <c r="AJ531" s="1"/>
      <c r="AK531" s="1"/>
      <c r="AL531" s="1" t="str">
        <f>IFERROR(__xludf.DUMMYFUNCTION("""COMPUTED_VALUE"""),"G")</f>
        <v>G</v>
      </c>
      <c r="AM531" s="1" t="str">
        <f>IFERROR(__xludf.DUMMYFUNCTION("""COMPUTED_VALUE"""),"G")</f>
        <v>G</v>
      </c>
      <c r="AN531" s="1" t="str">
        <f>IFERROR(__xludf.DUMMYFUNCTION("""COMPUTED_VALUE"""),"G")</f>
        <v>G</v>
      </c>
    </row>
    <row r="532" customHeight="1" spans="1:40">
      <c r="A532" s="1" t="str">
        <f>IFERROR(__xludf.DUMMYFUNCTION("""COMPUTED_VALUE"""),"07° BBM")</f>
        <v>07° BBM</v>
      </c>
      <c r="B532" s="1" t="str">
        <f>IFERROR(__xludf.DUMMYFUNCTION("""COMPUTED_VALUE"""),"Barão de Cotegipe")</f>
        <v>Barão de Cotegipe</v>
      </c>
      <c r="C532" s="119" t="str">
        <f>IFERROR(__xludf.DUMMYFUNCTION("""COMPUTED_VALUE"""),"CAB")</f>
        <v>CAB</v>
      </c>
      <c r="D532" s="1" t="str">
        <f>IFERROR(__xludf.DUMMYFUNCTION("""COMPUTED_VALUE"""),"ALTAMIR FERREIRA GOULART")</f>
        <v>ALTAMIR FERREIRA GOULART</v>
      </c>
      <c r="E532" s="119" t="str">
        <f>IFERROR(__xludf.DUMMYFUNCTION("""COMPUTED_VALUE"""),"")</f>
        <v/>
      </c>
      <c r="F532" s="1" t="str">
        <f>IFERROR(__xludf.DUMMYFUNCTION("""COMPUTED_VALUE"""),"011.258.950-20")</f>
        <v>011.258.950-20</v>
      </c>
      <c r="G532" s="1">
        <f>IFERROR(__xludf.DUMMYFUNCTION("""COMPUTED_VALUE"""),1122156332)</f>
        <v>1122156332</v>
      </c>
      <c r="H532" s="1" t="str">
        <f>IFERROR(__xludf.DUMMYFUNCTION("""COMPUTED_VALUE"""),"VOLUNTARIO")</f>
        <v>VOLUNTARIO</v>
      </c>
      <c r="I532" s="1" t="str">
        <f>IFERROR(__xludf.DUMMYFUNCTION("""COMPUTED_VALUE"""),"APH,AIH TRAUMA DESENCARCERAMENTO BLS/RCP,STOP THE BLEED ,SOCORRISTA,CONDUTOR DE VEICULO DE EMERGÊNCIA ,OPERADOR DE GUINDASTE E BOMBA.")</f>
        <v>APH,AIH TRAUMA DESENCARCERAMENTO BLS/RCP,STOP THE BLEED ,SOCORRISTA,CONDUTOR DE VEICULO DE EMERGÊNCIA ,OPERADOR DE GUINDASTE E BOMBA.</v>
      </c>
      <c r="J532" s="1"/>
      <c r="K532" s="1"/>
      <c r="L532" s="1"/>
      <c r="M532" s="1"/>
      <c r="N532" s="120"/>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row>
    <row r="533" customHeight="1" spans="1:40">
      <c r="A533" s="1" t="str">
        <f>IFERROR(__xludf.DUMMYFUNCTION("""COMPUTED_VALUE"""),"07° BBM")</f>
        <v>07° BBM</v>
      </c>
      <c r="B533" s="1" t="str">
        <f>IFERROR(__xludf.DUMMYFUNCTION("""COMPUTED_VALUE"""),"Jacutinga")</f>
        <v>Jacutinga</v>
      </c>
      <c r="C533" s="119" t="str">
        <f>IFERROR(__xludf.DUMMYFUNCTION("""COMPUTED_VALUE"""),"CAB")</f>
        <v>CAB</v>
      </c>
      <c r="D533" s="1" t="str">
        <f>IFERROR(__xludf.DUMMYFUNCTION("""COMPUTED_VALUE"""),"ANA BEATRIZ COSTA DA SILVA")</f>
        <v>ANA BEATRIZ COSTA DA SILVA</v>
      </c>
      <c r="E533" s="119" t="str">
        <f>IFERROR(__xludf.DUMMYFUNCTION("""COMPUTED_VALUE"""),"Módulo 1 concluído")</f>
        <v>Módulo 1 concluído</v>
      </c>
      <c r="F533" s="1" t="str">
        <f>IFERROR(__xludf.DUMMYFUNCTION("""COMPUTED_VALUE"""),"952.988.860-00")</f>
        <v>952.988.860-00</v>
      </c>
      <c r="G533" s="1">
        <f>IFERROR(__xludf.DUMMYFUNCTION("""COMPUTED_VALUE"""),8070542471)</f>
        <v>8070542471</v>
      </c>
      <c r="H533" s="1" t="str">
        <f>IFERROR(__xludf.DUMMYFUNCTION("""COMPUTED_VALUE"""),"Integrante")</f>
        <v>Integrante</v>
      </c>
      <c r="I533" s="1" t="str">
        <f>IFERROR(__xludf.DUMMYFUNCTION("""COMPUTED_VALUE"""),"CURSO APH/BLS - CURSO DE COMBATE A HEMORRAGIAS ""STOP THE BLEEDING - TREINAMENTO EM APH E PREVENÇÃO E COMBATE A INCÊNDIOS JUNTO AO CBM/RS - BOMBEIRO CIVIL EM FORMAÇÃO")</f>
        <v>CURSO APH/BLS - CURSO DE COMBATE A HEMORRAGIAS "STOP THE BLEEDING - TREINAMENTO EM APH E PREVENÇÃO E COMBATE A INCÊNDIOS JUNTO AO CBM/RS - BOMBEIRO CIVIL EM FORMAÇÃO</v>
      </c>
      <c r="J533" s="1" t="str">
        <f>IFERROR(__xludf.DUMMYFUNCTION("""COMPUTED_VALUE"""),"Sim")</f>
        <v>Sim</v>
      </c>
      <c r="K533" s="1" t="str">
        <f>IFERROR(__xludf.DUMMYFUNCTION("""COMPUTED_VALUE"""),"Não")</f>
        <v>Não</v>
      </c>
      <c r="L533" s="1" t="str">
        <f>IFERROR(__xludf.DUMMYFUNCTION("""COMPUTED_VALUE"""),"O+")</f>
        <v>O+</v>
      </c>
      <c r="M533" s="1" t="str">
        <f>IFERROR(__xludf.DUMMYFUNCTION("""COMPUTED_VALUE"""),"Ana")</f>
        <v>Ana</v>
      </c>
      <c r="N533" s="121">
        <f>IFERROR(__xludf.DUMMYFUNCTION("""COMPUTED_VALUE"""),29138)</f>
        <v>29138</v>
      </c>
      <c r="O533" s="1" t="str">
        <f>IFERROR(__xludf.DUMMYFUNCTION("""COMPUTED_VALUE"""),"Feminino")</f>
        <v>Feminino</v>
      </c>
      <c r="P533" s="1" t="str">
        <f>IFERROR(__xludf.DUMMYFUNCTION("""COMPUTED_VALUE"""),"Morena")</f>
        <v>Morena</v>
      </c>
      <c r="Q533" s="1" t="str">
        <f>IFERROR(__xludf.DUMMYFUNCTION("""COMPUTED_VALUE"""),"Ensino Médio")</f>
        <v>Ensino Médio</v>
      </c>
      <c r="R533" s="1" t="str">
        <f>IFERROR(__xludf.DUMMYFUNCTION("""COMPUTED_VALUE"""),"anabeatrizentuni@gmail.com")</f>
        <v>anabeatrizentuni@gmail.com</v>
      </c>
      <c r="S533" s="1">
        <f>IFERROR(__xludf.DUMMYFUNCTION("""COMPUTED_VALUE"""),56)</f>
        <v>56</v>
      </c>
      <c r="T533" s="1" t="str">
        <f>IFERROR(__xludf.DUMMYFUNCTION("""COMPUTED_VALUE"""),"Entre 1,56m e 1,60m")</f>
        <v>Entre 1,56m e 1,60m</v>
      </c>
      <c r="U533" s="1"/>
      <c r="V533" s="1" t="str">
        <f>IFERROR(__xludf.DUMMYFUNCTION("""COMPUTED_VALUE"""),"(54)997157475")</f>
        <v>(54)997157475</v>
      </c>
      <c r="W533" s="1" t="str">
        <f>IFERROR(__xludf.DUMMYFUNCTION("""COMPUTED_VALUE"""),"(54)996242257")</f>
        <v>(54)996242257</v>
      </c>
      <c r="X533" s="1" t="str">
        <f>IFERROR(__xludf.DUMMYFUNCTION("""COMPUTED_VALUE"""),"RS")</f>
        <v>RS</v>
      </c>
      <c r="Y533" s="1" t="str">
        <f>IFERROR(__xludf.DUMMYFUNCTION("""COMPUTED_VALUE"""),"Jacutinga")</f>
        <v>Jacutinga</v>
      </c>
      <c r="Z533" s="1" t="str">
        <f>IFERROR(__xludf.DUMMYFUNCTION("""COMPUTED_VALUE"""),"99730-000")</f>
        <v>99730-000</v>
      </c>
      <c r="AA533" s="1" t="str">
        <f>IFERROR(__xludf.DUMMYFUNCTION("""COMPUTED_VALUE"""),"Av. Angelo Gasparetto, 38")</f>
        <v>Av. Angelo Gasparetto, 38</v>
      </c>
      <c r="AB533" s="1" t="str">
        <f>IFERROR(__xludf.DUMMYFUNCTION("""COMPUTED_VALUE"""),"Centro")</f>
        <v>Centro</v>
      </c>
      <c r="AC533" s="1" t="str">
        <f>IFERROR(__xludf.DUMMYFUNCTION("""COMPUTED_VALUE"""),"P")</f>
        <v>P</v>
      </c>
      <c r="AD533" s="1" t="str">
        <f>IFERROR(__xludf.DUMMYFUNCTION("""COMPUTED_VALUE"""),"P")</f>
        <v>P</v>
      </c>
      <c r="AE533" s="1" t="str">
        <f>IFERROR(__xludf.DUMMYFUNCTION("""COMPUTED_VALUE"""),"P")</f>
        <v>P</v>
      </c>
      <c r="AF533" s="1" t="str">
        <f>IFERROR(__xludf.DUMMYFUNCTION("""COMPUTED_VALUE"""),"P")</f>
        <v>P</v>
      </c>
      <c r="AG533" s="1" t="str">
        <f>IFERROR(__xludf.DUMMYFUNCTION("""COMPUTED_VALUE"""),"P")</f>
        <v>P</v>
      </c>
      <c r="AH533" s="1">
        <f>IFERROR(__xludf.DUMMYFUNCTION("""COMPUTED_VALUE"""),37)</f>
        <v>37</v>
      </c>
      <c r="AI533" s="1">
        <f>IFERROR(__xludf.DUMMYFUNCTION("""COMPUTED_VALUE"""),36)</f>
        <v>36</v>
      </c>
      <c r="AJ533" s="1">
        <f>IFERROR(__xludf.DUMMYFUNCTION("""COMPUTED_VALUE"""),36)</f>
        <v>36</v>
      </c>
      <c r="AK533" s="1">
        <f>IFERROR(__xludf.DUMMYFUNCTION("""COMPUTED_VALUE"""),36)</f>
        <v>36</v>
      </c>
      <c r="AL533" s="1" t="str">
        <f>IFERROR(__xludf.DUMMYFUNCTION("""COMPUTED_VALUE"""),"P")</f>
        <v>P</v>
      </c>
      <c r="AM533" s="1" t="str">
        <f>IFERROR(__xludf.DUMMYFUNCTION("""COMPUTED_VALUE"""),"P")</f>
        <v>P</v>
      </c>
      <c r="AN533" s="1" t="str">
        <f>IFERROR(__xludf.DUMMYFUNCTION("""COMPUTED_VALUE"""),"P")</f>
        <v>P</v>
      </c>
    </row>
    <row r="534" customHeight="1" spans="1:40">
      <c r="A534" s="1" t="str">
        <f>IFERROR(__xludf.DUMMYFUNCTION("""COMPUTED_VALUE"""),"07° BBM")</f>
        <v>07° BBM</v>
      </c>
      <c r="B534" s="1" t="str">
        <f>IFERROR(__xludf.DUMMYFUNCTION("""COMPUTED_VALUE"""),"Serafina Corrêa")</f>
        <v>Serafina Corrêa</v>
      </c>
      <c r="C534" s="119" t="str">
        <f>IFERROR(__xludf.DUMMYFUNCTION("""COMPUTED_VALUE"""),"CAB")</f>
        <v>CAB</v>
      </c>
      <c r="D534" s="1" t="str">
        <f>IFERROR(__xludf.DUMMYFUNCTION("""COMPUTED_VALUE"""),"ANA CAROLINE TRECCO")</f>
        <v>ANA CAROLINE TRECCO</v>
      </c>
      <c r="E534" s="119" t="str">
        <f>IFERROR(__xludf.DUMMYFUNCTION("""COMPUTED_VALUE"""),"")</f>
        <v/>
      </c>
      <c r="F534" s="1" t="str">
        <f>IFERROR(__xludf.DUMMYFUNCTION("""COMPUTED_VALUE"""),"016.205.780-69")</f>
        <v>016.205.780-69</v>
      </c>
      <c r="G534" s="1">
        <f>IFERROR(__xludf.DUMMYFUNCTION("""COMPUTED_VALUE"""),1101204624)</f>
        <v>1101204624</v>
      </c>
      <c r="H534" s="1" t="str">
        <f>IFERROR(__xludf.DUMMYFUNCTION("""COMPUTED_VALUE"""),"CAB")</f>
        <v>CAB</v>
      </c>
      <c r="I534" s="1" t="str">
        <f>IFERROR(__xludf.DUMMYFUNCTION("""COMPUTED_VALUE"""),"Medica Bombeiro Civil Classe I - 306 HORAS CEVTE - Condutor de veiculo de emergencia - SEST/SENAT APH / BLS Primeira resposta em produtos perigosos - HAZMAT NR 10 NR 33 NR 35 Resgate de Passageiros Em Elevadores - Tyssen Kroup")</f>
        <v>Medica Bombeiro Civil Classe I - 306 HORAS CEVTE - Condutor de veiculo de emergencia - SEST/SENAT APH / BLS Primeira resposta em produtos perigosos - HAZMAT NR 10 NR 33 NR 35 Resgate de Passageiros Em Elevadores - Tyssen Kroup</v>
      </c>
      <c r="J534" s="1" t="str">
        <f>IFERROR(__xludf.DUMMYFUNCTION("""COMPUTED_VALUE"""),"Não")</f>
        <v>Não</v>
      </c>
      <c r="K534" s="1" t="str">
        <f>IFERROR(__xludf.DUMMYFUNCTION("""COMPUTED_VALUE"""),"Não")</f>
        <v>Não</v>
      </c>
      <c r="L534" s="1" t="str">
        <f>IFERROR(__xludf.DUMMYFUNCTION("""COMPUTED_VALUE"""),"O-")</f>
        <v>O-</v>
      </c>
      <c r="M534" s="1" t="str">
        <f>IFERROR(__xludf.DUMMYFUNCTION("""COMPUTED_VALUE"""),"Ana Caroline")</f>
        <v>Ana Caroline</v>
      </c>
      <c r="N534" s="120">
        <f>IFERROR(__xludf.DUMMYFUNCTION("""COMPUTED_VALUE"""),36602)</f>
        <v>36602</v>
      </c>
      <c r="O534" s="1" t="str">
        <f>IFERROR(__xludf.DUMMYFUNCTION("""COMPUTED_VALUE"""),"Feminino")</f>
        <v>Feminino</v>
      </c>
      <c r="P534" s="1" t="str">
        <f>IFERROR(__xludf.DUMMYFUNCTION("""COMPUTED_VALUE"""),"Branca")</f>
        <v>Branca</v>
      </c>
      <c r="Q534" s="1" t="str">
        <f>IFERROR(__xludf.DUMMYFUNCTION("""COMPUTED_VALUE"""),"Ensino Médio")</f>
        <v>Ensino Médio</v>
      </c>
      <c r="R534" s="1" t="str">
        <f>IFERROR(__xludf.DUMMYFUNCTION("""COMPUTED_VALUE"""),"bananadepijama28@gmail.com")</f>
        <v>bananadepijama28@gmail.com</v>
      </c>
      <c r="S534" s="1">
        <f>IFERROR(__xludf.DUMMYFUNCTION("""COMPUTED_VALUE"""),50)</f>
        <v>50</v>
      </c>
      <c r="T534" s="1" t="str">
        <f>IFERROR(__xludf.DUMMYFUNCTION("""COMPUTED_VALUE"""),"Entre 1,56m e 1,60m")</f>
        <v>Entre 1,56m e 1,60m</v>
      </c>
      <c r="U534" s="1"/>
      <c r="V534" s="1" t="str">
        <f>IFERROR(__xludf.DUMMYFUNCTION("""COMPUTED_VALUE"""),"(54)99989-9335")</f>
        <v>(54)99989-9335</v>
      </c>
      <c r="W534" s="1" t="str">
        <f>IFERROR(__xludf.DUMMYFUNCTION("""COMPUTED_VALUE"""),"(54)99905-6683")</f>
        <v>(54)99905-6683</v>
      </c>
      <c r="X534" s="1" t="str">
        <f>IFERROR(__xludf.DUMMYFUNCTION("""COMPUTED_VALUE"""),"RS")</f>
        <v>RS</v>
      </c>
      <c r="Y534" s="1" t="str">
        <f>IFERROR(__xludf.DUMMYFUNCTION("""COMPUTED_VALUE"""),"Serafina Corrêa")</f>
        <v>Serafina Corrêa</v>
      </c>
      <c r="Z534" s="1" t="str">
        <f>IFERROR(__xludf.DUMMYFUNCTION("""COMPUTED_VALUE"""),"99250-000")</f>
        <v>99250-000</v>
      </c>
      <c r="AA534" s="1" t="str">
        <f>IFERROR(__xludf.DUMMYFUNCTION("""COMPUTED_VALUE"""),"Rua Santos Dumont, 86")</f>
        <v>Rua Santos Dumont, 86</v>
      </c>
      <c r="AB534" s="1" t="str">
        <f>IFERROR(__xludf.DUMMYFUNCTION("""COMPUTED_VALUE"""),"Centro")</f>
        <v>Centro</v>
      </c>
      <c r="AC534" s="1" t="str">
        <f>IFERROR(__xludf.DUMMYFUNCTION("""COMPUTED_VALUE"""),"P")</f>
        <v>P</v>
      </c>
      <c r="AD534" s="1" t="str">
        <f>IFERROR(__xludf.DUMMYFUNCTION("""COMPUTED_VALUE"""),"P")</f>
        <v>P</v>
      </c>
      <c r="AE534" s="1" t="str">
        <f>IFERROR(__xludf.DUMMYFUNCTION("""COMPUTED_VALUE"""),"P")</f>
        <v>P</v>
      </c>
      <c r="AF534" s="1" t="str">
        <f>IFERROR(__xludf.DUMMYFUNCTION("""COMPUTED_VALUE"""),"P")</f>
        <v>P</v>
      </c>
      <c r="AG534" s="1" t="str">
        <f>IFERROR(__xludf.DUMMYFUNCTION("""COMPUTED_VALUE"""),"P")</f>
        <v>P</v>
      </c>
      <c r="AH534" s="1">
        <f>IFERROR(__xludf.DUMMYFUNCTION("""COMPUTED_VALUE"""),35)</f>
        <v>35</v>
      </c>
      <c r="AI534" s="1">
        <f>IFERROR(__xludf.DUMMYFUNCTION("""COMPUTED_VALUE"""),35)</f>
        <v>35</v>
      </c>
      <c r="AJ534" s="1">
        <f>IFERROR(__xludf.DUMMYFUNCTION("""COMPUTED_VALUE"""),35)</f>
        <v>35</v>
      </c>
      <c r="AK534" s="1">
        <f>IFERROR(__xludf.DUMMYFUNCTION("""COMPUTED_VALUE"""),35)</f>
        <v>35</v>
      </c>
      <c r="AL534" s="1" t="str">
        <f>IFERROR(__xludf.DUMMYFUNCTION("""COMPUTED_VALUE"""),"P")</f>
        <v>P</v>
      </c>
      <c r="AM534" s="1" t="str">
        <f>IFERROR(__xludf.DUMMYFUNCTION("""COMPUTED_VALUE"""),"P")</f>
        <v>P</v>
      </c>
      <c r="AN534" s="1" t="str">
        <f>IFERROR(__xludf.DUMMYFUNCTION("""COMPUTED_VALUE"""),"P")</f>
        <v>P</v>
      </c>
    </row>
    <row r="535" customHeight="1" spans="1:40">
      <c r="A535" s="1" t="str">
        <f>IFERROR(__xludf.DUMMYFUNCTION("""COMPUTED_VALUE"""),"07° BBM")</f>
        <v>07° BBM</v>
      </c>
      <c r="B535" s="1" t="str">
        <f>IFERROR(__xludf.DUMMYFUNCTION("""COMPUTED_VALUE"""),"Faxinalzinho")</f>
        <v>Faxinalzinho</v>
      </c>
      <c r="C535" s="119" t="str">
        <f>IFERROR(__xludf.DUMMYFUNCTION("""COMPUTED_VALUE"""),"CAB")</f>
        <v>CAB</v>
      </c>
      <c r="D535" s="1" t="str">
        <f>IFERROR(__xludf.DUMMYFUNCTION("""COMPUTED_VALUE"""),"ANA NILVA ALVES BALDO")</f>
        <v>ANA NILVA ALVES BALDO</v>
      </c>
      <c r="E535" s="119" t="str">
        <f>IFERROR(__xludf.DUMMYFUNCTION("""COMPUTED_VALUE"""),"")</f>
        <v/>
      </c>
      <c r="F535" s="1" t="str">
        <f>IFERROR(__xludf.DUMMYFUNCTION("""COMPUTED_VALUE"""),"668.261.520-53")</f>
        <v>668.261.520-53</v>
      </c>
      <c r="G535" s="1">
        <f>IFERROR(__xludf.DUMMYFUNCTION("""COMPUTED_VALUE"""),6057916675)</f>
        <v>6057916675</v>
      </c>
      <c r="H535" s="1" t="str">
        <f>IFERROR(__xludf.DUMMYFUNCTION("""COMPUTED_VALUE"""),"Membro")</f>
        <v>Membro</v>
      </c>
      <c r="I535" s="1" t="str">
        <f>IFERROR(__xludf.DUMMYFUNCTION("""COMPUTED_VALUE"""),"Combate a Incendios-Massoterapia, Combate a Incendio ")</f>
        <v>Combate a Incendios-Massoterapia, Combate a Incendio </v>
      </c>
      <c r="J535" s="1" t="str">
        <f>IFERROR(__xludf.DUMMYFUNCTION("""COMPUTED_VALUE"""),"Sim")</f>
        <v>Sim</v>
      </c>
      <c r="K535" s="1" t="str">
        <f>IFERROR(__xludf.DUMMYFUNCTION("""COMPUTED_VALUE"""),"Não")</f>
        <v>Não</v>
      </c>
      <c r="L535" s="1" t="str">
        <f>IFERROR(__xludf.DUMMYFUNCTION("""COMPUTED_VALUE"""),"A+")</f>
        <v>A+</v>
      </c>
      <c r="M535" s="1" t="str">
        <f>IFERROR(__xludf.DUMMYFUNCTION("""COMPUTED_VALUE"""),"ANA BALDO")</f>
        <v>ANA BALDO</v>
      </c>
      <c r="N535" s="120">
        <f>IFERROR(__xludf.DUMMYFUNCTION("""COMPUTED_VALUE"""),27791)</f>
        <v>27791</v>
      </c>
      <c r="O535" s="1" t="str">
        <f>IFERROR(__xludf.DUMMYFUNCTION("""COMPUTED_VALUE"""),"Feminino")</f>
        <v>Feminino</v>
      </c>
      <c r="P535" s="1" t="str">
        <f>IFERROR(__xludf.DUMMYFUNCTION("""COMPUTED_VALUE"""),"Branca")</f>
        <v>Branca</v>
      </c>
      <c r="Q535" s="1" t="str">
        <f>IFERROR(__xludf.DUMMYFUNCTION("""COMPUTED_VALUE"""),"Ensino Médio")</f>
        <v>Ensino Médio</v>
      </c>
      <c r="R535" s="1" t="str">
        <f>IFERROR(__xludf.DUMMYFUNCTION("""COMPUTED_VALUE"""),"Anabaldo307@gmail.com")</f>
        <v>Anabaldo307@gmail.com</v>
      </c>
      <c r="S535" s="1">
        <f>IFERROR(__xludf.DUMMYFUNCTION("""COMPUTED_VALUE"""),75)</f>
        <v>75</v>
      </c>
      <c r="T535" s="1" t="str">
        <f>IFERROR(__xludf.DUMMYFUNCTION("""COMPUTED_VALUE"""),"Entre 1,61m e 1,65m")</f>
        <v>Entre 1,61m e 1,65m</v>
      </c>
      <c r="U535" s="1" t="str">
        <f>IFERROR(__xludf.DUMMYFUNCTION("""COMPUTED_VALUE"""),"(54)996273050")</f>
        <v>(54)996273050</v>
      </c>
      <c r="V535" s="1" t="str">
        <f>IFERROR(__xludf.DUMMYFUNCTION("""COMPUTED_VALUE"""),"(54)996273050")</f>
        <v>(54)996273050</v>
      </c>
      <c r="W535" s="1" t="str">
        <f>IFERROR(__xludf.DUMMYFUNCTION("""COMPUTED_VALUE"""),"(54)996273050")</f>
        <v>(54)996273050</v>
      </c>
      <c r="X535" s="1" t="str">
        <f>IFERROR(__xludf.DUMMYFUNCTION("""COMPUTED_VALUE"""),"RIO GRANDE DO SUL")</f>
        <v>RIO GRANDE DO SUL</v>
      </c>
      <c r="Y535" s="1" t="str">
        <f>IFERROR(__xludf.DUMMYFUNCTION("""COMPUTED_VALUE"""),"Faxinalzinho")</f>
        <v>Faxinalzinho</v>
      </c>
      <c r="Z535" s="1" t="str">
        <f>IFERROR(__xludf.DUMMYFUNCTION("""COMPUTED_VALUE"""),"99655-000")</f>
        <v>99655-000</v>
      </c>
      <c r="AA535" s="1" t="str">
        <f>IFERROR(__xludf.DUMMYFUNCTION("""COMPUTED_VALUE"""),"Interior ")</f>
        <v>Interior </v>
      </c>
      <c r="AB535" s="1" t="str">
        <f>IFERROR(__xludf.DUMMYFUNCTION("""COMPUTED_VALUE"""),"Interior ")</f>
        <v>Interior </v>
      </c>
      <c r="AC535" s="1" t="str">
        <f>IFERROR(__xludf.DUMMYFUNCTION("""COMPUTED_VALUE"""),"M")</f>
        <v>M</v>
      </c>
      <c r="AD535" s="1" t="str">
        <f>IFERROR(__xludf.DUMMYFUNCTION("""COMPUTED_VALUE"""),"M")</f>
        <v>M</v>
      </c>
      <c r="AE535" s="1" t="str">
        <f>IFERROR(__xludf.DUMMYFUNCTION("""COMPUTED_VALUE"""),"M")</f>
        <v>M</v>
      </c>
      <c r="AF535" s="1" t="str">
        <f>IFERROR(__xludf.DUMMYFUNCTION("""COMPUTED_VALUE"""),"M")</f>
        <v>M</v>
      </c>
      <c r="AG535" s="1" t="str">
        <f>IFERROR(__xludf.DUMMYFUNCTION("""COMPUTED_VALUE"""),"M")</f>
        <v>M</v>
      </c>
      <c r="AH535" s="1">
        <f>IFERROR(__xludf.DUMMYFUNCTION("""COMPUTED_VALUE"""),35)</f>
        <v>35</v>
      </c>
      <c r="AI535" s="1">
        <f>IFERROR(__xludf.DUMMYFUNCTION("""COMPUTED_VALUE"""),35)</f>
        <v>35</v>
      </c>
      <c r="AJ535" s="1">
        <f>IFERROR(__xludf.DUMMYFUNCTION("""COMPUTED_VALUE"""),35)</f>
        <v>35</v>
      </c>
      <c r="AK535" s="1">
        <f>IFERROR(__xludf.DUMMYFUNCTION("""COMPUTED_VALUE"""),35)</f>
        <v>35</v>
      </c>
      <c r="AL535" s="1" t="str">
        <f>IFERROR(__xludf.DUMMYFUNCTION("""COMPUTED_VALUE"""),"M")</f>
        <v>M</v>
      </c>
      <c r="AM535" s="1" t="str">
        <f>IFERROR(__xludf.DUMMYFUNCTION("""COMPUTED_VALUE"""),"M")</f>
        <v>M</v>
      </c>
      <c r="AN535" s="1" t="str">
        <f>IFERROR(__xludf.DUMMYFUNCTION("""COMPUTED_VALUE"""),"M")</f>
        <v>M</v>
      </c>
    </row>
    <row r="536" customHeight="1" spans="1:40">
      <c r="A536" s="1"/>
      <c r="B536" s="1"/>
      <c r="C536" s="119"/>
      <c r="D536" s="1" t="str">
        <f>IFERROR(__xludf.DUMMYFUNCTION("""COMPUTED_VALUE"""),"ANA PAULA MARCON KRUGUER")</f>
        <v>ANA PAULA MARCON KRUGUER</v>
      </c>
      <c r="E536" s="119" t="str">
        <f>IFERROR(__xludf.DUMMYFUNCTION("""COMPUTED_VALUE"""),"Módulo 1 concluído")</f>
        <v>Módulo 1 concluído</v>
      </c>
      <c r="F536" s="1" t="str">
        <f>IFERROR(__xludf.DUMMYFUNCTION("""COMPUTED_VALUE"""),"006.229.010-01")</f>
        <v>006.229.010-01</v>
      </c>
      <c r="G536" s="1"/>
      <c r="H536" s="1"/>
      <c r="I536" s="1"/>
      <c r="J536" s="1"/>
      <c r="K536" s="1"/>
      <c r="L536" s="1"/>
      <c r="M536" s="1"/>
      <c r="N536" s="120"/>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row>
    <row r="537" customHeight="1" spans="1:40">
      <c r="A537" s="1" t="str">
        <f>IFERROR(__xludf.DUMMYFUNCTION("""COMPUTED_VALUE"""),"07° BBM")</f>
        <v>07° BBM</v>
      </c>
      <c r="B537" s="1" t="str">
        <f>IFERROR(__xludf.DUMMYFUNCTION("""COMPUTED_VALUE"""),"Faxinalzinho")</f>
        <v>Faxinalzinho</v>
      </c>
      <c r="C537" s="119" t="str">
        <f>IFERROR(__xludf.DUMMYFUNCTION("""COMPUTED_VALUE"""),"CAB")</f>
        <v>CAB</v>
      </c>
      <c r="D537" s="1" t="str">
        <f>IFERROR(__xludf.DUMMYFUNCTION("""COMPUTED_VALUE"""),"ANA PAULA MICHAILOFF")</f>
        <v>ANA PAULA MICHAILOFF</v>
      </c>
      <c r="E537" s="119" t="str">
        <f>IFERROR(__xludf.DUMMYFUNCTION("""COMPUTED_VALUE"""),"")</f>
        <v/>
      </c>
      <c r="F537" s="1" t="str">
        <f>IFERROR(__xludf.DUMMYFUNCTION("""COMPUTED_VALUE"""),"035.680.490-90")</f>
        <v>035.680.490-90</v>
      </c>
      <c r="G537" s="1">
        <f>IFERROR(__xludf.DUMMYFUNCTION("""COMPUTED_VALUE"""),9099646722)</f>
        <v>9099646722</v>
      </c>
      <c r="H537" s="1" t="str">
        <f>IFERROR(__xludf.DUMMYFUNCTION("""COMPUTED_VALUE"""),"Membro")</f>
        <v>Membro</v>
      </c>
      <c r="I537" s="1" t="str">
        <f>IFERROR(__xludf.DUMMYFUNCTION("""COMPUTED_VALUE"""),"Combate a Incendios - '- Emergências Clínicas; - Urgência e Emergência Neonatal e Pediatria; - APH e SBV; - Técnico em Enfermagem; - Combate a Incêndio pelo CBMRS. ")</f>
        <v>Combate a Incendios - '- Emergências Clínicas; - Urgência e Emergência Neonatal e Pediatria; - APH e SBV; - Técnico em Enfermagem; - Combate a Incêndio pelo CBMRS. </v>
      </c>
      <c r="J537" s="1" t="str">
        <f>IFERROR(__xludf.DUMMYFUNCTION("""COMPUTED_VALUE"""),"Não")</f>
        <v>Não</v>
      </c>
      <c r="K537" s="1" t="str">
        <f>IFERROR(__xludf.DUMMYFUNCTION("""COMPUTED_VALUE"""),"Não")</f>
        <v>Não</v>
      </c>
      <c r="L537" s="1" t="str">
        <f>IFERROR(__xludf.DUMMYFUNCTION("""COMPUTED_VALUE"""),"AB+")</f>
        <v>AB+</v>
      </c>
      <c r="M537" s="1" t="str">
        <f>IFERROR(__xludf.DUMMYFUNCTION("""COMPUTED_VALUE"""),"ANA MICHAILOFF")</f>
        <v>ANA MICHAILOFF</v>
      </c>
      <c r="N537" s="120" t="str">
        <f>IFERROR(__xludf.DUMMYFUNCTION("""COMPUTED_VALUE"""),"25/06/1996")</f>
        <v>25/06/1996</v>
      </c>
      <c r="O537" s="1" t="str">
        <f>IFERROR(__xludf.DUMMYFUNCTION("""COMPUTED_VALUE"""),"Feminino")</f>
        <v>Feminino</v>
      </c>
      <c r="P537" s="1" t="str">
        <f>IFERROR(__xludf.DUMMYFUNCTION("""COMPUTED_VALUE"""),"Branca")</f>
        <v>Branca</v>
      </c>
      <c r="Q537" s="1" t="str">
        <f>IFERROR(__xludf.DUMMYFUNCTION("""COMPUTED_VALUE"""),"Ensino Superior Completo")</f>
        <v>Ensino Superior Completo</v>
      </c>
      <c r="R537" s="1" t="str">
        <f>IFERROR(__xludf.DUMMYFUNCTION("""COMPUTED_VALUE"""),"ana_michailoff@hotmail.com")</f>
        <v>ana_michailoff@hotmail.com</v>
      </c>
      <c r="S537" s="1">
        <f>IFERROR(__xludf.DUMMYFUNCTION("""COMPUTED_VALUE"""),55)</f>
        <v>55</v>
      </c>
      <c r="T537" s="1" t="str">
        <f>IFERROR(__xludf.DUMMYFUNCTION("""COMPUTED_VALUE"""),"Entre 1,50m e 1,55m")</f>
        <v>Entre 1,50m e 1,55m</v>
      </c>
      <c r="U537" s="1" t="str">
        <f>IFERROR(__xludf.DUMMYFUNCTION("""COMPUTED_VALUE"""),"(54)99964-6722")</f>
        <v>(54)99964-6722</v>
      </c>
      <c r="V537" s="1" t="str">
        <f>IFERROR(__xludf.DUMMYFUNCTION("""COMPUTED_VALUE"""),"(54)99964-6722")</f>
        <v>(54)99964-6722</v>
      </c>
      <c r="W537" s="1" t="str">
        <f>IFERROR(__xludf.DUMMYFUNCTION("""COMPUTED_VALUE"""),"(54)99662-6853")</f>
        <v>(54)99662-6853</v>
      </c>
      <c r="X537" s="1" t="str">
        <f>IFERROR(__xludf.DUMMYFUNCTION("""COMPUTED_VALUE"""),"RIO GRANDE DO SUL")</f>
        <v>RIO GRANDE DO SUL</v>
      </c>
      <c r="Y537" s="1" t="str">
        <f>IFERROR(__xludf.DUMMYFUNCTION("""COMPUTED_VALUE"""),"Faxinalzinho")</f>
        <v>Faxinalzinho</v>
      </c>
      <c r="Z537" s="1" t="str">
        <f>IFERROR(__xludf.DUMMYFUNCTION("""COMPUTED_VALUE"""),"99655-000")</f>
        <v>99655-000</v>
      </c>
      <c r="AA537" s="1" t="str">
        <f>IFERROR(__xludf.DUMMYFUNCTION("""COMPUTED_VALUE"""),"Avenida Lido Armando Oltramari ")</f>
        <v>Avenida Lido Armando Oltramari </v>
      </c>
      <c r="AB537" s="1" t="str">
        <f>IFERROR(__xludf.DUMMYFUNCTION("""COMPUTED_VALUE"""),"Coroados ")</f>
        <v>Coroados </v>
      </c>
      <c r="AC537" s="1" t="str">
        <f>IFERROR(__xludf.DUMMYFUNCTION("""COMPUTED_VALUE"""),"M")</f>
        <v>M</v>
      </c>
      <c r="AD537" s="1" t="str">
        <f>IFERROR(__xludf.DUMMYFUNCTION("""COMPUTED_VALUE"""),"M")</f>
        <v>M</v>
      </c>
      <c r="AE537" s="1" t="str">
        <f>IFERROR(__xludf.DUMMYFUNCTION("""COMPUTED_VALUE"""),"M")</f>
        <v>M</v>
      </c>
      <c r="AF537" s="1" t="str">
        <f>IFERROR(__xludf.DUMMYFUNCTION("""COMPUTED_VALUE"""),"P")</f>
        <v>P</v>
      </c>
      <c r="AG537" s="1" t="str">
        <f>IFERROR(__xludf.DUMMYFUNCTION("""COMPUTED_VALUE"""),"P")</f>
        <v>P</v>
      </c>
      <c r="AH537" s="1">
        <f>IFERROR(__xludf.DUMMYFUNCTION("""COMPUTED_VALUE"""),35)</f>
        <v>35</v>
      </c>
      <c r="AI537" s="1">
        <f>IFERROR(__xludf.DUMMYFUNCTION("""COMPUTED_VALUE"""),35)</f>
        <v>35</v>
      </c>
      <c r="AJ537" s="1">
        <f>IFERROR(__xludf.DUMMYFUNCTION("""COMPUTED_VALUE"""),35)</f>
        <v>35</v>
      </c>
      <c r="AK537" s="1">
        <f>IFERROR(__xludf.DUMMYFUNCTION("""COMPUTED_VALUE"""),35)</f>
        <v>35</v>
      </c>
      <c r="AL537" s="1" t="str">
        <f>IFERROR(__xludf.DUMMYFUNCTION("""COMPUTED_VALUE"""),"P")</f>
        <v>P</v>
      </c>
      <c r="AM537" s="1" t="str">
        <f>IFERROR(__xludf.DUMMYFUNCTION("""COMPUTED_VALUE"""),"P")</f>
        <v>P</v>
      </c>
      <c r="AN537" s="1" t="str">
        <f>IFERROR(__xludf.DUMMYFUNCTION("""COMPUTED_VALUE"""),"P")</f>
        <v>P</v>
      </c>
    </row>
    <row r="538" customHeight="1" spans="1:40">
      <c r="A538" s="1" t="str">
        <f>IFERROR(__xludf.DUMMYFUNCTION("""COMPUTED_VALUE"""),"07° BBM")</f>
        <v>07° BBM</v>
      </c>
      <c r="B538" s="1" t="str">
        <f>IFERROR(__xludf.DUMMYFUNCTION("""COMPUTED_VALUE"""),"Erval Grande")</f>
        <v>Erval Grande</v>
      </c>
      <c r="C538" s="119" t="str">
        <f>IFERROR(__xludf.DUMMYFUNCTION("""COMPUTED_VALUE"""),"CAB")</f>
        <v>CAB</v>
      </c>
      <c r="D538" s="1" t="str">
        <f>IFERROR(__xludf.DUMMYFUNCTION("""COMPUTED_VALUE"""),"ANA PAULA RISSI")</f>
        <v>ANA PAULA RISSI</v>
      </c>
      <c r="E538" s="119" t="str">
        <f>IFERROR(__xludf.DUMMYFUNCTION("""COMPUTED_VALUE"""),"")</f>
        <v/>
      </c>
      <c r="F538" s="1"/>
      <c r="G538" s="1"/>
      <c r="H538" s="1"/>
      <c r="I538" s="1"/>
      <c r="J538" s="1"/>
      <c r="K538" s="1"/>
      <c r="L538" s="1"/>
      <c r="M538" s="1"/>
      <c r="N538" s="120">
        <f>IFERROR(__xludf.DUMMYFUNCTION("""COMPUTED_VALUE"""),27236)</f>
        <v>27236</v>
      </c>
      <c r="O538" s="1" t="str">
        <f>IFERROR(__xludf.DUMMYFUNCTION("""COMPUTED_VALUE"""),"Feminino")</f>
        <v>Feminino</v>
      </c>
      <c r="P538" s="1"/>
      <c r="Q538" s="1"/>
      <c r="R538" s="1"/>
      <c r="S538" s="1"/>
      <c r="T538" s="1"/>
      <c r="U538" s="1"/>
      <c r="V538" s="1"/>
      <c r="W538" s="1"/>
      <c r="X538" s="1"/>
      <c r="Y538" s="1"/>
      <c r="Z538" s="1"/>
      <c r="AA538" s="1"/>
      <c r="AB538" s="1"/>
      <c r="AC538" s="1"/>
      <c r="AD538" s="1"/>
      <c r="AE538" s="1"/>
      <c r="AF538" s="1"/>
      <c r="AG538" s="1" t="str">
        <f>IFERROR(__xludf.DUMMYFUNCTION("""COMPUTED_VALUE"""),"M")</f>
        <v>M</v>
      </c>
      <c r="AH538" s="1">
        <f>IFERROR(__xludf.DUMMYFUNCTION("""COMPUTED_VALUE"""),37)</f>
        <v>37</v>
      </c>
      <c r="AI538" s="1"/>
      <c r="AJ538" s="1"/>
      <c r="AK538" s="1"/>
      <c r="AL538" s="1" t="str">
        <f>IFERROR(__xludf.DUMMYFUNCTION("""COMPUTED_VALUE"""),"M")</f>
        <v>M</v>
      </c>
      <c r="AM538" s="1" t="str">
        <f>IFERROR(__xludf.DUMMYFUNCTION("""COMPUTED_VALUE"""),"M")</f>
        <v>M</v>
      </c>
      <c r="AN538" s="1" t="str">
        <f>IFERROR(__xludf.DUMMYFUNCTION("""COMPUTED_VALUE"""),"M")</f>
        <v>M</v>
      </c>
    </row>
    <row r="539" customHeight="1" spans="1:40">
      <c r="A539" s="1" t="str">
        <f>IFERROR(__xludf.DUMMYFUNCTION("""COMPUTED_VALUE"""),"07° BBM")</f>
        <v>07° BBM</v>
      </c>
      <c r="B539" s="1" t="str">
        <f>IFERROR(__xludf.DUMMYFUNCTION("""COMPUTED_VALUE"""),"Não-Me-Toque")</f>
        <v>Não-Me-Toque</v>
      </c>
      <c r="C539" s="119" t="str">
        <f>IFERROR(__xludf.DUMMYFUNCTION("""COMPUTED_VALUE"""),"CAB")</f>
        <v>CAB</v>
      </c>
      <c r="D539" s="1" t="str">
        <f>IFERROR(__xludf.DUMMYFUNCTION("""COMPUTED_VALUE"""),"ANDERSON VIAU")</f>
        <v>ANDERSON VIAU</v>
      </c>
      <c r="E539" s="119" t="str">
        <f>IFERROR(__xludf.DUMMYFUNCTION("""COMPUTED_VALUE"""),"")</f>
        <v/>
      </c>
      <c r="F539" s="1" t="str">
        <f>IFERROR(__xludf.DUMMYFUNCTION("""COMPUTED_VALUE"""),"027.646.810-46")</f>
        <v>027.646.810-46</v>
      </c>
      <c r="G539" s="1">
        <f>IFERROR(__xludf.DUMMYFUNCTION("""COMPUTED_VALUE"""),1105440141)</f>
        <v>1105440141</v>
      </c>
      <c r="H539" s="1" t="str">
        <f>IFERROR(__xludf.DUMMYFUNCTION("""COMPUTED_VALUE"""),"BOMBEIRO")</f>
        <v>BOMBEIRO</v>
      </c>
      <c r="I539" s="1" t="str">
        <f>IFERROR(__xludf.DUMMYFUNCTION("""COMPUTED_VALUE"""),"Brigada de Incêndio/Nivelamento Operacional BV/EPI's e EPRA/APH")</f>
        <v>Brigada de Incêndio/Nivelamento Operacional BV/EPI's e EPRA/APH</v>
      </c>
      <c r="J539" s="1" t="str">
        <f>IFERROR(__xludf.DUMMYFUNCTION("""COMPUTED_VALUE"""),"Não")</f>
        <v>Não</v>
      </c>
      <c r="K539" s="1" t="str">
        <f>IFERROR(__xludf.DUMMYFUNCTION("""COMPUTED_VALUE"""),"Não")</f>
        <v>Não</v>
      </c>
      <c r="L539" s="1" t="str">
        <f>IFERROR(__xludf.DUMMYFUNCTION("""COMPUTED_VALUE"""),"O+")</f>
        <v>O+</v>
      </c>
      <c r="M539" s="1" t="str">
        <f>IFERROR(__xludf.DUMMYFUNCTION("""COMPUTED_VALUE"""),"VIAU")</f>
        <v>VIAU</v>
      </c>
      <c r="N539" s="121">
        <f>IFERROR(__xludf.DUMMYFUNCTION("""COMPUTED_VALUE"""),35024)</f>
        <v>35024</v>
      </c>
      <c r="O539" s="1" t="str">
        <f>IFERROR(__xludf.DUMMYFUNCTION("""COMPUTED_VALUE"""),"Masculino")</f>
        <v>Masculino</v>
      </c>
      <c r="P539" s="1" t="str">
        <f>IFERROR(__xludf.DUMMYFUNCTION("""COMPUTED_VALUE"""),"Branca")</f>
        <v>Branca</v>
      </c>
      <c r="Q539" s="1" t="str">
        <f>IFERROR(__xludf.DUMMYFUNCTION("""COMPUTED_VALUE"""),"Ensino Superior Completo")</f>
        <v>Ensino Superior Completo</v>
      </c>
      <c r="R539" s="1" t="str">
        <f>IFERROR(__xludf.DUMMYFUNCTION("""COMPUTED_VALUE"""),"anderviau@gmail.com.br")</f>
        <v>anderviau@gmail.com.br</v>
      </c>
      <c r="S539" s="1">
        <f>IFERROR(__xludf.DUMMYFUNCTION("""COMPUTED_VALUE"""),90)</f>
        <v>90</v>
      </c>
      <c r="T539" s="1" t="str">
        <f>IFERROR(__xludf.DUMMYFUNCTION("""COMPUTED_VALUE"""),"Entre 1,76m e 1,80m")</f>
        <v>Entre 1,76m e 1,80m</v>
      </c>
      <c r="U539" s="1"/>
      <c r="V539" s="1" t="str">
        <f>IFERROR(__xludf.DUMMYFUNCTION("""COMPUTED_VALUE"""),"(54)999150279")</f>
        <v>(54)999150279</v>
      </c>
      <c r="W539" s="1"/>
      <c r="X539" s="1" t="str">
        <f>IFERROR(__xludf.DUMMYFUNCTION("""COMPUTED_VALUE"""),"RS")</f>
        <v>RS</v>
      </c>
      <c r="Y539" s="1" t="str">
        <f>IFERROR(__xludf.DUMMYFUNCTION("""COMPUTED_VALUE"""),"Não-Me-Toque")</f>
        <v>Não-Me-Toque</v>
      </c>
      <c r="Z539" s="1" t="str">
        <f>IFERROR(__xludf.DUMMYFUNCTION("""COMPUTED_VALUE"""),"99470-000")</f>
        <v>99470-000</v>
      </c>
      <c r="AA539" s="1" t="str">
        <f>IFERROR(__xludf.DUMMYFUNCTION("""COMPUTED_VALUE"""),"Rua Bento Gonçalves, 282")</f>
        <v>Rua Bento Gonçalves, 282</v>
      </c>
      <c r="AB539" s="1" t="str">
        <f>IFERROR(__xludf.DUMMYFUNCTION("""COMPUTED_VALUE"""),"Vila nova")</f>
        <v>Vila nova</v>
      </c>
      <c r="AC539" s="1" t="str">
        <f>IFERROR(__xludf.DUMMYFUNCTION("""COMPUTED_VALUE"""),"G")</f>
        <v>G</v>
      </c>
      <c r="AD539" s="1" t="str">
        <f>IFERROR(__xludf.DUMMYFUNCTION("""COMPUTED_VALUE"""),"G")</f>
        <v>G</v>
      </c>
      <c r="AE539" s="1" t="str">
        <f>IFERROR(__xludf.DUMMYFUNCTION("""COMPUTED_VALUE"""),"G")</f>
        <v>G</v>
      </c>
      <c r="AF539" s="1" t="str">
        <f>IFERROR(__xludf.DUMMYFUNCTION("""COMPUTED_VALUE"""),"G")</f>
        <v>G</v>
      </c>
      <c r="AG539" s="1" t="str">
        <f>IFERROR(__xludf.DUMMYFUNCTION("""COMPUTED_VALUE"""),"G")</f>
        <v>G</v>
      </c>
      <c r="AH539" s="1">
        <f>IFERROR(__xludf.DUMMYFUNCTION("""COMPUTED_VALUE"""),44)</f>
        <v>44</v>
      </c>
      <c r="AI539" s="1">
        <f>IFERROR(__xludf.DUMMYFUNCTION("""COMPUTED_VALUE"""),44)</f>
        <v>44</v>
      </c>
      <c r="AJ539" s="1">
        <f>IFERROR(__xludf.DUMMYFUNCTION("""COMPUTED_VALUE"""),44)</f>
        <v>44</v>
      </c>
      <c r="AK539" s="1">
        <f>IFERROR(__xludf.DUMMYFUNCTION("""COMPUTED_VALUE"""),44)</f>
        <v>44</v>
      </c>
      <c r="AL539" s="1" t="str">
        <f>IFERROR(__xludf.DUMMYFUNCTION("""COMPUTED_VALUE"""),"G")</f>
        <v>G</v>
      </c>
      <c r="AM539" s="1" t="str">
        <f>IFERROR(__xludf.DUMMYFUNCTION("""COMPUTED_VALUE"""),"G")</f>
        <v>G</v>
      </c>
      <c r="AN539" s="1" t="str">
        <f>IFERROR(__xludf.DUMMYFUNCTION("""COMPUTED_VALUE"""),"G")</f>
        <v>G</v>
      </c>
    </row>
    <row r="540" customHeight="1" spans="1:40">
      <c r="A540" s="1" t="str">
        <f>IFERROR(__xludf.DUMMYFUNCTION("""COMPUTED_VALUE"""),"07° BBM")</f>
        <v>07° BBM</v>
      </c>
      <c r="B540" s="1" t="str">
        <f>IFERROR(__xludf.DUMMYFUNCTION("""COMPUTED_VALUE"""),"Gaurama")</f>
        <v>Gaurama</v>
      </c>
      <c r="C540" s="119" t="str">
        <f>IFERROR(__xludf.DUMMYFUNCTION("""COMPUTED_VALUE"""),"CAB")</f>
        <v>CAB</v>
      </c>
      <c r="D540" s="1" t="str">
        <f>IFERROR(__xludf.DUMMYFUNCTION("""COMPUTED_VALUE"""),"ANDRE LUIS WOZNIAK")</f>
        <v>ANDRE LUIS WOZNIAK</v>
      </c>
      <c r="E540" s="119" t="str">
        <f>IFERROR(__xludf.DUMMYFUNCTION("""COMPUTED_VALUE"""),"")</f>
        <v/>
      </c>
      <c r="F540" s="1" t="str">
        <f>IFERROR(__xludf.DUMMYFUNCTION("""COMPUTED_VALUE"""),"004.023.770-28")</f>
        <v>004.023.770-28</v>
      </c>
      <c r="G540" s="1">
        <f>IFERROR(__xludf.DUMMYFUNCTION("""COMPUTED_VALUE"""),4084302266)</f>
        <v>4084302266</v>
      </c>
      <c r="H540" s="1" t="str">
        <f>IFERROR(__xludf.DUMMYFUNCTION("""COMPUTED_VALUE"""),"Combatente")</f>
        <v>Combatente</v>
      </c>
      <c r="I540" s="1" t="str">
        <f>IFERROR(__xludf.DUMMYFUNCTION("""COMPUTED_VALUE"""),"Atendimento Suporte Básico de Vida")</f>
        <v>Atendimento Suporte Básico de Vida</v>
      </c>
      <c r="J540" s="1" t="str">
        <f>IFERROR(__xludf.DUMMYFUNCTION("""COMPUTED_VALUE"""),"Não")</f>
        <v>Não</v>
      </c>
      <c r="K540" s="1" t="str">
        <f>IFERROR(__xludf.DUMMYFUNCTION("""COMPUTED_VALUE"""),"Não")</f>
        <v>Não</v>
      </c>
      <c r="L540" s="1" t="str">
        <f>IFERROR(__xludf.DUMMYFUNCTION("""COMPUTED_VALUE"""),"A+")</f>
        <v>A+</v>
      </c>
      <c r="M540" s="1" t="str">
        <f>IFERROR(__xludf.DUMMYFUNCTION("""COMPUTED_VALUE"""),"WOSNIAK")</f>
        <v>WOSNIAK</v>
      </c>
      <c r="N540" s="120">
        <f>IFERROR(__xludf.DUMMYFUNCTION("""COMPUTED_VALUE"""),30861)</f>
        <v>30861</v>
      </c>
      <c r="O540" s="1" t="str">
        <f>IFERROR(__xludf.DUMMYFUNCTION("""COMPUTED_VALUE"""),"Masculino")</f>
        <v>Masculino</v>
      </c>
      <c r="P540" s="1" t="str">
        <f>IFERROR(__xludf.DUMMYFUNCTION("""COMPUTED_VALUE"""),"Branca")</f>
        <v>Branca</v>
      </c>
      <c r="Q540" s="1" t="str">
        <f>IFERROR(__xludf.DUMMYFUNCTION("""COMPUTED_VALUE"""),"Ensino Médio")</f>
        <v>Ensino Médio</v>
      </c>
      <c r="R540" s="1" t="str">
        <f>IFERROR(__xludf.DUMMYFUNCTION("""COMPUTED_VALUE"""),"zilianeboncoski@outllok.com")</f>
        <v>zilianeboncoski@outllok.com</v>
      </c>
      <c r="S540" s="1">
        <f>IFERROR(__xludf.DUMMYFUNCTION("""COMPUTED_VALUE"""),86)</f>
        <v>86</v>
      </c>
      <c r="T540" s="1" t="str">
        <f>IFERROR(__xludf.DUMMYFUNCTION("""COMPUTED_VALUE"""),"Entre 1,81m e 1,85m")</f>
        <v>Entre 1,81m e 1,85m</v>
      </c>
      <c r="U540" s="1"/>
      <c r="V540" s="1" t="str">
        <f>IFERROR(__xludf.DUMMYFUNCTION("""COMPUTED_VALUE"""),"(54)99976236")</f>
        <v>(54)99976236</v>
      </c>
      <c r="W540" s="1"/>
      <c r="X540" s="1" t="str">
        <f>IFERROR(__xludf.DUMMYFUNCTION("""COMPUTED_VALUE"""),"RS")</f>
        <v>RS</v>
      </c>
      <c r="Y540" s="1" t="str">
        <f>IFERROR(__xludf.DUMMYFUNCTION("""COMPUTED_VALUE"""),"Gaurama")</f>
        <v>Gaurama</v>
      </c>
      <c r="Z540" s="1">
        <f>IFERROR(__xludf.DUMMYFUNCTION("""COMPUTED_VALUE"""),99830000)</f>
        <v>99830000</v>
      </c>
      <c r="AA540" s="1" t="str">
        <f>IFERROR(__xludf.DUMMYFUNCTION("""COMPUTED_VALUE"""),"RUA SADI MASSARO")</f>
        <v>RUA SADI MASSARO</v>
      </c>
      <c r="AB540" s="1" t="str">
        <f>IFERROR(__xludf.DUMMYFUNCTION("""COMPUTED_VALUE"""),"LINDA MORADA")</f>
        <v>LINDA MORADA</v>
      </c>
      <c r="AC540" s="1" t="str">
        <f>IFERROR(__xludf.DUMMYFUNCTION("""COMPUTED_VALUE"""),"GG")</f>
        <v>GG</v>
      </c>
      <c r="AD540" s="1" t="str">
        <f>IFERROR(__xludf.DUMMYFUNCTION("""COMPUTED_VALUE"""),"GG")</f>
        <v>GG</v>
      </c>
      <c r="AE540" s="1" t="str">
        <f>IFERROR(__xludf.DUMMYFUNCTION("""COMPUTED_VALUE"""),"GG")</f>
        <v>GG</v>
      </c>
      <c r="AF540" s="1" t="str">
        <f>IFERROR(__xludf.DUMMYFUNCTION("""COMPUTED_VALUE"""),"GG")</f>
        <v>GG</v>
      </c>
      <c r="AG540" s="1" t="str">
        <f>IFERROR(__xludf.DUMMYFUNCTION("""COMPUTED_VALUE"""),"GG")</f>
        <v>GG</v>
      </c>
      <c r="AH540" s="1">
        <f>IFERROR(__xludf.DUMMYFUNCTION("""COMPUTED_VALUE"""),42)</f>
        <v>42</v>
      </c>
      <c r="AI540" s="1">
        <f>IFERROR(__xludf.DUMMYFUNCTION("""COMPUTED_VALUE"""),42)</f>
        <v>42</v>
      </c>
      <c r="AJ540" s="1">
        <f>IFERROR(__xludf.DUMMYFUNCTION("""COMPUTED_VALUE"""),42)</f>
        <v>42</v>
      </c>
      <c r="AK540" s="1">
        <f>IFERROR(__xludf.DUMMYFUNCTION("""COMPUTED_VALUE"""),42)</f>
        <v>42</v>
      </c>
      <c r="AL540" s="1" t="str">
        <f>IFERROR(__xludf.DUMMYFUNCTION("""COMPUTED_VALUE"""),"G")</f>
        <v>G</v>
      </c>
      <c r="AM540" s="1" t="str">
        <f>IFERROR(__xludf.DUMMYFUNCTION("""COMPUTED_VALUE"""),"G")</f>
        <v>G</v>
      </c>
      <c r="AN540" s="1" t="str">
        <f>IFERROR(__xludf.DUMMYFUNCTION("""COMPUTED_VALUE"""),"M")</f>
        <v>M</v>
      </c>
    </row>
    <row r="541" customHeight="1" spans="1:40">
      <c r="A541" s="1" t="str">
        <f>IFERROR(__xludf.DUMMYFUNCTION("""COMPUTED_VALUE"""),"07° BBM")</f>
        <v>07° BBM</v>
      </c>
      <c r="B541" s="1" t="str">
        <f>IFERROR(__xludf.DUMMYFUNCTION("""COMPUTED_VALUE"""),"Faxinalzinho")</f>
        <v>Faxinalzinho</v>
      </c>
      <c r="C541" s="119" t="str">
        <f>IFERROR(__xludf.DUMMYFUNCTION("""COMPUTED_VALUE"""),"CAB")</f>
        <v>CAB</v>
      </c>
      <c r="D541" s="1" t="str">
        <f>IFERROR(__xludf.DUMMYFUNCTION("""COMPUTED_VALUE"""),"ANDRE LUIZ RAMPANELLI")</f>
        <v>ANDRE LUIZ RAMPANELLI</v>
      </c>
      <c r="E541" s="119" t="str">
        <f>IFERROR(__xludf.DUMMYFUNCTION("""COMPUTED_VALUE"""),"Módulo 1 concluído")</f>
        <v>Módulo 1 concluído</v>
      </c>
      <c r="F541" s="1" t="str">
        <f>IFERROR(__xludf.DUMMYFUNCTION("""COMPUTED_VALUE"""),"028.025.450-43")</f>
        <v>028.025.450-43</v>
      </c>
      <c r="G541" s="1">
        <f>IFERROR(__xludf.DUMMYFUNCTION("""COMPUTED_VALUE"""),1098402959)</f>
        <v>1098402959</v>
      </c>
      <c r="H541" s="1" t="str">
        <f>IFERROR(__xludf.DUMMYFUNCTION("""COMPUTED_VALUE"""),"Tesoureiro - Combatente")</f>
        <v>Tesoureiro - Combatente</v>
      </c>
      <c r="I541" s="1" t="str">
        <f>IFERROR(__xludf.DUMMYFUNCTION("""COMPUTED_VALUE"""),"Combate à incêndio")</f>
        <v>Combate à incêndio</v>
      </c>
      <c r="J541" s="1" t="str">
        <f>IFERROR(__xludf.DUMMYFUNCTION("""COMPUTED_VALUE"""),"Sim")</f>
        <v>Sim</v>
      </c>
      <c r="K541" s="1" t="str">
        <f>IFERROR(__xludf.DUMMYFUNCTION("""COMPUTED_VALUE"""),"Não")</f>
        <v>Não</v>
      </c>
      <c r="L541" s="1" t="str">
        <f>IFERROR(__xludf.DUMMYFUNCTION("""COMPUTED_VALUE"""),"O+")</f>
        <v>O+</v>
      </c>
      <c r="M541" s="1" t="str">
        <f>IFERROR(__xludf.DUMMYFUNCTION("""COMPUTED_VALUE"""),"RAMPANELLI")</f>
        <v>RAMPANELLI</v>
      </c>
      <c r="N541" s="120">
        <f>IFERROR(__xludf.DUMMYFUNCTION("""COMPUTED_VALUE"""),34368)</f>
        <v>34368</v>
      </c>
      <c r="O541" s="1" t="str">
        <f>IFERROR(__xludf.DUMMYFUNCTION("""COMPUTED_VALUE"""),"Masculino")</f>
        <v>Masculino</v>
      </c>
      <c r="P541" s="1" t="str">
        <f>IFERROR(__xludf.DUMMYFUNCTION("""COMPUTED_VALUE"""),"Branca")</f>
        <v>Branca</v>
      </c>
      <c r="Q541" s="1" t="str">
        <f>IFERROR(__xludf.DUMMYFUNCTION("""COMPUTED_VALUE"""),"Ensino Superior Completo")</f>
        <v>Ensino Superior Completo</v>
      </c>
      <c r="R541" s="1" t="str">
        <f>IFERROR(__xludf.DUMMYFUNCTION("""COMPUTED_VALUE"""),"andre.rampanelli@hotmail.com")</f>
        <v>andre.rampanelli@hotmail.com</v>
      </c>
      <c r="S541" s="1">
        <f>IFERROR(__xludf.DUMMYFUNCTION("""COMPUTED_VALUE"""),62)</f>
        <v>62</v>
      </c>
      <c r="T541" s="1" t="str">
        <f>IFERROR(__xludf.DUMMYFUNCTION("""COMPUTED_VALUE"""),"Entre 1,66m e 1,70m")</f>
        <v>Entre 1,66m e 1,70m</v>
      </c>
      <c r="U541" s="1">
        <f>IFERROR(__xludf.DUMMYFUNCTION("""COMPUTED_VALUE"""),54999643210)</f>
        <v>54999643210</v>
      </c>
      <c r="V541" s="1">
        <f>IFERROR(__xludf.DUMMYFUNCTION("""COMPUTED_VALUE"""),54999643210)</f>
        <v>54999643210</v>
      </c>
      <c r="W541" s="1" t="str">
        <f>IFERROR(__xludf.DUMMYFUNCTION("""COMPUTED_VALUE"""),"(54)999643210")</f>
        <v>(54)999643210</v>
      </c>
      <c r="X541" s="1" t="str">
        <f>IFERROR(__xludf.DUMMYFUNCTION("""COMPUTED_VALUE"""),"RIO GRANDE DO SUL")</f>
        <v>RIO GRANDE DO SUL</v>
      </c>
      <c r="Y541" s="1" t="str">
        <f>IFERROR(__xludf.DUMMYFUNCTION("""COMPUTED_VALUE"""),"Faxinalzinho")</f>
        <v>Faxinalzinho</v>
      </c>
      <c r="Z541" s="1" t="str">
        <f>IFERROR(__xludf.DUMMYFUNCTION("""COMPUTED_VALUE"""),"99655-000")</f>
        <v>99655-000</v>
      </c>
      <c r="AA541" s="1" t="str">
        <f>IFERROR(__xludf.DUMMYFUNCTION("""COMPUTED_VALUE"""),"Nair kaminski")</f>
        <v>Nair kaminski</v>
      </c>
      <c r="AB541" s="1" t="str">
        <f>IFERROR(__xludf.DUMMYFUNCTION("""COMPUTED_VALUE"""),"Centro")</f>
        <v>Centro</v>
      </c>
      <c r="AC541" s="1" t="str">
        <f>IFERROR(__xludf.DUMMYFUNCTION("""COMPUTED_VALUE"""),"P")</f>
        <v>P</v>
      </c>
      <c r="AD541" s="1" t="str">
        <f>IFERROR(__xludf.DUMMYFUNCTION("""COMPUTED_VALUE"""),"P")</f>
        <v>P</v>
      </c>
      <c r="AE541" s="1" t="str">
        <f>IFERROR(__xludf.DUMMYFUNCTION("""COMPUTED_VALUE"""),"P")</f>
        <v>P</v>
      </c>
      <c r="AF541" s="1" t="str">
        <f>IFERROR(__xludf.DUMMYFUNCTION("""COMPUTED_VALUE"""),"P")</f>
        <v>P</v>
      </c>
      <c r="AG541" s="1" t="str">
        <f>IFERROR(__xludf.DUMMYFUNCTION("""COMPUTED_VALUE"""),"P")</f>
        <v>P</v>
      </c>
      <c r="AH541" s="1">
        <f>IFERROR(__xludf.DUMMYFUNCTION("""COMPUTED_VALUE"""),39)</f>
        <v>39</v>
      </c>
      <c r="AI541" s="1">
        <f>IFERROR(__xludf.DUMMYFUNCTION("""COMPUTED_VALUE"""),39)</f>
        <v>39</v>
      </c>
      <c r="AJ541" s="1">
        <f>IFERROR(__xludf.DUMMYFUNCTION("""COMPUTED_VALUE"""),39)</f>
        <v>39</v>
      </c>
      <c r="AK541" s="1">
        <f>IFERROR(__xludf.DUMMYFUNCTION("""COMPUTED_VALUE"""),39)</f>
        <v>39</v>
      </c>
      <c r="AL541" s="1" t="str">
        <f>IFERROR(__xludf.DUMMYFUNCTION("""COMPUTED_VALUE"""),"P")</f>
        <v>P</v>
      </c>
      <c r="AM541" s="1" t="str">
        <f>IFERROR(__xludf.DUMMYFUNCTION("""COMPUTED_VALUE"""),"P")</f>
        <v>P</v>
      </c>
      <c r="AN541" s="1" t="str">
        <f>IFERROR(__xludf.DUMMYFUNCTION("""COMPUTED_VALUE"""),"P")</f>
        <v>P</v>
      </c>
    </row>
    <row r="542" customHeight="1" spans="1:40">
      <c r="A542" s="1" t="str">
        <f>IFERROR(__xludf.DUMMYFUNCTION("""COMPUTED_VALUE"""),"07° BBM")</f>
        <v>07° BBM</v>
      </c>
      <c r="B542" s="1" t="str">
        <f>IFERROR(__xludf.DUMMYFUNCTION("""COMPUTED_VALUE"""),"Erval Grande")</f>
        <v>Erval Grande</v>
      </c>
      <c r="C542" s="119" t="str">
        <f>IFERROR(__xludf.DUMMYFUNCTION("""COMPUTED_VALUE"""),"CAB")</f>
        <v>CAB</v>
      </c>
      <c r="D542" s="1" t="str">
        <f>IFERROR(__xludf.DUMMYFUNCTION("""COMPUTED_VALUE"""),"ANDRE OLZENSVKI")</f>
        <v>ANDRE OLZENSVKI</v>
      </c>
      <c r="E542" s="119" t="str">
        <f>IFERROR(__xludf.DUMMYFUNCTION("""COMPUTED_VALUE"""),"Módulo 1 concluído")</f>
        <v>Módulo 1 concluído</v>
      </c>
      <c r="F542" s="1" t="str">
        <f>IFERROR(__xludf.DUMMYFUNCTION("""COMPUTED_VALUE"""),"032.937.070-76")</f>
        <v>032.937.070-76</v>
      </c>
      <c r="G542" s="1"/>
      <c r="H542" s="1"/>
      <c r="I542" s="1"/>
      <c r="J542" s="1"/>
      <c r="K542" s="1"/>
      <c r="L542" s="1"/>
      <c r="M542" s="1"/>
      <c r="N542" s="120">
        <f>IFERROR(__xludf.DUMMYFUNCTION("""COMPUTED_VALUE"""),36302)</f>
        <v>36302</v>
      </c>
      <c r="O542" s="1" t="str">
        <f>IFERROR(__xludf.DUMMYFUNCTION("""COMPUTED_VALUE"""),"Masculino")</f>
        <v>Masculino</v>
      </c>
      <c r="P542" s="1"/>
      <c r="Q542" s="1"/>
      <c r="R542" s="1"/>
      <c r="S542" s="1"/>
      <c r="T542" s="1"/>
      <c r="U542" s="1"/>
      <c r="V542" s="1"/>
      <c r="W542" s="1"/>
      <c r="X542" s="1"/>
      <c r="Y542" s="1"/>
      <c r="Z542" s="1"/>
      <c r="AA542" s="1"/>
      <c r="AB542" s="1"/>
      <c r="AC542" s="1"/>
      <c r="AD542" s="1"/>
      <c r="AE542" s="1"/>
      <c r="AF542" s="1"/>
      <c r="AG542" s="1" t="str">
        <f>IFERROR(__xludf.DUMMYFUNCTION("""COMPUTED_VALUE"""),"G")</f>
        <v>G</v>
      </c>
      <c r="AH542" s="1">
        <f>IFERROR(__xludf.DUMMYFUNCTION("""COMPUTED_VALUE"""),42)</f>
        <v>42</v>
      </c>
      <c r="AI542" s="1"/>
      <c r="AJ542" s="1"/>
      <c r="AK542" s="1"/>
      <c r="AL542" s="1" t="str">
        <f>IFERROR(__xludf.DUMMYFUNCTION("""COMPUTED_VALUE"""),"G")</f>
        <v>G</v>
      </c>
      <c r="AM542" s="1" t="str">
        <f>IFERROR(__xludf.DUMMYFUNCTION("""COMPUTED_VALUE"""),"G")</f>
        <v>G</v>
      </c>
      <c r="AN542" s="1" t="str">
        <f>IFERROR(__xludf.DUMMYFUNCTION("""COMPUTED_VALUE"""),"G")</f>
        <v>G</v>
      </c>
    </row>
    <row r="543" customHeight="1" spans="1:40">
      <c r="A543" s="1" t="str">
        <f>IFERROR(__xludf.DUMMYFUNCTION("""COMPUTED_VALUE"""),"07° BBM")</f>
        <v>07° BBM</v>
      </c>
      <c r="B543" s="1" t="str">
        <f>IFERROR(__xludf.DUMMYFUNCTION("""COMPUTED_VALUE"""),"Campos Borges")</f>
        <v>Campos Borges</v>
      </c>
      <c r="C543" s="119" t="str">
        <f>IFERROR(__xludf.DUMMYFUNCTION("""COMPUTED_VALUE"""),"CAB")</f>
        <v>CAB</v>
      </c>
      <c r="D543" s="1" t="str">
        <f>IFERROR(__xludf.DUMMYFUNCTION("""COMPUTED_VALUE"""),"ANDREI SCHERER PEREIRA")</f>
        <v>ANDREI SCHERER PEREIRA</v>
      </c>
      <c r="E543" s="119" t="str">
        <f>IFERROR(__xludf.DUMMYFUNCTION("""COMPUTED_VALUE"""),"")</f>
        <v/>
      </c>
      <c r="F543" s="1"/>
      <c r="G543" s="1"/>
      <c r="H543" s="1"/>
      <c r="I543" s="1"/>
      <c r="J543" s="1"/>
      <c r="K543" s="1"/>
      <c r="L543" s="1"/>
      <c r="M543" s="1"/>
      <c r="N543" s="120">
        <f>IFERROR(__xludf.DUMMYFUNCTION("""COMPUTED_VALUE"""),35572)</f>
        <v>35572</v>
      </c>
      <c r="O543" s="1" t="str">
        <f>IFERROR(__xludf.DUMMYFUNCTION("""COMPUTED_VALUE"""),"Masculino")</f>
        <v>Masculino</v>
      </c>
      <c r="P543" s="1"/>
      <c r="Q543" s="1"/>
      <c r="R543" s="1"/>
      <c r="S543" s="1"/>
      <c r="T543" s="1"/>
      <c r="U543" s="1"/>
      <c r="V543" s="1"/>
      <c r="W543" s="1"/>
      <c r="X543" s="1"/>
      <c r="Y543" s="1" t="str">
        <f>IFERROR(__xludf.DUMMYFUNCTION("""COMPUTED_VALUE"""),"Campos Borges")</f>
        <v>Campos Borges</v>
      </c>
      <c r="Z543" s="1"/>
      <c r="AA543" s="1"/>
      <c r="AB543" s="1"/>
      <c r="AC543" s="1"/>
      <c r="AD543" s="1"/>
      <c r="AE543" s="1"/>
      <c r="AF543" s="1"/>
      <c r="AG543" s="1" t="str">
        <f>IFERROR(__xludf.DUMMYFUNCTION("""COMPUTED_VALUE"""),"G")</f>
        <v>G</v>
      </c>
      <c r="AH543" s="1">
        <f>IFERROR(__xludf.DUMMYFUNCTION("""COMPUTED_VALUE"""),41)</f>
        <v>41</v>
      </c>
      <c r="AI543" s="1"/>
      <c r="AJ543" s="1"/>
      <c r="AK543" s="1"/>
      <c r="AL543" s="1" t="str">
        <f>IFERROR(__xludf.DUMMYFUNCTION("""COMPUTED_VALUE"""),"G")</f>
        <v>G</v>
      </c>
      <c r="AM543" s="1" t="str">
        <f>IFERROR(__xludf.DUMMYFUNCTION("""COMPUTED_VALUE"""),"G")</f>
        <v>G</v>
      </c>
      <c r="AN543" s="1" t="str">
        <f>IFERROR(__xludf.DUMMYFUNCTION("""COMPUTED_VALUE"""),"G")</f>
        <v>G</v>
      </c>
    </row>
    <row r="544" customHeight="1" spans="1:40">
      <c r="A544" s="1" t="str">
        <f>IFERROR(__xludf.DUMMYFUNCTION("""COMPUTED_VALUE"""),"07° BBM")</f>
        <v>07° BBM</v>
      </c>
      <c r="B544" s="1" t="str">
        <f>IFERROR(__xludf.DUMMYFUNCTION("""COMPUTED_VALUE"""),"Serafina Corrêa")</f>
        <v>Serafina Corrêa</v>
      </c>
      <c r="C544" s="119" t="str">
        <f>IFERROR(__xludf.DUMMYFUNCTION("""COMPUTED_VALUE"""),"CAB")</f>
        <v>CAB</v>
      </c>
      <c r="D544" s="1" t="str">
        <f>IFERROR(__xludf.DUMMYFUNCTION("""COMPUTED_VALUE"""),"ANGELA MARIA SILVA TRINDADE")</f>
        <v>ANGELA MARIA SILVA TRINDADE</v>
      </c>
      <c r="E544" s="119" t="str">
        <f>IFERROR(__xludf.DUMMYFUNCTION("""COMPUTED_VALUE"""),"Módulo 1 concluído")</f>
        <v>Módulo 1 concluído</v>
      </c>
      <c r="F544" s="1" t="str">
        <f>IFERROR(__xludf.DUMMYFUNCTION("""COMPUTED_VALUE"""),"021.164.230-40")</f>
        <v>021.164.230-40</v>
      </c>
      <c r="G544" s="1">
        <f>IFERROR(__xludf.DUMMYFUNCTION("""COMPUTED_VALUE"""),2116423040)</f>
        <v>2116423040</v>
      </c>
      <c r="H544" s="1" t="str">
        <f>IFERROR(__xludf.DUMMYFUNCTION("""COMPUTED_VALUE"""),"CAB")</f>
        <v>CAB</v>
      </c>
      <c r="I544" s="1" t="str">
        <f>IFERROR(__xludf.DUMMYFUNCTION("""COMPUTED_VALUE"""),"Bombeiro Civil Classe I - 306 HORAS CEVTE - Condutor de veiculo de emergencia - SEST/SENAT APH / BLS Primeira resposta em produtos perigosos - HAZMAT NR 10 NR 33 NR 35 Resgate de Passageiros Em Elevadores - Tyssen Kroup APH Tatico")</f>
        <v>Bombeiro Civil Classe I - 306 HORAS CEVTE - Condutor de veiculo de emergencia - SEST/SENAT APH / BLS Primeira resposta em produtos perigosos - HAZMAT NR 10 NR 33 NR 35 Resgate de Passageiros Em Elevadores - Tyssen Kroup APH Tatico</v>
      </c>
      <c r="J544" s="1" t="str">
        <f>IFERROR(__xludf.DUMMYFUNCTION("""COMPUTED_VALUE"""),"Não")</f>
        <v>Não</v>
      </c>
      <c r="K544" s="1" t="str">
        <f>IFERROR(__xludf.DUMMYFUNCTION("""COMPUTED_VALUE"""),"Não")</f>
        <v>Não</v>
      </c>
      <c r="L544" s="1" t="str">
        <f>IFERROR(__xludf.DUMMYFUNCTION("""COMPUTED_VALUE"""),"O+")</f>
        <v>O+</v>
      </c>
      <c r="M544" s="1" t="str">
        <f>IFERROR(__xludf.DUMMYFUNCTION("""COMPUTED_VALUE"""),"Angela")</f>
        <v>Angela</v>
      </c>
      <c r="N544" s="120">
        <f>IFERROR(__xludf.DUMMYFUNCTION("""COMPUTED_VALUE"""),28262)</f>
        <v>28262</v>
      </c>
      <c r="O544" s="1" t="str">
        <f>IFERROR(__xludf.DUMMYFUNCTION("""COMPUTED_VALUE"""),"Feminino")</f>
        <v>Feminino</v>
      </c>
      <c r="P544" s="1" t="str">
        <f>IFERROR(__xludf.DUMMYFUNCTION("""COMPUTED_VALUE"""),"Branca")</f>
        <v>Branca</v>
      </c>
      <c r="Q544" s="1" t="str">
        <f>IFERROR(__xludf.DUMMYFUNCTION("""COMPUTED_VALUE"""),"Ensino Médio")</f>
        <v>Ensino Médio</v>
      </c>
      <c r="R544" s="1" t="str">
        <f>IFERROR(__xludf.DUMMYFUNCTION("""COMPUTED_VALUE"""),"ninasilvatrindade@gmail.com")</f>
        <v>ninasilvatrindade@gmail.com</v>
      </c>
      <c r="S544" s="1">
        <f>IFERROR(__xludf.DUMMYFUNCTION("""COMPUTED_VALUE"""),68)</f>
        <v>68</v>
      </c>
      <c r="T544" s="1" t="str">
        <f>IFERROR(__xludf.DUMMYFUNCTION("""COMPUTED_VALUE"""),"Entre 1,56m e 1,60m")</f>
        <v>Entre 1,56m e 1,60m</v>
      </c>
      <c r="U544" s="1"/>
      <c r="V544" s="1" t="str">
        <f>IFERROR(__xludf.DUMMYFUNCTION("""COMPUTED_VALUE"""),"(54)99659-4328")</f>
        <v>(54)99659-4328</v>
      </c>
      <c r="W544" s="1" t="str">
        <f>IFERROR(__xludf.DUMMYFUNCTION("""COMPUTED_VALUE"""),"(54)99930-7471")</f>
        <v>(54)99930-7471</v>
      </c>
      <c r="X544" s="1" t="str">
        <f>IFERROR(__xludf.DUMMYFUNCTION("""COMPUTED_VALUE"""),"RS")</f>
        <v>RS</v>
      </c>
      <c r="Y544" s="1" t="str">
        <f>IFERROR(__xludf.DUMMYFUNCTION("""COMPUTED_VALUE"""),"Serafina Corrêa")</f>
        <v>Serafina Corrêa</v>
      </c>
      <c r="Z544" s="1" t="str">
        <f>IFERROR(__xludf.DUMMYFUNCTION("""COMPUTED_VALUE"""),"99250-000")</f>
        <v>99250-000</v>
      </c>
      <c r="AA544" s="1" t="str">
        <f>IFERROR(__xludf.DUMMYFUNCTION("""COMPUTED_VALUE"""),"Rua Via Alto Piano, 125")</f>
        <v>Rua Via Alto Piano, 125</v>
      </c>
      <c r="AB544" s="1" t="str">
        <f>IFERROR(__xludf.DUMMYFUNCTION("""COMPUTED_VALUE"""),"Aparecida")</f>
        <v>Aparecida</v>
      </c>
      <c r="AC544" s="1" t="str">
        <f>IFERROR(__xludf.DUMMYFUNCTION("""COMPUTED_VALUE"""),"M")</f>
        <v>M</v>
      </c>
      <c r="AD544" s="1" t="str">
        <f>IFERROR(__xludf.DUMMYFUNCTION("""COMPUTED_VALUE"""),"M")</f>
        <v>M</v>
      </c>
      <c r="AE544" s="1" t="str">
        <f>IFERROR(__xludf.DUMMYFUNCTION("""COMPUTED_VALUE"""),"M")</f>
        <v>M</v>
      </c>
      <c r="AF544" s="1" t="str">
        <f>IFERROR(__xludf.DUMMYFUNCTION("""COMPUTED_VALUE"""),"M")</f>
        <v>M</v>
      </c>
      <c r="AG544" s="1" t="str">
        <f>IFERROR(__xludf.DUMMYFUNCTION("""COMPUTED_VALUE"""),"M")</f>
        <v>M</v>
      </c>
      <c r="AH544" s="1">
        <f>IFERROR(__xludf.DUMMYFUNCTION("""COMPUTED_VALUE"""),35)</f>
        <v>35</v>
      </c>
      <c r="AI544" s="1">
        <f>IFERROR(__xludf.DUMMYFUNCTION("""COMPUTED_VALUE"""),35)</f>
        <v>35</v>
      </c>
      <c r="AJ544" s="1">
        <f>IFERROR(__xludf.DUMMYFUNCTION("""COMPUTED_VALUE"""),35)</f>
        <v>35</v>
      </c>
      <c r="AK544" s="1">
        <f>IFERROR(__xludf.DUMMYFUNCTION("""COMPUTED_VALUE"""),35)</f>
        <v>35</v>
      </c>
      <c r="AL544" s="1" t="str">
        <f>IFERROR(__xludf.DUMMYFUNCTION("""COMPUTED_VALUE"""),"M")</f>
        <v>M</v>
      </c>
      <c r="AM544" s="1" t="str">
        <f>IFERROR(__xludf.DUMMYFUNCTION("""COMPUTED_VALUE"""),"M")</f>
        <v>M</v>
      </c>
      <c r="AN544" s="1" t="str">
        <f>IFERROR(__xludf.DUMMYFUNCTION("""COMPUTED_VALUE"""),"M")</f>
        <v>M</v>
      </c>
    </row>
    <row r="545" customHeight="1" spans="1:40">
      <c r="A545" s="1" t="str">
        <f>IFERROR(__xludf.DUMMYFUNCTION("""COMPUTED_VALUE"""),"07° BBM")</f>
        <v>07° BBM</v>
      </c>
      <c r="B545" s="1" t="str">
        <f>IFERROR(__xludf.DUMMYFUNCTION("""COMPUTED_VALUE"""),"Barão de Cotegipe")</f>
        <v>Barão de Cotegipe</v>
      </c>
      <c r="C545" s="119" t="str">
        <f>IFERROR(__xludf.DUMMYFUNCTION("""COMPUTED_VALUE"""),"CAB")</f>
        <v>CAB</v>
      </c>
      <c r="D545" s="1" t="str">
        <f>IFERROR(__xludf.DUMMYFUNCTION("""COMPUTED_VALUE"""),"ANGELA MORESCO")</f>
        <v>ANGELA MORESCO</v>
      </c>
      <c r="E545" s="119" t="str">
        <f>IFERROR(__xludf.DUMMYFUNCTION("""COMPUTED_VALUE"""),"")</f>
        <v/>
      </c>
      <c r="F545" s="1" t="str">
        <f>IFERROR(__xludf.DUMMYFUNCTION("""COMPUTED_VALUE"""),"006.589.319-03")</f>
        <v>006.589.319-03</v>
      </c>
      <c r="G545" s="1" t="str">
        <f>IFERROR(__xludf.DUMMYFUNCTION("""COMPUTED_VALUE"""),"3857702/SSP-SC")</f>
        <v>3857702/SSP-SC</v>
      </c>
      <c r="H545" s="1" t="str">
        <f>IFERROR(__xludf.DUMMYFUNCTION("""COMPUTED_VALUE"""),"VOLUNTARIO")</f>
        <v>VOLUNTARIO</v>
      </c>
      <c r="I545" s="1" t="str">
        <f>IFERROR(__xludf.DUMMYFUNCTION("""COMPUTED_VALUE"""),"BOMBEIROS CIVIL,NR33,NR35,N10,NR23,APH.")</f>
        <v>BOMBEIROS CIVIL,NR33,NR35,N10,NR23,APH.</v>
      </c>
      <c r="J545" s="1"/>
      <c r="K545" s="1"/>
      <c r="L545" s="1"/>
      <c r="M545" s="1"/>
      <c r="N545" s="120"/>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row>
    <row r="546" customHeight="1" spans="1:40">
      <c r="A546" s="1" t="str">
        <f>IFERROR(__xludf.DUMMYFUNCTION("""COMPUTED_VALUE"""),"07° BBM")</f>
        <v>07° BBM</v>
      </c>
      <c r="B546" s="1" t="str">
        <f>IFERROR(__xludf.DUMMYFUNCTION("""COMPUTED_VALUE"""),"Não-Me-Toque")</f>
        <v>Não-Me-Toque</v>
      </c>
      <c r="C546" s="119" t="str">
        <f>IFERROR(__xludf.DUMMYFUNCTION("""COMPUTED_VALUE"""),"CAB")</f>
        <v>CAB</v>
      </c>
      <c r="D546" s="1" t="str">
        <f>IFERROR(__xludf.DUMMYFUNCTION("""COMPUTED_VALUE"""),"ANTONIA DE FATIMA ALVES SCHERER")</f>
        <v>ANTONIA DE FATIMA ALVES SCHERER</v>
      </c>
      <c r="E546" s="119" t="str">
        <f>IFERROR(__xludf.DUMMYFUNCTION("""COMPUTED_VALUE"""),"Módulo 1 concluído")</f>
        <v>Módulo 1 concluído</v>
      </c>
      <c r="F546" s="1" t="str">
        <f>IFERROR(__xludf.DUMMYFUNCTION("""COMPUTED_VALUE"""),"828.023.270-20")</f>
        <v>828.023.270-20</v>
      </c>
      <c r="G546" s="1">
        <f>IFERROR(__xludf.DUMMYFUNCTION("""COMPUTED_VALUE"""),2119951024)</f>
        <v>2119951024</v>
      </c>
      <c r="H546" s="1" t="str">
        <f>IFERROR(__xludf.DUMMYFUNCTION("""COMPUTED_VALUE"""),"BOMBEIRA")</f>
        <v>BOMBEIRA</v>
      </c>
      <c r="I546" s="1" t="str">
        <f>IFERROR(__xludf.DUMMYFUNCTION("""COMPUTED_VALUE"""),"Brigada de Incêndio/Nivelamento Operacional BV/BOMBEIRO CIVIL - CLASSE 1/SOCORRISTA")</f>
        <v>Brigada de Incêndio/Nivelamento Operacional BV/BOMBEIRO CIVIL - CLASSE 1/SOCORRISTA</v>
      </c>
      <c r="J546" s="1" t="str">
        <f>IFERROR(__xludf.DUMMYFUNCTION("""COMPUTED_VALUE"""),"Não")</f>
        <v>Não</v>
      </c>
      <c r="K546" s="1" t="str">
        <f>IFERROR(__xludf.DUMMYFUNCTION("""COMPUTED_VALUE"""),"Não")</f>
        <v>Não</v>
      </c>
      <c r="L546" s="1" t="str">
        <f>IFERROR(__xludf.DUMMYFUNCTION("""COMPUTED_VALUE"""),"A+")</f>
        <v>A+</v>
      </c>
      <c r="M546" s="1" t="str">
        <f>IFERROR(__xludf.DUMMYFUNCTION("""COMPUTED_VALUE"""),"ALVES")</f>
        <v>ALVES</v>
      </c>
      <c r="N546" s="120">
        <f>IFERROR(__xludf.DUMMYFUNCTION("""COMPUTED_VALUE"""),30809)</f>
        <v>30809</v>
      </c>
      <c r="O546" s="1" t="str">
        <f>IFERROR(__xludf.DUMMYFUNCTION("""COMPUTED_VALUE"""),"Feminino")</f>
        <v>Feminino</v>
      </c>
      <c r="P546" s="1" t="str">
        <f>IFERROR(__xludf.DUMMYFUNCTION("""COMPUTED_VALUE"""),"Branca")</f>
        <v>Branca</v>
      </c>
      <c r="Q546" s="1" t="str">
        <f>IFERROR(__xludf.DUMMYFUNCTION("""COMPUTED_VALUE"""),"Ensino Médio")</f>
        <v>Ensino Médio</v>
      </c>
      <c r="R546" s="1" t="str">
        <f>IFERROR(__xludf.DUMMYFUNCTION("""COMPUTED_VALUE"""),"tonhascherer.157@gmail.com")</f>
        <v>tonhascherer.157@gmail.com</v>
      </c>
      <c r="S546" s="1">
        <f>IFERROR(__xludf.DUMMYFUNCTION("""COMPUTED_VALUE"""),76)</f>
        <v>76</v>
      </c>
      <c r="T546" s="1" t="str">
        <f>IFERROR(__xludf.DUMMYFUNCTION("""COMPUTED_VALUE"""),"Entre 1,66m e 1,70m")</f>
        <v>Entre 1,66m e 1,70m</v>
      </c>
      <c r="U546" s="1"/>
      <c r="V546" s="1" t="str">
        <f>IFERROR(__xludf.DUMMYFUNCTION("""COMPUTED_VALUE"""),"(54)991090155")</f>
        <v>(54)991090155</v>
      </c>
      <c r="W546" s="1"/>
      <c r="X546" s="1" t="str">
        <f>IFERROR(__xludf.DUMMYFUNCTION("""COMPUTED_VALUE"""),"RS")</f>
        <v>RS</v>
      </c>
      <c r="Y546" s="1" t="str">
        <f>IFERROR(__xludf.DUMMYFUNCTION("""COMPUTED_VALUE"""),"Não-Me-Toque")</f>
        <v>Não-Me-Toque</v>
      </c>
      <c r="Z546" s="1" t="str">
        <f>IFERROR(__xludf.DUMMYFUNCTION("""COMPUTED_VALUE"""),"99470-000")</f>
        <v>99470-000</v>
      </c>
      <c r="AA546" s="1" t="str">
        <f>IFERROR(__xludf.DUMMYFUNCTION("""COMPUTED_VALUE"""),"Rua Mimosa, 719")</f>
        <v>Rua Mimosa, 719</v>
      </c>
      <c r="AB546" s="1" t="str">
        <f>IFERROR(__xludf.DUMMYFUNCTION("""COMPUTED_VALUE"""),"Santo Antônio")</f>
        <v>Santo Antônio</v>
      </c>
      <c r="AC546" s="1" t="str">
        <f>IFERROR(__xludf.DUMMYFUNCTION("""COMPUTED_VALUE"""),"G")</f>
        <v>G</v>
      </c>
      <c r="AD546" s="1" t="str">
        <f>IFERROR(__xludf.DUMMYFUNCTION("""COMPUTED_VALUE"""),"G")</f>
        <v>G</v>
      </c>
      <c r="AE546" s="1" t="str">
        <f>IFERROR(__xludf.DUMMYFUNCTION("""COMPUTED_VALUE"""),"G")</f>
        <v>G</v>
      </c>
      <c r="AF546" s="1" t="str">
        <f>IFERROR(__xludf.DUMMYFUNCTION("""COMPUTED_VALUE"""),"G")</f>
        <v>G</v>
      </c>
      <c r="AG546" s="1" t="str">
        <f>IFERROR(__xludf.DUMMYFUNCTION("""COMPUTED_VALUE"""),"G")</f>
        <v>G</v>
      </c>
      <c r="AH546" s="1">
        <f>IFERROR(__xludf.DUMMYFUNCTION("""COMPUTED_VALUE"""),37)</f>
        <v>37</v>
      </c>
      <c r="AI546" s="1">
        <f>IFERROR(__xludf.DUMMYFUNCTION("""COMPUTED_VALUE"""),37)</f>
        <v>37</v>
      </c>
      <c r="AJ546" s="1">
        <f>IFERROR(__xludf.DUMMYFUNCTION("""COMPUTED_VALUE"""),37)</f>
        <v>37</v>
      </c>
      <c r="AK546" s="1">
        <f>IFERROR(__xludf.DUMMYFUNCTION("""COMPUTED_VALUE"""),37)</f>
        <v>37</v>
      </c>
      <c r="AL546" s="1" t="str">
        <f>IFERROR(__xludf.DUMMYFUNCTION("""COMPUTED_VALUE"""),"G")</f>
        <v>G</v>
      </c>
      <c r="AM546" s="1" t="str">
        <f>IFERROR(__xludf.DUMMYFUNCTION("""COMPUTED_VALUE"""),"G")</f>
        <v>G</v>
      </c>
      <c r="AN546" s="1" t="str">
        <f>IFERROR(__xludf.DUMMYFUNCTION("""COMPUTED_VALUE"""),"M")</f>
        <v>M</v>
      </c>
    </row>
    <row r="547" customHeight="1" spans="1:40">
      <c r="A547" s="1" t="str">
        <f>IFERROR(__xludf.DUMMYFUNCTION("""COMPUTED_VALUE"""),"07° BBM")</f>
        <v>07° BBM</v>
      </c>
      <c r="B547" s="1" t="str">
        <f>IFERROR(__xludf.DUMMYFUNCTION("""COMPUTED_VALUE"""),"Áurea")</f>
        <v>Áurea</v>
      </c>
      <c r="C547" s="119" t="str">
        <f>IFERROR(__xludf.DUMMYFUNCTION("""COMPUTED_VALUE"""),"CAB")</f>
        <v>CAB</v>
      </c>
      <c r="D547" s="1" t="str">
        <f>IFERROR(__xludf.DUMMYFUNCTION("""COMPUTED_VALUE"""),"ANTONIO JORGE SLUSSAREK")</f>
        <v>ANTONIO JORGE SLUSSAREK</v>
      </c>
      <c r="E547" s="119" t="str">
        <f>IFERROR(__xludf.DUMMYFUNCTION("""COMPUTED_VALUE"""),"")</f>
        <v/>
      </c>
      <c r="F547" s="1" t="str">
        <f>IFERROR(__xludf.DUMMYFUNCTION("""COMPUTED_VALUE"""),"750.534.970-87")</f>
        <v>750.534.970-87</v>
      </c>
      <c r="G547" s="1">
        <f>IFERROR(__xludf.DUMMYFUNCTION("""COMPUTED_VALUE"""),7046068248)</f>
        <v>7046068248</v>
      </c>
      <c r="H547" s="1" t="str">
        <f>IFERROR(__xludf.DUMMYFUNCTION("""COMPUTED_VALUE"""),"voluntário")</f>
        <v>voluntário</v>
      </c>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row>
    <row r="548" customHeight="1" spans="1:40">
      <c r="A548" s="1" t="str">
        <f>IFERROR(__xludf.DUMMYFUNCTION("""COMPUTED_VALUE"""),"07° BBM")</f>
        <v>07° BBM</v>
      </c>
      <c r="B548" s="1" t="str">
        <f>IFERROR(__xludf.DUMMYFUNCTION("""COMPUTED_VALUE"""),"SOLEDADE")</f>
        <v>SOLEDADE</v>
      </c>
      <c r="C548" s="119" t="str">
        <f>IFERROR(__xludf.DUMMYFUNCTION("""COMPUTED_VALUE"""),"Comunitário")</f>
        <v>Comunitário</v>
      </c>
      <c r="D548" s="1" t="str">
        <f>IFERROR(__xludf.DUMMYFUNCTION("""COMPUTED_VALUE"""),"ANTÔNIO MARCOS MORAES BATISTA")</f>
        <v>ANTÔNIO MARCOS MORAES BATISTA</v>
      </c>
      <c r="E548" s="119" t="str">
        <f>IFERROR(__xludf.DUMMYFUNCTION("""COMPUTED_VALUE"""),"Curso CAB operador concluído")</f>
        <v>Curso CAB operador concluído</v>
      </c>
      <c r="F548" s="1" t="str">
        <f>IFERROR(__xludf.DUMMYFUNCTION("""COMPUTED_VALUE"""),"001.221.870-75")</f>
        <v>001.221.870-75</v>
      </c>
      <c r="G548" s="1">
        <f>IFERROR(__xludf.DUMMYFUNCTION("""COMPUTED_VALUE"""),6085545462)</f>
        <v>6085545462</v>
      </c>
      <c r="H548" s="1" t="str">
        <f>IFERROR(__xludf.DUMMYFUNCTION("""COMPUTED_VALUE"""),"OP")</f>
        <v>OP</v>
      </c>
      <c r="I548" s="1"/>
      <c r="J548" s="1"/>
      <c r="K548" s="1"/>
      <c r="L548" s="1"/>
      <c r="M548" s="1"/>
      <c r="N548" s="121">
        <f>IFERROR(__xludf.DUMMYFUNCTION("""COMPUTED_VALUE"""),30753)</f>
        <v>30753</v>
      </c>
      <c r="O548" s="1" t="str">
        <f>IFERROR(__xludf.DUMMYFUNCTION("""COMPUTED_VALUE"""),"Masculino")</f>
        <v>Masculino</v>
      </c>
      <c r="P548" s="1"/>
      <c r="Q548" s="1"/>
      <c r="R548" s="1"/>
      <c r="S548" s="1"/>
      <c r="T548" s="1"/>
      <c r="U548" s="1"/>
      <c r="V548" s="1"/>
      <c r="W548" s="1"/>
      <c r="X548" s="1"/>
      <c r="Y548" s="1" t="str">
        <f>IFERROR(__xludf.DUMMYFUNCTION("""COMPUTED_VALUE"""),"Soledade")</f>
        <v>Soledade</v>
      </c>
      <c r="Z548" s="119"/>
      <c r="AA548" s="1"/>
      <c r="AB548" s="1"/>
      <c r="AC548" s="1"/>
      <c r="AD548" s="1"/>
      <c r="AE548" s="1"/>
      <c r="AF548" s="1"/>
      <c r="AG548" s="1" t="str">
        <f>IFERROR(__xludf.DUMMYFUNCTION("""COMPUTED_VALUE"""),"G")</f>
        <v>G</v>
      </c>
      <c r="AH548" s="1">
        <f>IFERROR(__xludf.DUMMYFUNCTION("""COMPUTED_VALUE"""),39)</f>
        <v>39</v>
      </c>
      <c r="AI548" s="1"/>
      <c r="AJ548" s="1"/>
      <c r="AK548" s="1"/>
      <c r="AL548" s="1" t="str">
        <f>IFERROR(__xludf.DUMMYFUNCTION("""COMPUTED_VALUE"""),"M")</f>
        <v>M</v>
      </c>
      <c r="AM548" s="1" t="str">
        <f>IFERROR(__xludf.DUMMYFUNCTION("""COMPUTED_VALUE"""),"M")</f>
        <v>M</v>
      </c>
      <c r="AN548" s="1" t="str">
        <f>IFERROR(__xludf.DUMMYFUNCTION("""COMPUTED_VALUE"""),"M")</f>
        <v>M</v>
      </c>
    </row>
    <row r="549" customHeight="1" spans="1:40">
      <c r="A549" s="1" t="str">
        <f>IFERROR(__xludf.DUMMYFUNCTION("""COMPUTED_VALUE"""),"07° BBM")</f>
        <v>07° BBM</v>
      </c>
      <c r="B549" s="1" t="str">
        <f>IFERROR(__xludf.DUMMYFUNCTION("""COMPUTED_VALUE"""),"Gaurama")</f>
        <v>Gaurama</v>
      </c>
      <c r="C549" s="119" t="str">
        <f>IFERROR(__xludf.DUMMYFUNCTION("""COMPUTED_VALUE"""),"CAB")</f>
        <v>CAB</v>
      </c>
      <c r="D549" s="1" t="str">
        <f>IFERROR(__xludf.DUMMYFUNCTION("""COMPUTED_VALUE"""),"ARIEL ESCHER")</f>
        <v>ARIEL ESCHER</v>
      </c>
      <c r="E549" s="119" t="str">
        <f>IFERROR(__xludf.DUMMYFUNCTION("""COMPUTED_VALUE"""),"")</f>
        <v/>
      </c>
      <c r="F549" s="1" t="str">
        <f>IFERROR(__xludf.DUMMYFUNCTION("""COMPUTED_VALUE"""),"000.000.00-00")</f>
        <v>000.000.00-00</v>
      </c>
      <c r="G549" s="1">
        <f>IFERROR(__xludf.DUMMYFUNCTION("""COMPUTED_VALUE"""),7100628044)</f>
        <v>7100628044</v>
      </c>
      <c r="H549" s="1" t="str">
        <f>IFERROR(__xludf.DUMMYFUNCTION("""COMPUTED_VALUE"""),"Combatente")</f>
        <v>Combatente</v>
      </c>
      <c r="I549" s="1" t="str">
        <f>IFERROR(__xludf.DUMMYFUNCTION("""COMPUTED_VALUE"""),"Atendimento Suporte Básico de Vida")</f>
        <v>Atendimento Suporte Básico de Vida</v>
      </c>
      <c r="J549" s="1" t="str">
        <f>IFERROR(__xludf.DUMMYFUNCTION("""COMPUTED_VALUE"""),"Não")</f>
        <v>Não</v>
      </c>
      <c r="K549" s="1" t="str">
        <f>IFERROR(__xludf.DUMMYFUNCTION("""COMPUTED_VALUE"""),"Não")</f>
        <v>Não</v>
      </c>
      <c r="L549" s="1" t="str">
        <f>IFERROR(__xludf.DUMMYFUNCTION("""COMPUTED_VALUE"""),"O+")</f>
        <v>O+</v>
      </c>
      <c r="M549" s="1" t="str">
        <f>IFERROR(__xludf.DUMMYFUNCTION("""COMPUTED_VALUE"""),"ARIEL")</f>
        <v>ARIEL</v>
      </c>
      <c r="N549" s="121">
        <f>IFERROR(__xludf.DUMMYFUNCTION("""COMPUTED_VALUE"""),33203)</f>
        <v>33203</v>
      </c>
      <c r="O549" s="1" t="str">
        <f>IFERROR(__xludf.DUMMYFUNCTION("""COMPUTED_VALUE"""),"Masculino")</f>
        <v>Masculino</v>
      </c>
      <c r="P549" s="1" t="str">
        <f>IFERROR(__xludf.DUMMYFUNCTION("""COMPUTED_VALUE"""),"Branca")</f>
        <v>Branca</v>
      </c>
      <c r="Q549" s="1" t="str">
        <f>IFERROR(__xludf.DUMMYFUNCTION("""COMPUTED_VALUE"""),"Ensino Médio")</f>
        <v>Ensino Médio</v>
      </c>
      <c r="R549" s="1" t="str">
        <f>IFERROR(__xludf.DUMMYFUNCTION("""COMPUTED_VALUE"""),"goronsielisa@gmail.com")</f>
        <v>goronsielisa@gmail.com</v>
      </c>
      <c r="S549" s="1">
        <f>IFERROR(__xludf.DUMMYFUNCTION("""COMPUTED_VALUE"""),116)</f>
        <v>116</v>
      </c>
      <c r="T549" s="1" t="str">
        <f>IFERROR(__xludf.DUMMYFUNCTION("""COMPUTED_VALUE"""),"Entre 1,81m e 1,85m")</f>
        <v>Entre 1,81m e 1,85m</v>
      </c>
      <c r="U549" s="1"/>
      <c r="V549" s="1" t="str">
        <f>IFERROR(__xludf.DUMMYFUNCTION("""COMPUTED_VALUE"""),"(54)996187326")</f>
        <v>(54)996187326</v>
      </c>
      <c r="W549" s="1"/>
      <c r="X549" s="1" t="str">
        <f>IFERROR(__xludf.DUMMYFUNCTION("""COMPUTED_VALUE"""),"RS")</f>
        <v>RS</v>
      </c>
      <c r="Y549" s="1" t="str">
        <f>IFERROR(__xludf.DUMMYFUNCTION("""COMPUTED_VALUE"""),"Gaurama")</f>
        <v>Gaurama</v>
      </c>
      <c r="Z549" s="1">
        <f>IFERROR(__xludf.DUMMYFUNCTION("""COMPUTED_VALUE"""),99830000)</f>
        <v>99830000</v>
      </c>
      <c r="AA549" s="1" t="str">
        <f>IFERROR(__xludf.DUMMYFUNCTION("""COMPUTED_VALUE"""),"vila jardim")</f>
        <v>vila jardim</v>
      </c>
      <c r="AB549" s="1" t="str">
        <f>IFERROR(__xludf.DUMMYFUNCTION("""COMPUTED_VALUE"""),"interior")</f>
        <v>interior</v>
      </c>
      <c r="AC549" s="1" t="str">
        <f>IFERROR(__xludf.DUMMYFUNCTION("""COMPUTED_VALUE"""),"GG")</f>
        <v>GG</v>
      </c>
      <c r="AD549" s="1" t="str">
        <f>IFERROR(__xludf.DUMMYFUNCTION("""COMPUTED_VALUE"""),"GG")</f>
        <v>GG</v>
      </c>
      <c r="AE549" s="1" t="str">
        <f>IFERROR(__xludf.DUMMYFUNCTION("""COMPUTED_VALUE"""),"GG")</f>
        <v>GG</v>
      </c>
      <c r="AF549" s="1" t="str">
        <f>IFERROR(__xludf.DUMMYFUNCTION("""COMPUTED_VALUE"""),"GG")</f>
        <v>GG</v>
      </c>
      <c r="AG549" s="1" t="str">
        <f>IFERROR(__xludf.DUMMYFUNCTION("""COMPUTED_VALUE"""),"GG")</f>
        <v>GG</v>
      </c>
      <c r="AH549" s="1">
        <f>IFERROR(__xludf.DUMMYFUNCTION("""COMPUTED_VALUE"""),46)</f>
        <v>46</v>
      </c>
      <c r="AI549" s="1">
        <f>IFERROR(__xludf.DUMMYFUNCTION("""COMPUTED_VALUE"""),42)</f>
        <v>42</v>
      </c>
      <c r="AJ549" s="1">
        <f>IFERROR(__xludf.DUMMYFUNCTION("""COMPUTED_VALUE"""),42)</f>
        <v>42</v>
      </c>
      <c r="AK549" s="1">
        <f>IFERROR(__xludf.DUMMYFUNCTION("""COMPUTED_VALUE"""),42)</f>
        <v>42</v>
      </c>
      <c r="AL549" s="1" t="str">
        <f>IFERROR(__xludf.DUMMYFUNCTION("""COMPUTED_VALUE"""),"GG")</f>
        <v>GG</v>
      </c>
      <c r="AM549" s="1" t="str">
        <f>IFERROR(__xludf.DUMMYFUNCTION("""COMPUTED_VALUE"""),"GG")</f>
        <v>GG</v>
      </c>
      <c r="AN549" s="1" t="str">
        <f>IFERROR(__xludf.DUMMYFUNCTION("""COMPUTED_VALUE"""),"M")</f>
        <v>M</v>
      </c>
    </row>
    <row r="550" customHeight="1" spans="1:40">
      <c r="A550" s="1" t="str">
        <f>IFERROR(__xludf.DUMMYFUNCTION("""COMPUTED_VALUE"""),"07° BBM")</f>
        <v>07° BBM</v>
      </c>
      <c r="B550" s="1" t="str">
        <f>IFERROR(__xludf.DUMMYFUNCTION("""COMPUTED_VALUE"""),"GETULIO VARGAS")</f>
        <v>GETULIO VARGAS</v>
      </c>
      <c r="C550" s="119" t="str">
        <f>IFERROR(__xludf.DUMMYFUNCTION("""COMPUTED_VALUE"""),"Comunitário")</f>
        <v>Comunitário</v>
      </c>
      <c r="D550" s="1" t="str">
        <f>IFERROR(__xludf.DUMMYFUNCTION("""COMPUTED_VALUE"""),"ARNALDO RAASCH")</f>
        <v>ARNALDO RAASCH</v>
      </c>
      <c r="E550" s="119" t="str">
        <f>IFERROR(__xludf.DUMMYFUNCTION("""COMPUTED_VALUE"""),"")</f>
        <v/>
      </c>
      <c r="F550" s="1" t="str">
        <f>IFERROR(__xludf.DUMMYFUNCTION("""COMPUTED_VALUE"""),"478.662.760-72")</f>
        <v>478.662.760-72</v>
      </c>
      <c r="G550" s="1">
        <f>IFERROR(__xludf.DUMMYFUNCTION("""COMPUTED_VALUE"""),8038449776)</f>
        <v>8038449776</v>
      </c>
      <c r="H550" s="1" t="str">
        <f>IFERROR(__xludf.DUMMYFUNCTION("""COMPUTED_VALUE"""),"OP")</f>
        <v>OP</v>
      </c>
      <c r="I550" s="1"/>
      <c r="J550" s="1"/>
      <c r="K550" s="1"/>
      <c r="L550" s="1"/>
      <c r="M550" s="1"/>
      <c r="N550" s="125">
        <f>IFERROR(__xludf.DUMMYFUNCTION("""COMPUTED_VALUE"""),25407)</f>
        <v>25407</v>
      </c>
      <c r="O550" s="1" t="str">
        <f>IFERROR(__xludf.DUMMYFUNCTION("""COMPUTED_VALUE"""),"Masculino")</f>
        <v>Masculino</v>
      </c>
      <c r="P550" s="1"/>
      <c r="Q550" s="1"/>
      <c r="R550" s="1"/>
      <c r="S550" s="1"/>
      <c r="T550" s="1"/>
      <c r="U550" s="1"/>
      <c r="V550" s="1"/>
      <c r="W550" s="1"/>
      <c r="X550" s="1"/>
      <c r="Y550" s="1" t="str">
        <f>IFERROR(__xludf.DUMMYFUNCTION("""COMPUTED_VALUE"""),"Getúlio Vargas")</f>
        <v>Getúlio Vargas</v>
      </c>
      <c r="Z550" s="1"/>
      <c r="AA550" s="1"/>
      <c r="AB550" s="1"/>
      <c r="AC550" s="1"/>
      <c r="AD550" s="1"/>
      <c r="AE550" s="1"/>
      <c r="AF550" s="1"/>
      <c r="AG550" s="1" t="str">
        <f>IFERROR(__xludf.DUMMYFUNCTION("""COMPUTED_VALUE"""),"M")</f>
        <v>M</v>
      </c>
      <c r="AH550" s="1">
        <f>IFERROR(__xludf.DUMMYFUNCTION("""COMPUTED_VALUE"""),40)</f>
        <v>40</v>
      </c>
      <c r="AI550" s="1"/>
      <c r="AJ550" s="1"/>
      <c r="AK550" s="1"/>
      <c r="AL550" s="1" t="str">
        <f>IFERROR(__xludf.DUMMYFUNCTION("""COMPUTED_VALUE"""),"M")</f>
        <v>M</v>
      </c>
      <c r="AM550" s="1" t="str">
        <f>IFERROR(__xludf.DUMMYFUNCTION("""COMPUTED_VALUE"""),"M")</f>
        <v>M</v>
      </c>
      <c r="AN550" s="1" t="str">
        <f>IFERROR(__xludf.DUMMYFUNCTION("""COMPUTED_VALUE"""),"M")</f>
        <v>M</v>
      </c>
    </row>
    <row r="551" customHeight="1" spans="1:40">
      <c r="A551" s="1" t="str">
        <f>IFERROR(__xludf.DUMMYFUNCTION("""COMPUTED_VALUE"""),"07° BBM")</f>
        <v>07° BBM</v>
      </c>
      <c r="B551" s="1" t="str">
        <f>IFERROR(__xludf.DUMMYFUNCTION("""COMPUTED_VALUE"""),"Serafina Corrêa")</f>
        <v>Serafina Corrêa</v>
      </c>
      <c r="C551" s="119" t="str">
        <f>IFERROR(__xludf.DUMMYFUNCTION("""COMPUTED_VALUE"""),"CAB")</f>
        <v>CAB</v>
      </c>
      <c r="D551" s="1" t="str">
        <f>IFERROR(__xludf.DUMMYFUNCTION("""COMPUTED_VALUE"""),"ARTUR MERCALI")</f>
        <v>ARTUR MERCALI</v>
      </c>
      <c r="E551" s="119" t="str">
        <f>IFERROR(__xludf.DUMMYFUNCTION("""COMPUTED_VALUE"""),"Módulo 1 concluído")</f>
        <v>Módulo 1 concluído</v>
      </c>
      <c r="F551" s="1" t="str">
        <f>IFERROR(__xludf.DUMMYFUNCTION("""COMPUTED_VALUE"""),"043.434.600-45")</f>
        <v>043.434.600-45</v>
      </c>
      <c r="G551" s="1">
        <f>IFERROR(__xludf.DUMMYFUNCTION("""COMPUTED_VALUE"""),3126135429)</f>
        <v>3126135429</v>
      </c>
      <c r="H551" s="1" t="str">
        <f>IFERROR(__xludf.DUMMYFUNCTION("""COMPUTED_VALUE"""),"CAB")</f>
        <v>CAB</v>
      </c>
      <c r="I551" s="1" t="str">
        <f>IFERROR(__xludf.DUMMYFUNCTION("""COMPUTED_VALUE"""),"Bombeiro Civil Classe I - 306 HORAS CEVTE - Condutor de veiculo de emergencia - SEST/SENAT APH / BLS Primeira resposta em produtos perigosos - HAZMAT NR 10 NR 33 NR 35 Resgate de Passageiros Em Elevadores - Tyssen Kroup R.I.T - Rapid Intervencion Team")</f>
        <v>Bombeiro Civil Classe I - 306 HORAS CEVTE - Condutor de veiculo de emergencia - SEST/SENAT APH / BLS Primeira resposta em produtos perigosos - HAZMAT NR 10 NR 33 NR 35 Resgate de Passageiros Em Elevadores - Tyssen Kroup R.I.T - Rapid Intervencion Team</v>
      </c>
      <c r="J551" s="1" t="str">
        <f>IFERROR(__xludf.DUMMYFUNCTION("""COMPUTED_VALUE"""),"Não")</f>
        <v>Não</v>
      </c>
      <c r="K551" s="1" t="str">
        <f>IFERROR(__xludf.DUMMYFUNCTION("""COMPUTED_VALUE"""),"Não")</f>
        <v>Não</v>
      </c>
      <c r="L551" s="1" t="str">
        <f>IFERROR(__xludf.DUMMYFUNCTION("""COMPUTED_VALUE"""),"A+")</f>
        <v>A+</v>
      </c>
      <c r="M551" s="1" t="str">
        <f>IFERROR(__xludf.DUMMYFUNCTION("""COMPUTED_VALUE"""),"Mercali")</f>
        <v>Mercali</v>
      </c>
      <c r="N551" s="120">
        <f>IFERROR(__xludf.DUMMYFUNCTION("""COMPUTED_VALUE"""),36646)</f>
        <v>36646</v>
      </c>
      <c r="O551" s="1" t="str">
        <f>IFERROR(__xludf.DUMMYFUNCTION("""COMPUTED_VALUE"""),"Masculino")</f>
        <v>Masculino</v>
      </c>
      <c r="P551" s="1" t="str">
        <f>IFERROR(__xludf.DUMMYFUNCTION("""COMPUTED_VALUE"""),"Branca")</f>
        <v>Branca</v>
      </c>
      <c r="Q551" s="1" t="str">
        <f>IFERROR(__xludf.DUMMYFUNCTION("""COMPUTED_VALUE"""),"Ensino Superior Incompleto")</f>
        <v>Ensino Superior Incompleto</v>
      </c>
      <c r="R551" s="1" t="str">
        <f>IFERROR(__xludf.DUMMYFUNCTION("""COMPUTED_VALUE"""),"arturmercali@gmail.com")</f>
        <v>arturmercali@gmail.com</v>
      </c>
      <c r="S551" s="1">
        <f>IFERROR(__xludf.DUMMYFUNCTION("""COMPUTED_VALUE"""),90)</f>
        <v>90</v>
      </c>
      <c r="T551" s="1" t="str">
        <f>IFERROR(__xludf.DUMMYFUNCTION("""COMPUTED_VALUE"""),"Entre 1,86m e 1,90m")</f>
        <v>Entre 1,86m e 1,90m</v>
      </c>
      <c r="U551" s="1"/>
      <c r="V551" s="1" t="str">
        <f>IFERROR(__xludf.DUMMYFUNCTION("""COMPUTED_VALUE"""),"(54)98131 - 8067")</f>
        <v>(54)98131 - 8067</v>
      </c>
      <c r="W551" s="1" t="str">
        <f>IFERROR(__xludf.DUMMYFUNCTION("""COMPUTED_VALUE"""),"(54)99655 - 3199")</f>
        <v>(54)99655 - 3199</v>
      </c>
      <c r="X551" s="1" t="str">
        <f>IFERROR(__xludf.DUMMYFUNCTION("""COMPUTED_VALUE"""),"RS")</f>
        <v>RS</v>
      </c>
      <c r="Y551" s="1" t="str">
        <f>IFERROR(__xludf.DUMMYFUNCTION("""COMPUTED_VALUE"""),"Nova Prata")</f>
        <v>Nova Prata</v>
      </c>
      <c r="Z551" s="1" t="str">
        <f>IFERROR(__xludf.DUMMYFUNCTION("""COMPUTED_VALUE"""),"99250-000")</f>
        <v>99250-000</v>
      </c>
      <c r="AA551" s="1" t="str">
        <f>IFERROR(__xludf.DUMMYFUNCTION("""COMPUTED_VALUE"""),"Rua Eutichiano davi, 200")</f>
        <v>Rua Eutichiano davi, 200</v>
      </c>
      <c r="AB551" s="1" t="str">
        <f>IFERROR(__xludf.DUMMYFUNCTION("""COMPUTED_VALUE"""),"Sagrada Familia")</f>
        <v>Sagrada Familia</v>
      </c>
      <c r="AC551" s="1" t="str">
        <f>IFERROR(__xludf.DUMMYFUNCTION("""COMPUTED_VALUE"""),"G")</f>
        <v>G</v>
      </c>
      <c r="AD551" s="1" t="str">
        <f>IFERROR(__xludf.DUMMYFUNCTION("""COMPUTED_VALUE"""),"G")</f>
        <v>G</v>
      </c>
      <c r="AE551" s="1" t="str">
        <f>IFERROR(__xludf.DUMMYFUNCTION("""COMPUTED_VALUE"""),"G")</f>
        <v>G</v>
      </c>
      <c r="AF551" s="1" t="str">
        <f>IFERROR(__xludf.DUMMYFUNCTION("""COMPUTED_VALUE"""),"G")</f>
        <v>G</v>
      </c>
      <c r="AG551" s="1" t="str">
        <f>IFERROR(__xludf.DUMMYFUNCTION("""COMPUTED_VALUE"""),"G")</f>
        <v>G</v>
      </c>
      <c r="AH551" s="1">
        <f>IFERROR(__xludf.DUMMYFUNCTION("""COMPUTED_VALUE"""),41)</f>
        <v>41</v>
      </c>
      <c r="AI551" s="1">
        <f>IFERROR(__xludf.DUMMYFUNCTION("""COMPUTED_VALUE"""),41)</f>
        <v>41</v>
      </c>
      <c r="AJ551" s="1">
        <f>IFERROR(__xludf.DUMMYFUNCTION("""COMPUTED_VALUE"""),41)</f>
        <v>41</v>
      </c>
      <c r="AK551" s="1">
        <f>IFERROR(__xludf.DUMMYFUNCTION("""COMPUTED_VALUE"""),41)</f>
        <v>41</v>
      </c>
      <c r="AL551" s="1" t="str">
        <f>IFERROR(__xludf.DUMMYFUNCTION("""COMPUTED_VALUE"""),"G")</f>
        <v>G</v>
      </c>
      <c r="AM551" s="1" t="str">
        <f>IFERROR(__xludf.DUMMYFUNCTION("""COMPUTED_VALUE"""),"G")</f>
        <v>G</v>
      </c>
      <c r="AN551" s="1" t="str">
        <f>IFERROR(__xludf.DUMMYFUNCTION("""COMPUTED_VALUE"""),"G")</f>
        <v>G</v>
      </c>
    </row>
    <row r="552" customHeight="1" spans="1:40">
      <c r="A552" s="1" t="str">
        <f>IFERROR(__xludf.DUMMYFUNCTION("""COMPUTED_VALUE"""),"07° BBM")</f>
        <v>07° BBM</v>
      </c>
      <c r="B552" s="1" t="str">
        <f>IFERROR(__xludf.DUMMYFUNCTION("""COMPUTED_VALUE"""),"Áurea")</f>
        <v>Áurea</v>
      </c>
      <c r="C552" s="119" t="str">
        <f>IFERROR(__xludf.DUMMYFUNCTION("""COMPUTED_VALUE"""),"CAB")</f>
        <v>CAB</v>
      </c>
      <c r="D552" s="1" t="str">
        <f>IFERROR(__xludf.DUMMYFUNCTION("""COMPUTED_VALUE"""),"BRUNA CAROLINE DE SOUZA")</f>
        <v>BRUNA CAROLINE DE SOUZA</v>
      </c>
      <c r="E552" s="119" t="str">
        <f>IFERROR(__xludf.DUMMYFUNCTION("""COMPUTED_VALUE"""),"")</f>
        <v/>
      </c>
      <c r="F552" s="1" t="str">
        <f>IFERROR(__xludf.DUMMYFUNCTION("""COMPUTED_VALUE"""),"022.079.830-30")</f>
        <v>022.079.830-30</v>
      </c>
      <c r="G552" s="1">
        <f>IFERROR(__xludf.DUMMYFUNCTION("""COMPUTED_VALUE"""),9105431846)</f>
        <v>9105431846</v>
      </c>
      <c r="H552" s="1" t="str">
        <f>IFERROR(__xludf.DUMMYFUNCTION("""COMPUTED_VALUE"""),"voluntário")</f>
        <v>voluntário</v>
      </c>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row>
    <row r="553" customHeight="1" spans="1:40">
      <c r="A553" s="1" t="str">
        <f>IFERROR(__xludf.DUMMYFUNCTION("""COMPUTED_VALUE"""),"07° BBM")</f>
        <v>07° BBM</v>
      </c>
      <c r="B553" s="1" t="str">
        <f>IFERROR(__xludf.DUMMYFUNCTION("""COMPUTED_VALUE"""),"Viadutos")</f>
        <v>Viadutos</v>
      </c>
      <c r="C553" s="119" t="str">
        <f>IFERROR(__xludf.DUMMYFUNCTION("""COMPUTED_VALUE"""),"CAB")</f>
        <v>CAB</v>
      </c>
      <c r="D553" s="1" t="str">
        <f>IFERROR(__xludf.DUMMYFUNCTION("""COMPUTED_VALUE"""),"BRUNO FAVERO")</f>
        <v>BRUNO FAVERO</v>
      </c>
      <c r="E553" s="119" t="str">
        <f>IFERROR(__xludf.DUMMYFUNCTION("""COMPUTED_VALUE"""),"")</f>
        <v/>
      </c>
      <c r="F553" s="1" t="str">
        <f>IFERROR(__xludf.DUMMYFUNCTION("""COMPUTED_VALUE"""),"007.110.899-81")</f>
        <v>007.110.899-81</v>
      </c>
      <c r="G553" s="1" t="str">
        <f>IFERROR(__xludf.DUMMYFUNCTION("""COMPUTED_VALUE"""),"80274289 SSP/PR")</f>
        <v>80274289 SSP/PR</v>
      </c>
      <c r="H553" s="1" t="str">
        <f>IFERROR(__xludf.DUMMYFUNCTION("""COMPUTED_VALUE"""),"COMBATENTE")</f>
        <v>COMBATENTE</v>
      </c>
      <c r="I553" s="1" t="str">
        <f>IFERROR(__xludf.DUMMYFUNCTION("""COMPUTED_VALUE"""),"Atendiimento Suporte Básico de Vida")</f>
        <v>Atendiimento Suporte Básico de Vida</v>
      </c>
      <c r="J553" s="1" t="str">
        <f>IFERROR(__xludf.DUMMYFUNCTION("""COMPUTED_VALUE"""),"Não")</f>
        <v>Não</v>
      </c>
      <c r="K553" s="1" t="str">
        <f>IFERROR(__xludf.DUMMYFUNCTION("""COMPUTED_VALUE"""),"Não")</f>
        <v>Não</v>
      </c>
      <c r="L553" s="1" t="str">
        <f>IFERROR(__xludf.DUMMYFUNCTION("""COMPUTED_VALUE"""),"A-")</f>
        <v>A-</v>
      </c>
      <c r="M553" s="1" t="str">
        <f>IFERROR(__xludf.DUMMYFUNCTION("""COMPUTED_VALUE"""),"BRUNO")</f>
        <v>BRUNO</v>
      </c>
      <c r="N553" s="121">
        <f>IFERROR(__xludf.DUMMYFUNCTION("""COMPUTED_VALUE"""),30301)</f>
        <v>30301</v>
      </c>
      <c r="O553" s="1" t="str">
        <f>IFERROR(__xludf.DUMMYFUNCTION("""COMPUTED_VALUE"""),"Masculino")</f>
        <v>Masculino</v>
      </c>
      <c r="P553" s="1" t="str">
        <f>IFERROR(__xludf.DUMMYFUNCTION("""COMPUTED_VALUE"""),"Branca")</f>
        <v>Branca</v>
      </c>
      <c r="Q553" s="1" t="str">
        <f>IFERROR(__xludf.DUMMYFUNCTION("""COMPUTED_VALUE"""),"Ensino Médio")</f>
        <v>Ensino Médio</v>
      </c>
      <c r="R553" s="1" t="str">
        <f>IFERROR(__xludf.DUMMYFUNCTION("""COMPUTED_VALUE"""),"brunoflem@hotmail.com")</f>
        <v>brunoflem@hotmail.com</v>
      </c>
      <c r="S553" s="1">
        <f>IFERROR(__xludf.DUMMYFUNCTION("""COMPUTED_VALUE"""),92)</f>
        <v>92</v>
      </c>
      <c r="T553" s="1" t="str">
        <f>IFERROR(__xludf.DUMMYFUNCTION("""COMPUTED_VALUE"""),"Entre 1,71m e 1,75m")</f>
        <v>Entre 1,71m e 1,75m</v>
      </c>
      <c r="U553" s="1"/>
      <c r="V553" s="1" t="str">
        <f>IFERROR(__xludf.DUMMYFUNCTION("""COMPUTED_VALUE"""),"(54) 999016089")</f>
        <v>(54) 999016089</v>
      </c>
      <c r="W553" s="1" t="str">
        <f>IFERROR(__xludf.DUMMYFUNCTION("""COMPUTED_VALUE"""),"(54) 999249531")</f>
        <v>(54) 999249531</v>
      </c>
      <c r="X553" s="1" t="str">
        <f>IFERROR(__xludf.DUMMYFUNCTION("""COMPUTED_VALUE"""),"RS")</f>
        <v>RS</v>
      </c>
      <c r="Y553" s="1" t="str">
        <f>IFERROR(__xludf.DUMMYFUNCTION("""COMPUTED_VALUE"""),"Viadutos")</f>
        <v>Viadutos</v>
      </c>
      <c r="Z553" s="1" t="str">
        <f>IFERROR(__xludf.DUMMYFUNCTION("""COMPUTED_VALUE"""),"99820-000")</f>
        <v>99820-000</v>
      </c>
      <c r="AA553" s="1" t="str">
        <f>IFERROR(__xludf.DUMMYFUNCTION("""COMPUTED_VALUE"""),"Rua Mekitar Asturian 77")</f>
        <v>Rua Mekitar Asturian 77</v>
      </c>
      <c r="AB553" s="1" t="str">
        <f>IFERROR(__xludf.DUMMYFUNCTION("""COMPUTED_VALUE"""),"Centro")</f>
        <v>Centro</v>
      </c>
      <c r="AC553" s="1" t="str">
        <f>IFERROR(__xludf.DUMMYFUNCTION("""COMPUTED_VALUE"""),"GG")</f>
        <v>GG</v>
      </c>
      <c r="AD553" s="1" t="str">
        <f>IFERROR(__xludf.DUMMYFUNCTION("""COMPUTED_VALUE"""),"GG")</f>
        <v>GG</v>
      </c>
      <c r="AE553" s="1" t="str">
        <f>IFERROR(__xludf.DUMMYFUNCTION("""COMPUTED_VALUE"""),"GG")</f>
        <v>GG</v>
      </c>
      <c r="AF553" s="1" t="str">
        <f>IFERROR(__xludf.DUMMYFUNCTION("""COMPUTED_VALUE"""),"GG")</f>
        <v>GG</v>
      </c>
      <c r="AG553" s="1" t="str">
        <f>IFERROR(__xludf.DUMMYFUNCTION("""COMPUTED_VALUE"""),"EXG")</f>
        <v>EXG</v>
      </c>
      <c r="AH553" s="1">
        <f>IFERROR(__xludf.DUMMYFUNCTION("""COMPUTED_VALUE"""),40)</f>
        <v>40</v>
      </c>
      <c r="AI553" s="1">
        <f>IFERROR(__xludf.DUMMYFUNCTION("""COMPUTED_VALUE"""),40)</f>
        <v>40</v>
      </c>
      <c r="AJ553" s="1">
        <f>IFERROR(__xludf.DUMMYFUNCTION("""COMPUTED_VALUE"""),40)</f>
        <v>40</v>
      </c>
      <c r="AK553" s="1">
        <f>IFERROR(__xludf.DUMMYFUNCTION("""COMPUTED_VALUE"""),41)</f>
        <v>41</v>
      </c>
      <c r="AL553" s="1" t="str">
        <f>IFERROR(__xludf.DUMMYFUNCTION("""COMPUTED_VALUE"""),"GG")</f>
        <v>GG</v>
      </c>
      <c r="AM553" s="1" t="str">
        <f>IFERROR(__xludf.DUMMYFUNCTION("""COMPUTED_VALUE"""),"GG")</f>
        <v>GG</v>
      </c>
      <c r="AN553" s="1" t="str">
        <f>IFERROR(__xludf.DUMMYFUNCTION("""COMPUTED_VALUE"""),"G")</f>
        <v>G</v>
      </c>
    </row>
    <row r="554" customHeight="1" spans="1:40">
      <c r="A554" s="1" t="str">
        <f>IFERROR(__xludf.DUMMYFUNCTION("""COMPUTED_VALUE"""),"07° BBM")</f>
        <v>07° BBM</v>
      </c>
      <c r="B554" s="1" t="str">
        <f>IFERROR(__xludf.DUMMYFUNCTION("""COMPUTED_VALUE"""),"Áurea")</f>
        <v>Áurea</v>
      </c>
      <c r="C554" s="119" t="str">
        <f>IFERROR(__xludf.DUMMYFUNCTION("""COMPUTED_VALUE"""),"CAB")</f>
        <v>CAB</v>
      </c>
      <c r="D554" s="1" t="str">
        <f>IFERROR(__xludf.DUMMYFUNCTION("""COMPUTED_VALUE"""),"CARLOS ANTONIO TRZINSKI")</f>
        <v>CARLOS ANTONIO TRZINSKI</v>
      </c>
      <c r="E554" s="119" t="str">
        <f>IFERROR(__xludf.DUMMYFUNCTION("""COMPUTED_VALUE"""),"")</f>
        <v/>
      </c>
      <c r="F554" s="1" t="str">
        <f>IFERROR(__xludf.DUMMYFUNCTION("""COMPUTED_VALUE"""),"997.668.090-20")</f>
        <v>997.668.090-20</v>
      </c>
      <c r="G554" s="1">
        <f>IFERROR(__xludf.DUMMYFUNCTION("""COMPUTED_VALUE"""),5082087321)</f>
        <v>5082087321</v>
      </c>
      <c r="H554" s="1" t="str">
        <f>IFERROR(__xludf.DUMMYFUNCTION("""COMPUTED_VALUE"""),"voluntário")</f>
        <v>voluntário</v>
      </c>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row>
    <row r="555" customHeight="1" spans="1:40">
      <c r="A555" s="1" t="str">
        <f>IFERROR(__xludf.DUMMYFUNCTION("""COMPUTED_VALUE"""),"07° BBM")</f>
        <v>07° BBM</v>
      </c>
      <c r="B555" s="1" t="str">
        <f>IFERROR(__xludf.DUMMYFUNCTION("""COMPUTED_VALUE"""),"Serafina Corrêa")</f>
        <v>Serafina Corrêa</v>
      </c>
      <c r="C555" s="119" t="str">
        <f>IFERROR(__xludf.DUMMYFUNCTION("""COMPUTED_VALUE"""),"CAB")</f>
        <v>CAB</v>
      </c>
      <c r="D555" s="1" t="str">
        <f>IFERROR(__xludf.DUMMYFUNCTION("""COMPUTED_VALUE"""),"CARLOS MIGUEL DOS SANTOS")</f>
        <v>CARLOS MIGUEL DOS SANTOS</v>
      </c>
      <c r="E555" s="119" t="str">
        <f>IFERROR(__xludf.DUMMYFUNCTION("""COMPUTED_VALUE"""),"Módulo 1 concluído")</f>
        <v>Módulo 1 concluído</v>
      </c>
      <c r="F555" s="1" t="str">
        <f>IFERROR(__xludf.DUMMYFUNCTION("""COMPUTED_VALUE"""),"024.697.830-97")</f>
        <v>024.697.830-97</v>
      </c>
      <c r="G555" s="1">
        <f>IFERROR(__xludf.DUMMYFUNCTION("""COMPUTED_VALUE"""),8111530393)</f>
        <v>8111530393</v>
      </c>
      <c r="H555" s="1" t="str">
        <f>IFERROR(__xludf.DUMMYFUNCTION("""COMPUTED_VALUE"""),"CAB")</f>
        <v>CAB</v>
      </c>
      <c r="I555" s="1" t="str">
        <f>IFERROR(__xludf.DUMMYFUNCTION("""COMPUTED_VALUE"""),"Bombeiro Civil Classe I - 306 HORAS CEVTE - Condutor de veiculo de emergencia - SEST/SENAT APH / BLS Primeira resposta em produtos perigosos - HAZMAT NR 10 NR 33 NR 35 Resgate de Passageiros Em Elevadores - Tyssen Kroup")</f>
        <v>Bombeiro Civil Classe I - 306 HORAS CEVTE - Condutor de veiculo de emergencia - SEST/SENAT APH / BLS Primeira resposta em produtos perigosos - HAZMAT NR 10 NR 33 NR 35 Resgate de Passageiros Em Elevadores - Tyssen Kroup</v>
      </c>
      <c r="J555" s="1" t="str">
        <f>IFERROR(__xludf.DUMMYFUNCTION("""COMPUTED_VALUE"""),"Não")</f>
        <v>Não</v>
      </c>
      <c r="K555" s="1" t="str">
        <f>IFERROR(__xludf.DUMMYFUNCTION("""COMPUTED_VALUE"""),"Não")</f>
        <v>Não</v>
      </c>
      <c r="L555" s="1" t="str">
        <f>IFERROR(__xludf.DUMMYFUNCTION("""COMPUTED_VALUE"""),"A+")</f>
        <v>A+</v>
      </c>
      <c r="M555" s="1" t="str">
        <f>IFERROR(__xludf.DUMMYFUNCTION("""COMPUTED_VALUE"""),"Miguel")</f>
        <v>Miguel</v>
      </c>
      <c r="N555" s="121">
        <f>IFERROR(__xludf.DUMMYFUNCTION("""COMPUTED_VALUE"""),35353)</f>
        <v>35353</v>
      </c>
      <c r="O555" s="1" t="str">
        <f>IFERROR(__xludf.DUMMYFUNCTION("""COMPUTED_VALUE"""),"Masculino")</f>
        <v>Masculino</v>
      </c>
      <c r="P555" s="1" t="str">
        <f>IFERROR(__xludf.DUMMYFUNCTION("""COMPUTED_VALUE"""),"Branca")</f>
        <v>Branca</v>
      </c>
      <c r="Q555" s="1" t="str">
        <f>IFERROR(__xludf.DUMMYFUNCTION("""COMPUTED_VALUE"""),"Ensino Médio")</f>
        <v>Ensino Médio</v>
      </c>
      <c r="R555" s="1" t="str">
        <f>IFERROR(__xludf.DUMMYFUNCTION("""COMPUTED_VALUE"""),"manomiguelsantos@gmail.com")</f>
        <v>manomiguelsantos@gmail.com</v>
      </c>
      <c r="S555" s="1">
        <f>IFERROR(__xludf.DUMMYFUNCTION("""COMPUTED_VALUE"""),82)</f>
        <v>82</v>
      </c>
      <c r="T555" s="1" t="str">
        <f>IFERROR(__xludf.DUMMYFUNCTION("""COMPUTED_VALUE"""),"Entre 1,76m e 1,80m")</f>
        <v>Entre 1,76m e 1,80m</v>
      </c>
      <c r="U555" s="1"/>
      <c r="V555" s="1" t="str">
        <f>IFERROR(__xludf.DUMMYFUNCTION("""COMPUTED_VALUE"""),"(54)99257-7809")</f>
        <v>(54)99257-7809</v>
      </c>
      <c r="W555" s="1" t="str">
        <f>IFERROR(__xludf.DUMMYFUNCTION("""COMPUTED_VALUE"""),"(54)99688-5149")</f>
        <v>(54)99688-5149</v>
      </c>
      <c r="X555" s="1" t="str">
        <f>IFERROR(__xludf.DUMMYFUNCTION("""COMPUTED_VALUE"""),"RS")</f>
        <v>RS</v>
      </c>
      <c r="Y555" s="1" t="str">
        <f>IFERROR(__xludf.DUMMYFUNCTION("""COMPUTED_VALUE"""),"Serafina Corrêa")</f>
        <v>Serafina Corrêa</v>
      </c>
      <c r="Z555" s="1" t="str">
        <f>IFERROR(__xludf.DUMMYFUNCTION("""COMPUTED_VALUE"""),"99250-000")</f>
        <v>99250-000</v>
      </c>
      <c r="AA555" s="1" t="str">
        <f>IFERROR(__xludf.DUMMYFUNCTION("""COMPUTED_VALUE"""),"Rua Da Igualdade, 101")</f>
        <v>Rua Da Igualdade, 101</v>
      </c>
      <c r="AB555" s="1" t="str">
        <f>IFERROR(__xludf.DUMMYFUNCTION("""COMPUTED_VALUE"""),"Verdes Vales")</f>
        <v>Verdes Vales</v>
      </c>
      <c r="AC555" s="1" t="str">
        <f>IFERROR(__xludf.DUMMYFUNCTION("""COMPUTED_VALUE"""),"G")</f>
        <v>G</v>
      </c>
      <c r="AD555" s="1" t="str">
        <f>IFERROR(__xludf.DUMMYFUNCTION("""COMPUTED_VALUE"""),"G")</f>
        <v>G</v>
      </c>
      <c r="AE555" s="1" t="str">
        <f>IFERROR(__xludf.DUMMYFUNCTION("""COMPUTED_VALUE"""),"G")</f>
        <v>G</v>
      </c>
      <c r="AF555" s="1" t="str">
        <f>IFERROR(__xludf.DUMMYFUNCTION("""COMPUTED_VALUE"""),"G")</f>
        <v>G</v>
      </c>
      <c r="AG555" s="1" t="str">
        <f>IFERROR(__xludf.DUMMYFUNCTION("""COMPUTED_VALUE"""),"M")</f>
        <v>M</v>
      </c>
      <c r="AH555" s="1">
        <f>IFERROR(__xludf.DUMMYFUNCTION("""COMPUTED_VALUE"""),42)</f>
        <v>42</v>
      </c>
      <c r="AI555" s="1">
        <f>IFERROR(__xludf.DUMMYFUNCTION("""COMPUTED_VALUE"""),42)</f>
        <v>42</v>
      </c>
      <c r="AJ555" s="1">
        <f>IFERROR(__xludf.DUMMYFUNCTION("""COMPUTED_VALUE"""),42)</f>
        <v>42</v>
      </c>
      <c r="AK555" s="1">
        <f>IFERROR(__xludf.DUMMYFUNCTION("""COMPUTED_VALUE"""),42)</f>
        <v>42</v>
      </c>
      <c r="AL555" s="1" t="str">
        <f>IFERROR(__xludf.DUMMYFUNCTION("""COMPUTED_VALUE"""),"M")</f>
        <v>M</v>
      </c>
      <c r="AM555" s="1" t="str">
        <f>IFERROR(__xludf.DUMMYFUNCTION("""COMPUTED_VALUE"""),"M")</f>
        <v>M</v>
      </c>
      <c r="AN555" s="1" t="str">
        <f>IFERROR(__xludf.DUMMYFUNCTION("""COMPUTED_VALUE"""),"M")</f>
        <v>M</v>
      </c>
    </row>
    <row r="556" customHeight="1" spans="1:40">
      <c r="A556" s="1" t="str">
        <f>IFERROR(__xludf.DUMMYFUNCTION("""COMPUTED_VALUE"""),"07° BBM")</f>
        <v>07° BBM</v>
      </c>
      <c r="B556" s="1" t="str">
        <f>IFERROR(__xludf.DUMMYFUNCTION("""COMPUTED_VALUE"""),"Faxinalzinho")</f>
        <v>Faxinalzinho</v>
      </c>
      <c r="C556" s="119" t="str">
        <f>IFERROR(__xludf.DUMMYFUNCTION("""COMPUTED_VALUE"""),"CAB")</f>
        <v>CAB</v>
      </c>
      <c r="D556" s="1" t="str">
        <f>IFERROR(__xludf.DUMMYFUNCTION("""COMPUTED_VALUE"""),"CAROLINA MARIA CEZAR VALIM")</f>
        <v>CAROLINA MARIA CEZAR VALIM</v>
      </c>
      <c r="E556" s="119" t="str">
        <f>IFERROR(__xludf.DUMMYFUNCTION("""COMPUTED_VALUE"""),"")</f>
        <v/>
      </c>
      <c r="F556" s="1" t="str">
        <f>IFERROR(__xludf.DUMMYFUNCTION("""COMPUTED_VALUE"""),"415.475.758-08")</f>
        <v>415.475.758-08</v>
      </c>
      <c r="G556" s="1">
        <f>IFERROR(__xludf.DUMMYFUNCTION("""COMPUTED_VALUE"""),41547575808)</f>
        <v>41547575808</v>
      </c>
      <c r="H556" s="1" t="str">
        <f>IFERROR(__xludf.DUMMYFUNCTION("""COMPUTED_VALUE"""),"Combatente")</f>
        <v>Combatente</v>
      </c>
      <c r="I556" s="1" t="str">
        <f>IFERROR(__xludf.DUMMYFUNCTION("""COMPUTED_VALUE"""),"Farmácia")</f>
        <v>Farmácia</v>
      </c>
      <c r="J556" s="1" t="str">
        <f>IFERROR(__xludf.DUMMYFUNCTION("""COMPUTED_VALUE"""),"Não")</f>
        <v>Não</v>
      </c>
      <c r="K556" s="1" t="str">
        <f>IFERROR(__xludf.DUMMYFUNCTION("""COMPUTED_VALUE"""),"Não")</f>
        <v>Não</v>
      </c>
      <c r="L556" s="1" t="str">
        <f>IFERROR(__xludf.DUMMYFUNCTION("""COMPUTED_VALUE"""),"O+")</f>
        <v>O+</v>
      </c>
      <c r="M556" s="120" t="str">
        <f>IFERROR(__xludf.DUMMYFUNCTION("""COMPUTED_VALUE"""),"CAROL VALIM")</f>
        <v>CAROL VALIM</v>
      </c>
      <c r="N556" s="120">
        <f>IFERROR(__xludf.DUMMYFUNCTION("""COMPUTED_VALUE"""),34428)</f>
        <v>34428</v>
      </c>
      <c r="O556" s="1" t="str">
        <f>IFERROR(__xludf.DUMMYFUNCTION("""COMPUTED_VALUE"""),"Feminino")</f>
        <v>Feminino</v>
      </c>
      <c r="P556" s="1" t="str">
        <f>IFERROR(__xludf.DUMMYFUNCTION("""COMPUTED_VALUE"""),"Branca")</f>
        <v>Branca</v>
      </c>
      <c r="Q556" s="1" t="str">
        <f>IFERROR(__xludf.DUMMYFUNCTION("""COMPUTED_VALUE"""),"Ensino Superior Completo")</f>
        <v>Ensino Superior Completo</v>
      </c>
      <c r="R556" s="1" t="str">
        <f>IFERROR(__xludf.DUMMYFUNCTION("""COMPUTED_VALUE"""),"cmcvalim@hotmail.com")</f>
        <v>cmcvalim@hotmail.com</v>
      </c>
      <c r="S556" s="1">
        <f>IFERROR(__xludf.DUMMYFUNCTION("""COMPUTED_VALUE"""),85)</f>
        <v>85</v>
      </c>
      <c r="T556" s="1" t="str">
        <f>IFERROR(__xludf.DUMMYFUNCTION("""COMPUTED_VALUE"""),"Entre 1,71m e 1,75m")</f>
        <v>Entre 1,71m e 1,75m</v>
      </c>
      <c r="U556" s="1">
        <f>IFERROR(__xludf.DUMMYFUNCTION("""COMPUTED_VALUE"""),54996104472)</f>
        <v>54996104472</v>
      </c>
      <c r="V556" s="1" t="str">
        <f>IFERROR(__xludf.DUMMYFUNCTION("""COMPUTED_VALUE"""),"(54) 99610-4472")</f>
        <v>(54) 99610-4472</v>
      </c>
      <c r="W556" s="1">
        <f>IFERROR(__xludf.DUMMYFUNCTION("""COMPUTED_VALUE"""),54996104472)</f>
        <v>54996104472</v>
      </c>
      <c r="X556" s="1" t="str">
        <f>IFERROR(__xludf.DUMMYFUNCTION("""COMPUTED_VALUE"""),"RIO GRANDE DO SUL")</f>
        <v>RIO GRANDE DO SUL</v>
      </c>
      <c r="Y556" s="1" t="str">
        <f>IFERROR(__xludf.DUMMYFUNCTION("""COMPUTED_VALUE"""),"Faxinalzinho")</f>
        <v>Faxinalzinho</v>
      </c>
      <c r="Z556" s="1" t="str">
        <f>IFERROR(__xludf.DUMMYFUNCTION("""COMPUTED_VALUE"""),"99655-000")</f>
        <v>99655-000</v>
      </c>
      <c r="AA556" s="1" t="str">
        <f>IFERROR(__xludf.DUMMYFUNCTION("""COMPUTED_VALUE"""),"Av Lido Armando Oltramari n19")</f>
        <v>Av Lido Armando Oltramari n19</v>
      </c>
      <c r="AB556" s="1" t="str">
        <f>IFERROR(__xludf.DUMMYFUNCTION("""COMPUTED_VALUE"""),"Centro")</f>
        <v>Centro</v>
      </c>
      <c r="AC556" s="1" t="str">
        <f>IFERROR(__xludf.DUMMYFUNCTION("""COMPUTED_VALUE"""),"G")</f>
        <v>G</v>
      </c>
      <c r="AD556" s="1" t="str">
        <f>IFERROR(__xludf.DUMMYFUNCTION("""COMPUTED_VALUE"""),"G")</f>
        <v>G</v>
      </c>
      <c r="AE556" s="1" t="str">
        <f>IFERROR(__xludf.DUMMYFUNCTION("""COMPUTED_VALUE"""),"M")</f>
        <v>M</v>
      </c>
      <c r="AF556" s="1" t="str">
        <f>IFERROR(__xludf.DUMMYFUNCTION("""COMPUTED_VALUE"""),"G")</f>
        <v>G</v>
      </c>
      <c r="AG556" s="1" t="str">
        <f>IFERROR(__xludf.DUMMYFUNCTION("""COMPUTED_VALUE"""),"G")</f>
        <v>G</v>
      </c>
      <c r="AH556" s="1">
        <f>IFERROR(__xludf.DUMMYFUNCTION("""COMPUTED_VALUE"""),38)</f>
        <v>38</v>
      </c>
      <c r="AI556" s="1">
        <f>IFERROR(__xludf.DUMMYFUNCTION("""COMPUTED_VALUE"""),38)</f>
        <v>38</v>
      </c>
      <c r="AJ556" s="1">
        <f>IFERROR(__xludf.DUMMYFUNCTION("""COMPUTED_VALUE"""),38)</f>
        <v>38</v>
      </c>
      <c r="AK556" s="1">
        <f>IFERROR(__xludf.DUMMYFUNCTION("""COMPUTED_VALUE"""),38)</f>
        <v>38</v>
      </c>
      <c r="AL556" s="1" t="str">
        <f>IFERROR(__xludf.DUMMYFUNCTION("""COMPUTED_VALUE"""),"M")</f>
        <v>M</v>
      </c>
      <c r="AM556" s="1" t="str">
        <f>IFERROR(__xludf.DUMMYFUNCTION("""COMPUTED_VALUE"""),"M")</f>
        <v>M</v>
      </c>
      <c r="AN556" s="1" t="str">
        <f>IFERROR(__xludf.DUMMYFUNCTION("""COMPUTED_VALUE"""),"M")</f>
        <v>M</v>
      </c>
    </row>
    <row r="557" customHeight="1" spans="1:40">
      <c r="A557" s="1" t="str">
        <f>IFERROR(__xludf.DUMMYFUNCTION("""COMPUTED_VALUE"""),"07° BBM")</f>
        <v>07° BBM</v>
      </c>
      <c r="B557" s="1" t="str">
        <f>IFERROR(__xludf.DUMMYFUNCTION("""COMPUTED_VALUE"""),"Barão de Cotegipe")</f>
        <v>Barão de Cotegipe</v>
      </c>
      <c r="C557" s="119" t="str">
        <f>IFERROR(__xludf.DUMMYFUNCTION("""COMPUTED_VALUE"""),"CAB")</f>
        <v>CAB</v>
      </c>
      <c r="D557" s="1" t="str">
        <f>IFERROR(__xludf.DUMMYFUNCTION("""COMPUTED_VALUE"""),"CASSIANE TUSSI")</f>
        <v>CASSIANE TUSSI</v>
      </c>
      <c r="E557" s="119" t="str">
        <f>IFERROR(__xludf.DUMMYFUNCTION("""COMPUTED_VALUE"""),"Módulo 1 concluído")</f>
        <v>Módulo 1 concluído</v>
      </c>
      <c r="F557" s="1" t="str">
        <f>IFERROR(__xludf.DUMMYFUNCTION("""COMPUTED_VALUE"""),"033.410.510-23")</f>
        <v>033.410.510-23</v>
      </c>
      <c r="G557" s="1">
        <f>IFERROR(__xludf.DUMMYFUNCTION("""COMPUTED_VALUE"""),7104167081)</f>
        <v>7104167081</v>
      </c>
      <c r="H557" s="1" t="str">
        <f>IFERROR(__xludf.DUMMYFUNCTION("""COMPUTED_VALUE"""),"Combatente")</f>
        <v>Combatente</v>
      </c>
      <c r="I557" s="1" t="str">
        <f>IFERROR(__xludf.DUMMYFUNCTION("""COMPUTED_VALUE"""),"NR35,NR10,APH")</f>
        <v>NR35,NR10,APH</v>
      </c>
      <c r="J557" s="1" t="str">
        <f>IFERROR(__xludf.DUMMYFUNCTION("""COMPUTED_VALUE"""),"Sim")</f>
        <v>Sim</v>
      </c>
      <c r="K557" s="1" t="str">
        <f>IFERROR(__xludf.DUMMYFUNCTION("""COMPUTED_VALUE"""),"Sim")</f>
        <v>Sim</v>
      </c>
      <c r="L557" s="1" t="str">
        <f>IFERROR(__xludf.DUMMYFUNCTION("""COMPUTED_VALUE"""),"O-")</f>
        <v>O-</v>
      </c>
      <c r="M557" s="1" t="str">
        <f>IFERROR(__xludf.DUMMYFUNCTION("""COMPUTED_VALUE"""),"CASSIANE")</f>
        <v>CASSIANE</v>
      </c>
      <c r="N557" s="120">
        <f>IFERROR(__xludf.DUMMYFUNCTION("""COMPUTED_VALUE"""),33401)</f>
        <v>33401</v>
      </c>
      <c r="O557" s="1" t="str">
        <f>IFERROR(__xludf.DUMMYFUNCTION("""COMPUTED_VALUE"""),"F")</f>
        <v>F</v>
      </c>
      <c r="P557" s="1" t="str">
        <f>IFERROR(__xludf.DUMMYFUNCTION("""COMPUTED_VALUE"""),"BRANCA")</f>
        <v>BRANCA</v>
      </c>
      <c r="Q557" s="1" t="str">
        <f>IFERROR(__xludf.DUMMYFUNCTION("""COMPUTED_VALUE"""),"Ensino Médio")</f>
        <v>Ensino Médio</v>
      </c>
      <c r="R557" s="1" t="str">
        <f>IFERROR(__xludf.DUMMYFUNCTION("""COMPUTED_VALUE"""),"cassianetussi12@yahoo.com")</f>
        <v>cassianetussi12@yahoo.com</v>
      </c>
      <c r="S557" s="1">
        <f>IFERROR(__xludf.DUMMYFUNCTION("""COMPUTED_VALUE"""),58)</f>
        <v>58</v>
      </c>
      <c r="T557" s="1" t="str">
        <f>IFERROR(__xludf.DUMMYFUNCTION("""COMPUTED_VALUE"""),"Entre 1,56m e 1,60m")</f>
        <v>Entre 1,56m e 1,60m</v>
      </c>
      <c r="U557" s="1" t="str">
        <f>IFERROR(__xludf.DUMMYFUNCTION("""COMPUTED_VALUE"""),"(54) 996462699")</f>
        <v>(54) 996462699</v>
      </c>
      <c r="V557" s="1" t="str">
        <f>IFERROR(__xludf.DUMMYFUNCTION("""COMPUTED_VALUE"""),"(54) 996168727")</f>
        <v>(54) 996168727</v>
      </c>
      <c r="W557" s="1" t="str">
        <f>IFERROR(__xludf.DUMMYFUNCTION("""COMPUTED_VALUE"""),"(54) 996462699")</f>
        <v>(54) 996462699</v>
      </c>
      <c r="X557" s="1" t="str">
        <f>IFERROR(__xludf.DUMMYFUNCTION("""COMPUTED_VALUE"""),"RS")</f>
        <v>RS</v>
      </c>
      <c r="Y557" s="1" t="str">
        <f>IFERROR(__xludf.DUMMYFUNCTION("""COMPUTED_VALUE"""),"BARÃO DE COTEGIPE")</f>
        <v>BARÃO DE COTEGIPE</v>
      </c>
      <c r="Z557" s="1" t="str">
        <f>IFERROR(__xludf.DUMMYFUNCTION("""COMPUTED_VALUE"""),"99740-000")</f>
        <v>99740-000</v>
      </c>
      <c r="AA557" s="1" t="str">
        <f>IFERROR(__xludf.DUMMYFUNCTION("""COMPUTED_VALUE"""),"RUA ANTONIO DAUMER")</f>
        <v>RUA ANTONIO DAUMER</v>
      </c>
      <c r="AB557" s="1" t="str">
        <f>IFERROR(__xludf.DUMMYFUNCTION("""COMPUTED_VALUE"""),"JARDIM AMERICA")</f>
        <v>JARDIM AMERICA</v>
      </c>
      <c r="AC557" s="1" t="str">
        <f>IFERROR(__xludf.DUMMYFUNCTION("""COMPUTED_VALUE"""),"M")</f>
        <v>M</v>
      </c>
      <c r="AD557" s="1" t="str">
        <f>IFERROR(__xludf.DUMMYFUNCTION("""COMPUTED_VALUE"""),"M")</f>
        <v>M</v>
      </c>
      <c r="AE557" s="1" t="str">
        <f>IFERROR(__xludf.DUMMYFUNCTION("""COMPUTED_VALUE"""),"M")</f>
        <v>M</v>
      </c>
      <c r="AF557" s="1" t="str">
        <f>IFERROR(__xludf.DUMMYFUNCTION("""COMPUTED_VALUE"""),"M")</f>
        <v>M</v>
      </c>
      <c r="AG557" s="1" t="str">
        <f>IFERROR(__xludf.DUMMYFUNCTION("""COMPUTED_VALUE"""),"M")</f>
        <v>M</v>
      </c>
      <c r="AH557" s="1" t="str">
        <f>IFERROR(__xludf.DUMMYFUNCTION("""COMPUTED_VALUE"""),"M")</f>
        <v>M</v>
      </c>
      <c r="AI557" s="1">
        <f>IFERROR(__xludf.DUMMYFUNCTION("""COMPUTED_VALUE"""),36)</f>
        <v>36</v>
      </c>
      <c r="AJ557" s="1">
        <f>IFERROR(__xludf.DUMMYFUNCTION("""COMPUTED_VALUE"""),36)</f>
        <v>36</v>
      </c>
      <c r="AK557" s="1">
        <f>IFERROR(__xludf.DUMMYFUNCTION("""COMPUTED_VALUE"""),36)</f>
        <v>36</v>
      </c>
      <c r="AL557" s="1">
        <f>IFERROR(__xludf.DUMMYFUNCTION("""COMPUTED_VALUE"""),36)</f>
        <v>36</v>
      </c>
      <c r="AM557" s="1" t="str">
        <f>IFERROR(__xludf.DUMMYFUNCTION("""COMPUTED_VALUE"""),"M")</f>
        <v>M</v>
      </c>
      <c r="AN557" s="1">
        <f>IFERROR(__xludf.DUMMYFUNCTION("""COMPUTED_VALUE"""),52)</f>
        <v>52</v>
      </c>
    </row>
    <row r="558" customHeight="1" spans="1:40">
      <c r="A558" s="1" t="str">
        <f>IFERROR(__xludf.DUMMYFUNCTION("""COMPUTED_VALUE"""),"07° BBM")</f>
        <v>07° BBM</v>
      </c>
      <c r="B558" s="1" t="str">
        <f>IFERROR(__xludf.DUMMYFUNCTION("""COMPUTED_VALUE"""),"Barão de Cotegipe")</f>
        <v>Barão de Cotegipe</v>
      </c>
      <c r="C558" s="119" t="str">
        <f>IFERROR(__xludf.DUMMYFUNCTION("""COMPUTED_VALUE"""),"CAB")</f>
        <v>CAB</v>
      </c>
      <c r="D558" s="1" t="str">
        <f>IFERROR(__xludf.DUMMYFUNCTION("""COMPUTED_VALUE"""),"CASSIANE ZAIONS")</f>
        <v>CASSIANE ZAIONS</v>
      </c>
      <c r="E558" s="119" t="str">
        <f>IFERROR(__xludf.DUMMYFUNCTION("""COMPUTED_VALUE"""),"")</f>
        <v/>
      </c>
      <c r="F558" s="1" t="str">
        <f>IFERROR(__xludf.DUMMYFUNCTION("""COMPUTED_VALUE"""),"026.351.870-00")</f>
        <v>026.351.870-00</v>
      </c>
      <c r="G558" s="1">
        <f>IFERROR(__xludf.DUMMYFUNCTION("""COMPUTED_VALUE"""),7098405454)</f>
        <v>7098405454</v>
      </c>
      <c r="H558" s="1" t="str">
        <f>IFERROR(__xludf.DUMMYFUNCTION("""COMPUTED_VALUE"""),"Tesoureiro")</f>
        <v>Tesoureiro</v>
      </c>
      <c r="I558" s="1" t="str">
        <f>IFERROR(__xludf.DUMMYFUNCTION("""COMPUTED_VALUE"""),"APH,NR35,APH COM O CBM.")</f>
        <v>APH,NR35,APH COM O CBM.</v>
      </c>
      <c r="J558" s="1" t="str">
        <f>IFERROR(__xludf.DUMMYFUNCTION("""COMPUTED_VALUE"""),"Sim")</f>
        <v>Sim</v>
      </c>
      <c r="K558" s="1" t="str">
        <f>IFERROR(__xludf.DUMMYFUNCTION("""COMPUTED_VALUE"""),"Sim")</f>
        <v>Sim</v>
      </c>
      <c r="L558" s="1" t="str">
        <f>IFERROR(__xludf.DUMMYFUNCTION("""COMPUTED_VALUE"""),"Não SABE")</f>
        <v>Não SABE</v>
      </c>
      <c r="M558" s="1" t="str">
        <f>IFERROR(__xludf.DUMMYFUNCTION("""COMPUTED_VALUE"""),"CASSI")</f>
        <v>CASSI</v>
      </c>
      <c r="N558" s="120">
        <f>IFERROR(__xludf.DUMMYFUNCTION("""COMPUTED_VALUE"""),32895)</f>
        <v>32895</v>
      </c>
      <c r="O558" s="1" t="str">
        <f>IFERROR(__xludf.DUMMYFUNCTION("""COMPUTED_VALUE"""),"F")</f>
        <v>F</v>
      </c>
      <c r="P558" s="1" t="str">
        <f>IFERROR(__xludf.DUMMYFUNCTION("""COMPUTED_VALUE"""),"BRANCA")</f>
        <v>BRANCA</v>
      </c>
      <c r="Q558" s="1" t="str">
        <f>IFERROR(__xludf.DUMMYFUNCTION("""COMPUTED_VALUE"""),"Ensino Superior Completo")</f>
        <v>Ensino Superior Completo</v>
      </c>
      <c r="R558" s="1" t="str">
        <f>IFERROR(__xludf.DUMMYFUNCTION("""COMPUTED_VALUE"""),"cassianezaions@hotmail.com")</f>
        <v>cassianezaions@hotmail.com</v>
      </c>
      <c r="S558" s="1">
        <f>IFERROR(__xludf.DUMMYFUNCTION("""COMPUTED_VALUE"""),68)</f>
        <v>68</v>
      </c>
      <c r="T558" s="1" t="str">
        <f>IFERROR(__xludf.DUMMYFUNCTION("""COMPUTED_VALUE"""),"Entre 1,61m e 1,65m")</f>
        <v>Entre 1,61m e 1,65m</v>
      </c>
      <c r="U558" s="1" t="str">
        <f>IFERROR(__xludf.DUMMYFUNCTION("""COMPUTED_VALUE"""),"(54) 997009364")</f>
        <v>(54) 997009364</v>
      </c>
      <c r="V558" s="1"/>
      <c r="W558" s="1"/>
      <c r="X558" s="1" t="str">
        <f>IFERROR(__xludf.DUMMYFUNCTION("""COMPUTED_VALUE"""),"RS")</f>
        <v>RS</v>
      </c>
      <c r="Y558" s="1" t="str">
        <f>IFERROR(__xludf.DUMMYFUNCTION("""COMPUTED_VALUE"""),"BARÃO DE COTEGIPE")</f>
        <v>BARÃO DE COTEGIPE</v>
      </c>
      <c r="Z558" s="1" t="str">
        <f>IFERROR(__xludf.DUMMYFUNCTION("""COMPUTED_VALUE"""),"99740-000")</f>
        <v>99740-000</v>
      </c>
      <c r="AA558" s="1" t="str">
        <f>IFERROR(__xludf.DUMMYFUNCTION("""COMPUTED_VALUE"""),"RUA ANTONIO DAUMER")</f>
        <v>RUA ANTONIO DAUMER</v>
      </c>
      <c r="AB558" s="1" t="str">
        <f>IFERROR(__xludf.DUMMYFUNCTION("""COMPUTED_VALUE"""),"JARDIM AMÉRICA")</f>
        <v>JARDIM AMÉRICA</v>
      </c>
      <c r="AC558" s="1" t="str">
        <f>IFERROR(__xludf.DUMMYFUNCTION("""COMPUTED_VALUE"""),"M")</f>
        <v>M</v>
      </c>
      <c r="AD558" s="1" t="str">
        <f>IFERROR(__xludf.DUMMYFUNCTION("""COMPUTED_VALUE"""),"M")</f>
        <v>M</v>
      </c>
      <c r="AE558" s="1" t="str">
        <f>IFERROR(__xludf.DUMMYFUNCTION("""COMPUTED_VALUE"""),"M")</f>
        <v>M</v>
      </c>
      <c r="AF558" s="1" t="str">
        <f>IFERROR(__xludf.DUMMYFUNCTION("""COMPUTED_VALUE"""),"M")</f>
        <v>M</v>
      </c>
      <c r="AG558" s="1" t="str">
        <f>IFERROR(__xludf.DUMMYFUNCTION("""COMPUTED_VALUE"""),"M")</f>
        <v>M</v>
      </c>
      <c r="AH558" s="1" t="str">
        <f>IFERROR(__xludf.DUMMYFUNCTION("""COMPUTED_VALUE"""),"M")</f>
        <v>M</v>
      </c>
      <c r="AI558" s="1">
        <f>IFERROR(__xludf.DUMMYFUNCTION("""COMPUTED_VALUE"""),38)</f>
        <v>38</v>
      </c>
      <c r="AJ558" s="1">
        <f>IFERROR(__xludf.DUMMYFUNCTION("""COMPUTED_VALUE"""),38)</f>
        <v>38</v>
      </c>
      <c r="AK558" s="1">
        <f>IFERROR(__xludf.DUMMYFUNCTION("""COMPUTED_VALUE"""),38)</f>
        <v>38</v>
      </c>
      <c r="AL558" s="1">
        <f>IFERROR(__xludf.DUMMYFUNCTION("""COMPUTED_VALUE"""),38)</f>
        <v>38</v>
      </c>
      <c r="AM558" s="1" t="str">
        <f>IFERROR(__xludf.DUMMYFUNCTION("""COMPUTED_VALUE"""),"M")</f>
        <v>M</v>
      </c>
      <c r="AN558" s="1">
        <f>IFERROR(__xludf.DUMMYFUNCTION("""COMPUTED_VALUE"""),52)</f>
        <v>52</v>
      </c>
    </row>
    <row r="559" customHeight="1" spans="1:40">
      <c r="A559" s="1" t="str">
        <f>IFERROR(__xludf.DUMMYFUNCTION("""COMPUTED_VALUE"""),"07° BBM")</f>
        <v>07° BBM</v>
      </c>
      <c r="B559" s="1" t="str">
        <f>IFERROR(__xludf.DUMMYFUNCTION("""COMPUTED_VALUE"""),"Serafina Corrêa")</f>
        <v>Serafina Corrêa</v>
      </c>
      <c r="C559" s="119" t="str">
        <f>IFERROR(__xludf.DUMMYFUNCTION("""COMPUTED_VALUE"""),"CAB")</f>
        <v>CAB</v>
      </c>
      <c r="D559" s="1" t="str">
        <f>IFERROR(__xludf.DUMMYFUNCTION("""COMPUTED_VALUE"""),"CASSIELE DA SILVA BRIZOLA")</f>
        <v>CASSIELE DA SILVA BRIZOLA</v>
      </c>
      <c r="E559" s="119" t="str">
        <f>IFERROR(__xludf.DUMMYFUNCTION("""COMPUTED_VALUE"""),"")</f>
        <v/>
      </c>
      <c r="F559" s="1" t="str">
        <f>IFERROR(__xludf.DUMMYFUNCTION("""COMPUTED_VALUE"""),"037.611.300-66")</f>
        <v>037.611.300-66</v>
      </c>
      <c r="G559" s="1">
        <f>IFERROR(__xludf.DUMMYFUNCTION("""COMPUTED_VALUE"""),5120820369)</f>
        <v>5120820369</v>
      </c>
      <c r="H559" s="1" t="str">
        <f>IFERROR(__xludf.DUMMYFUNCTION("""COMPUTED_VALUE"""),"CAB - ALUNO")</f>
        <v>CAB - ALUNO</v>
      </c>
      <c r="I559" s="1" t="str">
        <f>IFERROR(__xludf.DUMMYFUNCTION("""COMPUTED_VALUE"""),"APH / BLS - NR 10 NR 33 NR 35 ")</f>
        <v>APH / BLS - NR 10 NR 33 NR 35 </v>
      </c>
      <c r="J559" s="1" t="str">
        <f>IFERROR(__xludf.DUMMYFUNCTION("""COMPUTED_VALUE"""),"Não")</f>
        <v>Não</v>
      </c>
      <c r="K559" s="1" t="str">
        <f>IFERROR(__xludf.DUMMYFUNCTION("""COMPUTED_VALUE"""),"Não")</f>
        <v>Não</v>
      </c>
      <c r="L559" s="1" t="str">
        <f>IFERROR(__xludf.DUMMYFUNCTION("""COMPUTED_VALUE"""),"A+")</f>
        <v>A+</v>
      </c>
      <c r="M559" s="1" t="str">
        <f>IFERROR(__xludf.DUMMYFUNCTION("""COMPUTED_VALUE"""),"Cassiele")</f>
        <v>Cassiele</v>
      </c>
      <c r="N559" s="120">
        <f>IFERROR(__xludf.DUMMYFUNCTION("""COMPUTED_VALUE"""),36458)</f>
        <v>36458</v>
      </c>
      <c r="O559" s="1" t="str">
        <f>IFERROR(__xludf.DUMMYFUNCTION("""COMPUTED_VALUE"""),"Feminino")</f>
        <v>Feminino</v>
      </c>
      <c r="P559" s="1" t="str">
        <f>IFERROR(__xludf.DUMMYFUNCTION("""COMPUTED_VALUE"""),"Preta")</f>
        <v>Preta</v>
      </c>
      <c r="Q559" s="1" t="str">
        <f>IFERROR(__xludf.DUMMYFUNCTION("""COMPUTED_VALUE"""),"Ensino Médio")</f>
        <v>Ensino Médio</v>
      </c>
      <c r="R559" s="1" t="str">
        <f>IFERROR(__xludf.DUMMYFUNCTION("""COMPUTED_VALUE"""),"cassieleandrieli@gmail.com")</f>
        <v>cassieleandrieli@gmail.com</v>
      </c>
      <c r="S559" s="1">
        <f>IFERROR(__xludf.DUMMYFUNCTION("""COMPUTED_VALUE"""),65)</f>
        <v>65</v>
      </c>
      <c r="T559" s="1" t="str">
        <f>IFERROR(__xludf.DUMMYFUNCTION("""COMPUTED_VALUE"""),"Entre 1,56m e 1,60m")</f>
        <v>Entre 1,56m e 1,60m</v>
      </c>
      <c r="U559" s="1"/>
      <c r="V559" s="1" t="str">
        <f>IFERROR(__xludf.DUMMYFUNCTION("""COMPUTED_VALUE"""),"(54)99696 - 0367")</f>
        <v>(54)99696 - 0367</v>
      </c>
      <c r="W559" s="1" t="str">
        <f>IFERROR(__xludf.DUMMYFUNCTION("""COMPUTED_VALUE"""),"(54)99609 - 5203")</f>
        <v>(54)99609 - 5203</v>
      </c>
      <c r="X559" s="1" t="str">
        <f>IFERROR(__xludf.DUMMYFUNCTION("""COMPUTED_VALUE"""),"RS")</f>
        <v>RS</v>
      </c>
      <c r="Y559" s="1" t="str">
        <f>IFERROR(__xludf.DUMMYFUNCTION("""COMPUTED_VALUE"""),"Serafina Corrêa")</f>
        <v>Serafina Corrêa</v>
      </c>
      <c r="Z559" s="1" t="str">
        <f>IFERROR(__xludf.DUMMYFUNCTION("""COMPUTED_VALUE"""),"99250-000")</f>
        <v>99250-000</v>
      </c>
      <c r="AA559" s="1" t="str">
        <f>IFERROR(__xludf.DUMMYFUNCTION("""COMPUTED_VALUE"""),"Rua Marechal Deodoro, 696")</f>
        <v>Rua Marechal Deodoro, 696</v>
      </c>
      <c r="AB559" s="1" t="str">
        <f>IFERROR(__xludf.DUMMYFUNCTION("""COMPUTED_VALUE"""),"Santin")</f>
        <v>Santin</v>
      </c>
      <c r="AC559" s="1" t="str">
        <f>IFERROR(__xludf.DUMMYFUNCTION("""COMPUTED_VALUE"""),"M")</f>
        <v>M</v>
      </c>
      <c r="AD559" s="1" t="str">
        <f>IFERROR(__xludf.DUMMYFUNCTION("""COMPUTED_VALUE"""),"M")</f>
        <v>M</v>
      </c>
      <c r="AE559" s="1" t="str">
        <f>IFERROR(__xludf.DUMMYFUNCTION("""COMPUTED_VALUE"""),"M")</f>
        <v>M</v>
      </c>
      <c r="AF559" s="1" t="str">
        <f>IFERROR(__xludf.DUMMYFUNCTION("""COMPUTED_VALUE"""),"G")</f>
        <v>G</v>
      </c>
      <c r="AG559" s="1" t="str">
        <f>IFERROR(__xludf.DUMMYFUNCTION("""COMPUTED_VALUE"""),"M")</f>
        <v>M</v>
      </c>
      <c r="AH559" s="1">
        <f>IFERROR(__xludf.DUMMYFUNCTION("""COMPUTED_VALUE"""),37)</f>
        <v>37</v>
      </c>
      <c r="AI559" s="1">
        <f>IFERROR(__xludf.DUMMYFUNCTION("""COMPUTED_VALUE"""),37)</f>
        <v>37</v>
      </c>
      <c r="AJ559" s="1">
        <f>IFERROR(__xludf.DUMMYFUNCTION("""COMPUTED_VALUE"""),37)</f>
        <v>37</v>
      </c>
      <c r="AK559" s="1">
        <f>IFERROR(__xludf.DUMMYFUNCTION("""COMPUTED_VALUE"""),37)</f>
        <v>37</v>
      </c>
      <c r="AL559" s="1" t="str">
        <f>IFERROR(__xludf.DUMMYFUNCTION("""COMPUTED_VALUE"""),"M")</f>
        <v>M</v>
      </c>
      <c r="AM559" s="1" t="str">
        <f>IFERROR(__xludf.DUMMYFUNCTION("""COMPUTED_VALUE"""),"M")</f>
        <v>M</v>
      </c>
      <c r="AN559" s="1" t="str">
        <f>IFERROR(__xludf.DUMMYFUNCTION("""COMPUTED_VALUE"""),"M")</f>
        <v>M</v>
      </c>
    </row>
    <row r="560" customHeight="1" spans="1:40">
      <c r="A560" s="1" t="str">
        <f>IFERROR(__xludf.DUMMYFUNCTION("""COMPUTED_VALUE"""),"07° BBM")</f>
        <v>07° BBM</v>
      </c>
      <c r="B560" s="1" t="str">
        <f>IFERROR(__xludf.DUMMYFUNCTION("""COMPUTED_VALUE"""),"Áurea")</f>
        <v>Áurea</v>
      </c>
      <c r="C560" s="119" t="str">
        <f>IFERROR(__xludf.DUMMYFUNCTION("""COMPUTED_VALUE"""),"CAB")</f>
        <v>CAB</v>
      </c>
      <c r="D560" s="1" t="str">
        <f>IFERROR(__xludf.DUMMYFUNCTION("""COMPUTED_VALUE"""),"CASSIO BABINSKI")</f>
        <v>CASSIO BABINSKI</v>
      </c>
      <c r="E560" s="119" t="str">
        <f>IFERROR(__xludf.DUMMYFUNCTION("""COMPUTED_VALUE"""),"")</f>
        <v/>
      </c>
      <c r="F560" s="1" t="str">
        <f>IFERROR(__xludf.DUMMYFUNCTION("""COMPUTED_VALUE"""),"020.739.320-61")</f>
        <v>020.739.320-61</v>
      </c>
      <c r="G560" s="1">
        <f>IFERROR(__xludf.DUMMYFUNCTION("""COMPUTED_VALUE"""),4084300955)</f>
        <v>4084300955</v>
      </c>
      <c r="H560" s="1" t="str">
        <f>IFERROR(__xludf.DUMMYFUNCTION("""COMPUTED_VALUE"""),"voluntário")</f>
        <v>voluntário</v>
      </c>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row>
    <row r="561" customHeight="1" spans="1:40">
      <c r="A561" s="1" t="str">
        <f>IFERROR(__xludf.DUMMYFUNCTION("""COMPUTED_VALUE"""),"07° BBM")</f>
        <v>07° BBM</v>
      </c>
      <c r="B561" s="1" t="str">
        <f>IFERROR(__xludf.DUMMYFUNCTION("""COMPUTED_VALUE"""),"Gaurama")</f>
        <v>Gaurama</v>
      </c>
      <c r="C561" s="119" t="str">
        <f>IFERROR(__xludf.DUMMYFUNCTION("""COMPUTED_VALUE"""),"CAB")</f>
        <v>CAB</v>
      </c>
      <c r="D561" s="1" t="str">
        <f>IFERROR(__xludf.DUMMYFUNCTION("""COMPUTED_VALUE"""),"CELITO EDSON GRIESER")</f>
        <v>CELITO EDSON GRIESER</v>
      </c>
      <c r="E561" s="119" t="str">
        <f>IFERROR(__xludf.DUMMYFUNCTION("""COMPUTED_VALUE"""),"Módulo 1 concluído")</f>
        <v>Módulo 1 concluído</v>
      </c>
      <c r="F561" s="1" t="str">
        <f>IFERROR(__xludf.DUMMYFUNCTION("""COMPUTED_VALUE"""),"514.465.290-53")</f>
        <v>514.465.290-53</v>
      </c>
      <c r="G561" s="1">
        <f>IFERROR(__xludf.DUMMYFUNCTION("""COMPUTED_VALUE"""),5032263237)</f>
        <v>5032263237</v>
      </c>
      <c r="H561" s="1" t="str">
        <f>IFERROR(__xludf.DUMMYFUNCTION("""COMPUTED_VALUE"""),"Combatente/tesoureiro")</f>
        <v>Combatente/tesoureiro</v>
      </c>
      <c r="I561" s="1" t="str">
        <f>IFERROR(__xludf.DUMMYFUNCTION("""COMPUTED_VALUE"""),"Atendimento Suporte Básico de Vida/ cursos Brigada Militar")</f>
        <v>Atendimento Suporte Básico de Vida/ cursos Brigada Militar</v>
      </c>
      <c r="J561" s="1" t="str">
        <f>IFERROR(__xludf.DUMMYFUNCTION("""COMPUTED_VALUE"""),"Não")</f>
        <v>Não</v>
      </c>
      <c r="K561" s="1" t="str">
        <f>IFERROR(__xludf.DUMMYFUNCTION("""COMPUTED_VALUE"""),"Não")</f>
        <v>Não</v>
      </c>
      <c r="L561" s="1" t="str">
        <f>IFERROR(__xludf.DUMMYFUNCTION("""COMPUTED_VALUE"""),"A+")</f>
        <v>A+</v>
      </c>
      <c r="M561" s="1" t="str">
        <f>IFERROR(__xludf.DUMMYFUNCTION("""COMPUTED_VALUE"""),"CELITO")</f>
        <v>CELITO</v>
      </c>
      <c r="N561" s="120">
        <f>IFERROR(__xludf.DUMMYFUNCTION("""COMPUTED_VALUE"""),24154)</f>
        <v>24154</v>
      </c>
      <c r="O561" s="1" t="str">
        <f>IFERROR(__xludf.DUMMYFUNCTION("""COMPUTED_VALUE"""),"Masculino")</f>
        <v>Masculino</v>
      </c>
      <c r="P561" s="1" t="str">
        <f>IFERROR(__xludf.DUMMYFUNCTION("""COMPUTED_VALUE"""),"Branca")</f>
        <v>Branca</v>
      </c>
      <c r="Q561" s="1" t="str">
        <f>IFERROR(__xludf.DUMMYFUNCTION("""COMPUTED_VALUE"""),"Ensino Médio")</f>
        <v>Ensino Médio</v>
      </c>
      <c r="R561" s="1" t="str">
        <f>IFERROR(__xludf.DUMMYFUNCTION("""COMPUTED_VALUE"""),"celito-edson@outlook.com")</f>
        <v>celito-edson@outlook.com</v>
      </c>
      <c r="S561" s="1">
        <f>IFERROR(__xludf.DUMMYFUNCTION("""COMPUTED_VALUE"""),107)</f>
        <v>107</v>
      </c>
      <c r="T561" s="1" t="str">
        <f>IFERROR(__xludf.DUMMYFUNCTION("""COMPUTED_VALUE"""),"Entre 1,81m e 1,85m")</f>
        <v>Entre 1,81m e 1,85m</v>
      </c>
      <c r="U561" s="1"/>
      <c r="V561" s="1" t="str">
        <f>IFERROR(__xludf.DUMMYFUNCTION("""COMPUTED_VALUE"""),"(54)981480935")</f>
        <v>(54)981480935</v>
      </c>
      <c r="W561" s="1"/>
      <c r="X561" s="1" t="str">
        <f>IFERROR(__xludf.DUMMYFUNCTION("""COMPUTED_VALUE"""),"RS")</f>
        <v>RS</v>
      </c>
      <c r="Y561" s="1" t="str">
        <f>IFERROR(__xludf.DUMMYFUNCTION("""COMPUTED_VALUE"""),"Gaurama")</f>
        <v>Gaurama</v>
      </c>
      <c r="Z561" s="1">
        <f>IFERROR(__xludf.DUMMYFUNCTION("""COMPUTED_VALUE"""),9983000)</f>
        <v>9983000</v>
      </c>
      <c r="AA561" s="1" t="str">
        <f>IFERROR(__xludf.DUMMYFUNCTION("""COMPUTED_VALUE"""),"RUA LIBANO ALVES DE OLIVEIRA")</f>
        <v>RUA LIBANO ALVES DE OLIVEIRA</v>
      </c>
      <c r="AB561" s="1" t="str">
        <f>IFERROR(__xludf.DUMMYFUNCTION("""COMPUTED_VALUE"""),"CENTRO")</f>
        <v>CENTRO</v>
      </c>
      <c r="AC561" s="1" t="str">
        <f>IFERROR(__xludf.DUMMYFUNCTION("""COMPUTED_VALUE"""),"GG")</f>
        <v>GG</v>
      </c>
      <c r="AD561" s="1" t="str">
        <f>IFERROR(__xludf.DUMMYFUNCTION("""COMPUTED_VALUE"""),"GG")</f>
        <v>GG</v>
      </c>
      <c r="AE561" s="1" t="str">
        <f>IFERROR(__xludf.DUMMYFUNCTION("""COMPUTED_VALUE"""),"GG")</f>
        <v>GG</v>
      </c>
      <c r="AF561" s="1" t="str">
        <f>IFERROR(__xludf.DUMMYFUNCTION("""COMPUTED_VALUE"""),"GG")</f>
        <v>GG</v>
      </c>
      <c r="AG561" s="1" t="str">
        <f>IFERROR(__xludf.DUMMYFUNCTION("""COMPUTED_VALUE"""),"GG")</f>
        <v>GG</v>
      </c>
      <c r="AH561" s="1">
        <f>IFERROR(__xludf.DUMMYFUNCTION("""COMPUTED_VALUE"""),48)</f>
        <v>48</v>
      </c>
      <c r="AI561" s="1">
        <f>IFERROR(__xludf.DUMMYFUNCTION("""COMPUTED_VALUE"""),46)</f>
        <v>46</v>
      </c>
      <c r="AJ561" s="1">
        <f>IFERROR(__xludf.DUMMYFUNCTION("""COMPUTED_VALUE"""),44)</f>
        <v>44</v>
      </c>
      <c r="AK561" s="1">
        <f>IFERROR(__xludf.DUMMYFUNCTION("""COMPUTED_VALUE"""),44)</f>
        <v>44</v>
      </c>
      <c r="AL561" s="1" t="str">
        <f>IFERROR(__xludf.DUMMYFUNCTION("""COMPUTED_VALUE"""),"GG")</f>
        <v>GG</v>
      </c>
      <c r="AM561" s="1" t="str">
        <f>IFERROR(__xludf.DUMMYFUNCTION("""COMPUTED_VALUE"""),"GG")</f>
        <v>GG</v>
      </c>
      <c r="AN561" s="1" t="str">
        <f>IFERROR(__xludf.DUMMYFUNCTION("""COMPUTED_VALUE"""),"G")</f>
        <v>G</v>
      </c>
    </row>
    <row r="562" customHeight="1" spans="1:40">
      <c r="A562" s="1" t="str">
        <f>IFERROR(__xludf.DUMMYFUNCTION("""COMPUTED_VALUE"""),"07° BBM")</f>
        <v>07° BBM</v>
      </c>
      <c r="B562" s="1" t="str">
        <f>IFERROR(__xludf.DUMMYFUNCTION("""COMPUTED_VALUE"""),"Jacutinga")</f>
        <v>Jacutinga</v>
      </c>
      <c r="C562" s="119" t="str">
        <f>IFERROR(__xludf.DUMMYFUNCTION("""COMPUTED_VALUE"""),"CAB")</f>
        <v>CAB</v>
      </c>
      <c r="D562" s="1" t="str">
        <f>IFERROR(__xludf.DUMMYFUNCTION("""COMPUTED_VALUE"""),"CHAIANE CARLA BARBIERI PASINI")</f>
        <v>CHAIANE CARLA BARBIERI PASINI</v>
      </c>
      <c r="E562" s="119" t="str">
        <f>IFERROR(__xludf.DUMMYFUNCTION("""COMPUTED_VALUE"""),"")</f>
        <v/>
      </c>
      <c r="F562" s="1" t="str">
        <f>IFERROR(__xludf.DUMMYFUNCTION("""COMPUTED_VALUE"""),"016.531.190-80")</f>
        <v>016.531.190-80</v>
      </c>
      <c r="G562" s="1">
        <f>IFERROR(__xludf.DUMMYFUNCTION("""COMPUTED_VALUE"""),8098586343)</f>
        <v>8098586343</v>
      </c>
      <c r="H562" s="1" t="str">
        <f>IFERROR(__xludf.DUMMYFUNCTION("""COMPUTED_VALUE"""),"Secretária")</f>
        <v>Secretária</v>
      </c>
      <c r="I562" s="1" t="str">
        <f>IFERROR(__xludf.DUMMYFUNCTION("""COMPUTED_VALUE"""),"TÉCNICA EM ENFERMAGEM, TREINAMENTOS EM APH E RESGATE VEICULAR")</f>
        <v>TÉCNICA EM ENFERMAGEM, TREINAMENTOS EM APH E RESGATE VEICULAR</v>
      </c>
      <c r="J562" s="1" t="str">
        <f>IFERROR(__xludf.DUMMYFUNCTION("""COMPUTED_VALUE"""),"Sim")</f>
        <v>Sim</v>
      </c>
      <c r="K562" s="1" t="str">
        <f>IFERROR(__xludf.DUMMYFUNCTION("""COMPUTED_VALUE"""),"Não")</f>
        <v>Não</v>
      </c>
      <c r="L562" s="1" t="str">
        <f>IFERROR(__xludf.DUMMYFUNCTION("""COMPUTED_VALUE"""),"O+")</f>
        <v>O+</v>
      </c>
      <c r="M562" s="1" t="str">
        <f>IFERROR(__xludf.DUMMYFUNCTION("""COMPUTED_VALUE"""),"Barbieri")</f>
        <v>Barbieri</v>
      </c>
      <c r="N562" s="121">
        <f>IFERROR(__xludf.DUMMYFUNCTION("""COMPUTED_VALUE"""),33887)</f>
        <v>33887</v>
      </c>
      <c r="O562" s="1" t="str">
        <f>IFERROR(__xludf.DUMMYFUNCTION("""COMPUTED_VALUE"""),"Feminino")</f>
        <v>Feminino</v>
      </c>
      <c r="P562" s="1" t="str">
        <f>IFERROR(__xludf.DUMMYFUNCTION("""COMPUTED_VALUE"""),"Branca")</f>
        <v>Branca</v>
      </c>
      <c r="Q562" s="1" t="str">
        <f>IFERROR(__xludf.DUMMYFUNCTION("""COMPUTED_VALUE"""),"Ensino Superior Incompleto")</f>
        <v>Ensino Superior Incompleto</v>
      </c>
      <c r="R562" s="1" t="str">
        <f>IFERROR(__xludf.DUMMYFUNCTION("""COMPUTED_VALUE"""),"chaianebarnieri58@gmail.com")</f>
        <v>chaianebarnieri58@gmail.com</v>
      </c>
      <c r="S562" s="1">
        <f>IFERROR(__xludf.DUMMYFUNCTION("""COMPUTED_VALUE"""),59)</f>
        <v>59</v>
      </c>
      <c r="T562" s="1" t="str">
        <f>IFERROR(__xludf.DUMMYFUNCTION("""COMPUTED_VALUE"""),"Entre 1,56m e 1,60m")</f>
        <v>Entre 1,56m e 1,60m</v>
      </c>
      <c r="U562" s="1"/>
      <c r="V562" s="1" t="str">
        <f>IFERROR(__xludf.DUMMYFUNCTION("""COMPUTED_VALUE"""),"(54)991977611")</f>
        <v>(54)991977611</v>
      </c>
      <c r="W562" s="1" t="str">
        <f>IFERROR(__xludf.DUMMYFUNCTION("""COMPUTED_VALUE"""),"(54)996712687")</f>
        <v>(54)996712687</v>
      </c>
      <c r="X562" s="1" t="str">
        <f>IFERROR(__xludf.DUMMYFUNCTION("""COMPUTED_VALUE"""),"RS")</f>
        <v>RS</v>
      </c>
      <c r="Y562" s="1" t="str">
        <f>IFERROR(__xludf.DUMMYFUNCTION("""COMPUTED_VALUE"""),"Jacutinga")</f>
        <v>Jacutinga</v>
      </c>
      <c r="Z562" s="1" t="str">
        <f>IFERROR(__xludf.DUMMYFUNCTION("""COMPUTED_VALUE"""),"99730-000")</f>
        <v>99730-000</v>
      </c>
      <c r="AA562" s="1" t="str">
        <f>IFERROR(__xludf.DUMMYFUNCTION("""COMPUTED_VALUE"""),"Av. Angelo Gasparetto, 477, Ap 03")</f>
        <v>Av. Angelo Gasparetto, 477, Ap 03</v>
      </c>
      <c r="AB562" s="1" t="str">
        <f>IFERROR(__xludf.DUMMYFUNCTION("""COMPUTED_VALUE"""),"Centro")</f>
        <v>Centro</v>
      </c>
      <c r="AC562" s="1" t="str">
        <f>IFERROR(__xludf.DUMMYFUNCTION("""COMPUTED_VALUE"""),"M")</f>
        <v>M</v>
      </c>
      <c r="AD562" s="1" t="str">
        <f>IFERROR(__xludf.DUMMYFUNCTION("""COMPUTED_VALUE"""),"M")</f>
        <v>M</v>
      </c>
      <c r="AE562" s="1" t="str">
        <f>IFERROR(__xludf.DUMMYFUNCTION("""COMPUTED_VALUE"""),"P")</f>
        <v>P</v>
      </c>
      <c r="AF562" s="1" t="str">
        <f>IFERROR(__xludf.DUMMYFUNCTION("""COMPUTED_VALUE"""),"P")</f>
        <v>P</v>
      </c>
      <c r="AG562" s="1" t="str">
        <f>IFERROR(__xludf.DUMMYFUNCTION("""COMPUTED_VALUE"""),"M")</f>
        <v>M</v>
      </c>
      <c r="AH562" s="1">
        <f>IFERROR(__xludf.DUMMYFUNCTION("""COMPUTED_VALUE"""),34)</f>
        <v>34</v>
      </c>
      <c r="AI562" s="1">
        <f>IFERROR(__xludf.DUMMYFUNCTION("""COMPUTED_VALUE"""),33)</f>
        <v>33</v>
      </c>
      <c r="AJ562" s="1">
        <f>IFERROR(__xludf.DUMMYFUNCTION("""COMPUTED_VALUE"""),34)</f>
        <v>34</v>
      </c>
      <c r="AK562" s="1">
        <f>IFERROR(__xludf.DUMMYFUNCTION("""COMPUTED_VALUE"""),34)</f>
        <v>34</v>
      </c>
      <c r="AL562" s="1" t="str">
        <f>IFERROR(__xludf.DUMMYFUNCTION("""COMPUTED_VALUE"""),"P")</f>
        <v>P</v>
      </c>
      <c r="AM562" s="1" t="str">
        <f>IFERROR(__xludf.DUMMYFUNCTION("""COMPUTED_VALUE"""),"P")</f>
        <v>P</v>
      </c>
      <c r="AN562" s="1" t="str">
        <f>IFERROR(__xludf.DUMMYFUNCTION("""COMPUTED_VALUE"""),"P")</f>
        <v>P</v>
      </c>
    </row>
    <row r="563" customHeight="1" spans="1:40">
      <c r="A563" s="1" t="str">
        <f>IFERROR(__xludf.DUMMYFUNCTION("""COMPUTED_VALUE"""),"07° BBM")</f>
        <v>07° BBM</v>
      </c>
      <c r="B563" s="1" t="str">
        <f>IFERROR(__xludf.DUMMYFUNCTION("""COMPUTED_VALUE"""),"Serafina Corrêa")</f>
        <v>Serafina Corrêa</v>
      </c>
      <c r="C563" s="119" t="str">
        <f>IFERROR(__xludf.DUMMYFUNCTION("""COMPUTED_VALUE"""),"CAB")</f>
        <v>CAB</v>
      </c>
      <c r="D563" s="1" t="str">
        <f>IFERROR(__xludf.DUMMYFUNCTION("""COMPUTED_VALUE"""),"CHRISTOFER ROSA PEREIRA")</f>
        <v>CHRISTOFER ROSA PEREIRA</v>
      </c>
      <c r="E563" s="119" t="str">
        <f>IFERROR(__xludf.DUMMYFUNCTION("""COMPUTED_VALUE"""),"Módulo 1 concluído")</f>
        <v>Módulo 1 concluído</v>
      </c>
      <c r="F563" s="1" t="str">
        <f>IFERROR(__xludf.DUMMYFUNCTION("""COMPUTED_VALUE"""),"016.884.980-10")</f>
        <v>016.884.980-10</v>
      </c>
      <c r="G563" s="124">
        <f>IFERROR(__xludf.DUMMYFUNCTION("""COMPUTED_VALUE"""),8098273661)</f>
        <v>8098273661</v>
      </c>
      <c r="H563" s="1" t="str">
        <f>IFERROR(__xludf.DUMMYFUNCTION("""COMPUTED_VALUE"""),"COORDENADOR")</f>
        <v>COORDENADOR</v>
      </c>
      <c r="I563" s="1" t="str">
        <f>IFERROR(__xludf.DUMMYFUNCTION("""COMPUTED_VALUE"""),"Tecnico de enfermagem Bombeiro Civil Classe III - 573 HORAS CEVTE - Condutor de veiculo de emergencia - SEST/SENAT APH / BLS Resgate Veicular - CBMRS Primeira resposta em produtos perigosos - HAZMAT NR 10 NR 33 NR 35 Curso de Noções Básicas de Atendimento"&amp;" Pré-Hospitalar no Ambiente Escolar Resgate de Passageiros Em Elevadores - Tyssen Kroup Capacitação em Proteção e Defesa Civil - UFSC Instrutor Master Internacional - CTILSB Curso Resgatista CBMRS 3º Ediçao - Tecnico em segurança do trabalho (cursando)")</f>
        <v>Tecnico de enfermagem Bombeiro Civil Classe III - 573 HORAS CEVTE - Condutor de veiculo de emergencia - SEST/SENAT APH / BLS Resgate Veicular - CBMRS Primeira resposta em produtos perigosos - HAZMAT NR 10 NR 33 NR 35 Curso de Noções Básicas de Atendimento Pré-Hospitalar no Ambiente Escolar Resgate de Passageiros Em Elevadores - Tyssen Kroup Capacitação em Proteção e Defesa Civil - UFSC Instrutor Master Internacional - CTILSB Curso Resgatista CBMRS 3º Ediçao - Tecnico em segurança do trabalho (cursando)</v>
      </c>
      <c r="J563" s="1" t="str">
        <f>IFERROR(__xludf.DUMMYFUNCTION("""COMPUTED_VALUE"""),"Sim")</f>
        <v>Sim</v>
      </c>
      <c r="K563" s="1" t="str">
        <f>IFERROR(__xludf.DUMMYFUNCTION("""COMPUTED_VALUE"""),"Sim")</f>
        <v>Sim</v>
      </c>
      <c r="L563" s="1" t="str">
        <f>IFERROR(__xludf.DUMMYFUNCTION("""COMPUTED_VALUE"""),"A+")</f>
        <v>A+</v>
      </c>
      <c r="M563" s="1" t="str">
        <f>IFERROR(__xludf.DUMMYFUNCTION("""COMPUTED_VALUE"""),"Pereira ")</f>
        <v>Pereira </v>
      </c>
      <c r="N563" s="120">
        <f>IFERROR(__xludf.DUMMYFUNCTION("""COMPUTED_VALUE"""),33051)</f>
        <v>33051</v>
      </c>
      <c r="O563" s="1" t="str">
        <f>IFERROR(__xludf.DUMMYFUNCTION("""COMPUTED_VALUE"""),"Masculino")</f>
        <v>Masculino</v>
      </c>
      <c r="P563" s="1" t="str">
        <f>IFERROR(__xludf.DUMMYFUNCTION("""COMPUTED_VALUE"""),"Branca")</f>
        <v>Branca</v>
      </c>
      <c r="Q563" s="1" t="str">
        <f>IFERROR(__xludf.DUMMYFUNCTION("""COMPUTED_VALUE"""),"Ensino Superior Completo")</f>
        <v>Ensino Superior Completo</v>
      </c>
      <c r="R563" s="1" t="str">
        <f>IFERROR(__xludf.DUMMYFUNCTION("""COMPUTED_VALUE"""),"christofer.pereira@gmail.com")</f>
        <v>christofer.pereira@gmail.com</v>
      </c>
      <c r="S563" s="1">
        <f>IFERROR(__xludf.DUMMYFUNCTION("""COMPUTED_VALUE"""),107)</f>
        <v>107</v>
      </c>
      <c r="T563" s="1" t="str">
        <f>IFERROR(__xludf.DUMMYFUNCTION("""COMPUTED_VALUE"""),"Entre 1,76m e 1,80m")</f>
        <v>Entre 1,76m e 1,80m</v>
      </c>
      <c r="U563" s="1"/>
      <c r="V563" s="1" t="str">
        <f>IFERROR(__xludf.DUMMYFUNCTION("""COMPUTED_VALUE"""),"(53)98134-7508")</f>
        <v>(53)98134-7508</v>
      </c>
      <c r="W563" s="1" t="str">
        <f>IFERROR(__xludf.DUMMYFUNCTION("""COMPUTED_VALUE"""),"(54)98157 - 6818")</f>
        <v>(54)98157 - 6818</v>
      </c>
      <c r="X563" s="1" t="str">
        <f>IFERROR(__xludf.DUMMYFUNCTION("""COMPUTED_VALUE"""),"RS")</f>
        <v>RS</v>
      </c>
      <c r="Y563" s="1" t="str">
        <f>IFERROR(__xludf.DUMMYFUNCTION("""COMPUTED_VALUE"""),"Serafina Corrêa")</f>
        <v>Serafina Corrêa</v>
      </c>
      <c r="Z563" s="1" t="str">
        <f>IFERROR(__xludf.DUMMYFUNCTION("""COMPUTED_VALUE"""),"99250-000")</f>
        <v>99250-000</v>
      </c>
      <c r="AA563" s="1" t="str">
        <f>IFERROR(__xludf.DUMMYFUNCTION("""COMPUTED_VALUE"""),"Rua Castelo Branco,350")</f>
        <v>Rua Castelo Branco,350</v>
      </c>
      <c r="AB563" s="1" t="str">
        <f>IFERROR(__xludf.DUMMYFUNCTION("""COMPUTED_VALUE"""),"centro ")</f>
        <v>centro </v>
      </c>
      <c r="AC563" s="1" t="str">
        <f>IFERROR(__xludf.DUMMYFUNCTION("""COMPUTED_VALUE"""),"GG")</f>
        <v>GG</v>
      </c>
      <c r="AD563" s="1" t="str">
        <f>IFERROR(__xludf.DUMMYFUNCTION("""COMPUTED_VALUE"""),"GG")</f>
        <v>GG</v>
      </c>
      <c r="AE563" s="1" t="str">
        <f>IFERROR(__xludf.DUMMYFUNCTION("""COMPUTED_VALUE"""),"GG")</f>
        <v>GG</v>
      </c>
      <c r="AF563" s="1" t="str">
        <f>IFERROR(__xludf.DUMMYFUNCTION("""COMPUTED_VALUE"""),"GG")</f>
        <v>GG</v>
      </c>
      <c r="AG563" s="1" t="str">
        <f>IFERROR(__xludf.DUMMYFUNCTION("""COMPUTED_VALUE"""),"GG")</f>
        <v>GG</v>
      </c>
      <c r="AH563" s="1">
        <f>IFERROR(__xludf.DUMMYFUNCTION("""COMPUTED_VALUE"""),44)</f>
        <v>44</v>
      </c>
      <c r="AI563" s="1">
        <f>IFERROR(__xludf.DUMMYFUNCTION("""COMPUTED_VALUE"""),44)</f>
        <v>44</v>
      </c>
      <c r="AJ563" s="1">
        <f>IFERROR(__xludf.DUMMYFUNCTION("""COMPUTED_VALUE"""),44)</f>
        <v>44</v>
      </c>
      <c r="AK563" s="1">
        <f>IFERROR(__xludf.DUMMYFUNCTION("""COMPUTED_VALUE"""),44)</f>
        <v>44</v>
      </c>
      <c r="AL563" s="1" t="str">
        <f>IFERROR(__xludf.DUMMYFUNCTION("""COMPUTED_VALUE"""),"GG")</f>
        <v>GG</v>
      </c>
      <c r="AM563" s="1" t="str">
        <f>IFERROR(__xludf.DUMMYFUNCTION("""COMPUTED_VALUE"""),"GG")</f>
        <v>GG</v>
      </c>
      <c r="AN563" s="1" t="str">
        <f>IFERROR(__xludf.DUMMYFUNCTION("""COMPUTED_VALUE"""),"GG")</f>
        <v>GG</v>
      </c>
    </row>
    <row r="564" customHeight="1" spans="1:40">
      <c r="A564" s="1" t="str">
        <f>IFERROR(__xludf.DUMMYFUNCTION("""COMPUTED_VALUE"""),"07° BBM")</f>
        <v>07° BBM</v>
      </c>
      <c r="B564" s="1" t="str">
        <f>IFERROR(__xludf.DUMMYFUNCTION("""COMPUTED_VALUE"""),"NONOAI")</f>
        <v>NONOAI</v>
      </c>
      <c r="C564" s="119" t="str">
        <f>IFERROR(__xludf.DUMMYFUNCTION("""COMPUTED_VALUE"""),"Comunitário")</f>
        <v>Comunitário</v>
      </c>
      <c r="D564" s="1" t="str">
        <f>IFERROR(__xludf.DUMMYFUNCTION("""COMPUTED_VALUE"""),"CLAITON FAVERO")</f>
        <v>CLAITON FAVERO</v>
      </c>
      <c r="E564" s="119" t="str">
        <f>IFERROR(__xludf.DUMMYFUNCTION("""COMPUTED_VALUE"""),"Módulo 1 concluído")</f>
        <v>Módulo 1 concluído</v>
      </c>
      <c r="F564" s="1" t="str">
        <f>IFERROR(__xludf.DUMMYFUNCTION("""COMPUTED_VALUE"""),"018.249.940-52")</f>
        <v>018.249.940-52</v>
      </c>
      <c r="G564" s="1">
        <f>IFERROR(__xludf.DUMMYFUNCTION("""COMPUTED_VALUE"""),52153347)</f>
        <v>52153347</v>
      </c>
      <c r="H564" s="1" t="str">
        <f>IFERROR(__xludf.DUMMYFUNCTION("""COMPUTED_VALUE"""),"OP")</f>
        <v>OP</v>
      </c>
      <c r="I564" s="1"/>
      <c r="J564" s="1"/>
      <c r="K564" s="1"/>
      <c r="L564" s="1"/>
      <c r="M564" s="1"/>
      <c r="N564" s="121">
        <f>IFERROR(__xludf.DUMMYFUNCTION("""COMPUTED_VALUE"""),32055)</f>
        <v>32055</v>
      </c>
      <c r="O564" s="1" t="str">
        <f>IFERROR(__xludf.DUMMYFUNCTION("""COMPUTED_VALUE"""),"Masculino")</f>
        <v>Masculino</v>
      </c>
      <c r="P564" s="1"/>
      <c r="Q564" s="1"/>
      <c r="R564" s="1"/>
      <c r="S564" s="1"/>
      <c r="T564" s="1"/>
      <c r="U564" s="1"/>
      <c r="V564" s="1"/>
      <c r="W564" s="1"/>
      <c r="X564" s="1"/>
      <c r="Y564" s="1" t="str">
        <f>IFERROR(__xludf.DUMMYFUNCTION("""COMPUTED_VALUE"""),"Nonoai")</f>
        <v>Nonoai</v>
      </c>
      <c r="Z564" s="1"/>
      <c r="AA564" s="1"/>
      <c r="AB564" s="1"/>
      <c r="AC564" s="1"/>
      <c r="AD564" s="1"/>
      <c r="AE564" s="1"/>
      <c r="AF564" s="1"/>
      <c r="AG564" s="1" t="str">
        <f>IFERROR(__xludf.DUMMYFUNCTION("""COMPUTED_VALUE"""),"M")</f>
        <v>M</v>
      </c>
      <c r="AH564" s="1">
        <f>IFERROR(__xludf.DUMMYFUNCTION("""COMPUTED_VALUE"""),39)</f>
        <v>39</v>
      </c>
      <c r="AI564" s="1"/>
      <c r="AJ564" s="1"/>
      <c r="AK564" s="1"/>
      <c r="AL564" s="1" t="str">
        <f>IFERROR(__xludf.DUMMYFUNCTION("""COMPUTED_VALUE"""),"M")</f>
        <v>M</v>
      </c>
      <c r="AM564" s="1" t="str">
        <f>IFERROR(__xludf.DUMMYFUNCTION("""COMPUTED_VALUE"""),"M")</f>
        <v>M</v>
      </c>
      <c r="AN564" s="1" t="str">
        <f>IFERROR(__xludf.DUMMYFUNCTION("""COMPUTED_VALUE"""),"M")</f>
        <v>M</v>
      </c>
    </row>
    <row r="565" customHeight="1" spans="1:40">
      <c r="A565" s="1" t="str">
        <f>IFERROR(__xludf.DUMMYFUNCTION("""COMPUTED_VALUE"""),"07° BBM")</f>
        <v>07° BBM</v>
      </c>
      <c r="B565" s="1" t="str">
        <f>IFERROR(__xludf.DUMMYFUNCTION("""COMPUTED_VALUE"""),"Serafina Corrêa")</f>
        <v>Serafina Corrêa</v>
      </c>
      <c r="C565" s="119" t="str">
        <f>IFERROR(__xludf.DUMMYFUNCTION("""COMPUTED_VALUE"""),"CAB")</f>
        <v>CAB</v>
      </c>
      <c r="D565" s="1" t="str">
        <f>IFERROR(__xludf.DUMMYFUNCTION("""COMPUTED_VALUE"""),"CLAUCIR CARLOS FERRONATO")</f>
        <v>CLAUCIR CARLOS FERRONATO</v>
      </c>
      <c r="E565" s="119" t="str">
        <f>IFERROR(__xludf.DUMMYFUNCTION("""COMPUTED_VALUE"""),"Módulo 1 concluído")</f>
        <v>Módulo 1 concluído</v>
      </c>
      <c r="F565" s="1" t="str">
        <f>IFERROR(__xludf.DUMMYFUNCTION("""COMPUTED_VALUE"""),"412.668.620-72")</f>
        <v>412.668.620-72</v>
      </c>
      <c r="G565" s="1">
        <f>IFERROR(__xludf.DUMMYFUNCTION("""COMPUTED_VALUE"""),4029604396)</f>
        <v>4029604396</v>
      </c>
      <c r="H565" s="1" t="str">
        <f>IFERROR(__xludf.DUMMYFUNCTION("""COMPUTED_VALUE"""),"CAB CHEFE DE SOCORRO")</f>
        <v>CAB CHEFE DE SOCORRO</v>
      </c>
      <c r="I565" s="1" t="str">
        <f>IFERROR(__xludf.DUMMYFUNCTION("""COMPUTED_VALUE"""),"Bombeiro Civil Classe I - 306 HORAS CEVTE - Condutor de veiculo de emergencia - SEST/SENAT APH / BLS Primeira resposta em produtos perigosos - HAZMAT NR 10 NR 33 NR 35 Resgate de Passageiros Em Elevadores - Tyssen Kroup")</f>
        <v>Bombeiro Civil Classe I - 306 HORAS CEVTE - Condutor de veiculo de emergencia - SEST/SENAT APH / BLS Primeira resposta em produtos perigosos - HAZMAT NR 10 NR 33 NR 35 Resgate de Passageiros Em Elevadores - Tyssen Kroup</v>
      </c>
      <c r="J565" s="1" t="str">
        <f>IFERROR(__xludf.DUMMYFUNCTION("""COMPUTED_VALUE"""),"Não")</f>
        <v>Não</v>
      </c>
      <c r="K565" s="1" t="str">
        <f>IFERROR(__xludf.DUMMYFUNCTION("""COMPUTED_VALUE"""),"Não")</f>
        <v>Não</v>
      </c>
      <c r="L565" s="1" t="str">
        <f>IFERROR(__xludf.DUMMYFUNCTION("""COMPUTED_VALUE"""),"O-")</f>
        <v>O-</v>
      </c>
      <c r="M565" s="1" t="str">
        <f>IFERROR(__xludf.DUMMYFUNCTION("""COMPUTED_VALUE"""),"Claucir")</f>
        <v>Claucir</v>
      </c>
      <c r="N565" s="120">
        <f>IFERROR(__xludf.DUMMYFUNCTION("""COMPUTED_VALUE"""),24538)</f>
        <v>24538</v>
      </c>
      <c r="O565" s="1" t="str">
        <f>IFERROR(__xludf.DUMMYFUNCTION("""COMPUTED_VALUE"""),"Masculino")</f>
        <v>Masculino</v>
      </c>
      <c r="P565" s="1" t="str">
        <f>IFERROR(__xludf.DUMMYFUNCTION("""COMPUTED_VALUE"""),"Branca")</f>
        <v>Branca</v>
      </c>
      <c r="Q565" s="1" t="str">
        <f>IFERROR(__xludf.DUMMYFUNCTION("""COMPUTED_VALUE"""),"Ensino Médio")</f>
        <v>Ensino Médio</v>
      </c>
      <c r="R565" s="1" t="str">
        <f>IFERROR(__xludf.DUMMYFUNCTION("""COMPUTED_VALUE"""),"ccferronato@net11.com.br")</f>
        <v>ccferronato@net11.com.br</v>
      </c>
      <c r="S565" s="1">
        <f>IFERROR(__xludf.DUMMYFUNCTION("""COMPUTED_VALUE"""),92)</f>
        <v>92</v>
      </c>
      <c r="T565" s="1" t="str">
        <f>IFERROR(__xludf.DUMMYFUNCTION("""COMPUTED_VALUE"""),"Entre 1,76m e 1,80m")</f>
        <v>Entre 1,76m e 1,80m</v>
      </c>
      <c r="U565" s="1"/>
      <c r="V565" s="1" t="str">
        <f>IFERROR(__xludf.DUMMYFUNCTION("""COMPUTED_VALUE"""),"(54)99122-1707")</f>
        <v>(54)99122-1707</v>
      </c>
      <c r="W565" s="1" t="str">
        <f>IFERROR(__xludf.DUMMYFUNCTION("""COMPUTED_VALUE"""),"(54)996152-2549")</f>
        <v>(54)996152-2549</v>
      </c>
      <c r="X565" s="1" t="str">
        <f>IFERROR(__xludf.DUMMYFUNCTION("""COMPUTED_VALUE"""),"RS")</f>
        <v>RS</v>
      </c>
      <c r="Y565" s="1" t="str">
        <f>IFERROR(__xludf.DUMMYFUNCTION("""COMPUTED_VALUE"""),"Serafina Corrêa")</f>
        <v>Serafina Corrêa</v>
      </c>
      <c r="Z565" s="1" t="str">
        <f>IFERROR(__xludf.DUMMYFUNCTION("""COMPUTED_VALUE"""),"99250-000")</f>
        <v>99250-000</v>
      </c>
      <c r="AA565" s="1" t="str">
        <f>IFERROR(__xludf.DUMMYFUNCTION("""COMPUTED_VALUE"""),"Av. Miguel Soccol, 1670")</f>
        <v>Av. Miguel Soccol, 1670</v>
      </c>
      <c r="AB565" s="1" t="str">
        <f>IFERROR(__xludf.DUMMYFUNCTION("""COMPUTED_VALUE"""),"Aparecida")</f>
        <v>Aparecida</v>
      </c>
      <c r="AC565" s="1" t="str">
        <f>IFERROR(__xludf.DUMMYFUNCTION("""COMPUTED_VALUE"""),"GG")</f>
        <v>GG</v>
      </c>
      <c r="AD565" s="1" t="str">
        <f>IFERROR(__xludf.DUMMYFUNCTION("""COMPUTED_VALUE"""),"GG")</f>
        <v>GG</v>
      </c>
      <c r="AE565" s="1" t="str">
        <f>IFERROR(__xludf.DUMMYFUNCTION("""COMPUTED_VALUE"""),"GG")</f>
        <v>GG</v>
      </c>
      <c r="AF565" s="1" t="str">
        <f>IFERROR(__xludf.DUMMYFUNCTION("""COMPUTED_VALUE"""),"GG")</f>
        <v>GG</v>
      </c>
      <c r="AG565" s="1" t="str">
        <f>IFERROR(__xludf.DUMMYFUNCTION("""COMPUTED_VALUE"""),"GG")</f>
        <v>GG</v>
      </c>
      <c r="AH565" s="1">
        <f>IFERROR(__xludf.DUMMYFUNCTION("""COMPUTED_VALUE"""),41)</f>
        <v>41</v>
      </c>
      <c r="AI565" s="1">
        <f>IFERROR(__xludf.DUMMYFUNCTION("""COMPUTED_VALUE"""),41)</f>
        <v>41</v>
      </c>
      <c r="AJ565" s="1">
        <f>IFERROR(__xludf.DUMMYFUNCTION("""COMPUTED_VALUE"""),41)</f>
        <v>41</v>
      </c>
      <c r="AK565" s="1">
        <f>IFERROR(__xludf.DUMMYFUNCTION("""COMPUTED_VALUE"""),41)</f>
        <v>41</v>
      </c>
      <c r="AL565" s="1" t="str">
        <f>IFERROR(__xludf.DUMMYFUNCTION("""COMPUTED_VALUE"""),"GG")</f>
        <v>GG</v>
      </c>
      <c r="AM565" s="1" t="str">
        <f>IFERROR(__xludf.DUMMYFUNCTION("""COMPUTED_VALUE"""),"GG")</f>
        <v>GG</v>
      </c>
      <c r="AN565" s="1" t="str">
        <f>IFERROR(__xludf.DUMMYFUNCTION("""COMPUTED_VALUE"""),"GG")</f>
        <v>GG</v>
      </c>
    </row>
    <row r="566" customHeight="1" spans="1:40">
      <c r="A566" s="1"/>
      <c r="B566" s="1"/>
      <c r="C566" s="119"/>
      <c r="D566" s="1" t="str">
        <f>IFERROR(__xludf.DUMMYFUNCTION("""COMPUTED_VALUE"""),"CLAUDEMIR RIMOLDI CORREIA")</f>
        <v>CLAUDEMIR RIMOLDI CORREIA</v>
      </c>
      <c r="E566" s="119" t="str">
        <f>IFERROR(__xludf.DUMMYFUNCTION("""COMPUTED_VALUE"""),"Módulo 1 concluído")</f>
        <v>Módulo 1 concluído</v>
      </c>
      <c r="F566" s="1" t="str">
        <f>IFERROR(__xludf.DUMMYFUNCTION("""COMPUTED_VALUE"""),"018.662.000-46")</f>
        <v>018.662.000-46</v>
      </c>
      <c r="G566" s="1"/>
      <c r="H566" s="1"/>
      <c r="I566" s="1"/>
      <c r="J566" s="1"/>
      <c r="K566" s="1"/>
      <c r="L566" s="1"/>
      <c r="M566" s="1"/>
      <c r="N566" s="120"/>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row>
    <row r="567" customHeight="1" spans="1:40">
      <c r="A567" s="1" t="str">
        <f>IFERROR(__xludf.DUMMYFUNCTION("""COMPUTED_VALUE"""),"07° BBM")</f>
        <v>07° BBM</v>
      </c>
      <c r="B567" s="1" t="str">
        <f>IFERROR(__xludf.DUMMYFUNCTION("""COMPUTED_VALUE"""),"Não-Me-Toque")</f>
        <v>Não-Me-Toque</v>
      </c>
      <c r="C567" s="119" t="str">
        <f>IFERROR(__xludf.DUMMYFUNCTION("""COMPUTED_VALUE"""),"CAB")</f>
        <v>CAB</v>
      </c>
      <c r="D567" s="1" t="str">
        <f>IFERROR(__xludf.DUMMYFUNCTION("""COMPUTED_VALUE"""),"CLÁUDIO TRENTIN")</f>
        <v>CLÁUDIO TRENTIN</v>
      </c>
      <c r="E567" s="119" t="str">
        <f>IFERROR(__xludf.DUMMYFUNCTION("""COMPUTED_VALUE"""),"")</f>
        <v/>
      </c>
      <c r="F567" s="1" t="str">
        <f>IFERROR(__xludf.DUMMYFUNCTION("""COMPUTED_VALUE"""),"551.644.710-00")</f>
        <v>551.644.710-00</v>
      </c>
      <c r="G567" s="1">
        <f>IFERROR(__xludf.DUMMYFUNCTION("""COMPUTED_VALUE"""),3037690249)</f>
        <v>3037690249</v>
      </c>
      <c r="H567" s="1" t="str">
        <f>IFERROR(__xludf.DUMMYFUNCTION("""COMPUTED_VALUE"""),"BOMBEIRO")</f>
        <v>BOMBEIRO</v>
      </c>
      <c r="I567" s="1" t="str">
        <f>IFERROR(__xludf.DUMMYFUNCTION("""COMPUTED_VALUE"""),"Brigada de Incêndio/Nivelamento Operacional BV/EPI's e EPRA")</f>
        <v>Brigada de Incêndio/Nivelamento Operacional BV/EPI's e EPRA</v>
      </c>
      <c r="J567" s="1" t="str">
        <f>IFERROR(__xludf.DUMMYFUNCTION("""COMPUTED_VALUE"""),"Não")</f>
        <v>Não</v>
      </c>
      <c r="K567" s="1" t="str">
        <f>IFERROR(__xludf.DUMMYFUNCTION("""COMPUTED_VALUE"""),"Não")</f>
        <v>Não</v>
      </c>
      <c r="L567" s="1"/>
      <c r="M567" s="1"/>
      <c r="N567" s="1"/>
      <c r="O567" s="1"/>
      <c r="P567" s="1"/>
      <c r="Q567" s="1"/>
      <c r="R567" s="1"/>
      <c r="S567" s="1"/>
      <c r="T567" s="1"/>
      <c r="U567" s="1"/>
      <c r="V567" s="1"/>
      <c r="W567" s="1"/>
      <c r="X567" s="1" t="str">
        <f>IFERROR(__xludf.DUMMYFUNCTION("""COMPUTED_VALUE"""),"RS")</f>
        <v>RS</v>
      </c>
      <c r="Y567" s="1" t="str">
        <f>IFERROR(__xludf.DUMMYFUNCTION("""COMPUTED_VALUE"""),"Não-Me-Toque")</f>
        <v>Não-Me-Toque</v>
      </c>
      <c r="Z567" s="1" t="str">
        <f>IFERROR(__xludf.DUMMYFUNCTION("""COMPUTED_VALUE"""),"99470-000")</f>
        <v>99470-000</v>
      </c>
      <c r="AA567" s="1"/>
      <c r="AB567" s="1"/>
      <c r="AC567" s="1"/>
      <c r="AD567" s="1"/>
      <c r="AE567" s="1"/>
      <c r="AF567" s="1"/>
      <c r="AG567" s="1" t="str">
        <f>IFERROR(__xludf.DUMMYFUNCTION("""COMPUTED_VALUE"""),"G")</f>
        <v>G</v>
      </c>
      <c r="AH567" s="1">
        <f>IFERROR(__xludf.DUMMYFUNCTION("""COMPUTED_VALUE"""),40)</f>
        <v>40</v>
      </c>
      <c r="AI567" s="1"/>
      <c r="AJ567" s="1"/>
      <c r="AK567" s="1"/>
      <c r="AL567" s="1" t="str">
        <f>IFERROR(__xludf.DUMMYFUNCTION("""COMPUTED_VALUE"""),"G")</f>
        <v>G</v>
      </c>
      <c r="AM567" s="1" t="str">
        <f>IFERROR(__xludf.DUMMYFUNCTION("""COMPUTED_VALUE"""),"G")</f>
        <v>G</v>
      </c>
      <c r="AN567" s="1" t="str">
        <f>IFERROR(__xludf.DUMMYFUNCTION("""COMPUTED_VALUE"""),"G")</f>
        <v>G</v>
      </c>
    </row>
    <row r="568" customHeight="1" spans="1:40">
      <c r="A568" s="1" t="str">
        <f>IFERROR(__xludf.DUMMYFUNCTION("""COMPUTED_VALUE"""),"07° BBM")</f>
        <v>07° BBM</v>
      </c>
      <c r="B568" s="1" t="str">
        <f>IFERROR(__xludf.DUMMYFUNCTION("""COMPUTED_VALUE"""),"Jacutinga")</f>
        <v>Jacutinga</v>
      </c>
      <c r="C568" s="119" t="str">
        <f>IFERROR(__xludf.DUMMYFUNCTION("""COMPUTED_VALUE"""),"CAB")</f>
        <v>CAB</v>
      </c>
      <c r="D568" s="1" t="str">
        <f>IFERROR(__xludf.DUMMYFUNCTION("""COMPUTED_VALUE"""),"CLAUDIR PEGORARO")</f>
        <v>CLAUDIR PEGORARO</v>
      </c>
      <c r="E568" s="119" t="str">
        <f>IFERROR(__xludf.DUMMYFUNCTION("""COMPUTED_VALUE"""),"Módulo 1 concluído")</f>
        <v>Módulo 1 concluído</v>
      </c>
      <c r="F568" s="1" t="str">
        <f>IFERROR(__xludf.DUMMYFUNCTION("""COMPUTED_VALUE"""),"000.328.680-06")</f>
        <v>000.328.680-06</v>
      </c>
      <c r="G568" s="1">
        <f>IFERROR(__xludf.DUMMYFUNCTION("""COMPUTED_VALUE"""),2087498529)</f>
        <v>2087498529</v>
      </c>
      <c r="H568" s="1" t="str">
        <f>IFERROR(__xludf.DUMMYFUNCTION("""COMPUTED_VALUE"""),"Vice-Presidente")</f>
        <v>Vice-Presidente</v>
      </c>
      <c r="I568" s="1" t="str">
        <f>IFERROR(__xludf.DUMMYFUNCTION("""COMPUTED_VALUE"""),"TREINAMENTO EM APH, RESGATE VEICULAR E PREVENÇÃO E COMBATE A INCÊNDIO JUNTO AO CBM/RS")</f>
        <v>TREINAMENTO EM APH, RESGATE VEICULAR E PREVENÇÃO E COMBATE A INCÊNDIO JUNTO AO CBM/RS</v>
      </c>
      <c r="J568" s="1" t="str">
        <f>IFERROR(__xludf.DUMMYFUNCTION("""COMPUTED_VALUE"""),"Não")</f>
        <v>Não</v>
      </c>
      <c r="K568" s="1" t="str">
        <f>IFERROR(__xludf.DUMMYFUNCTION("""COMPUTED_VALUE"""),"Não")</f>
        <v>Não</v>
      </c>
      <c r="L568" s="1" t="str">
        <f>IFERROR(__xludf.DUMMYFUNCTION("""COMPUTED_VALUE"""),"O+")</f>
        <v>O+</v>
      </c>
      <c r="M568" s="1" t="str">
        <f>IFERROR(__xludf.DUMMYFUNCTION("""COMPUTED_VALUE"""),"Pegoraro")</f>
        <v>Pegoraro</v>
      </c>
      <c r="N568" s="120">
        <f>IFERROR(__xludf.DUMMYFUNCTION("""COMPUTED_VALUE"""),28768)</f>
        <v>28768</v>
      </c>
      <c r="O568" s="1" t="str">
        <f>IFERROR(__xludf.DUMMYFUNCTION("""COMPUTED_VALUE"""),"Masculino")</f>
        <v>Masculino</v>
      </c>
      <c r="P568" s="1" t="str">
        <f>IFERROR(__xludf.DUMMYFUNCTION("""COMPUTED_VALUE"""),"Branca")</f>
        <v>Branca</v>
      </c>
      <c r="Q568" s="1" t="str">
        <f>IFERROR(__xludf.DUMMYFUNCTION("""COMPUTED_VALUE"""),"Ensino Médio")</f>
        <v>Ensino Médio</v>
      </c>
      <c r="R568" s="1"/>
      <c r="S568" s="1">
        <f>IFERROR(__xludf.DUMMYFUNCTION("""COMPUTED_VALUE"""),90)</f>
        <v>90</v>
      </c>
      <c r="T568" s="1" t="str">
        <f>IFERROR(__xludf.DUMMYFUNCTION("""COMPUTED_VALUE"""),"Entre 1,71m e 1,75m")</f>
        <v>Entre 1,71m e 1,75m</v>
      </c>
      <c r="U568" s="1"/>
      <c r="V568" s="1" t="str">
        <f>IFERROR(__xludf.DUMMYFUNCTION("""COMPUTED_VALUE"""),"(54) 991932385")</f>
        <v>(54) 991932385</v>
      </c>
      <c r="W568" s="1" t="str">
        <f>IFERROR(__xludf.DUMMYFUNCTION("""COMPUTED_VALUE"""),"(54)999030957")</f>
        <v>(54)999030957</v>
      </c>
      <c r="X568" s="1" t="str">
        <f>IFERROR(__xludf.DUMMYFUNCTION("""COMPUTED_VALUE"""),"RS")</f>
        <v>RS</v>
      </c>
      <c r="Y568" s="1" t="str">
        <f>IFERROR(__xludf.DUMMYFUNCTION("""COMPUTED_VALUE"""),"Jacutinga")</f>
        <v>Jacutinga</v>
      </c>
      <c r="Z568" s="1" t="str">
        <f>IFERROR(__xludf.DUMMYFUNCTION("""COMPUTED_VALUE"""),"99730-000")</f>
        <v>99730-000</v>
      </c>
      <c r="AA568" s="1" t="str">
        <f>IFERROR(__xludf.DUMMYFUNCTION("""COMPUTED_VALUE"""),"Rua Pe. João Schimidt, 101")</f>
        <v>Rua Pe. João Schimidt, 101</v>
      </c>
      <c r="AB568" s="1" t="str">
        <f>IFERROR(__xludf.DUMMYFUNCTION("""COMPUTED_VALUE"""),"Centro")</f>
        <v>Centro</v>
      </c>
      <c r="AC568" s="1" t="str">
        <f>IFERROR(__xludf.DUMMYFUNCTION("""COMPUTED_VALUE"""),"GG")</f>
        <v>GG</v>
      </c>
      <c r="AD568" s="1" t="str">
        <f>IFERROR(__xludf.DUMMYFUNCTION("""COMPUTED_VALUE"""),"GG")</f>
        <v>GG</v>
      </c>
      <c r="AE568" s="1" t="str">
        <f>IFERROR(__xludf.DUMMYFUNCTION("""COMPUTED_VALUE"""),"GG")</f>
        <v>GG</v>
      </c>
      <c r="AF568" s="1" t="str">
        <f>IFERROR(__xludf.DUMMYFUNCTION("""COMPUTED_VALUE"""),"GG")</f>
        <v>GG</v>
      </c>
      <c r="AG568" s="1" t="str">
        <f>IFERROR(__xludf.DUMMYFUNCTION("""COMPUTED_VALUE"""),"GG")</f>
        <v>GG</v>
      </c>
      <c r="AH568" s="1">
        <f>IFERROR(__xludf.DUMMYFUNCTION("""COMPUTED_VALUE"""),42)</f>
        <v>42</v>
      </c>
      <c r="AI568" s="1">
        <f>IFERROR(__xludf.DUMMYFUNCTION("""COMPUTED_VALUE"""),41)</f>
        <v>41</v>
      </c>
      <c r="AJ568" s="1">
        <f>IFERROR(__xludf.DUMMYFUNCTION("""COMPUTED_VALUE"""),41)</f>
        <v>41</v>
      </c>
      <c r="AK568" s="1">
        <f>IFERROR(__xludf.DUMMYFUNCTION("""COMPUTED_VALUE"""),41)</f>
        <v>41</v>
      </c>
      <c r="AL568" s="1" t="str">
        <f>IFERROR(__xludf.DUMMYFUNCTION("""COMPUTED_VALUE"""),"GG")</f>
        <v>GG</v>
      </c>
      <c r="AM568" s="1" t="str">
        <f>IFERROR(__xludf.DUMMYFUNCTION("""COMPUTED_VALUE"""),"GG")</f>
        <v>GG</v>
      </c>
      <c r="AN568" s="1" t="str">
        <f>IFERROR(__xludf.DUMMYFUNCTION("""COMPUTED_VALUE"""),"G")</f>
        <v>G</v>
      </c>
    </row>
    <row r="569" customHeight="1" spans="1:40">
      <c r="A569" s="1" t="str">
        <f>IFERROR(__xludf.DUMMYFUNCTION("""COMPUTED_VALUE"""),"07° BBM")</f>
        <v>07° BBM</v>
      </c>
      <c r="B569" s="1" t="str">
        <f>IFERROR(__xludf.DUMMYFUNCTION("""COMPUTED_VALUE"""),"Gaurama")</f>
        <v>Gaurama</v>
      </c>
      <c r="C569" s="119" t="str">
        <f>IFERROR(__xludf.DUMMYFUNCTION("""COMPUTED_VALUE"""),"CAB")</f>
        <v>CAB</v>
      </c>
      <c r="D569" s="1" t="str">
        <f>IFERROR(__xludf.DUMMYFUNCTION("""COMPUTED_VALUE"""),"CLEBER NEI SOBIS")</f>
        <v>CLEBER NEI SOBIS</v>
      </c>
      <c r="E569" s="119" t="str">
        <f>IFERROR(__xludf.DUMMYFUNCTION("""COMPUTED_VALUE"""),"")</f>
        <v/>
      </c>
      <c r="F569" s="1" t="str">
        <f>IFERROR(__xludf.DUMMYFUNCTION("""COMPUTED_VALUE"""),"932.846.240-15")</f>
        <v>932.846.240-15</v>
      </c>
      <c r="G569" s="1">
        <f>IFERROR(__xludf.DUMMYFUNCTION("""COMPUTED_VALUE"""),4070626538)</f>
        <v>4070626538</v>
      </c>
      <c r="H569" s="1" t="str">
        <f>IFERROR(__xludf.DUMMYFUNCTION("""COMPUTED_VALUE"""),"Combatente")</f>
        <v>Combatente</v>
      </c>
      <c r="I569" s="1" t="str">
        <f>IFERROR(__xludf.DUMMYFUNCTION("""COMPUTED_VALUE"""),"Atendiemnto Suporte Básico de Vida")</f>
        <v>Atendiemnto Suporte Básico de Vida</v>
      </c>
      <c r="J569" s="1" t="str">
        <f>IFERROR(__xludf.DUMMYFUNCTION("""COMPUTED_VALUE"""),"Não")</f>
        <v>Não</v>
      </c>
      <c r="K569" s="1" t="str">
        <f>IFERROR(__xludf.DUMMYFUNCTION("""COMPUTED_VALUE"""),"Não")</f>
        <v>Não</v>
      </c>
      <c r="L569" s="1" t="str">
        <f>IFERROR(__xludf.DUMMYFUNCTION("""COMPUTED_VALUE"""),"O+")</f>
        <v>O+</v>
      </c>
      <c r="M569" s="1" t="str">
        <f>IFERROR(__xludf.DUMMYFUNCTION("""COMPUTED_VALUE"""),"SOBIS")</f>
        <v>SOBIS</v>
      </c>
      <c r="N569" s="121">
        <f>IFERROR(__xludf.DUMMYFUNCTION("""COMPUTED_VALUE"""),28786)</f>
        <v>28786</v>
      </c>
      <c r="O569" s="1" t="str">
        <f>IFERROR(__xludf.DUMMYFUNCTION("""COMPUTED_VALUE"""),"Masculino")</f>
        <v>Masculino</v>
      </c>
      <c r="P569" s="1" t="str">
        <f>IFERROR(__xludf.DUMMYFUNCTION("""COMPUTED_VALUE"""),"Branca")</f>
        <v>Branca</v>
      </c>
      <c r="Q569" s="1" t="str">
        <f>IFERROR(__xludf.DUMMYFUNCTION("""COMPUTED_VALUE"""),"Ensino Médio")</f>
        <v>Ensino Médio</v>
      </c>
      <c r="R569" s="1" t="str">
        <f>IFERROR(__xludf.DUMMYFUNCTION("""COMPUTED_VALUE"""),"pilotosobis@gemail.com")</f>
        <v>pilotosobis@gemail.com</v>
      </c>
      <c r="S569" s="1">
        <f>IFERROR(__xludf.DUMMYFUNCTION("""COMPUTED_VALUE"""),70)</f>
        <v>70</v>
      </c>
      <c r="T569" s="1" t="str">
        <f>IFERROR(__xludf.DUMMYFUNCTION("""COMPUTED_VALUE"""),"Entre 1,66m e 1,70m")</f>
        <v>Entre 1,66m e 1,70m</v>
      </c>
      <c r="U569" s="1"/>
      <c r="V569" s="1" t="str">
        <f>IFERROR(__xludf.DUMMYFUNCTION("""COMPUTED_VALUE"""),"(54)99920274")</f>
        <v>(54)99920274</v>
      </c>
      <c r="W569" s="1"/>
      <c r="X569" s="1" t="str">
        <f>IFERROR(__xludf.DUMMYFUNCTION("""COMPUTED_VALUE"""),"RS")</f>
        <v>RS</v>
      </c>
      <c r="Y569" s="1" t="str">
        <f>IFERROR(__xludf.DUMMYFUNCTION("""COMPUTED_VALUE"""),"Gaurama")</f>
        <v>Gaurama</v>
      </c>
      <c r="Z569" s="1">
        <f>IFERROR(__xludf.DUMMYFUNCTION("""COMPUTED_VALUE"""),99830000)</f>
        <v>99830000</v>
      </c>
      <c r="AA569" s="1" t="str">
        <f>IFERROR(__xludf.DUMMYFUNCTION("""COMPUTED_VALUE"""),"RUA JOSE ARMINDO MORON")</f>
        <v>RUA JOSE ARMINDO MORON</v>
      </c>
      <c r="AB569" s="1" t="str">
        <f>IFERROR(__xludf.DUMMYFUNCTION("""COMPUTED_VALUE"""),"CENTRO")</f>
        <v>CENTRO</v>
      </c>
      <c r="AC569" s="1" t="str">
        <f>IFERROR(__xludf.DUMMYFUNCTION("""COMPUTED_VALUE"""),"G")</f>
        <v>G</v>
      </c>
      <c r="AD569" s="1" t="str">
        <f>IFERROR(__xludf.DUMMYFUNCTION("""COMPUTED_VALUE"""),"G")</f>
        <v>G</v>
      </c>
      <c r="AE569" s="1" t="str">
        <f>IFERROR(__xludf.DUMMYFUNCTION("""COMPUTED_VALUE"""),"G")</f>
        <v>G</v>
      </c>
      <c r="AF569" s="1" t="str">
        <f>IFERROR(__xludf.DUMMYFUNCTION("""COMPUTED_VALUE"""),"M")</f>
        <v>M</v>
      </c>
      <c r="AG569" s="1" t="str">
        <f>IFERROR(__xludf.DUMMYFUNCTION("""COMPUTED_VALUE"""),"G")</f>
        <v>G</v>
      </c>
      <c r="AH569" s="1">
        <f>IFERROR(__xludf.DUMMYFUNCTION("""COMPUTED_VALUE"""),41)</f>
        <v>41</v>
      </c>
      <c r="AI569" s="1">
        <f>IFERROR(__xludf.DUMMYFUNCTION("""COMPUTED_VALUE"""),41)</f>
        <v>41</v>
      </c>
      <c r="AJ569" s="1">
        <f>IFERROR(__xludf.DUMMYFUNCTION("""COMPUTED_VALUE"""),41)</f>
        <v>41</v>
      </c>
      <c r="AK569" s="1">
        <f>IFERROR(__xludf.DUMMYFUNCTION("""COMPUTED_VALUE"""),41)</f>
        <v>41</v>
      </c>
      <c r="AL569" s="1" t="str">
        <f>IFERROR(__xludf.DUMMYFUNCTION("""COMPUTED_VALUE"""),"M")</f>
        <v>M</v>
      </c>
      <c r="AM569" s="1" t="str">
        <f>IFERROR(__xludf.DUMMYFUNCTION("""COMPUTED_VALUE"""),"M")</f>
        <v>M</v>
      </c>
      <c r="AN569" s="1" t="str">
        <f>IFERROR(__xludf.DUMMYFUNCTION("""COMPUTED_VALUE"""),"M")</f>
        <v>M</v>
      </c>
    </row>
    <row r="570" customHeight="1" spans="1:40">
      <c r="A570" s="1" t="str">
        <f>IFERROR(__xludf.DUMMYFUNCTION("""COMPUTED_VALUE"""),"07° BBM")</f>
        <v>07° BBM</v>
      </c>
      <c r="B570" s="1" t="str">
        <f>IFERROR(__xludf.DUMMYFUNCTION("""COMPUTED_VALUE"""),"Viadutos")</f>
        <v>Viadutos</v>
      </c>
      <c r="C570" s="119" t="str">
        <f>IFERROR(__xludf.DUMMYFUNCTION("""COMPUTED_VALUE"""),"CAB")</f>
        <v>CAB</v>
      </c>
      <c r="D570" s="1" t="str">
        <f>IFERROR(__xludf.DUMMYFUNCTION("""COMPUTED_VALUE"""),"CLEBER TORRES DOS SANTOS")</f>
        <v>CLEBER TORRES DOS SANTOS</v>
      </c>
      <c r="E570" s="119" t="str">
        <f>IFERROR(__xludf.DUMMYFUNCTION("""COMPUTED_VALUE"""),"Módulo 1 concluído")</f>
        <v>Módulo 1 concluído</v>
      </c>
      <c r="F570" s="1" t="str">
        <f>IFERROR(__xludf.DUMMYFUNCTION("""COMPUTED_VALUE"""),"010.232.460-31")</f>
        <v>010.232.460-31</v>
      </c>
      <c r="G570" s="1">
        <f>IFERROR(__xludf.DUMMYFUNCTION("""COMPUTED_VALUE"""),6090497634)</f>
        <v>6090497634</v>
      </c>
      <c r="H570" s="1" t="str">
        <f>IFERROR(__xludf.DUMMYFUNCTION("""COMPUTED_VALUE"""),"COMBATENTE")</f>
        <v>COMBATENTE</v>
      </c>
      <c r="I570" s="1" t="str">
        <f>IFERROR(__xludf.DUMMYFUNCTION("""COMPUTED_VALUE"""),"Atendiimento Suporte Básico de Vida/Formação de Brigada de Incêndio")</f>
        <v>Atendiimento Suporte Básico de Vida/Formação de Brigada de Incêndio</v>
      </c>
      <c r="J570" s="1" t="str">
        <f>IFERROR(__xludf.DUMMYFUNCTION("""COMPUTED_VALUE"""),"Não")</f>
        <v>Não</v>
      </c>
      <c r="K570" s="1" t="str">
        <f>IFERROR(__xludf.DUMMYFUNCTION("""COMPUTED_VALUE"""),"Não")</f>
        <v>Não</v>
      </c>
      <c r="L570" s="1" t="str">
        <f>IFERROR(__xludf.DUMMYFUNCTION("""COMPUTED_VALUE"""),"O+")</f>
        <v>O+</v>
      </c>
      <c r="M570" s="1" t="str">
        <f>IFERROR(__xludf.DUMMYFUNCTION("""COMPUTED_VALUE"""),"CLEBER")</f>
        <v>CLEBER</v>
      </c>
      <c r="N570" s="120">
        <f>IFERROR(__xludf.DUMMYFUNCTION("""COMPUTED_VALUE"""),31193)</f>
        <v>31193</v>
      </c>
      <c r="O570" s="1" t="str">
        <f>IFERROR(__xludf.DUMMYFUNCTION("""COMPUTED_VALUE"""),"Masculino")</f>
        <v>Masculino</v>
      </c>
      <c r="P570" s="1" t="str">
        <f>IFERROR(__xludf.DUMMYFUNCTION("""COMPUTED_VALUE"""),"Branca")</f>
        <v>Branca</v>
      </c>
      <c r="Q570" s="1" t="str">
        <f>IFERROR(__xludf.DUMMYFUNCTION("""COMPUTED_VALUE"""),"Ensino Médio")</f>
        <v>Ensino Médio</v>
      </c>
      <c r="R570" s="1" t="str">
        <f>IFERROR(__xludf.DUMMYFUNCTION("""COMPUTED_VALUE"""),"clebertorresdossantos@51@gmail.com")</f>
        <v>clebertorresdossantos@51@gmail.com</v>
      </c>
      <c r="S570" s="1">
        <f>IFERROR(__xludf.DUMMYFUNCTION("""COMPUTED_VALUE"""),87)</f>
        <v>87</v>
      </c>
      <c r="T570" s="1" t="str">
        <f>IFERROR(__xludf.DUMMYFUNCTION("""COMPUTED_VALUE"""),"Entre 1,76m e 1,80m")</f>
        <v>Entre 1,76m e 1,80m</v>
      </c>
      <c r="U570" s="1"/>
      <c r="V570" s="1" t="str">
        <f>IFERROR(__xludf.DUMMYFUNCTION("""COMPUTED_VALUE"""),"(54) 991278049 ")</f>
        <v>(54) 991278049 </v>
      </c>
      <c r="W570" s="1" t="str">
        <f>IFERROR(__xludf.DUMMYFUNCTION("""COMPUTED_VALUE"""),"(54) 999249531")</f>
        <v>(54) 999249531</v>
      </c>
      <c r="X570" s="1" t="str">
        <f>IFERROR(__xludf.DUMMYFUNCTION("""COMPUTED_VALUE"""),"RS")</f>
        <v>RS</v>
      </c>
      <c r="Y570" s="1" t="str">
        <f>IFERROR(__xludf.DUMMYFUNCTION("""COMPUTED_VALUE"""),"Viadutos")</f>
        <v>Viadutos</v>
      </c>
      <c r="Z570" s="1" t="str">
        <f>IFERROR(__xludf.DUMMYFUNCTION("""COMPUTED_VALUE"""),"99820-000")</f>
        <v>99820-000</v>
      </c>
      <c r="AA570" s="1" t="str">
        <f>IFERROR(__xludf.DUMMYFUNCTION("""COMPUTED_VALUE"""),"Rua Candido Munaro 58")</f>
        <v>Rua Candido Munaro 58</v>
      </c>
      <c r="AB570" s="1" t="str">
        <f>IFERROR(__xludf.DUMMYFUNCTION("""COMPUTED_VALUE"""),"Frigorifico")</f>
        <v>Frigorifico</v>
      </c>
      <c r="AC570" s="1" t="str">
        <f>IFERROR(__xludf.DUMMYFUNCTION("""COMPUTED_VALUE"""),"G")</f>
        <v>G</v>
      </c>
      <c r="AD570" s="1" t="str">
        <f>IFERROR(__xludf.DUMMYFUNCTION("""COMPUTED_VALUE"""),"G")</f>
        <v>G</v>
      </c>
      <c r="AE570" s="1" t="str">
        <f>IFERROR(__xludf.DUMMYFUNCTION("""COMPUTED_VALUE"""),"G")</f>
        <v>G</v>
      </c>
      <c r="AF570" s="1" t="str">
        <f>IFERROR(__xludf.DUMMYFUNCTION("""COMPUTED_VALUE"""),"G")</f>
        <v>G</v>
      </c>
      <c r="AG570" s="1" t="str">
        <f>IFERROR(__xludf.DUMMYFUNCTION("""COMPUTED_VALUE"""),"G")</f>
        <v>G</v>
      </c>
      <c r="AH570" s="1">
        <f>IFERROR(__xludf.DUMMYFUNCTION("""COMPUTED_VALUE"""),43)</f>
        <v>43</v>
      </c>
      <c r="AI570" s="1">
        <f>IFERROR(__xludf.DUMMYFUNCTION("""COMPUTED_VALUE"""),42)</f>
        <v>42</v>
      </c>
      <c r="AJ570" s="1">
        <f>IFERROR(__xludf.DUMMYFUNCTION("""COMPUTED_VALUE"""),42)</f>
        <v>42</v>
      </c>
      <c r="AK570" s="1">
        <f>IFERROR(__xludf.DUMMYFUNCTION("""COMPUTED_VALUE"""),42)</f>
        <v>42</v>
      </c>
      <c r="AL570" s="1" t="str">
        <f>IFERROR(__xludf.DUMMYFUNCTION("""COMPUTED_VALUE"""),"G")</f>
        <v>G</v>
      </c>
      <c r="AM570" s="1" t="str">
        <f>IFERROR(__xludf.DUMMYFUNCTION("""COMPUTED_VALUE"""),"G")</f>
        <v>G</v>
      </c>
      <c r="AN570" s="1" t="str">
        <f>IFERROR(__xludf.DUMMYFUNCTION("""COMPUTED_VALUE"""),"G")</f>
        <v>G</v>
      </c>
    </row>
    <row r="571" customHeight="1" spans="1:40">
      <c r="A571" s="1" t="str">
        <f>IFERROR(__xludf.DUMMYFUNCTION("""COMPUTED_VALUE"""),"07° BBM")</f>
        <v>07° BBM</v>
      </c>
      <c r="B571" s="1" t="str">
        <f>IFERROR(__xludf.DUMMYFUNCTION("""COMPUTED_VALUE"""),"Faxinalzinho")</f>
        <v>Faxinalzinho</v>
      </c>
      <c r="C571" s="119" t="str">
        <f>IFERROR(__xludf.DUMMYFUNCTION("""COMPUTED_VALUE"""),"CAB")</f>
        <v>CAB</v>
      </c>
      <c r="D571" s="1" t="str">
        <f>IFERROR(__xludf.DUMMYFUNCTION("""COMPUTED_VALUE"""),"CLECIO MUSSI LARA")</f>
        <v>CLECIO MUSSI LARA</v>
      </c>
      <c r="E571" s="119" t="str">
        <f>IFERROR(__xludf.DUMMYFUNCTION("""COMPUTED_VALUE"""),"")</f>
        <v/>
      </c>
      <c r="F571" s="1" t="str">
        <f>IFERROR(__xludf.DUMMYFUNCTION("""COMPUTED_VALUE"""),"718.763.320-34")</f>
        <v>718.763.320-34</v>
      </c>
      <c r="G571" s="1">
        <f>IFERROR(__xludf.DUMMYFUNCTION("""COMPUTED_VALUE"""),7064705069)</f>
        <v>7064705069</v>
      </c>
      <c r="H571" s="1" t="str">
        <f>IFERROR(__xludf.DUMMYFUNCTION("""COMPUTED_VALUE"""),"Comunicador")</f>
        <v>Comunicador</v>
      </c>
      <c r="I571" s="1" t="str">
        <f>IFERROR(__xludf.DUMMYFUNCTION("""COMPUTED_VALUE"""),"Combate a Incendios")</f>
        <v>Combate a Incendios</v>
      </c>
      <c r="J571" s="1"/>
      <c r="K571" s="1" t="str">
        <f>IFERROR(__xludf.DUMMYFUNCTION("""COMPUTED_VALUE"""),"Não")</f>
        <v>Não</v>
      </c>
      <c r="L571" s="1"/>
      <c r="M571" s="1"/>
      <c r="N571" s="121"/>
      <c r="O571" s="1" t="str">
        <f>IFERROR(__xludf.DUMMYFUNCTION("""COMPUTED_VALUE"""),"Masculino")</f>
        <v>Masculino</v>
      </c>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row>
    <row r="572" customHeight="1" spans="1:40">
      <c r="A572" s="1" t="str">
        <f>IFERROR(__xludf.DUMMYFUNCTION("""COMPUTED_VALUE"""),"07° BBM")</f>
        <v>07° BBM</v>
      </c>
      <c r="B572" s="1" t="str">
        <f>IFERROR(__xludf.DUMMYFUNCTION("""COMPUTED_VALUE"""),"Aratiba")</f>
        <v>Aratiba</v>
      </c>
      <c r="C572" s="119" t="str">
        <f>IFERROR(__xludf.DUMMYFUNCTION("""COMPUTED_VALUE"""),"CAB")</f>
        <v>CAB</v>
      </c>
      <c r="D572" s="1" t="str">
        <f>IFERROR(__xludf.DUMMYFUNCTION("""COMPUTED_VALUE"""),"CLEIMAR FROZZA")</f>
        <v>CLEIMAR FROZZA</v>
      </c>
      <c r="E572" s="119" t="str">
        <f>IFERROR(__xludf.DUMMYFUNCTION("""COMPUTED_VALUE"""),"Módulo 1 concluído")</f>
        <v>Módulo 1 concluído</v>
      </c>
      <c r="F572" s="1" t="str">
        <f>IFERROR(__xludf.DUMMYFUNCTION("""COMPUTED_VALUE"""),"000.432.250-98")</f>
        <v>000.432.250-98</v>
      </c>
      <c r="G572" s="1">
        <f>IFERROR(__xludf.DUMMYFUNCTION("""COMPUTED_VALUE"""),1083813863)</f>
        <v>1083813863</v>
      </c>
      <c r="H572" s="1" t="str">
        <f>IFERROR(__xludf.DUMMYFUNCTION("""COMPUTED_VALUE"""),"Sub Coordenador")</f>
        <v>Sub Coordenador</v>
      </c>
      <c r="I572" s="1" t="str">
        <f>IFERROR(__xludf.DUMMYFUNCTION("""COMPUTED_VALUE"""),"Curso de APH, CEVTE - Condutor de veiculo de emergência, prevenção e combate a incêndios junto ao CBM/RS")</f>
        <v>Curso de APH, CEVTE - Condutor de veiculo de emergência, prevenção e combate a incêndios junto ao CBM/RS</v>
      </c>
      <c r="J572" s="1" t="str">
        <f>IFERROR(__xludf.DUMMYFUNCTION("""COMPUTED_VALUE"""),"Sim")</f>
        <v>Sim</v>
      </c>
      <c r="K572" s="1" t="str">
        <f>IFERROR(__xludf.DUMMYFUNCTION("""COMPUTED_VALUE"""),"Não")</f>
        <v>Não</v>
      </c>
      <c r="L572" s="1" t="str">
        <f>IFERROR(__xludf.DUMMYFUNCTION("""COMPUTED_VALUE"""),"A+")</f>
        <v>A+</v>
      </c>
      <c r="M572" s="1" t="str">
        <f>IFERROR(__xludf.DUMMYFUNCTION("""COMPUTED_VALUE"""),"FROZZA ")</f>
        <v>FROZZA </v>
      </c>
      <c r="N572" s="120">
        <f>IFERROR(__xludf.DUMMYFUNCTION("""COMPUTED_VALUE"""),29923)</f>
        <v>29923</v>
      </c>
      <c r="O572" s="1" t="str">
        <f>IFERROR(__xludf.DUMMYFUNCTION("""COMPUTED_VALUE"""),"Masculino")</f>
        <v>Masculino</v>
      </c>
      <c r="P572" s="1" t="str">
        <f>IFERROR(__xludf.DUMMYFUNCTION("""COMPUTED_VALUE"""),"Branca")</f>
        <v>Branca</v>
      </c>
      <c r="Q572" s="1" t="str">
        <f>IFERROR(__xludf.DUMMYFUNCTION("""COMPUTED_VALUE"""),"Ensino Médio")</f>
        <v>Ensino Médio</v>
      </c>
      <c r="R572" s="1" t="str">
        <f>IFERROR(__xludf.DUMMYFUNCTION("""COMPUTED_VALUE"""),"cfrozza@hotmail.com")</f>
        <v>cfrozza@hotmail.com</v>
      </c>
      <c r="S572" s="1">
        <f>IFERROR(__xludf.DUMMYFUNCTION("""COMPUTED_VALUE"""),76)</f>
        <v>76</v>
      </c>
      <c r="T572" s="1" t="str">
        <f>IFERROR(__xludf.DUMMYFUNCTION("""COMPUTED_VALUE"""),"Entre 1,71m e 1,75m")</f>
        <v>Entre 1,71m e 1,75m</v>
      </c>
      <c r="U572" s="1"/>
      <c r="V572" s="1" t="str">
        <f>IFERROR(__xludf.DUMMYFUNCTION("""COMPUTED_VALUE"""),"(54)991064627")</f>
        <v>(54)991064627</v>
      </c>
      <c r="W572" s="1" t="str">
        <f>IFERROR(__xludf.DUMMYFUNCTION("""COMPUTED_VALUE"""),"(54)991064627")</f>
        <v>(54)991064627</v>
      </c>
      <c r="X572" s="1" t="str">
        <f>IFERROR(__xludf.DUMMYFUNCTION("""COMPUTED_VALUE"""),"RS")</f>
        <v>RS</v>
      </c>
      <c r="Y572" s="1" t="str">
        <f>IFERROR(__xludf.DUMMYFUNCTION("""COMPUTED_VALUE"""),"Aratiba")</f>
        <v>Aratiba</v>
      </c>
      <c r="Z572" s="1">
        <f>IFERROR(__xludf.DUMMYFUNCTION("""COMPUTED_VALUE"""),99770000)</f>
        <v>99770000</v>
      </c>
      <c r="AA572" s="1" t="str">
        <f>IFERROR(__xludf.DUMMYFUNCTION("""COMPUTED_VALUE"""),"Rua Rafael Leocádio dos Santos n 106")</f>
        <v>Rua Rafael Leocádio dos Santos n 106</v>
      </c>
      <c r="AB572" s="1" t="str">
        <f>IFERROR(__xludf.DUMMYFUNCTION("""COMPUTED_VALUE"""),"Santo Expedito ")</f>
        <v>Santo Expedito </v>
      </c>
      <c r="AC572" s="1" t="str">
        <f>IFERROR(__xludf.DUMMYFUNCTION("""COMPUTED_VALUE"""),"G")</f>
        <v>G</v>
      </c>
      <c r="AD572" s="1" t="str">
        <f>IFERROR(__xludf.DUMMYFUNCTION("""COMPUTED_VALUE"""),"G")</f>
        <v>G</v>
      </c>
      <c r="AE572" s="1" t="str">
        <f>IFERROR(__xludf.DUMMYFUNCTION("""COMPUTED_VALUE"""),"G")</f>
        <v>G</v>
      </c>
      <c r="AF572" s="1" t="str">
        <f>IFERROR(__xludf.DUMMYFUNCTION("""COMPUTED_VALUE"""),"G")</f>
        <v>G</v>
      </c>
      <c r="AG572" s="1" t="str">
        <f>IFERROR(__xludf.DUMMYFUNCTION("""COMPUTED_VALUE"""),"G")</f>
        <v>G</v>
      </c>
      <c r="AH572" s="1">
        <f>IFERROR(__xludf.DUMMYFUNCTION("""COMPUTED_VALUE"""),41)</f>
        <v>41</v>
      </c>
      <c r="AI572" s="1">
        <f>IFERROR(__xludf.DUMMYFUNCTION("""COMPUTED_VALUE"""),40)</f>
        <v>40</v>
      </c>
      <c r="AJ572" s="1">
        <f>IFERROR(__xludf.DUMMYFUNCTION("""COMPUTED_VALUE"""),40)</f>
        <v>40</v>
      </c>
      <c r="AK572" s="1">
        <f>IFERROR(__xludf.DUMMYFUNCTION("""COMPUTED_VALUE"""),40)</f>
        <v>40</v>
      </c>
      <c r="AL572" s="1" t="str">
        <f>IFERROR(__xludf.DUMMYFUNCTION("""COMPUTED_VALUE"""),"G")</f>
        <v>G</v>
      </c>
      <c r="AM572" s="1" t="str">
        <f>IFERROR(__xludf.DUMMYFUNCTION("""COMPUTED_VALUE"""),"G")</f>
        <v>G</v>
      </c>
      <c r="AN572" s="1" t="str">
        <f>IFERROR(__xludf.DUMMYFUNCTION("""COMPUTED_VALUE"""),"G")</f>
        <v>G</v>
      </c>
    </row>
    <row r="573" customHeight="1" spans="1:40">
      <c r="A573" s="1" t="str">
        <f>IFERROR(__xludf.DUMMYFUNCTION("""COMPUTED_VALUE"""),"07° BBM")</f>
        <v>07° BBM</v>
      </c>
      <c r="B573" s="1" t="str">
        <f>IFERROR(__xludf.DUMMYFUNCTION("""COMPUTED_VALUE"""),"Erval Grande")</f>
        <v>Erval Grande</v>
      </c>
      <c r="C573" s="119" t="str">
        <f>IFERROR(__xludf.DUMMYFUNCTION("""COMPUTED_VALUE"""),"CAB")</f>
        <v>CAB</v>
      </c>
      <c r="D573" s="1" t="str">
        <f>IFERROR(__xludf.DUMMYFUNCTION("""COMPUTED_VALUE"""),"CLEONEI BAZI")</f>
        <v>CLEONEI BAZI</v>
      </c>
      <c r="E573" s="119" t="str">
        <f>IFERROR(__xludf.DUMMYFUNCTION("""COMPUTED_VALUE"""),"")</f>
        <v/>
      </c>
      <c r="F573" s="1"/>
      <c r="G573" s="1"/>
      <c r="H573" s="1"/>
      <c r="I573" s="1"/>
      <c r="J573" s="1"/>
      <c r="K573" s="1"/>
      <c r="L573" s="1"/>
      <c r="M573" s="1"/>
      <c r="N573" s="120">
        <f>IFERROR(__xludf.DUMMYFUNCTION("""COMPUTED_VALUE"""),29818)</f>
        <v>29818</v>
      </c>
      <c r="O573" s="1" t="str">
        <f>IFERROR(__xludf.DUMMYFUNCTION("""COMPUTED_VALUE"""),"Masculino")</f>
        <v>Masculino</v>
      </c>
      <c r="P573" s="1"/>
      <c r="Q573" s="1"/>
      <c r="R573" s="1"/>
      <c r="S573" s="1"/>
      <c r="T573" s="1"/>
      <c r="U573" s="1"/>
      <c r="V573" s="1"/>
      <c r="W573" s="1"/>
      <c r="X573" s="1"/>
      <c r="Y573" s="1"/>
      <c r="Z573" s="1"/>
      <c r="AA573" s="1"/>
      <c r="AB573" s="1"/>
      <c r="AC573" s="1"/>
      <c r="AD573" s="1"/>
      <c r="AE573" s="1"/>
      <c r="AF573" s="1"/>
      <c r="AG573" s="1" t="str">
        <f>IFERROR(__xludf.DUMMYFUNCTION("""COMPUTED_VALUE"""),"M")</f>
        <v>M</v>
      </c>
      <c r="AH573" s="1">
        <f>IFERROR(__xludf.DUMMYFUNCTION("""COMPUTED_VALUE"""),36)</f>
        <v>36</v>
      </c>
      <c r="AI573" s="1"/>
      <c r="AJ573" s="1"/>
      <c r="AK573" s="1"/>
      <c r="AL573" s="1" t="str">
        <f>IFERROR(__xludf.DUMMYFUNCTION("""COMPUTED_VALUE"""),"M")</f>
        <v>M</v>
      </c>
      <c r="AM573" s="1" t="str">
        <f>IFERROR(__xludf.DUMMYFUNCTION("""COMPUTED_VALUE"""),"M")</f>
        <v>M</v>
      </c>
      <c r="AN573" s="1" t="str">
        <f>IFERROR(__xludf.DUMMYFUNCTION("""COMPUTED_VALUE"""),"M")</f>
        <v>M</v>
      </c>
    </row>
    <row r="574" customHeight="1" spans="1:40">
      <c r="A574" s="1" t="str">
        <f>IFERROR(__xludf.DUMMYFUNCTION("""COMPUTED_VALUE"""),"07° BBM")</f>
        <v>07° BBM</v>
      </c>
      <c r="B574" s="1" t="str">
        <f>IFERROR(__xludf.DUMMYFUNCTION("""COMPUTED_VALUE"""),"Viadutos")</f>
        <v>Viadutos</v>
      </c>
      <c r="C574" s="119" t="str">
        <f>IFERROR(__xludf.DUMMYFUNCTION("""COMPUTED_VALUE"""),"CAB")</f>
        <v>CAB</v>
      </c>
      <c r="D574" s="1" t="str">
        <f>IFERROR(__xludf.DUMMYFUNCTION("""COMPUTED_VALUE"""),"CRISTIAN BELLÉ")</f>
        <v>CRISTIAN BELLÉ</v>
      </c>
      <c r="E574" s="119" t="str">
        <f>IFERROR(__xludf.DUMMYFUNCTION("""COMPUTED_VALUE"""),"Módulo 1 concluído")</f>
        <v>Módulo 1 concluído</v>
      </c>
      <c r="F574" s="1" t="str">
        <f>IFERROR(__xludf.DUMMYFUNCTION("""COMPUTED_VALUE"""),"020.179.190-04")</f>
        <v>020.179.190-04</v>
      </c>
      <c r="G574" s="1">
        <f>IFERROR(__xludf.DUMMYFUNCTION("""COMPUTED_VALUE"""),2097504936)</f>
        <v>2097504936</v>
      </c>
      <c r="H574" s="1" t="str">
        <f>IFERROR(__xludf.DUMMYFUNCTION("""COMPUTED_VALUE"""),"COMBATENTE")</f>
        <v>COMBATENTE</v>
      </c>
      <c r="I574" s="1" t="str">
        <f>IFERROR(__xludf.DUMMYFUNCTION("""COMPUTED_VALUE"""),"Atendiimento Suporte Básico de Vida")</f>
        <v>Atendiimento Suporte Básico de Vida</v>
      </c>
      <c r="J574" s="1" t="str">
        <f>IFERROR(__xludf.DUMMYFUNCTION("""COMPUTED_VALUE"""),"Não")</f>
        <v>Não</v>
      </c>
      <c r="K574" s="1" t="str">
        <f>IFERROR(__xludf.DUMMYFUNCTION("""COMPUTED_VALUE"""),"Não")</f>
        <v>Não</v>
      </c>
      <c r="L574" s="1" t="str">
        <f>IFERROR(__xludf.DUMMYFUNCTION("""COMPUTED_VALUE"""),"B+")</f>
        <v>B+</v>
      </c>
      <c r="M574" s="1" t="str">
        <f>IFERROR(__xludf.DUMMYFUNCTION("""COMPUTED_VALUE"""),"BELLÉ")</f>
        <v>BELLÉ</v>
      </c>
      <c r="N574" s="121">
        <f>IFERROR(__xludf.DUMMYFUNCTION("""COMPUTED_VALUE"""),32435)</f>
        <v>32435</v>
      </c>
      <c r="O574" s="1" t="str">
        <f>IFERROR(__xludf.DUMMYFUNCTION("""COMPUTED_VALUE"""),"Masculino")</f>
        <v>Masculino</v>
      </c>
      <c r="P574" s="1" t="str">
        <f>IFERROR(__xludf.DUMMYFUNCTION("""COMPUTED_VALUE"""),"Branca")</f>
        <v>Branca</v>
      </c>
      <c r="Q574" s="1"/>
      <c r="R574" s="1" t="str">
        <f>IFERROR(__xludf.DUMMYFUNCTION("""COMPUTED_VALUE"""),"ccristianbelle32.cb@gmail.com")</f>
        <v>ccristianbelle32.cb@gmail.com</v>
      </c>
      <c r="S574" s="1">
        <f>IFERROR(__xludf.DUMMYFUNCTION("""COMPUTED_VALUE"""),86)</f>
        <v>86</v>
      </c>
      <c r="T574" s="1" t="str">
        <f>IFERROR(__xludf.DUMMYFUNCTION("""COMPUTED_VALUE"""),"Entre 1,71m e 1,75m")</f>
        <v>Entre 1,71m e 1,75m</v>
      </c>
      <c r="U574" s="1"/>
      <c r="V574" s="1" t="str">
        <f>IFERROR(__xludf.DUMMYFUNCTION("""COMPUTED_VALUE"""),"(54) 999846640")</f>
        <v>(54) 999846640</v>
      </c>
      <c r="W574" s="1" t="str">
        <f>IFERROR(__xludf.DUMMYFUNCTION("""COMPUTED_VALUE"""),"(54) 999249531")</f>
        <v>(54) 999249531</v>
      </c>
      <c r="X574" s="1" t="str">
        <f>IFERROR(__xludf.DUMMYFUNCTION("""COMPUTED_VALUE"""),"RS")</f>
        <v>RS</v>
      </c>
      <c r="Y574" s="1" t="str">
        <f>IFERROR(__xludf.DUMMYFUNCTION("""COMPUTED_VALUE"""),"Viadutos")</f>
        <v>Viadutos</v>
      </c>
      <c r="Z574" s="1" t="str">
        <f>IFERROR(__xludf.DUMMYFUNCTION("""COMPUTED_VALUE"""),"99820-000")</f>
        <v>99820-000</v>
      </c>
      <c r="AA574" s="1" t="str">
        <f>IFERROR(__xludf.DUMMYFUNCTION("""COMPUTED_VALUE"""),"Avenida Brasil 43")</f>
        <v>Avenida Brasil 43</v>
      </c>
      <c r="AB574" s="1" t="str">
        <f>IFERROR(__xludf.DUMMYFUNCTION("""COMPUTED_VALUE"""),"Centro")</f>
        <v>Centro</v>
      </c>
      <c r="AC574" s="1" t="str">
        <f>IFERROR(__xludf.DUMMYFUNCTION("""COMPUTED_VALUE"""),"G")</f>
        <v>G</v>
      </c>
      <c r="AD574" s="1" t="str">
        <f>IFERROR(__xludf.DUMMYFUNCTION("""COMPUTED_VALUE"""),"G")</f>
        <v>G</v>
      </c>
      <c r="AE574" s="1" t="str">
        <f>IFERROR(__xludf.DUMMYFUNCTION("""COMPUTED_VALUE"""),"G")</f>
        <v>G</v>
      </c>
      <c r="AF574" s="1" t="str">
        <f>IFERROR(__xludf.DUMMYFUNCTION("""COMPUTED_VALUE"""),"G")</f>
        <v>G</v>
      </c>
      <c r="AG574" s="1" t="str">
        <f>IFERROR(__xludf.DUMMYFUNCTION("""COMPUTED_VALUE"""),"G")</f>
        <v>G</v>
      </c>
      <c r="AH574" s="1">
        <f>IFERROR(__xludf.DUMMYFUNCTION("""COMPUTED_VALUE"""),41)</f>
        <v>41</v>
      </c>
      <c r="AI574" s="1">
        <f>IFERROR(__xludf.DUMMYFUNCTION("""COMPUTED_VALUE"""),40)</f>
        <v>40</v>
      </c>
      <c r="AJ574" s="1">
        <f>IFERROR(__xludf.DUMMYFUNCTION("""COMPUTED_VALUE"""),40)</f>
        <v>40</v>
      </c>
      <c r="AK574" s="1">
        <f>IFERROR(__xludf.DUMMYFUNCTION("""COMPUTED_VALUE"""),40)</f>
        <v>40</v>
      </c>
      <c r="AL574" s="1" t="str">
        <f>IFERROR(__xludf.DUMMYFUNCTION("""COMPUTED_VALUE"""),"G")</f>
        <v>G</v>
      </c>
      <c r="AM574" s="1" t="str">
        <f>IFERROR(__xludf.DUMMYFUNCTION("""COMPUTED_VALUE"""),"G")</f>
        <v>G</v>
      </c>
      <c r="AN574" s="1" t="str">
        <f>IFERROR(__xludf.DUMMYFUNCTION("""COMPUTED_VALUE"""),"M")</f>
        <v>M</v>
      </c>
    </row>
    <row r="575" customHeight="1" spans="1:40">
      <c r="A575" s="1" t="str">
        <f>IFERROR(__xludf.DUMMYFUNCTION("""COMPUTED_VALUE"""),"07° BBM")</f>
        <v>07° BBM</v>
      </c>
      <c r="B575" s="1" t="str">
        <f>IFERROR(__xludf.DUMMYFUNCTION("""COMPUTED_VALUE"""),"Erval Grande")</f>
        <v>Erval Grande</v>
      </c>
      <c r="C575" s="119" t="str">
        <f>IFERROR(__xludf.DUMMYFUNCTION("""COMPUTED_VALUE"""),"CAB")</f>
        <v>CAB</v>
      </c>
      <c r="D575" s="1" t="str">
        <f>IFERROR(__xludf.DUMMYFUNCTION("""COMPUTED_VALUE"""),"CRISTIAN NONNENMACHER")</f>
        <v>CRISTIAN NONNENMACHER</v>
      </c>
      <c r="E575" s="119" t="str">
        <f>IFERROR(__xludf.DUMMYFUNCTION("""COMPUTED_VALUE"""),"")</f>
        <v/>
      </c>
      <c r="F575" s="1"/>
      <c r="G575" s="1"/>
      <c r="H575" s="1"/>
      <c r="I575" s="1"/>
      <c r="J575" s="1"/>
      <c r="K575" s="1"/>
      <c r="L575" s="1"/>
      <c r="M575" s="1"/>
      <c r="N575" s="120">
        <f>IFERROR(__xludf.DUMMYFUNCTION("""COMPUTED_VALUE"""),31846)</f>
        <v>31846</v>
      </c>
      <c r="O575" s="1" t="str">
        <f>IFERROR(__xludf.DUMMYFUNCTION("""COMPUTED_VALUE"""),"Masculino")</f>
        <v>Masculino</v>
      </c>
      <c r="P575" s="1"/>
      <c r="Q575" s="1"/>
      <c r="R575" s="1"/>
      <c r="S575" s="1"/>
      <c r="T575" s="1"/>
      <c r="U575" s="1"/>
      <c r="V575" s="1"/>
      <c r="W575" s="1"/>
      <c r="X575" s="1"/>
      <c r="Y575" s="1"/>
      <c r="Z575" s="1"/>
      <c r="AA575" s="1"/>
      <c r="AB575" s="1"/>
      <c r="AC575" s="1"/>
      <c r="AD575" s="1"/>
      <c r="AE575" s="1"/>
      <c r="AF575" s="1"/>
      <c r="AG575" s="1" t="str">
        <f>IFERROR(__xludf.DUMMYFUNCTION("""COMPUTED_VALUE"""),"M")</f>
        <v>M</v>
      </c>
      <c r="AH575" s="1">
        <f>IFERROR(__xludf.DUMMYFUNCTION("""COMPUTED_VALUE"""),37)</f>
        <v>37</v>
      </c>
      <c r="AI575" s="1"/>
      <c r="AJ575" s="1"/>
      <c r="AK575" s="1"/>
      <c r="AL575" s="1" t="str">
        <f>IFERROR(__xludf.DUMMYFUNCTION("""COMPUTED_VALUE"""),"M")</f>
        <v>M</v>
      </c>
      <c r="AM575" s="1" t="str">
        <f>IFERROR(__xludf.DUMMYFUNCTION("""COMPUTED_VALUE"""),"M")</f>
        <v>M</v>
      </c>
      <c r="AN575" s="1" t="str">
        <f>IFERROR(__xludf.DUMMYFUNCTION("""COMPUTED_VALUE"""),"M")</f>
        <v>M</v>
      </c>
    </row>
    <row r="576" customHeight="1" spans="1:40">
      <c r="A576" s="1" t="str">
        <f>IFERROR(__xludf.DUMMYFUNCTION("""COMPUTED_VALUE"""),"07° BBM")</f>
        <v>07° BBM</v>
      </c>
      <c r="B576" s="1" t="str">
        <f>IFERROR(__xludf.DUMMYFUNCTION("""COMPUTED_VALUE"""),"Faxinalzinho")</f>
        <v>Faxinalzinho</v>
      </c>
      <c r="C576" s="119" t="str">
        <f>IFERROR(__xludf.DUMMYFUNCTION("""COMPUTED_VALUE"""),"CAB")</f>
        <v>CAB</v>
      </c>
      <c r="D576" s="1" t="str">
        <f>IFERROR(__xludf.DUMMYFUNCTION("""COMPUTED_VALUE"""),"CRISTIANE REBONATTO PEREIRA")</f>
        <v>CRISTIANE REBONATTO PEREIRA</v>
      </c>
      <c r="E576" s="119" t="str">
        <f>IFERROR(__xludf.DUMMYFUNCTION("""COMPUTED_VALUE"""),"Módulo 1 concluído")</f>
        <v>Módulo 1 concluído</v>
      </c>
      <c r="F576" s="1" t="str">
        <f>IFERROR(__xludf.DUMMYFUNCTION("""COMPUTED_VALUE"""),"824.002.450-53")</f>
        <v>824.002.450-53</v>
      </c>
      <c r="G576" s="119">
        <f>IFERROR(__xludf.DUMMYFUNCTION("""COMPUTED_VALUE"""),6766947)</f>
        <v>6766947</v>
      </c>
      <c r="H576" s="1" t="str">
        <f>IFERROR(__xludf.DUMMYFUNCTION("""COMPUTED_VALUE"""),"Combatente")</f>
        <v>Combatente</v>
      </c>
      <c r="I576" s="1" t="str">
        <f>IFERROR(__xludf.DUMMYFUNCTION("""COMPUTED_VALUE"""),"Pedagogia, psicopedagogia, combate a incêndio")</f>
        <v>Pedagogia, psicopedagogia, combate a incêndio</v>
      </c>
      <c r="J576" s="1" t="str">
        <f>IFERROR(__xludf.DUMMYFUNCTION("""COMPUTED_VALUE"""),"Sim")</f>
        <v>Sim</v>
      </c>
      <c r="K576" s="1" t="str">
        <f>IFERROR(__xludf.DUMMYFUNCTION("""COMPUTED_VALUE"""),"Não")</f>
        <v>Não</v>
      </c>
      <c r="L576" s="1" t="str">
        <f>IFERROR(__xludf.DUMMYFUNCTION("""COMPUTED_VALUE"""),"O+")</f>
        <v>O+</v>
      </c>
      <c r="M576" s="1" t="str">
        <f>IFERROR(__xludf.DUMMYFUNCTION("""COMPUTED_VALUE"""),"CRISTIANE")</f>
        <v>CRISTIANE</v>
      </c>
      <c r="N576" s="120">
        <f>IFERROR(__xludf.DUMMYFUNCTION("""COMPUTED_VALUE"""),29657)</f>
        <v>29657</v>
      </c>
      <c r="O576" s="1" t="str">
        <f>IFERROR(__xludf.DUMMYFUNCTION("""COMPUTED_VALUE"""),"Feminino")</f>
        <v>Feminino</v>
      </c>
      <c r="P576" s="1" t="str">
        <f>IFERROR(__xludf.DUMMYFUNCTION("""COMPUTED_VALUE"""),"Branca")</f>
        <v>Branca</v>
      </c>
      <c r="Q576" s="1" t="str">
        <f>IFERROR(__xludf.DUMMYFUNCTION("""COMPUTED_VALUE"""),"Pós-graduação")</f>
        <v>Pós-graduação</v>
      </c>
      <c r="R576" s="1" t="str">
        <f>IFERROR(__xludf.DUMMYFUNCTION("""COMPUTED_VALUE"""),"rebonattocristiane@gmail.com")</f>
        <v>rebonattocristiane@gmail.com</v>
      </c>
      <c r="S576" s="1">
        <f>IFERROR(__xludf.DUMMYFUNCTION("""COMPUTED_VALUE"""),57)</f>
        <v>57</v>
      </c>
      <c r="T576" s="1" t="str">
        <f>IFERROR(__xludf.DUMMYFUNCTION("""COMPUTED_VALUE"""),"Entre 1,50m e 1,55m")</f>
        <v>Entre 1,50m e 1,55m</v>
      </c>
      <c r="U576" s="1" t="str">
        <f>IFERROR(__xludf.DUMMYFUNCTION("""COMPUTED_VALUE"""),"(54)996917524")</f>
        <v>(54)996917524</v>
      </c>
      <c r="V576" s="1" t="str">
        <f>IFERROR(__xludf.DUMMYFUNCTION("""COMPUTED_VALUE"""),"(54)996917524")</f>
        <v>(54)996917524</v>
      </c>
      <c r="W576" s="1" t="str">
        <f>IFERROR(__xludf.DUMMYFUNCTION("""COMPUTED_VALUE"""),"(54)996917524")</f>
        <v>(54)996917524</v>
      </c>
      <c r="X576" s="1" t="str">
        <f>IFERROR(__xludf.DUMMYFUNCTION("""COMPUTED_VALUE"""),"RIO GRANDE DO SUL")</f>
        <v>RIO GRANDE DO SUL</v>
      </c>
      <c r="Y576" s="1" t="str">
        <f>IFERROR(__xludf.DUMMYFUNCTION("""COMPUTED_VALUE"""),"Faxinalzinho")</f>
        <v>Faxinalzinho</v>
      </c>
      <c r="Z576" s="1" t="str">
        <f>IFERROR(__xludf.DUMMYFUNCTION("""COMPUTED_VALUE"""),"99655-000")</f>
        <v>99655-000</v>
      </c>
      <c r="AA576" s="1" t="str">
        <f>IFERROR(__xludf.DUMMYFUNCTION("""COMPUTED_VALUE"""),"VILA")</f>
        <v>VILA</v>
      </c>
      <c r="AB576" s="1" t="str">
        <f>IFERROR(__xludf.DUMMYFUNCTION("""COMPUTED_VALUE"""),"Votouro")</f>
        <v>Votouro</v>
      </c>
      <c r="AC576" s="1" t="str">
        <f>IFERROR(__xludf.DUMMYFUNCTION("""COMPUTED_VALUE"""),"M")</f>
        <v>M</v>
      </c>
      <c r="AD576" s="1" t="str">
        <f>IFERROR(__xludf.DUMMYFUNCTION("""COMPUTED_VALUE"""),"M")</f>
        <v>M</v>
      </c>
      <c r="AE576" s="1" t="str">
        <f>IFERROR(__xludf.DUMMYFUNCTION("""COMPUTED_VALUE"""),"M")</f>
        <v>M</v>
      </c>
      <c r="AF576" s="1" t="str">
        <f>IFERROR(__xludf.DUMMYFUNCTION("""COMPUTED_VALUE"""),"M")</f>
        <v>M</v>
      </c>
      <c r="AG576" s="1" t="str">
        <f>IFERROR(__xludf.DUMMYFUNCTION("""COMPUTED_VALUE"""),"M")</f>
        <v>M</v>
      </c>
      <c r="AH576" s="1">
        <f>IFERROR(__xludf.DUMMYFUNCTION("""COMPUTED_VALUE"""),35)</f>
        <v>35</v>
      </c>
      <c r="AI576" s="1">
        <f>IFERROR(__xludf.DUMMYFUNCTION("""COMPUTED_VALUE"""),35)</f>
        <v>35</v>
      </c>
      <c r="AJ576" s="1">
        <f>IFERROR(__xludf.DUMMYFUNCTION("""COMPUTED_VALUE"""),35)</f>
        <v>35</v>
      </c>
      <c r="AK576" s="1">
        <f>IFERROR(__xludf.DUMMYFUNCTION("""COMPUTED_VALUE"""),35)</f>
        <v>35</v>
      </c>
      <c r="AL576" s="1" t="str">
        <f>IFERROR(__xludf.DUMMYFUNCTION("""COMPUTED_VALUE"""),"M")</f>
        <v>M</v>
      </c>
      <c r="AM576" s="1" t="str">
        <f>IFERROR(__xludf.DUMMYFUNCTION("""COMPUTED_VALUE"""),"M")</f>
        <v>M</v>
      </c>
      <c r="AN576" s="1" t="str">
        <f>IFERROR(__xludf.DUMMYFUNCTION("""COMPUTED_VALUE"""),"M")</f>
        <v>M</v>
      </c>
    </row>
    <row r="577" customHeight="1" spans="1:40">
      <c r="A577" s="1" t="str">
        <f>IFERROR(__xludf.DUMMYFUNCTION("""COMPUTED_VALUE"""),"07° BBM")</f>
        <v>07° BBM</v>
      </c>
      <c r="B577" s="1" t="str">
        <f>IFERROR(__xludf.DUMMYFUNCTION("""COMPUTED_VALUE"""),"Aratiba")</f>
        <v>Aratiba</v>
      </c>
      <c r="C577" s="119" t="str">
        <f>IFERROR(__xludf.DUMMYFUNCTION("""COMPUTED_VALUE"""),"CAB")</f>
        <v>CAB</v>
      </c>
      <c r="D577" s="1" t="str">
        <f>IFERROR(__xludf.DUMMYFUNCTION("""COMPUTED_VALUE"""),"CRISTIANO DE OLIVEIRA")</f>
        <v>CRISTIANO DE OLIVEIRA</v>
      </c>
      <c r="E577" s="119" t="str">
        <f>IFERROR(__xludf.DUMMYFUNCTION("""COMPUTED_VALUE"""),"Módulo 1 concluído")</f>
        <v>Módulo 1 concluído</v>
      </c>
      <c r="F577" s="1" t="str">
        <f>IFERROR(__xludf.DUMMYFUNCTION("""COMPUTED_VALUE"""),"014.801.660-06")</f>
        <v>014.801.660-06</v>
      </c>
      <c r="G577" s="1">
        <f>IFERROR(__xludf.DUMMYFUNCTION("""COMPUTED_VALUE"""),1103474878)</f>
        <v>1103474878</v>
      </c>
      <c r="H577" s="1" t="str">
        <f>IFERROR(__xludf.DUMMYFUNCTION("""COMPUTED_VALUE"""),"Bombeiro Voluntario")</f>
        <v>Bombeiro Voluntario</v>
      </c>
      <c r="I577" s="1" t="str">
        <f>IFERROR(__xludf.DUMMYFUNCTION("""COMPUTED_VALUE"""),"Curso de APH")</f>
        <v>Curso de APH</v>
      </c>
      <c r="J577" s="1" t="str">
        <f>IFERROR(__xludf.DUMMYFUNCTION("""COMPUTED_VALUE"""),"Não")</f>
        <v>Não</v>
      </c>
      <c r="K577" s="1" t="str">
        <f>IFERROR(__xludf.DUMMYFUNCTION("""COMPUTED_VALUE"""),"Não")</f>
        <v>Não</v>
      </c>
      <c r="L577" s="1" t="str">
        <f>IFERROR(__xludf.DUMMYFUNCTION("""COMPUTED_VALUE"""),"O+")</f>
        <v>O+</v>
      </c>
      <c r="M577" s="1" t="str">
        <f>IFERROR(__xludf.DUMMYFUNCTION("""COMPUTED_VALUE"""),"OLIVEIRA")</f>
        <v>OLIVEIRA</v>
      </c>
      <c r="N577" s="121">
        <f>IFERROR(__xludf.DUMMYFUNCTION("""COMPUTED_VALUE"""),31738)</f>
        <v>31738</v>
      </c>
      <c r="O577" s="1" t="str">
        <f>IFERROR(__xludf.DUMMYFUNCTION("""COMPUTED_VALUE"""),"Masculino")</f>
        <v>Masculino</v>
      </c>
      <c r="P577" s="1" t="str">
        <f>IFERROR(__xludf.DUMMYFUNCTION("""COMPUTED_VALUE"""),"Parda")</f>
        <v>Parda</v>
      </c>
      <c r="Q577" s="1" t="str">
        <f>IFERROR(__xludf.DUMMYFUNCTION("""COMPUTED_VALUE"""),"Ensino Médio")</f>
        <v>Ensino Médio</v>
      </c>
      <c r="R577" s="1" t="str">
        <f>IFERROR(__xludf.DUMMYFUNCTION("""COMPUTED_VALUE"""),"cristianojoaovitor2016@gmail.com")</f>
        <v>cristianojoaovitor2016@gmail.com</v>
      </c>
      <c r="S577" s="1">
        <f>IFERROR(__xludf.DUMMYFUNCTION("""COMPUTED_VALUE"""),105)</f>
        <v>105</v>
      </c>
      <c r="T577" s="1" t="str">
        <f>IFERROR(__xludf.DUMMYFUNCTION("""COMPUTED_VALUE"""),"Entre 1,71m e 1,75m")</f>
        <v>Entre 1,71m e 1,75m</v>
      </c>
      <c r="U577" s="1"/>
      <c r="V577" s="1" t="str">
        <f>IFERROR(__xludf.DUMMYFUNCTION("""COMPUTED_VALUE"""),"(54)991718428")</f>
        <v>(54)991718428</v>
      </c>
      <c r="W577" s="1" t="str">
        <f>IFERROR(__xludf.DUMMYFUNCTION("""COMPUTED_VALUE"""),"(54)991718428")</f>
        <v>(54)991718428</v>
      </c>
      <c r="X577" s="1" t="str">
        <f>IFERROR(__xludf.DUMMYFUNCTION("""COMPUTED_VALUE"""),"RS")</f>
        <v>RS</v>
      </c>
      <c r="Y577" s="1" t="str">
        <f>IFERROR(__xludf.DUMMYFUNCTION("""COMPUTED_VALUE"""),"Aratiba")</f>
        <v>Aratiba</v>
      </c>
      <c r="Z577" s="1">
        <f>IFERROR(__xludf.DUMMYFUNCTION("""COMPUTED_VALUE"""),99770000)</f>
        <v>99770000</v>
      </c>
      <c r="AA577" s="1" t="str">
        <f>IFERROR(__xludf.DUMMYFUNCTION("""COMPUTED_VALUE"""),"Rua Selvino Trentin, 87")</f>
        <v>Rua Selvino Trentin, 87</v>
      </c>
      <c r="AB577" s="1" t="str">
        <f>IFERROR(__xludf.DUMMYFUNCTION("""COMPUTED_VALUE"""),"Natalia")</f>
        <v>Natalia</v>
      </c>
      <c r="AC577" s="1" t="str">
        <f>IFERROR(__xludf.DUMMYFUNCTION("""COMPUTED_VALUE"""),"GG")</f>
        <v>GG</v>
      </c>
      <c r="AD577" s="1" t="str">
        <f>IFERROR(__xludf.DUMMYFUNCTION("""COMPUTED_VALUE"""),"GG")</f>
        <v>GG</v>
      </c>
      <c r="AE577" s="1" t="str">
        <f>IFERROR(__xludf.DUMMYFUNCTION("""COMPUTED_VALUE"""),"GG")</f>
        <v>GG</v>
      </c>
      <c r="AF577" s="1" t="str">
        <f>IFERROR(__xludf.DUMMYFUNCTION("""COMPUTED_VALUE"""),"GG")</f>
        <v>GG</v>
      </c>
      <c r="AG577" s="1" t="str">
        <f>IFERROR(__xludf.DUMMYFUNCTION("""COMPUTED_VALUE"""),"GG")</f>
        <v>GG</v>
      </c>
      <c r="AH577" s="1">
        <f>IFERROR(__xludf.DUMMYFUNCTION("""COMPUTED_VALUE"""),42)</f>
        <v>42</v>
      </c>
      <c r="AI577" s="1">
        <f>IFERROR(__xludf.DUMMYFUNCTION("""COMPUTED_VALUE"""),42)</f>
        <v>42</v>
      </c>
      <c r="AJ577" s="1">
        <f>IFERROR(__xludf.DUMMYFUNCTION("""COMPUTED_VALUE"""),42)</f>
        <v>42</v>
      </c>
      <c r="AK577" s="1">
        <f>IFERROR(__xludf.DUMMYFUNCTION("""COMPUTED_VALUE"""),42)</f>
        <v>42</v>
      </c>
      <c r="AL577" s="1" t="str">
        <f>IFERROR(__xludf.DUMMYFUNCTION("""COMPUTED_VALUE"""),"GG")</f>
        <v>GG</v>
      </c>
      <c r="AM577" s="1" t="str">
        <f>IFERROR(__xludf.DUMMYFUNCTION("""COMPUTED_VALUE"""),"GG")</f>
        <v>GG</v>
      </c>
      <c r="AN577" s="1" t="str">
        <f>IFERROR(__xludf.DUMMYFUNCTION("""COMPUTED_VALUE"""),"GG")</f>
        <v>GG</v>
      </c>
    </row>
    <row r="578" customHeight="1" spans="1:40">
      <c r="A578" s="1" t="str">
        <f>IFERROR(__xludf.DUMMYFUNCTION("""COMPUTED_VALUE"""),"07° BBM")</f>
        <v>07° BBM</v>
      </c>
      <c r="B578" s="1" t="str">
        <f>IFERROR(__xludf.DUMMYFUNCTION("""COMPUTED_VALUE"""),"TAPERA")</f>
        <v>TAPERA</v>
      </c>
      <c r="C578" s="119" t="str">
        <f>IFERROR(__xludf.DUMMYFUNCTION("""COMPUTED_VALUE"""),"Comunitário")</f>
        <v>Comunitário</v>
      </c>
      <c r="D578" s="1" t="str">
        <f>IFERROR(__xludf.DUMMYFUNCTION("""COMPUTED_VALUE"""),"CRISTIANO DE OLIVEIRA DO PRADO")</f>
        <v>CRISTIANO DE OLIVEIRA DO PRADO</v>
      </c>
      <c r="E578" s="119" t="str">
        <f>IFERROR(__xludf.DUMMYFUNCTION("""COMPUTED_VALUE"""),"")</f>
        <v/>
      </c>
      <c r="F578" s="1">
        <f>IFERROR(__xludf.DUMMYFUNCTION("""COMPUTED_VALUE"""),82800340053)</f>
        <v>82800340053</v>
      </c>
      <c r="G578" s="1">
        <f>IFERROR(__xludf.DUMMYFUNCTION("""COMPUTED_VALUE"""),1066101146)</f>
        <v>1066101146</v>
      </c>
      <c r="H578" s="1" t="str">
        <f>IFERROR(__xludf.DUMMYFUNCTION("""COMPUTED_VALUE"""),"OP")</f>
        <v>OP</v>
      </c>
      <c r="I578" s="1"/>
      <c r="J578" s="1"/>
      <c r="K578" s="1"/>
      <c r="L578" s="1"/>
      <c r="M578" s="1"/>
      <c r="N578" s="125">
        <f>IFERROR(__xludf.DUMMYFUNCTION("""COMPUTED_VALUE"""),31220)</f>
        <v>31220</v>
      </c>
      <c r="O578" s="1" t="str">
        <f>IFERROR(__xludf.DUMMYFUNCTION("""COMPUTED_VALUE"""),"Masculino")</f>
        <v>Masculino</v>
      </c>
      <c r="P578" s="1"/>
      <c r="Q578" s="1"/>
      <c r="R578" s="1"/>
      <c r="S578" s="1"/>
      <c r="T578" s="1"/>
      <c r="U578" s="1"/>
      <c r="V578" s="1"/>
      <c r="W578" s="1"/>
      <c r="X578" s="1"/>
      <c r="Y578" s="1" t="str">
        <f>IFERROR(__xludf.DUMMYFUNCTION("""COMPUTED_VALUE"""),"Tapera")</f>
        <v>Tapera</v>
      </c>
      <c r="Z578" s="1"/>
      <c r="AA578" s="1"/>
      <c r="AB578" s="1"/>
      <c r="AC578" s="1"/>
      <c r="AD578" s="1"/>
      <c r="AE578" s="1"/>
      <c r="AF578" s="1"/>
      <c r="AG578" s="1" t="str">
        <f>IFERROR(__xludf.DUMMYFUNCTION("""COMPUTED_VALUE"""),"G")</f>
        <v>G</v>
      </c>
      <c r="AH578" s="1">
        <f>IFERROR(__xludf.DUMMYFUNCTION("""COMPUTED_VALUE"""),40)</f>
        <v>40</v>
      </c>
      <c r="AI578" s="1"/>
      <c r="AJ578" s="1"/>
      <c r="AK578" s="1"/>
      <c r="AL578" s="1" t="str">
        <f>IFERROR(__xludf.DUMMYFUNCTION("""COMPUTED_VALUE"""),"G")</f>
        <v>G</v>
      </c>
      <c r="AM578" s="1" t="str">
        <f>IFERROR(__xludf.DUMMYFUNCTION("""COMPUTED_VALUE"""),"G")</f>
        <v>G</v>
      </c>
      <c r="AN578" s="1" t="str">
        <f>IFERROR(__xludf.DUMMYFUNCTION("""COMPUTED_VALUE"""),"G")</f>
        <v>G</v>
      </c>
    </row>
    <row r="579" customHeight="1" spans="1:40">
      <c r="A579" s="1" t="str">
        <f>IFERROR(__xludf.DUMMYFUNCTION("""COMPUTED_VALUE"""),"07° BBM")</f>
        <v>07° BBM</v>
      </c>
      <c r="B579" s="1" t="str">
        <f>IFERROR(__xludf.DUMMYFUNCTION("""COMPUTED_VALUE"""),"Barão de Cotegipe")</f>
        <v>Barão de Cotegipe</v>
      </c>
      <c r="C579" s="119" t="str">
        <f>IFERROR(__xludf.DUMMYFUNCTION("""COMPUTED_VALUE"""),"CAB")</f>
        <v>CAB</v>
      </c>
      <c r="D579" s="1" t="str">
        <f>IFERROR(__xludf.DUMMYFUNCTION("""COMPUTED_VALUE"""),"CRISTIANO HENRIQUE KOSINSKI")</f>
        <v>CRISTIANO HENRIQUE KOSINSKI</v>
      </c>
      <c r="E579" s="119" t="str">
        <f>IFERROR(__xludf.DUMMYFUNCTION("""COMPUTED_VALUE"""),"Módulo 1 concluído")</f>
        <v>Módulo 1 concluído</v>
      </c>
      <c r="F579" s="1" t="str">
        <f>IFERROR(__xludf.DUMMYFUNCTION("""COMPUTED_VALUE"""),"086.699.389-44")</f>
        <v>086.699.389-44</v>
      </c>
      <c r="G579" s="1" t="str">
        <f>IFERROR(__xludf.DUMMYFUNCTION("""COMPUTED_VALUE"""),"6028161 SSP/SC")</f>
        <v>6028161 SSP/SC</v>
      </c>
      <c r="H579" s="1" t="str">
        <f>IFERROR(__xludf.DUMMYFUNCTION("""COMPUTED_VALUE"""),"Presidente")</f>
        <v>Presidente</v>
      </c>
      <c r="I579" s="1" t="str">
        <f>IFERROR(__xludf.DUMMYFUNCTION("""COMPUTED_VALUE"""),"APH, NR35, NR10, TREINAMENTO APH CBM, MOTORISTA DE VEICULOS DE EMERGÊNCIA")</f>
        <v>APH, NR35, NR10, TREINAMENTO APH CBM, MOTORISTA DE VEICULOS DE EMERGÊNCIA</v>
      </c>
      <c r="J579" s="1" t="str">
        <f>IFERROR(__xludf.DUMMYFUNCTION("""COMPUTED_VALUE"""),"Sim")</f>
        <v>Sim</v>
      </c>
      <c r="K579" s="1" t="str">
        <f>IFERROR(__xludf.DUMMYFUNCTION("""COMPUTED_VALUE"""),"Sim")</f>
        <v>Sim</v>
      </c>
      <c r="L579" s="1" t="str">
        <f>IFERROR(__xludf.DUMMYFUNCTION("""COMPUTED_VALUE"""),"O+")</f>
        <v>O+</v>
      </c>
      <c r="M579" s="1" t="str">
        <f>IFERROR(__xludf.DUMMYFUNCTION("""COMPUTED_VALUE"""),"TUBIANO")</f>
        <v>TUBIANO</v>
      </c>
      <c r="N579" s="121">
        <f>IFERROR(__xludf.DUMMYFUNCTION("""COMPUTED_VALUE"""),35044)</f>
        <v>35044</v>
      </c>
      <c r="O579" s="1" t="str">
        <f>IFERROR(__xludf.DUMMYFUNCTION("""COMPUTED_VALUE"""),"M")</f>
        <v>M</v>
      </c>
      <c r="P579" s="1" t="str">
        <f>IFERROR(__xludf.DUMMYFUNCTION("""COMPUTED_VALUE"""),"BRANCO")</f>
        <v>BRANCO</v>
      </c>
      <c r="Q579" s="1" t="str">
        <f>IFERROR(__xludf.DUMMYFUNCTION("""COMPUTED_VALUE"""),"Ensino Médio")</f>
        <v>Ensino Médio</v>
      </c>
      <c r="R579" s="1" t="str">
        <f>IFERROR(__xludf.DUMMYFUNCTION("""COMPUTED_VALUE"""),"cristiano.kosinski@hotmail.com")</f>
        <v>cristiano.kosinski@hotmail.com</v>
      </c>
      <c r="S579" s="1">
        <f>IFERROR(__xludf.DUMMYFUNCTION("""COMPUTED_VALUE"""),142)</f>
        <v>142</v>
      </c>
      <c r="T579" s="1" t="str">
        <f>IFERROR(__xludf.DUMMYFUNCTION("""COMPUTED_VALUE"""),"Entre 1,91m e 1,95m")</f>
        <v>Entre 1,91m e 1,95m</v>
      </c>
      <c r="U579" s="1" t="str">
        <f>IFERROR(__xludf.DUMMYFUNCTION("""COMPUTED_VALUE"""),"(54) 999397794")</f>
        <v>(54) 999397794</v>
      </c>
      <c r="V579" s="1" t="str">
        <f>IFERROR(__xludf.DUMMYFUNCTION("""COMPUTED_VALUE"""),"(54) 999267658")</f>
        <v>(54) 999267658</v>
      </c>
      <c r="W579" s="1" t="str">
        <f>IFERROR(__xludf.DUMMYFUNCTION("""COMPUTED_VALUE"""),"(54) 999397794")</f>
        <v>(54) 999397794</v>
      </c>
      <c r="X579" s="1" t="str">
        <f>IFERROR(__xludf.DUMMYFUNCTION("""COMPUTED_VALUE"""),"RS")</f>
        <v>RS</v>
      </c>
      <c r="Y579" s="1" t="str">
        <f>IFERROR(__xludf.DUMMYFUNCTION("""COMPUTED_VALUE"""),"BARÃO DE COTEGIPE")</f>
        <v>BARÃO DE COTEGIPE</v>
      </c>
      <c r="Z579" s="1" t="str">
        <f>IFERROR(__xludf.DUMMYFUNCTION("""COMPUTED_VALUE"""),"99740-000")</f>
        <v>99740-000</v>
      </c>
      <c r="AA579" s="1" t="str">
        <f>IFERROR(__xludf.DUMMYFUNCTION("""COMPUTED_VALUE"""),"RUA REINALDO SUTILI")</f>
        <v>RUA REINALDO SUTILI</v>
      </c>
      <c r="AB579" s="1" t="str">
        <f>IFERROR(__xludf.DUMMYFUNCTION("""COMPUTED_VALUE"""),"HORIZONTES NOVOS")</f>
        <v>HORIZONTES NOVOS</v>
      </c>
      <c r="AC579" s="1" t="str">
        <f>IFERROR(__xludf.DUMMYFUNCTION("""COMPUTED_VALUE"""),"G3")</f>
        <v>G3</v>
      </c>
      <c r="AD579" s="1" t="str">
        <f>IFERROR(__xludf.DUMMYFUNCTION("""COMPUTED_VALUE"""),"G3")</f>
        <v>G3</v>
      </c>
      <c r="AE579" s="1" t="str">
        <f>IFERROR(__xludf.DUMMYFUNCTION("""COMPUTED_VALUE"""),"G3")</f>
        <v>G3</v>
      </c>
      <c r="AF579" s="1" t="str">
        <f>IFERROR(__xludf.DUMMYFUNCTION("""COMPUTED_VALUE"""),"G3")</f>
        <v>G3</v>
      </c>
      <c r="AG579" s="1" t="str">
        <f>IFERROR(__xludf.DUMMYFUNCTION("""COMPUTED_VALUE"""),"G3")</f>
        <v>G3</v>
      </c>
      <c r="AH579" s="1" t="str">
        <f>IFERROR(__xludf.DUMMYFUNCTION("""COMPUTED_VALUE"""),"G3")</f>
        <v>G3</v>
      </c>
      <c r="AI579" s="1">
        <f>IFERROR(__xludf.DUMMYFUNCTION("""COMPUTED_VALUE"""),46)</f>
        <v>46</v>
      </c>
      <c r="AJ579" s="1">
        <f>IFERROR(__xludf.DUMMYFUNCTION("""COMPUTED_VALUE"""),46)</f>
        <v>46</v>
      </c>
      <c r="AK579" s="1">
        <f>IFERROR(__xludf.DUMMYFUNCTION("""COMPUTED_VALUE"""),46)</f>
        <v>46</v>
      </c>
      <c r="AL579" s="1">
        <f>IFERROR(__xludf.DUMMYFUNCTION("""COMPUTED_VALUE"""),46)</f>
        <v>46</v>
      </c>
      <c r="AM579" s="1" t="str">
        <f>IFERROR(__xludf.DUMMYFUNCTION("""COMPUTED_VALUE"""),"G3")</f>
        <v>G3</v>
      </c>
      <c r="AN579" s="1">
        <f>IFERROR(__xludf.DUMMYFUNCTION("""COMPUTED_VALUE"""),62)</f>
        <v>62</v>
      </c>
    </row>
    <row r="580" customHeight="1" spans="1:40">
      <c r="A580" s="1" t="str">
        <f>IFERROR(__xludf.DUMMYFUNCTION("""COMPUTED_VALUE"""),"07° BBM")</f>
        <v>07° BBM</v>
      </c>
      <c r="B580" s="1" t="str">
        <f>IFERROR(__xludf.DUMMYFUNCTION("""COMPUTED_VALUE"""),"Jacutinga")</f>
        <v>Jacutinga</v>
      </c>
      <c r="C580" s="119" t="str">
        <f>IFERROR(__xludf.DUMMYFUNCTION("""COMPUTED_VALUE"""),"CAB")</f>
        <v>CAB</v>
      </c>
      <c r="D580" s="1" t="str">
        <f>IFERROR(__xludf.DUMMYFUNCTION("""COMPUTED_VALUE"""),"CRISTINA BELUSSO SIMON")</f>
        <v>CRISTINA BELUSSO SIMON</v>
      </c>
      <c r="E580" s="119" t="str">
        <f>IFERROR(__xludf.DUMMYFUNCTION("""COMPUTED_VALUE"""),"Módulo 1 concluído")</f>
        <v>Módulo 1 concluído</v>
      </c>
      <c r="F580" s="1" t="str">
        <f>IFERROR(__xludf.DUMMYFUNCTION("""COMPUTED_VALUE"""),"013.810.680-06")</f>
        <v>013.810.680-06</v>
      </c>
      <c r="G580" s="1">
        <f>IFERROR(__xludf.DUMMYFUNCTION("""COMPUTED_VALUE"""),8081511522)</f>
        <v>8081511522</v>
      </c>
      <c r="H580" s="1" t="str">
        <f>IFERROR(__xludf.DUMMYFUNCTION("""COMPUTED_VALUE"""),"2ª Secretária")</f>
        <v>2ª Secretária</v>
      </c>
      <c r="I580" s="1" t="str">
        <f>IFERROR(__xludf.DUMMYFUNCTION("""COMPUTED_VALUE"""),"CURSO APH/BLS - CURSO DE COMBATE A HEMORRAGIAS ""STOP THE BLEEDING - TREINAMENTO EM APH, PREVENÇÃO E COMBATE A INCÊNDIOS E RESGATE EM ALTURA JUNTO AO CBM/RS - 24 HORAS DE ESTÁGIO JUNTO AO CBM/RS")</f>
        <v>CURSO APH/BLS - CURSO DE COMBATE A HEMORRAGIAS "STOP THE BLEEDING - TREINAMENTO EM APH, PREVENÇÃO E COMBATE A INCÊNDIOS E RESGATE EM ALTURA JUNTO AO CBM/RS - 24 HORAS DE ESTÁGIO JUNTO AO CBM/RS</v>
      </c>
      <c r="J580" s="1" t="str">
        <f>IFERROR(__xludf.DUMMYFUNCTION("""COMPUTED_VALUE"""),"Sim")</f>
        <v>Sim</v>
      </c>
      <c r="K580" s="1" t="str">
        <f>IFERROR(__xludf.DUMMYFUNCTION("""COMPUTED_VALUE"""),"Não")</f>
        <v>Não</v>
      </c>
      <c r="L580" s="1" t="str">
        <f>IFERROR(__xludf.DUMMYFUNCTION("""COMPUTED_VALUE"""),"B+")</f>
        <v>B+</v>
      </c>
      <c r="M580" s="1" t="str">
        <f>IFERROR(__xludf.DUMMYFUNCTION("""COMPUTED_VALUE"""),"Cristina")</f>
        <v>Cristina</v>
      </c>
      <c r="N580" s="120">
        <f>IFERROR(__xludf.DUMMYFUNCTION("""COMPUTED_VALUE"""),31577)</f>
        <v>31577</v>
      </c>
      <c r="O580" s="1" t="str">
        <f>IFERROR(__xludf.DUMMYFUNCTION("""COMPUTED_VALUE"""),"Feminino")</f>
        <v>Feminino</v>
      </c>
      <c r="P580" s="1" t="str">
        <f>IFERROR(__xludf.DUMMYFUNCTION("""COMPUTED_VALUE"""),"Branca")</f>
        <v>Branca</v>
      </c>
      <c r="Q580" s="1" t="str">
        <f>IFERROR(__xludf.DUMMYFUNCTION("""COMPUTED_VALUE"""),"Ensino Superior Completo")</f>
        <v>Ensino Superior Completo</v>
      </c>
      <c r="R580" s="1" t="str">
        <f>IFERROR(__xludf.DUMMYFUNCTION("""COMPUTED_VALUE"""),"crisbSimon@gmail.com")</f>
        <v>crisbSimon@gmail.com</v>
      </c>
      <c r="S580" s="1">
        <f>IFERROR(__xludf.DUMMYFUNCTION("""COMPUTED_VALUE"""),63)</f>
        <v>63</v>
      </c>
      <c r="T580" s="1" t="str">
        <f>IFERROR(__xludf.DUMMYFUNCTION("""COMPUTED_VALUE"""),"Entre 1,56m e 1,60m")</f>
        <v>Entre 1,56m e 1,60m</v>
      </c>
      <c r="U580" s="1"/>
      <c r="V580" s="1" t="str">
        <f>IFERROR(__xludf.DUMMYFUNCTION("""COMPUTED_VALUE"""),"(54)991555540")</f>
        <v>(54)991555540</v>
      </c>
      <c r="W580" s="1" t="str">
        <f>IFERROR(__xludf.DUMMYFUNCTION("""COMPUTED_VALUE"""),"(54)991136757")</f>
        <v>(54)991136757</v>
      </c>
      <c r="X580" s="1" t="str">
        <f>IFERROR(__xludf.DUMMYFUNCTION("""COMPUTED_VALUE"""),"RS")</f>
        <v>RS</v>
      </c>
      <c r="Y580" s="1" t="str">
        <f>IFERROR(__xludf.DUMMYFUNCTION("""COMPUTED_VALUE"""),"Jacutinga")</f>
        <v>Jacutinga</v>
      </c>
      <c r="Z580" s="1" t="str">
        <f>IFERROR(__xludf.DUMMYFUNCTION("""COMPUTED_VALUE"""),"99730-000")</f>
        <v>99730-000</v>
      </c>
      <c r="AA580" s="1" t="str">
        <f>IFERROR(__xludf.DUMMYFUNCTION("""COMPUTED_VALUE"""),"Av. Luiz Pissetti, 397")</f>
        <v>Av. Luiz Pissetti, 397</v>
      </c>
      <c r="AB580" s="1" t="str">
        <f>IFERROR(__xludf.DUMMYFUNCTION("""COMPUTED_VALUE"""),"Centro")</f>
        <v>Centro</v>
      </c>
      <c r="AC580" s="1" t="str">
        <f>IFERROR(__xludf.DUMMYFUNCTION("""COMPUTED_VALUE"""),"P")</f>
        <v>P</v>
      </c>
      <c r="AD580" s="1" t="str">
        <f>IFERROR(__xludf.DUMMYFUNCTION("""COMPUTED_VALUE"""),"P")</f>
        <v>P</v>
      </c>
      <c r="AE580" s="1" t="str">
        <f>IFERROR(__xludf.DUMMYFUNCTION("""COMPUTED_VALUE"""),"P")</f>
        <v>P</v>
      </c>
      <c r="AF580" s="1" t="str">
        <f>IFERROR(__xludf.DUMMYFUNCTION("""COMPUTED_VALUE"""),"P")</f>
        <v>P</v>
      </c>
      <c r="AG580" s="1" t="str">
        <f>IFERROR(__xludf.DUMMYFUNCTION("""COMPUTED_VALUE"""),"P")</f>
        <v>P</v>
      </c>
      <c r="AH580" s="1">
        <f>IFERROR(__xludf.DUMMYFUNCTION("""COMPUTED_VALUE"""),36)</f>
        <v>36</v>
      </c>
      <c r="AI580" s="1">
        <f>IFERROR(__xludf.DUMMYFUNCTION("""COMPUTED_VALUE"""),36)</f>
        <v>36</v>
      </c>
      <c r="AJ580" s="1">
        <f>IFERROR(__xludf.DUMMYFUNCTION("""COMPUTED_VALUE"""),36)</f>
        <v>36</v>
      </c>
      <c r="AK580" s="1">
        <f>IFERROR(__xludf.DUMMYFUNCTION("""COMPUTED_VALUE"""),36)</f>
        <v>36</v>
      </c>
      <c r="AL580" s="1" t="str">
        <f>IFERROR(__xludf.DUMMYFUNCTION("""COMPUTED_VALUE"""),"P")</f>
        <v>P</v>
      </c>
      <c r="AM580" s="1" t="str">
        <f>IFERROR(__xludf.DUMMYFUNCTION("""COMPUTED_VALUE"""),"P")</f>
        <v>P</v>
      </c>
      <c r="AN580" s="1" t="str">
        <f>IFERROR(__xludf.DUMMYFUNCTION("""COMPUTED_VALUE"""),"P")</f>
        <v>P</v>
      </c>
    </row>
    <row r="581" customHeight="1" spans="1:40">
      <c r="A581" s="1" t="str">
        <f>IFERROR(__xludf.DUMMYFUNCTION("""COMPUTED_VALUE"""),"07° BBM")</f>
        <v>07° BBM</v>
      </c>
      <c r="B581" s="1" t="str">
        <f>IFERROR(__xludf.DUMMYFUNCTION("""COMPUTED_VALUE"""),"Barão de Cotegipe")</f>
        <v>Barão de Cotegipe</v>
      </c>
      <c r="C581" s="119" t="str">
        <f>IFERROR(__xludf.DUMMYFUNCTION("""COMPUTED_VALUE"""),"CAB")</f>
        <v>CAB</v>
      </c>
      <c r="D581" s="1" t="str">
        <f>IFERROR(__xludf.DUMMYFUNCTION("""COMPUTED_VALUE"""),"DAIANE BIASUS SOTORIVA")</f>
        <v>DAIANE BIASUS SOTORIVA</v>
      </c>
      <c r="E581" s="119" t="str">
        <f>IFERROR(__xludf.DUMMYFUNCTION("""COMPUTED_VALUE"""),"")</f>
        <v/>
      </c>
      <c r="F581" s="1" t="str">
        <f>IFERROR(__xludf.DUMMYFUNCTION("""COMPUTED_VALUE"""),"006.857.830-06")</f>
        <v>006.857.830-06</v>
      </c>
      <c r="G581" s="1">
        <f>IFERROR(__xludf.DUMMYFUNCTION("""COMPUTED_VALUE"""),2089029901)</f>
        <v>2089029901</v>
      </c>
      <c r="H581" s="1" t="str">
        <f>IFERROR(__xludf.DUMMYFUNCTION("""COMPUTED_VALUE"""),"VOLUNTARIO")</f>
        <v>VOLUNTARIO</v>
      </c>
      <c r="I581" s="1" t="str">
        <f>IFERROR(__xludf.DUMMYFUNCTION("""COMPUTED_VALUE"""),"NR35,NR10,BOMBEIRA CIVIL APH.")</f>
        <v>NR35,NR10,BOMBEIRA CIVIL APH.</v>
      </c>
      <c r="J581" s="1"/>
      <c r="K581" s="1"/>
      <c r="L581" s="1"/>
      <c r="M581" s="1"/>
      <c r="N581" s="12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row>
    <row r="582" customHeight="1" spans="1:40">
      <c r="A582" s="1"/>
      <c r="B582" s="1"/>
      <c r="C582" s="119"/>
      <c r="D582" s="1" t="str">
        <f>IFERROR(__xludf.DUMMYFUNCTION("""COMPUTED_VALUE"""),"DAIANE HELENA ÜEBEL")</f>
        <v>DAIANE HELENA ÜEBEL</v>
      </c>
      <c r="E582" s="1" t="str">
        <f>IFERROR(__xludf.DUMMYFUNCTION("""COMPUTED_VALUE"""),"Módulo 1 concluído")</f>
        <v>Módulo 1 concluído</v>
      </c>
      <c r="F582" s="1" t="str">
        <f>IFERROR(__xludf.DUMMYFUNCTION("""COMPUTED_VALUE"""),"020.928.840-00")</f>
        <v>020.928.840-00</v>
      </c>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row>
    <row r="583" customHeight="1" spans="1:40">
      <c r="A583" s="1" t="str">
        <f>IFERROR(__xludf.DUMMYFUNCTION("""COMPUTED_VALUE"""),"07° BBM")</f>
        <v>07° BBM</v>
      </c>
      <c r="B583" s="1" t="str">
        <f>IFERROR(__xludf.DUMMYFUNCTION("""COMPUTED_VALUE"""),"Jacutinga")</f>
        <v>Jacutinga</v>
      </c>
      <c r="C583" s="119" t="str">
        <f>IFERROR(__xludf.DUMMYFUNCTION("""COMPUTED_VALUE"""),"CAB")</f>
        <v>CAB</v>
      </c>
      <c r="D583" s="1" t="str">
        <f>IFERROR(__xludf.DUMMYFUNCTION("""COMPUTED_VALUE"""),"DANIEL BRESSAN")</f>
        <v>DANIEL BRESSAN</v>
      </c>
      <c r="E583" s="119" t="str">
        <f>IFERROR(__xludf.DUMMYFUNCTION("""COMPUTED_VALUE"""),"Módulo 1 concluído")</f>
        <v>Módulo 1 concluído</v>
      </c>
      <c r="F583" s="1" t="str">
        <f>IFERROR(__xludf.DUMMYFUNCTION("""COMPUTED_VALUE"""),"027.762.210-70")</f>
        <v>027.762.210-70</v>
      </c>
      <c r="G583" s="1">
        <f>IFERROR(__xludf.DUMMYFUNCTION("""COMPUTED_VALUE"""),9112148664)</f>
        <v>9112148664</v>
      </c>
      <c r="H583" s="1" t="str">
        <f>IFERROR(__xludf.DUMMYFUNCTION("""COMPUTED_VALUE"""),"Comandante")</f>
        <v>Comandante</v>
      </c>
      <c r="I583" s="1" t="str">
        <f>IFERROR(__xludf.DUMMYFUNCTION("""COMPUTED_VALUE"""),"NR 10 - NR 33 - NR 35 - CURSO APH/BLS - CURSO DE COMBATE A HEMORRAGIAS ""STOP THE BLEEDING"" - CONDUÇÃO DE VEÍCULOS DE EMERGÊNCIA - TREINAMENTO EM APH, RESGATE VEICULAR, PREVENÇÃO E COMBATE A INCÊNDIOS E RESGATE EM ALTURA E PLANTÕES JUNTO AO CBM/RS")</f>
        <v>NR 10 - NR 33 - NR 35 - CURSO APH/BLS - CURSO DE COMBATE A HEMORRAGIAS "STOP THE BLEEDING" - CONDUÇÃO DE VEÍCULOS DE EMERGÊNCIA - TREINAMENTO EM APH, RESGATE VEICULAR, PREVENÇÃO E COMBATE A INCÊNDIOS E RESGATE EM ALTURA E PLANTÕES JUNTO AO CBM/RS</v>
      </c>
      <c r="J583" s="1" t="str">
        <f>IFERROR(__xludf.DUMMYFUNCTION("""COMPUTED_VALUE"""),"Sim")</f>
        <v>Sim</v>
      </c>
      <c r="K583" s="1" t="str">
        <f>IFERROR(__xludf.DUMMYFUNCTION("""COMPUTED_VALUE"""),"Não")</f>
        <v>Não</v>
      </c>
      <c r="L583" s="1" t="str">
        <f>IFERROR(__xludf.DUMMYFUNCTION("""COMPUTED_VALUE"""),"AB-")</f>
        <v>AB-</v>
      </c>
      <c r="M583" s="1" t="str">
        <f>IFERROR(__xludf.DUMMYFUNCTION("""COMPUTED_VALUE"""),"Bressan")</f>
        <v>Bressan</v>
      </c>
      <c r="N583" s="120">
        <f>IFERROR(__xludf.DUMMYFUNCTION("""COMPUTED_VALUE"""),34758)</f>
        <v>34758</v>
      </c>
      <c r="O583" s="1" t="str">
        <f>IFERROR(__xludf.DUMMYFUNCTION("""COMPUTED_VALUE"""),"Masculino")</f>
        <v>Masculino</v>
      </c>
      <c r="P583" s="1" t="str">
        <f>IFERROR(__xludf.DUMMYFUNCTION("""COMPUTED_VALUE"""),"Branca")</f>
        <v>Branca</v>
      </c>
      <c r="Q583" s="1" t="str">
        <f>IFERROR(__xludf.DUMMYFUNCTION("""COMPUTED_VALUE"""),"Ensino Médio")</f>
        <v>Ensino Médio</v>
      </c>
      <c r="R583" s="1" t="str">
        <f>IFERROR(__xludf.DUMMYFUNCTION("""COMPUTED_VALUE"""),"danielbressan58@gmail.com")</f>
        <v>danielbressan58@gmail.com</v>
      </c>
      <c r="S583" s="1">
        <f>IFERROR(__xludf.DUMMYFUNCTION("""COMPUTED_VALUE"""),105)</f>
        <v>105</v>
      </c>
      <c r="T583" s="1" t="str">
        <f>IFERROR(__xludf.DUMMYFUNCTION("""COMPUTED_VALUE"""),"Entre 1,81m e 1,85m")</f>
        <v>Entre 1,81m e 1,85m</v>
      </c>
      <c r="U583" s="1"/>
      <c r="V583" s="1" t="str">
        <f>IFERROR(__xludf.DUMMYFUNCTION("""COMPUTED_VALUE"""),"(54)991968602")</f>
        <v>(54)991968602</v>
      </c>
      <c r="W583" s="1" t="str">
        <f>IFERROR(__xludf.DUMMYFUNCTION("""COMPUTED_VALUE"""),"(54)991555540")</f>
        <v>(54)991555540</v>
      </c>
      <c r="X583" s="1" t="str">
        <f>IFERROR(__xludf.DUMMYFUNCTION("""COMPUTED_VALUE"""),"RS")</f>
        <v>RS</v>
      </c>
      <c r="Y583" s="1" t="str">
        <f>IFERROR(__xludf.DUMMYFUNCTION("""COMPUTED_VALUE"""),"Jacutinga")</f>
        <v>Jacutinga</v>
      </c>
      <c r="Z583" s="1" t="str">
        <f>IFERROR(__xludf.DUMMYFUNCTION("""COMPUTED_VALUE"""),"99730-000")</f>
        <v>99730-000</v>
      </c>
      <c r="AA583" s="1" t="str">
        <f>IFERROR(__xludf.DUMMYFUNCTION("""COMPUTED_VALUE"""),"Av. Luiz Pissetti, 397")</f>
        <v>Av. Luiz Pissetti, 397</v>
      </c>
      <c r="AB583" s="1" t="str">
        <f>IFERROR(__xludf.DUMMYFUNCTION("""COMPUTED_VALUE"""),"Centro")</f>
        <v>Centro</v>
      </c>
      <c r="AC583" s="1" t="str">
        <f>IFERROR(__xludf.DUMMYFUNCTION("""COMPUTED_VALUE"""),"GG")</f>
        <v>GG</v>
      </c>
      <c r="AD583" s="1" t="str">
        <f>IFERROR(__xludf.DUMMYFUNCTION("""COMPUTED_VALUE"""),"GG")</f>
        <v>GG</v>
      </c>
      <c r="AE583" s="1" t="str">
        <f>IFERROR(__xludf.DUMMYFUNCTION("""COMPUTED_VALUE"""),"GG")</f>
        <v>GG</v>
      </c>
      <c r="AF583" s="1" t="str">
        <f>IFERROR(__xludf.DUMMYFUNCTION("""COMPUTED_VALUE"""),"GG")</f>
        <v>GG</v>
      </c>
      <c r="AG583" s="1" t="str">
        <f>IFERROR(__xludf.DUMMYFUNCTION("""COMPUTED_VALUE"""),"GG")</f>
        <v>GG</v>
      </c>
      <c r="AH583" s="1">
        <f>IFERROR(__xludf.DUMMYFUNCTION("""COMPUTED_VALUE"""),45)</f>
        <v>45</v>
      </c>
      <c r="AI583" s="1">
        <f>IFERROR(__xludf.DUMMYFUNCTION("""COMPUTED_VALUE"""),44)</f>
        <v>44</v>
      </c>
      <c r="AJ583" s="1">
        <f>IFERROR(__xludf.DUMMYFUNCTION("""COMPUTED_VALUE"""),44)</f>
        <v>44</v>
      </c>
      <c r="AK583" s="1">
        <f>IFERROR(__xludf.DUMMYFUNCTION("""COMPUTED_VALUE"""),44)</f>
        <v>44</v>
      </c>
      <c r="AL583" s="1" t="str">
        <f>IFERROR(__xludf.DUMMYFUNCTION("""COMPUTED_VALUE"""),"GG")</f>
        <v>GG</v>
      </c>
      <c r="AM583" s="1" t="str">
        <f>IFERROR(__xludf.DUMMYFUNCTION("""COMPUTED_VALUE"""),"GG")</f>
        <v>GG</v>
      </c>
      <c r="AN583" s="1" t="str">
        <f>IFERROR(__xludf.DUMMYFUNCTION("""COMPUTED_VALUE"""),"G")</f>
        <v>G</v>
      </c>
    </row>
    <row r="584" customHeight="1" spans="1:40">
      <c r="A584" s="1" t="str">
        <f>IFERROR(__xludf.DUMMYFUNCTION("""COMPUTED_VALUE"""),"07° BBM")</f>
        <v>07° BBM</v>
      </c>
      <c r="B584" s="1" t="str">
        <f>IFERROR(__xludf.DUMMYFUNCTION("""COMPUTED_VALUE"""),"Mormaço")</f>
        <v>Mormaço</v>
      </c>
      <c r="C584" s="119" t="str">
        <f>IFERROR(__xludf.DUMMYFUNCTION("""COMPUTED_VALUE"""),"CAB")</f>
        <v>CAB</v>
      </c>
      <c r="D584" s="1" t="str">
        <f>IFERROR(__xludf.DUMMYFUNCTION("""COMPUTED_VALUE"""),"DANIEL MACIEL")</f>
        <v>DANIEL MACIEL</v>
      </c>
      <c r="E584" s="119" t="str">
        <f>IFERROR(__xludf.DUMMYFUNCTION("""COMPUTED_VALUE"""),"")</f>
        <v/>
      </c>
      <c r="F584" s="1" t="str">
        <f>IFERROR(__xludf.DUMMYFUNCTION("""COMPUTED_VALUE"""),"020.715.970-01")</f>
        <v>020.715.970-01</v>
      </c>
      <c r="G584" s="1"/>
      <c r="H584" s="1"/>
      <c r="I584" s="1"/>
      <c r="J584" s="1"/>
      <c r="K584" s="1"/>
      <c r="L584" s="1"/>
      <c r="M584" s="1"/>
      <c r="N584" s="120"/>
      <c r="O584" s="1"/>
      <c r="P584" s="1"/>
      <c r="Q584" s="1"/>
      <c r="R584" s="1" t="str">
        <f>IFERROR(__xludf.DUMMYFUNCTION("""COMPUTED_VALUE"""),"maciel130518@gmail.com")</f>
        <v>maciel130518@gmail.com</v>
      </c>
      <c r="S584" s="1"/>
      <c r="T584" s="1"/>
      <c r="U584" s="1"/>
      <c r="V584" s="1"/>
      <c r="W584" s="1"/>
      <c r="X584" s="1"/>
      <c r="Y584" s="1"/>
      <c r="Z584" s="1"/>
      <c r="AA584" s="1"/>
      <c r="AB584" s="1"/>
      <c r="AC584" s="1"/>
      <c r="AD584" s="1"/>
      <c r="AE584" s="1"/>
      <c r="AF584" s="1"/>
      <c r="AG584" s="1" t="str">
        <f>IFERROR(__xludf.DUMMYFUNCTION("""COMPUTED_VALUE"""),"P")</f>
        <v>P</v>
      </c>
      <c r="AH584" s="1">
        <f>IFERROR(__xludf.DUMMYFUNCTION("""COMPUTED_VALUE"""),39)</f>
        <v>39</v>
      </c>
      <c r="AI584" s="1"/>
      <c r="AJ584" s="1"/>
      <c r="AK584" s="1"/>
      <c r="AL584" s="1" t="str">
        <f>IFERROR(__xludf.DUMMYFUNCTION("""COMPUTED_VALUE"""),"P")</f>
        <v>P</v>
      </c>
      <c r="AM584" s="1" t="str">
        <f>IFERROR(__xludf.DUMMYFUNCTION("""COMPUTED_VALUE"""),"P")</f>
        <v>P</v>
      </c>
      <c r="AN584" s="1" t="str">
        <f>IFERROR(__xludf.DUMMYFUNCTION("""COMPUTED_VALUE"""),"P")</f>
        <v>P</v>
      </c>
    </row>
    <row r="585" customHeight="1" spans="1:40">
      <c r="A585" s="1" t="str">
        <f>IFERROR(__xludf.DUMMYFUNCTION("""COMPUTED_VALUE"""),"07° BBM")</f>
        <v>07° BBM</v>
      </c>
      <c r="B585" s="1" t="str">
        <f>IFERROR(__xludf.DUMMYFUNCTION("""COMPUTED_VALUE"""),"Jacutinga")</f>
        <v>Jacutinga</v>
      </c>
      <c r="C585" s="119" t="str">
        <f>IFERROR(__xludf.DUMMYFUNCTION("""COMPUTED_VALUE"""),"CAB")</f>
        <v>CAB</v>
      </c>
      <c r="D585" s="1" t="str">
        <f>IFERROR(__xludf.DUMMYFUNCTION("""COMPUTED_VALUE"""),"DANIELA ZANELLA")</f>
        <v>DANIELA ZANELLA</v>
      </c>
      <c r="E585" s="119" t="str">
        <f>IFERROR(__xludf.DUMMYFUNCTION("""COMPUTED_VALUE"""),"")</f>
        <v/>
      </c>
      <c r="F585" s="1" t="str">
        <f>IFERROR(__xludf.DUMMYFUNCTION("""COMPUTED_VALUE"""),"026.128.210-74")</f>
        <v>026.128.210-74</v>
      </c>
      <c r="G585" s="1">
        <f>IFERROR(__xludf.DUMMYFUNCTION("""COMPUTED_VALUE"""),4110532761)</f>
        <v>4110532761</v>
      </c>
      <c r="H585" s="1" t="str">
        <f>IFERROR(__xludf.DUMMYFUNCTION("""COMPUTED_VALUE"""),"Integrante")</f>
        <v>Integrante</v>
      </c>
      <c r="I585" s="1" t="str">
        <f>IFERROR(__xludf.DUMMYFUNCTION("""COMPUTED_VALUE"""),"TÉCNICA EM ENFERMAGEM, TREINAMENTOS EM APH E RESGATE VEICULAR")</f>
        <v>TÉCNICA EM ENFERMAGEM, TREINAMENTOS EM APH E RESGATE VEICULAR</v>
      </c>
      <c r="J585" s="1" t="str">
        <f>IFERROR(__xludf.DUMMYFUNCTION("""COMPUTED_VALUE"""),"Não")</f>
        <v>Não</v>
      </c>
      <c r="K585" s="1" t="str">
        <f>IFERROR(__xludf.DUMMYFUNCTION("""COMPUTED_VALUE"""),"Não")</f>
        <v>Não</v>
      </c>
      <c r="L585" s="1" t="str">
        <f>IFERROR(__xludf.DUMMYFUNCTION("""COMPUTED_VALUE"""),"A+")</f>
        <v>A+</v>
      </c>
      <c r="M585" s="1" t="str">
        <f>IFERROR(__xludf.DUMMYFUNCTION("""COMPUTED_VALUE"""),"Dani")</f>
        <v>Dani</v>
      </c>
      <c r="N585" s="121">
        <f>IFERROR(__xludf.DUMMYFUNCTION("""COMPUTED_VALUE"""),33168)</f>
        <v>33168</v>
      </c>
      <c r="O585" s="1" t="str">
        <f>IFERROR(__xludf.DUMMYFUNCTION("""COMPUTED_VALUE"""),"Feminino")</f>
        <v>Feminino</v>
      </c>
      <c r="P585" s="1" t="str">
        <f>IFERROR(__xludf.DUMMYFUNCTION("""COMPUTED_VALUE"""),"Branca")</f>
        <v>Branca</v>
      </c>
      <c r="Q585" s="1" t="str">
        <f>IFERROR(__xludf.DUMMYFUNCTION("""COMPUTED_VALUE"""),"Ensino Médio")</f>
        <v>Ensino Médio</v>
      </c>
      <c r="R585" s="1"/>
      <c r="S585" s="1">
        <f>IFERROR(__xludf.DUMMYFUNCTION("""COMPUTED_VALUE"""),67)</f>
        <v>67</v>
      </c>
      <c r="T585" s="1" t="str">
        <f>IFERROR(__xludf.DUMMYFUNCTION("""COMPUTED_VALUE"""),"Entre 1,50m e 1,55m")</f>
        <v>Entre 1,50m e 1,55m</v>
      </c>
      <c r="U585" s="1"/>
      <c r="V585" s="1" t="str">
        <f>IFERROR(__xludf.DUMMYFUNCTION("""COMPUTED_VALUE"""),"(54) 996150197")</f>
        <v>(54) 996150197</v>
      </c>
      <c r="W585" s="1"/>
      <c r="X585" s="1" t="str">
        <f>IFERROR(__xludf.DUMMYFUNCTION("""COMPUTED_VALUE"""),"RS")</f>
        <v>RS</v>
      </c>
      <c r="Y585" s="1" t="str">
        <f>IFERROR(__xludf.DUMMYFUNCTION("""COMPUTED_VALUE"""),"Jacutinga")</f>
        <v>Jacutinga</v>
      </c>
      <c r="Z585" s="1" t="str">
        <f>IFERROR(__xludf.DUMMYFUNCTION("""COMPUTED_VALUE"""),"99730-000")</f>
        <v>99730-000</v>
      </c>
      <c r="AA585" s="1" t="str">
        <f>IFERROR(__xludf.DUMMYFUNCTION("""COMPUTED_VALUE"""),"Rua José De Ré, 595")</f>
        <v>Rua José De Ré, 595</v>
      </c>
      <c r="AB585" s="1" t="str">
        <f>IFERROR(__xludf.DUMMYFUNCTION("""COMPUTED_VALUE"""),"Centro")</f>
        <v>Centro</v>
      </c>
      <c r="AC585" s="1" t="str">
        <f>IFERROR(__xludf.DUMMYFUNCTION("""COMPUTED_VALUE"""),"M")</f>
        <v>M</v>
      </c>
      <c r="AD585" s="1" t="str">
        <f>IFERROR(__xludf.DUMMYFUNCTION("""COMPUTED_VALUE"""),"M")</f>
        <v>M</v>
      </c>
      <c r="AE585" s="1" t="str">
        <f>IFERROR(__xludf.DUMMYFUNCTION("""COMPUTED_VALUE"""),"M")</f>
        <v>M</v>
      </c>
      <c r="AF585" s="1" t="str">
        <f>IFERROR(__xludf.DUMMYFUNCTION("""COMPUTED_VALUE"""),"M")</f>
        <v>M</v>
      </c>
      <c r="AG585" s="1" t="str">
        <f>IFERROR(__xludf.DUMMYFUNCTION("""COMPUTED_VALUE"""),"M")</f>
        <v>M</v>
      </c>
      <c r="AH585" s="1">
        <f>IFERROR(__xludf.DUMMYFUNCTION("""COMPUTED_VALUE"""),36)</f>
        <v>36</v>
      </c>
      <c r="AI585" s="1">
        <f>IFERROR(__xludf.DUMMYFUNCTION("""COMPUTED_VALUE"""),36)</f>
        <v>36</v>
      </c>
      <c r="AJ585" s="1">
        <f>IFERROR(__xludf.DUMMYFUNCTION("""COMPUTED_VALUE"""),36)</f>
        <v>36</v>
      </c>
      <c r="AK585" s="1">
        <f>IFERROR(__xludf.DUMMYFUNCTION("""COMPUTED_VALUE"""),36)</f>
        <v>36</v>
      </c>
      <c r="AL585" s="1" t="str">
        <f>IFERROR(__xludf.DUMMYFUNCTION("""COMPUTED_VALUE"""),"M")</f>
        <v>M</v>
      </c>
      <c r="AM585" s="1" t="str">
        <f>IFERROR(__xludf.DUMMYFUNCTION("""COMPUTED_VALUE"""),"M")</f>
        <v>M</v>
      </c>
      <c r="AN585" s="1" t="str">
        <f>IFERROR(__xludf.DUMMYFUNCTION("""COMPUTED_VALUE"""),"M")</f>
        <v>M</v>
      </c>
    </row>
    <row r="586" customHeight="1" spans="1:40">
      <c r="A586" s="1" t="str">
        <f>IFERROR(__xludf.DUMMYFUNCTION("""COMPUTED_VALUE"""),"07° BBM")</f>
        <v>07° BBM</v>
      </c>
      <c r="B586" s="1" t="str">
        <f>IFERROR(__xludf.DUMMYFUNCTION("""COMPUTED_VALUE"""),"Constantina")</f>
        <v>Constantina</v>
      </c>
      <c r="C586" s="119" t="str">
        <f>IFERROR(__xludf.DUMMYFUNCTION("""COMPUTED_VALUE"""),"CAB")</f>
        <v>CAB</v>
      </c>
      <c r="D586" s="1" t="str">
        <f>IFERROR(__xludf.DUMMYFUNCTION("""COMPUTED_VALUE"""),"DARI FERREIRA")</f>
        <v>DARI FERREIRA</v>
      </c>
      <c r="E586" s="119" t="str">
        <f>IFERROR(__xludf.DUMMYFUNCTION("""COMPUTED_VALUE"""),"")</f>
        <v/>
      </c>
      <c r="F586" s="1" t="str">
        <f>IFERROR(__xludf.DUMMYFUNCTION("""COMPUTED_VALUE"""),"924.653.230-91")</f>
        <v>924.653.230-91</v>
      </c>
      <c r="G586" s="119">
        <f>IFERROR(__xludf.DUMMYFUNCTION("""COMPUTED_VALUE"""),6068795027)</f>
        <v>6068795027</v>
      </c>
      <c r="H586" s="1" t="str">
        <f>IFERROR(__xludf.DUMMYFUNCTION("""COMPUTED_VALUE"""),"voluntário")</f>
        <v>voluntário</v>
      </c>
      <c r="I586" s="1"/>
      <c r="J586" s="1"/>
      <c r="K586" s="1"/>
      <c r="L586" s="1" t="str">
        <f>IFERROR(__xludf.DUMMYFUNCTION("""COMPUTED_VALUE"""),"O+")</f>
        <v>O+</v>
      </c>
      <c r="M586" s="1" t="str">
        <f>IFERROR(__xludf.DUMMYFUNCTION("""COMPUTED_VALUE"""),"DARI")</f>
        <v>DARI</v>
      </c>
      <c r="N586" s="121">
        <f>IFERROR(__xludf.DUMMYFUNCTION("""COMPUTED_VALUE"""),28488)</f>
        <v>28488</v>
      </c>
      <c r="O586" s="1" t="str">
        <f>IFERROR(__xludf.DUMMYFUNCTION("""COMPUTED_VALUE"""),"M")</f>
        <v>M</v>
      </c>
      <c r="P586" s="1" t="str">
        <f>IFERROR(__xludf.DUMMYFUNCTION("""COMPUTED_VALUE"""),"PARDO")</f>
        <v>PARDO</v>
      </c>
      <c r="Q586" s="1" t="str">
        <f>IFERROR(__xludf.DUMMYFUNCTION("""COMPUTED_VALUE"""),"FUNDAMENTAL")</f>
        <v>FUNDAMENTAL</v>
      </c>
      <c r="R586" s="1" t="str">
        <f>IFERROR(__xludf.DUMMYFUNCTION("""COMPUTED_VALUE"""),"obras@constantina.rs.gov.br")</f>
        <v>obras@constantina.rs.gov.br</v>
      </c>
      <c r="S586" s="1">
        <f>IFERROR(__xludf.DUMMYFUNCTION("""COMPUTED_VALUE"""),94)</f>
        <v>94</v>
      </c>
      <c r="T586" s="1" t="str">
        <f>IFERROR(__xludf.DUMMYFUNCTION("""COMPUTED_VALUE"""),"Entre 1,71m e 1,75m")</f>
        <v>Entre 1,71m e 1,75m</v>
      </c>
      <c r="U586" s="1" t="str">
        <f>IFERROR(__xludf.DUMMYFUNCTION("""COMPUTED_VALUE"""),"(54) 9 99324630")</f>
        <v>(54) 9 99324630</v>
      </c>
      <c r="V586" s="1"/>
      <c r="W586" s="1"/>
      <c r="X586" s="1" t="str">
        <f>IFERROR(__xludf.DUMMYFUNCTION("""COMPUTED_VALUE"""),"RS")</f>
        <v>RS</v>
      </c>
      <c r="Y586" s="1" t="str">
        <f>IFERROR(__xludf.DUMMYFUNCTION("""COMPUTED_VALUE"""),"Constantina")</f>
        <v>Constantina</v>
      </c>
      <c r="Z586" s="1" t="str">
        <f>IFERROR(__xludf.DUMMYFUNCTION("""COMPUTED_VALUE"""),"99680-000")</f>
        <v>99680-000</v>
      </c>
      <c r="AA586" s="1" t="str">
        <f>IFERROR(__xludf.DUMMYFUNCTION("""COMPUTED_VALUE"""),"Avenida João Mafessoni")</f>
        <v>Avenida João Mafessoni</v>
      </c>
      <c r="AB586" s="1" t="str">
        <f>IFERROR(__xludf.DUMMYFUNCTION("""COMPUTED_VALUE"""),"Bairro São Roque")</f>
        <v>Bairro São Roque</v>
      </c>
      <c r="AC586" s="1" t="str">
        <f>IFERROR(__xludf.DUMMYFUNCTION("""COMPUTED_VALUE"""),"G")</f>
        <v>G</v>
      </c>
      <c r="AD586" s="1" t="str">
        <f>IFERROR(__xludf.DUMMYFUNCTION("""COMPUTED_VALUE"""),"GG")</f>
        <v>GG</v>
      </c>
      <c r="AE586" s="1" t="str">
        <f>IFERROR(__xludf.DUMMYFUNCTION("""COMPUTED_VALUE"""),"GG")</f>
        <v>GG</v>
      </c>
      <c r="AF586" s="1" t="str">
        <f>IFERROR(__xludf.DUMMYFUNCTION("""COMPUTED_VALUE"""),"GG")</f>
        <v>GG</v>
      </c>
      <c r="AG586" s="1" t="str">
        <f>IFERROR(__xludf.DUMMYFUNCTION("""COMPUTED_VALUE"""),"G")</f>
        <v>G</v>
      </c>
      <c r="AH586" s="1">
        <f>IFERROR(__xludf.DUMMYFUNCTION("""COMPUTED_VALUE"""),41)</f>
        <v>41</v>
      </c>
      <c r="AI586" s="1">
        <f>IFERROR(__xludf.DUMMYFUNCTION("""COMPUTED_VALUE"""),41)</f>
        <v>41</v>
      </c>
      <c r="AJ586" s="1">
        <f>IFERROR(__xludf.DUMMYFUNCTION("""COMPUTED_VALUE"""),41)</f>
        <v>41</v>
      </c>
      <c r="AK586" s="1">
        <f>IFERROR(__xludf.DUMMYFUNCTION("""COMPUTED_VALUE"""),41)</f>
        <v>41</v>
      </c>
      <c r="AL586" s="1" t="str">
        <f>IFERROR(__xludf.DUMMYFUNCTION("""COMPUTED_VALUE"""),"GG")</f>
        <v>GG</v>
      </c>
      <c r="AM586" s="1" t="str">
        <f>IFERROR(__xludf.DUMMYFUNCTION("""COMPUTED_VALUE"""),"GG")</f>
        <v>GG</v>
      </c>
      <c r="AN586" s="1" t="str">
        <f>IFERROR(__xludf.DUMMYFUNCTION("""COMPUTED_VALUE"""),"GG")</f>
        <v>GG</v>
      </c>
    </row>
    <row r="587" customHeight="1" spans="1:40">
      <c r="A587" s="1" t="str">
        <f>IFERROR(__xludf.DUMMYFUNCTION("""COMPUTED_VALUE"""),"07° BBM")</f>
        <v>07° BBM</v>
      </c>
      <c r="B587" s="1" t="str">
        <f>IFERROR(__xludf.DUMMYFUNCTION("""COMPUTED_VALUE"""),"Barão de Cotegipe")</f>
        <v>Barão de Cotegipe</v>
      </c>
      <c r="C587" s="119" t="str">
        <f>IFERROR(__xludf.DUMMYFUNCTION("""COMPUTED_VALUE"""),"CAB")</f>
        <v>CAB</v>
      </c>
      <c r="D587" s="1" t="str">
        <f>IFERROR(__xludf.DUMMYFUNCTION("""COMPUTED_VALUE"""),"DARLAN JORGE DUARTE")</f>
        <v>DARLAN JORGE DUARTE</v>
      </c>
      <c r="E587" s="119" t="str">
        <f>IFERROR(__xludf.DUMMYFUNCTION("""COMPUTED_VALUE"""),"")</f>
        <v/>
      </c>
      <c r="F587" s="1" t="str">
        <f>IFERROR(__xludf.DUMMYFUNCTION("""COMPUTED_VALUE"""),"005.297.329-80")</f>
        <v>005.297.329-80</v>
      </c>
      <c r="G587" s="1" t="str">
        <f>IFERROR(__xludf.DUMMYFUNCTION("""COMPUTED_VALUE"""),"4100210/SSP-SC")</f>
        <v>4100210/SSP-SC</v>
      </c>
      <c r="H587" s="1" t="str">
        <f>IFERROR(__xludf.DUMMYFUNCTION("""COMPUTED_VALUE"""),"Combatente")</f>
        <v>Combatente</v>
      </c>
      <c r="I587" s="1" t="str">
        <f>IFERROR(__xludf.DUMMYFUNCTION("""COMPUTED_VALUE"""),"BOMBEIRO CIVIL,NR35,DESGATE EM AGUAS RÁPIDO,BOMBEIRO INTRUTOR PELOS MILITARES DE SC.")</f>
        <v>BOMBEIRO CIVIL,NR35,DESGATE EM AGUAS RÁPIDO,BOMBEIRO INTRUTOR PELOS MILITARES DE SC.</v>
      </c>
      <c r="J587" s="1" t="str">
        <f>IFERROR(__xludf.DUMMYFUNCTION("""COMPUTED_VALUE"""),"Não")</f>
        <v>Não</v>
      </c>
      <c r="K587" s="1" t="str">
        <f>IFERROR(__xludf.DUMMYFUNCTION("""COMPUTED_VALUE"""),"Não")</f>
        <v>Não</v>
      </c>
      <c r="L587" s="1" t="str">
        <f>IFERROR(__xludf.DUMMYFUNCTION("""COMPUTED_VALUE"""),"O+")</f>
        <v>O+</v>
      </c>
      <c r="M587" s="1" t="str">
        <f>IFERROR(__xludf.DUMMYFUNCTION("""COMPUTED_VALUE"""),"DARLAN")</f>
        <v>DARLAN</v>
      </c>
      <c r="N587" s="121">
        <f>IFERROR(__xludf.DUMMYFUNCTION("""COMPUTED_VALUE"""),29575)</f>
        <v>29575</v>
      </c>
      <c r="O587" s="1" t="str">
        <f>IFERROR(__xludf.DUMMYFUNCTION("""COMPUTED_VALUE"""),"M")</f>
        <v>M</v>
      </c>
      <c r="P587" s="1" t="str">
        <f>IFERROR(__xludf.DUMMYFUNCTION("""COMPUTED_VALUE"""),"PARDO")</f>
        <v>PARDO</v>
      </c>
      <c r="Q587" s="1" t="str">
        <f>IFERROR(__xludf.DUMMYFUNCTION("""COMPUTED_VALUE"""),"Ensino Médio")</f>
        <v>Ensino Médio</v>
      </c>
      <c r="R587" s="1" t="str">
        <f>IFERROR(__xludf.DUMMYFUNCTION("""COMPUTED_VALUE"""),"darlancbvc@gmail.com")</f>
        <v>darlancbvc@gmail.com</v>
      </c>
      <c r="S587" s="1">
        <f>IFERROR(__xludf.DUMMYFUNCTION("""COMPUTED_VALUE"""),89)</f>
        <v>89</v>
      </c>
      <c r="T587" s="1" t="str">
        <f>IFERROR(__xludf.DUMMYFUNCTION("""COMPUTED_VALUE"""),"Entre 1,76m e 1,80m")</f>
        <v>Entre 1,76m e 1,80m</v>
      </c>
      <c r="U587" s="1"/>
      <c r="V587" s="1" t="str">
        <f>IFERROR(__xludf.DUMMYFUNCTION("""COMPUTED_VALUE"""),"(49) 998187831")</f>
        <v>(49) 998187831</v>
      </c>
      <c r="W587" s="1" t="str">
        <f>IFERROR(__xludf.DUMMYFUNCTION("""COMPUTED_VALUE"""),"(49) 988658189")</f>
        <v>(49) 988658189</v>
      </c>
      <c r="X587" s="1" t="str">
        <f>IFERROR(__xludf.DUMMYFUNCTION("""COMPUTED_VALUE"""),"SC")</f>
        <v>SC</v>
      </c>
      <c r="Y587" s="1" t="str">
        <f>IFERROR(__xludf.DUMMYFUNCTION("""COMPUTED_VALUE"""),"CONCORDIA")</f>
        <v>CONCORDIA</v>
      </c>
      <c r="Z587" s="1">
        <f>IFERROR(__xludf.DUMMYFUNCTION("""COMPUTED_VALUE"""),89711012)</f>
        <v>89711012</v>
      </c>
      <c r="AA587" s="1" t="str">
        <f>IFERROR(__xludf.DUMMYFUNCTION("""COMPUTED_VALUE"""),"RUA GUILHERME BORRILI 240")</f>
        <v>RUA GUILHERME BORRILI 240</v>
      </c>
      <c r="AB587" s="1" t="str">
        <f>IFERROR(__xludf.DUMMYFUNCTION("""COMPUTED_VALUE"""),"SÃO MIGUEL")</f>
        <v>SÃO MIGUEL</v>
      </c>
      <c r="AC587" s="1" t="str">
        <f>IFERROR(__xludf.DUMMYFUNCTION("""COMPUTED_VALUE"""),"GG")</f>
        <v>GG</v>
      </c>
      <c r="AD587" s="1" t="str">
        <f>IFERROR(__xludf.DUMMYFUNCTION("""COMPUTED_VALUE"""),"GG")</f>
        <v>GG</v>
      </c>
      <c r="AE587" s="1" t="str">
        <f>IFERROR(__xludf.DUMMYFUNCTION("""COMPUTED_VALUE"""),"G")</f>
        <v>G</v>
      </c>
      <c r="AF587" s="1" t="str">
        <f>IFERROR(__xludf.DUMMYFUNCTION("""COMPUTED_VALUE"""),"GG")</f>
        <v>GG</v>
      </c>
      <c r="AG587" s="1" t="str">
        <f>IFERROR(__xludf.DUMMYFUNCTION("""COMPUTED_VALUE"""),"GG")</f>
        <v>GG</v>
      </c>
      <c r="AH587" s="1" t="str">
        <f>IFERROR(__xludf.DUMMYFUNCTION("""COMPUTED_VALUE"""),"G")</f>
        <v>G</v>
      </c>
      <c r="AI587" s="1">
        <f>IFERROR(__xludf.DUMMYFUNCTION("""COMPUTED_VALUE"""),43)</f>
        <v>43</v>
      </c>
      <c r="AJ587" s="1">
        <f>IFERROR(__xludf.DUMMYFUNCTION("""COMPUTED_VALUE"""),43)</f>
        <v>43</v>
      </c>
      <c r="AK587" s="1">
        <f>IFERROR(__xludf.DUMMYFUNCTION("""COMPUTED_VALUE"""),43)</f>
        <v>43</v>
      </c>
      <c r="AL587" s="1">
        <f>IFERROR(__xludf.DUMMYFUNCTION("""COMPUTED_VALUE"""),43)</f>
        <v>43</v>
      </c>
      <c r="AM587" s="1" t="str">
        <f>IFERROR(__xludf.DUMMYFUNCTION("""COMPUTED_VALUE"""),"G")</f>
        <v>G</v>
      </c>
      <c r="AN587" s="1">
        <f>IFERROR(__xludf.DUMMYFUNCTION("""COMPUTED_VALUE"""),58)</f>
        <v>58</v>
      </c>
    </row>
    <row r="588" customHeight="1" spans="1:40">
      <c r="A588" s="1" t="str">
        <f>IFERROR(__xludf.DUMMYFUNCTION("""COMPUTED_VALUE"""),"07° BBM")</f>
        <v>07° BBM</v>
      </c>
      <c r="B588" s="1" t="str">
        <f>IFERROR(__xludf.DUMMYFUNCTION("""COMPUTED_VALUE"""),"Faxinalzinho")</f>
        <v>Faxinalzinho</v>
      </c>
      <c r="C588" s="119" t="str">
        <f>IFERROR(__xludf.DUMMYFUNCTION("""COMPUTED_VALUE"""),"CAB")</f>
        <v>CAB</v>
      </c>
      <c r="D588" s="1" t="str">
        <f>IFERROR(__xludf.DUMMYFUNCTION("""COMPUTED_VALUE"""),"DAVI LEONARDO ALVES BALDO")</f>
        <v>DAVI LEONARDO ALVES BALDO</v>
      </c>
      <c r="E588" s="119" t="str">
        <f>IFERROR(__xludf.DUMMYFUNCTION("""COMPUTED_VALUE"""),"")</f>
        <v/>
      </c>
      <c r="F588" s="1" t="str">
        <f>IFERROR(__xludf.DUMMYFUNCTION("""COMPUTED_VALUE"""),"035.276.570-45")</f>
        <v>035.276.570-45</v>
      </c>
      <c r="G588" s="1">
        <f>IFERROR(__xludf.DUMMYFUNCTION("""COMPUTED_VALUE"""),5118876548)</f>
        <v>5118876548</v>
      </c>
      <c r="H588" s="1" t="str">
        <f>IFERROR(__xludf.DUMMYFUNCTION("""COMPUTED_VALUE"""),"Combatente")</f>
        <v>Combatente</v>
      </c>
      <c r="I588" s="1" t="str">
        <f>IFERROR(__xludf.DUMMYFUNCTION("""COMPUTED_VALUE"""),"Combate incêndio")</f>
        <v>Combate incêndio</v>
      </c>
      <c r="J588" s="1" t="str">
        <f>IFERROR(__xludf.DUMMYFUNCTION("""COMPUTED_VALUE"""),"Sim")</f>
        <v>Sim</v>
      </c>
      <c r="K588" s="1" t="str">
        <f>IFERROR(__xludf.DUMMYFUNCTION("""COMPUTED_VALUE"""),"Não")</f>
        <v>Não</v>
      </c>
      <c r="L588" s="1" t="str">
        <f>IFERROR(__xludf.DUMMYFUNCTION("""COMPUTED_VALUE"""),"A+")</f>
        <v>A+</v>
      </c>
      <c r="M588" s="1" t="str">
        <f>IFERROR(__xludf.DUMMYFUNCTION("""COMPUTED_VALUE"""),"DAVI BALDO")</f>
        <v>DAVI BALDO</v>
      </c>
      <c r="N588" s="120">
        <f>IFERROR(__xludf.DUMMYFUNCTION("""COMPUTED_VALUE"""),37063)</f>
        <v>37063</v>
      </c>
      <c r="O588" s="1" t="str">
        <f>IFERROR(__xludf.DUMMYFUNCTION("""COMPUTED_VALUE"""),"Masculino")</f>
        <v>Masculino</v>
      </c>
      <c r="P588" s="1" t="str">
        <f>IFERROR(__xludf.DUMMYFUNCTION("""COMPUTED_VALUE"""),"Branca")</f>
        <v>Branca</v>
      </c>
      <c r="Q588" s="1" t="str">
        <f>IFERROR(__xludf.DUMMYFUNCTION("""COMPUTED_VALUE"""),"Ensino Superior Completo")</f>
        <v>Ensino Superior Completo</v>
      </c>
      <c r="R588" s="1" t="str">
        <f>IFERROR(__xludf.DUMMYFUNCTION("""COMPUTED_VALUE"""),"davileonardobaldo363@gmail.com")</f>
        <v>davileonardobaldo363@gmail.com</v>
      </c>
      <c r="S588" s="1">
        <f>IFERROR(__xludf.DUMMYFUNCTION("""COMPUTED_VALUE"""),90)</f>
        <v>90</v>
      </c>
      <c r="T588" s="1" t="str">
        <f>IFERROR(__xludf.DUMMYFUNCTION("""COMPUTED_VALUE"""),"Entre 1,71m e 1,75m")</f>
        <v>Entre 1,71m e 1,75m</v>
      </c>
      <c r="U588" s="1" t="str">
        <f>IFERROR(__xludf.DUMMYFUNCTION("""COMPUTED_VALUE"""),"(54)997157056")</f>
        <v>(54)997157056</v>
      </c>
      <c r="V588" s="1" t="str">
        <f>IFERROR(__xludf.DUMMYFUNCTION("""COMPUTED_VALUE"""),"(54) 997157056")</f>
        <v>(54) 997157056</v>
      </c>
      <c r="W588" s="1" t="str">
        <f>IFERROR(__xludf.DUMMYFUNCTION("""COMPUTED_VALUE"""),"(54)997157056")</f>
        <v>(54)997157056</v>
      </c>
      <c r="X588" s="1" t="str">
        <f>IFERROR(__xludf.DUMMYFUNCTION("""COMPUTED_VALUE"""),"RIO GRANDE DO SUL")</f>
        <v>RIO GRANDE DO SUL</v>
      </c>
      <c r="Y588" s="1" t="str">
        <f>IFERROR(__xludf.DUMMYFUNCTION("""COMPUTED_VALUE"""),"Faxinalzinho")</f>
        <v>Faxinalzinho</v>
      </c>
      <c r="Z588" s="1" t="str">
        <f>IFERROR(__xludf.DUMMYFUNCTION("""COMPUTED_VALUE"""),"99655-000")</f>
        <v>99655-000</v>
      </c>
      <c r="AA588" s="1" t="str">
        <f>IFERROR(__xludf.DUMMYFUNCTION("""COMPUTED_VALUE"""),"Linha Votouro")</f>
        <v>Linha Votouro</v>
      </c>
      <c r="AB588" s="1" t="str">
        <f>IFERROR(__xludf.DUMMYFUNCTION("""COMPUTED_VALUE"""),"Interior")</f>
        <v>Interior</v>
      </c>
      <c r="AC588" s="1" t="str">
        <f>IFERROR(__xludf.DUMMYFUNCTION("""COMPUTED_VALUE"""),"GG")</f>
        <v>GG</v>
      </c>
      <c r="AD588" s="1" t="str">
        <f>IFERROR(__xludf.DUMMYFUNCTION("""COMPUTED_VALUE"""),"G")</f>
        <v>G</v>
      </c>
      <c r="AE588" s="1" t="str">
        <f>IFERROR(__xludf.DUMMYFUNCTION("""COMPUTED_VALUE"""),"GG")</f>
        <v>GG</v>
      </c>
      <c r="AF588" s="1" t="str">
        <f>IFERROR(__xludf.DUMMYFUNCTION("""COMPUTED_VALUE"""),"GG")</f>
        <v>GG</v>
      </c>
      <c r="AG588" s="1" t="str">
        <f>IFERROR(__xludf.DUMMYFUNCTION("""COMPUTED_VALUE"""),"G")</f>
        <v>G</v>
      </c>
      <c r="AH588" s="1">
        <f>IFERROR(__xludf.DUMMYFUNCTION("""COMPUTED_VALUE"""),42)</f>
        <v>42</v>
      </c>
      <c r="AI588" s="1">
        <f>IFERROR(__xludf.DUMMYFUNCTION("""COMPUTED_VALUE"""),42)</f>
        <v>42</v>
      </c>
      <c r="AJ588" s="1">
        <f>IFERROR(__xludf.DUMMYFUNCTION("""COMPUTED_VALUE"""),41)</f>
        <v>41</v>
      </c>
      <c r="AK588" s="1">
        <f>IFERROR(__xludf.DUMMYFUNCTION("""COMPUTED_VALUE"""),41)</f>
        <v>41</v>
      </c>
      <c r="AL588" s="1" t="str">
        <f>IFERROR(__xludf.DUMMYFUNCTION("""COMPUTED_VALUE"""),"GG")</f>
        <v>GG</v>
      </c>
      <c r="AM588" s="1" t="str">
        <f>IFERROR(__xludf.DUMMYFUNCTION("""COMPUTED_VALUE"""),"G")</f>
        <v>G</v>
      </c>
      <c r="AN588" s="1" t="str">
        <f>IFERROR(__xludf.DUMMYFUNCTION("""COMPUTED_VALUE"""),"G")</f>
        <v>G</v>
      </c>
    </row>
    <row r="589" customHeight="1" spans="1:40">
      <c r="A589" s="1" t="str">
        <f>IFERROR(__xludf.DUMMYFUNCTION("""COMPUTED_VALUE"""),"07° BBM")</f>
        <v>07° BBM</v>
      </c>
      <c r="B589" s="1" t="str">
        <f>IFERROR(__xludf.DUMMYFUNCTION("""COMPUTED_VALUE"""),"Erval Grande")</f>
        <v>Erval Grande</v>
      </c>
      <c r="C589" s="119" t="str">
        <f>IFERROR(__xludf.DUMMYFUNCTION("""COMPUTED_VALUE"""),"CAB")</f>
        <v>CAB</v>
      </c>
      <c r="D589" s="1" t="str">
        <f>IFERROR(__xludf.DUMMYFUNCTION("""COMPUTED_VALUE"""),"DÉBORA BRUNA GASPARETTO")</f>
        <v>DÉBORA BRUNA GASPARETTO</v>
      </c>
      <c r="E589" s="119" t="str">
        <f>IFERROR(__xludf.DUMMYFUNCTION("""COMPUTED_VALUE"""),"")</f>
        <v/>
      </c>
      <c r="F589" s="1"/>
      <c r="G589" s="1"/>
      <c r="H589" s="1"/>
      <c r="I589" s="1"/>
      <c r="J589" s="1"/>
      <c r="K589" s="1"/>
      <c r="L589" s="1"/>
      <c r="M589" s="1"/>
      <c r="N589" s="120">
        <f>IFERROR(__xludf.DUMMYFUNCTION("""COMPUTED_VALUE"""),32243)</f>
        <v>32243</v>
      </c>
      <c r="O589" s="1" t="str">
        <f>IFERROR(__xludf.DUMMYFUNCTION("""COMPUTED_VALUE"""),"Feminino")</f>
        <v>Feminino</v>
      </c>
      <c r="P589" s="1"/>
      <c r="Q589" s="1"/>
      <c r="R589" s="1"/>
      <c r="S589" s="1"/>
      <c r="T589" s="1"/>
      <c r="U589" s="1"/>
      <c r="V589" s="1"/>
      <c r="W589" s="1"/>
      <c r="X589" s="1"/>
      <c r="Y589" s="1"/>
      <c r="Z589" s="1"/>
      <c r="AA589" s="1"/>
      <c r="AB589" s="1"/>
      <c r="AC589" s="1"/>
      <c r="AD589" s="1"/>
      <c r="AE589" s="1"/>
      <c r="AF589" s="1"/>
      <c r="AG589" s="1" t="str">
        <f>IFERROR(__xludf.DUMMYFUNCTION("""COMPUTED_VALUE"""),"G")</f>
        <v>G</v>
      </c>
      <c r="AH589" s="1">
        <f>IFERROR(__xludf.DUMMYFUNCTION("""COMPUTED_VALUE"""),39)</f>
        <v>39</v>
      </c>
      <c r="AI589" s="1"/>
      <c r="AJ589" s="1"/>
      <c r="AK589" s="1"/>
      <c r="AL589" s="1" t="str">
        <f>IFERROR(__xludf.DUMMYFUNCTION("""COMPUTED_VALUE"""),"GG")</f>
        <v>GG</v>
      </c>
      <c r="AM589" s="1" t="str">
        <f>IFERROR(__xludf.DUMMYFUNCTION("""COMPUTED_VALUE"""),"GG")</f>
        <v>GG</v>
      </c>
      <c r="AN589" s="1" t="str">
        <f>IFERROR(__xludf.DUMMYFUNCTION("""COMPUTED_VALUE"""),"GG")</f>
        <v>GG</v>
      </c>
    </row>
    <row r="590" customHeight="1" spans="1:40">
      <c r="A590" s="1" t="str">
        <f>IFERROR(__xludf.DUMMYFUNCTION("""COMPUTED_VALUE"""),"07° BBM")</f>
        <v>07° BBM</v>
      </c>
      <c r="B590" s="1" t="str">
        <f>IFERROR(__xludf.DUMMYFUNCTION("""COMPUTED_VALUE"""),"NONOAI")</f>
        <v>NONOAI</v>
      </c>
      <c r="C590" s="119" t="str">
        <f>IFERROR(__xludf.DUMMYFUNCTION("""COMPUTED_VALUE"""),"Comunitário")</f>
        <v>Comunitário</v>
      </c>
      <c r="D590" s="1" t="str">
        <f>IFERROR(__xludf.DUMMYFUNCTION("""COMPUTED_VALUE"""),"DEIVIDI DAURI MACIEL")</f>
        <v>DEIVIDI DAURI MACIEL</v>
      </c>
      <c r="E590" s="119" t="str">
        <f>IFERROR(__xludf.DUMMYFUNCTION("""COMPUTED_VALUE"""),"Módulo 1 concluído")</f>
        <v>Módulo 1 concluído</v>
      </c>
      <c r="F590" s="1" t="str">
        <f>IFERROR(__xludf.DUMMYFUNCTION("""COMPUTED_VALUE"""),"075.494.809-90")</f>
        <v>075.494.809-90</v>
      </c>
      <c r="G590" s="1">
        <f>IFERROR(__xludf.DUMMYFUNCTION("""COMPUTED_VALUE"""),1097279391)</f>
        <v>1097279391</v>
      </c>
      <c r="H590" s="1" t="str">
        <f>IFERROR(__xludf.DUMMYFUNCTION("""COMPUTED_VALUE"""),"OP")</f>
        <v>OP</v>
      </c>
      <c r="I590" s="1"/>
      <c r="J590" s="1"/>
      <c r="K590" s="1"/>
      <c r="L590" s="1"/>
      <c r="M590" s="1"/>
      <c r="N590" s="125">
        <f>IFERROR(__xludf.DUMMYFUNCTION("""COMPUTED_VALUE"""),32415)</f>
        <v>32415</v>
      </c>
      <c r="O590" s="1" t="str">
        <f>IFERROR(__xludf.DUMMYFUNCTION("""COMPUTED_VALUE"""),"Masculino")</f>
        <v>Masculino</v>
      </c>
      <c r="P590" s="1"/>
      <c r="Q590" s="1"/>
      <c r="R590" s="1"/>
      <c r="S590" s="1"/>
      <c r="T590" s="1"/>
      <c r="U590" s="1"/>
      <c r="V590" s="1"/>
      <c r="W590" s="1"/>
      <c r="X590" s="1"/>
      <c r="Y590" s="1" t="str">
        <f>IFERROR(__xludf.DUMMYFUNCTION("""COMPUTED_VALUE"""),"Nonoai")</f>
        <v>Nonoai</v>
      </c>
      <c r="Z590" s="1"/>
      <c r="AA590" s="1"/>
      <c r="AB590" s="1"/>
      <c r="AC590" s="1"/>
      <c r="AD590" s="1"/>
      <c r="AE590" s="1"/>
      <c r="AF590" s="1"/>
      <c r="AG590" s="1" t="str">
        <f>IFERROR(__xludf.DUMMYFUNCTION("""COMPUTED_VALUE"""),"M")</f>
        <v>M</v>
      </c>
      <c r="AH590" s="1">
        <f>IFERROR(__xludf.DUMMYFUNCTION("""COMPUTED_VALUE"""),39)</f>
        <v>39</v>
      </c>
      <c r="AI590" s="1"/>
      <c r="AJ590" s="1"/>
      <c r="AK590" s="1"/>
      <c r="AL590" s="1" t="str">
        <f>IFERROR(__xludf.DUMMYFUNCTION("""COMPUTED_VALUE"""),"G")</f>
        <v>G</v>
      </c>
      <c r="AM590" s="1" t="str">
        <f>IFERROR(__xludf.DUMMYFUNCTION("""COMPUTED_VALUE"""),"G")</f>
        <v>G</v>
      </c>
      <c r="AN590" s="1" t="str">
        <f>IFERROR(__xludf.DUMMYFUNCTION("""COMPUTED_VALUE"""),"G")</f>
        <v>G</v>
      </c>
    </row>
    <row r="591" customHeight="1" spans="1:40">
      <c r="A591" s="1" t="str">
        <f>IFERROR(__xludf.DUMMYFUNCTION("""COMPUTED_VALUE"""),"07° BBM")</f>
        <v>07° BBM</v>
      </c>
      <c r="B591" s="1" t="str">
        <f>IFERROR(__xludf.DUMMYFUNCTION("""COMPUTED_VALUE"""),"Aratiba")</f>
        <v>Aratiba</v>
      </c>
      <c r="C591" s="119" t="str">
        <f>IFERROR(__xludf.DUMMYFUNCTION("""COMPUTED_VALUE"""),"CAB")</f>
        <v>CAB</v>
      </c>
      <c r="D591" s="1" t="str">
        <f>IFERROR(__xludf.DUMMYFUNCTION("""COMPUTED_VALUE"""),"DEIVIDI GLEISON CAGLIARI")</f>
        <v>DEIVIDI GLEISON CAGLIARI</v>
      </c>
      <c r="E591" s="119" t="str">
        <f>IFERROR(__xludf.DUMMYFUNCTION("""COMPUTED_VALUE"""),"Módulo 1 concluído")</f>
        <v>Módulo 1 concluído</v>
      </c>
      <c r="F591" s="1" t="str">
        <f>IFERROR(__xludf.DUMMYFUNCTION("""COMPUTED_VALUE"""),"040.948.140-86")</f>
        <v>040.948.140-86</v>
      </c>
      <c r="G591" s="1">
        <f>IFERROR(__xludf.DUMMYFUNCTION("""COMPUTED_VALUE"""),6130402099)</f>
        <v>6130402099</v>
      </c>
      <c r="H591" s="1" t="str">
        <f>IFERROR(__xludf.DUMMYFUNCTION("""COMPUTED_VALUE"""),"Bombeiro Voluntario")</f>
        <v>Bombeiro Voluntario</v>
      </c>
      <c r="I591" s="1" t="str">
        <f>IFERROR(__xludf.DUMMYFUNCTION("""COMPUTED_VALUE"""),"Curso de APH")</f>
        <v>Curso de APH</v>
      </c>
      <c r="J591" s="1" t="str">
        <f>IFERROR(__xludf.DUMMYFUNCTION("""COMPUTED_VALUE"""),"Não")</f>
        <v>Não</v>
      </c>
      <c r="K591" s="1" t="str">
        <f>IFERROR(__xludf.DUMMYFUNCTION("""COMPUTED_VALUE"""),"Não")</f>
        <v>Não</v>
      </c>
      <c r="L591" s="1" t="str">
        <f>IFERROR(__xludf.DUMMYFUNCTION("""COMPUTED_VALUE"""),"A+")</f>
        <v>A+</v>
      </c>
      <c r="M591" s="1" t="str">
        <f>IFERROR(__xludf.DUMMYFUNCTION("""COMPUTED_VALUE"""),"DEIVIDI")</f>
        <v>DEIVIDI</v>
      </c>
      <c r="N591" s="121">
        <f>IFERROR(__xludf.DUMMYFUNCTION("""COMPUTED_VALUE"""),37195)</f>
        <v>37195</v>
      </c>
      <c r="O591" s="1" t="str">
        <f>IFERROR(__xludf.DUMMYFUNCTION("""COMPUTED_VALUE"""),"Masculino")</f>
        <v>Masculino</v>
      </c>
      <c r="P591" s="1" t="str">
        <f>IFERROR(__xludf.DUMMYFUNCTION("""COMPUTED_VALUE"""),"Branca")</f>
        <v>Branca</v>
      </c>
      <c r="Q591" s="1" t="str">
        <f>IFERROR(__xludf.DUMMYFUNCTION("""COMPUTED_VALUE"""),"Ensino Médio")</f>
        <v>Ensino Médio</v>
      </c>
      <c r="R591" s="1" t="str">
        <f>IFERROR(__xludf.DUMMYFUNCTION("""COMPUTED_VALUE"""),"mari_chinba2@outlook.com")</f>
        <v>mari_chinba2@outlook.com</v>
      </c>
      <c r="S591" s="1">
        <f>IFERROR(__xludf.DUMMYFUNCTION("""COMPUTED_VALUE"""),130)</f>
        <v>130</v>
      </c>
      <c r="T591" s="1" t="str">
        <f>IFERROR(__xludf.DUMMYFUNCTION("""COMPUTED_VALUE"""),"Entre 1,81m e 1,85m")</f>
        <v>Entre 1,81m e 1,85m</v>
      </c>
      <c r="U591" s="1"/>
      <c r="V591" s="1" t="str">
        <f>IFERROR(__xludf.DUMMYFUNCTION("""COMPUTED_VALUE"""),"(54)999286103")</f>
        <v>(54)999286103</v>
      </c>
      <c r="W591" s="1" t="str">
        <f>IFERROR(__xludf.DUMMYFUNCTION("""COMPUTED_VALUE"""),"(54)999286103")</f>
        <v>(54)999286103</v>
      </c>
      <c r="X591" s="1" t="str">
        <f>IFERROR(__xludf.DUMMYFUNCTION("""COMPUTED_VALUE"""),"RS")</f>
        <v>RS</v>
      </c>
      <c r="Y591" s="1" t="str">
        <f>IFERROR(__xludf.DUMMYFUNCTION("""COMPUTED_VALUE"""),"Aratiba")</f>
        <v>Aratiba</v>
      </c>
      <c r="Z591" s="1">
        <f>IFERROR(__xludf.DUMMYFUNCTION("""COMPUTED_VALUE"""),99770000)</f>
        <v>99770000</v>
      </c>
      <c r="AA591" s="1" t="str">
        <f>IFERROR(__xludf.DUMMYFUNCTION("""COMPUTED_VALUE"""),"Rua Santo João Lando")</f>
        <v>Rua Santo João Lando</v>
      </c>
      <c r="AB591" s="1" t="str">
        <f>IFERROR(__xludf.DUMMYFUNCTION("""COMPUTED_VALUE"""),"Jardim ABC")</f>
        <v>Jardim ABC</v>
      </c>
      <c r="AC591" s="1" t="str">
        <f>IFERROR(__xludf.DUMMYFUNCTION("""COMPUTED_VALUE"""),"EXG")</f>
        <v>EXG</v>
      </c>
      <c r="AD591" s="1" t="str">
        <f>IFERROR(__xludf.DUMMYFUNCTION("""COMPUTED_VALUE"""),"EXG")</f>
        <v>EXG</v>
      </c>
      <c r="AE591" s="1" t="str">
        <f>IFERROR(__xludf.DUMMYFUNCTION("""COMPUTED_VALUE"""),"EXG")</f>
        <v>EXG</v>
      </c>
      <c r="AF591" s="1" t="str">
        <f>IFERROR(__xludf.DUMMYFUNCTION("""COMPUTED_VALUE"""),"EXG")</f>
        <v>EXG</v>
      </c>
      <c r="AG591" s="1" t="str">
        <f>IFERROR(__xludf.DUMMYFUNCTION("""COMPUTED_VALUE"""),"EXG")</f>
        <v>EXG</v>
      </c>
      <c r="AH591" s="1">
        <f>IFERROR(__xludf.DUMMYFUNCTION("""COMPUTED_VALUE"""),44)</f>
        <v>44</v>
      </c>
      <c r="AI591" s="1">
        <f>IFERROR(__xludf.DUMMYFUNCTION("""COMPUTED_VALUE"""),44)</f>
        <v>44</v>
      </c>
      <c r="AJ591" s="1">
        <f>IFERROR(__xludf.DUMMYFUNCTION("""COMPUTED_VALUE"""),44)</f>
        <v>44</v>
      </c>
      <c r="AK591" s="1">
        <f>IFERROR(__xludf.DUMMYFUNCTION("""COMPUTED_VALUE"""),44)</f>
        <v>44</v>
      </c>
      <c r="AL591" s="1" t="str">
        <f>IFERROR(__xludf.DUMMYFUNCTION("""COMPUTED_VALUE"""),"EXG")</f>
        <v>EXG</v>
      </c>
      <c r="AM591" s="1" t="str">
        <f>IFERROR(__xludf.DUMMYFUNCTION("""COMPUTED_VALUE"""),"EXG")</f>
        <v>EXG</v>
      </c>
      <c r="AN591" s="1" t="str">
        <f>IFERROR(__xludf.DUMMYFUNCTION("""COMPUTED_VALUE"""),"EXG")</f>
        <v>EXG</v>
      </c>
    </row>
    <row r="592" customHeight="1" spans="1:40">
      <c r="A592" s="1" t="str">
        <f>IFERROR(__xludf.DUMMYFUNCTION("""COMPUTED_VALUE"""),"07° BBM")</f>
        <v>07° BBM</v>
      </c>
      <c r="B592" s="1" t="str">
        <f>IFERROR(__xludf.DUMMYFUNCTION("""COMPUTED_VALUE"""),"TAPERA")</f>
        <v>TAPERA</v>
      </c>
      <c r="C592" s="119" t="str">
        <f>IFERROR(__xludf.DUMMYFUNCTION("""COMPUTED_VALUE"""),"Comunitário")</f>
        <v>Comunitário</v>
      </c>
      <c r="D592" s="1" t="str">
        <f>IFERROR(__xludf.DUMMYFUNCTION("""COMPUTED_VALUE"""),"DERLY DA SILVA JUNIOR")</f>
        <v>DERLY DA SILVA JUNIOR</v>
      </c>
      <c r="E592" s="119" t="str">
        <f>IFERROR(__xludf.DUMMYFUNCTION("""COMPUTED_VALUE"""),"")</f>
        <v/>
      </c>
      <c r="F592" s="1">
        <f>IFERROR(__xludf.DUMMYFUNCTION("""COMPUTED_VALUE"""),82831548004)</f>
        <v>82831548004</v>
      </c>
      <c r="G592" s="1">
        <f>IFERROR(__xludf.DUMMYFUNCTION("""COMPUTED_VALUE"""),1061095681)</f>
        <v>1061095681</v>
      </c>
      <c r="H592" s="1" t="str">
        <f>IFERROR(__xludf.DUMMYFUNCTION("""COMPUTED_VALUE"""),"OP")</f>
        <v>OP</v>
      </c>
      <c r="I592" s="1"/>
      <c r="J592" s="1"/>
      <c r="K592" s="1"/>
      <c r="L592" s="1"/>
      <c r="M592" s="1"/>
      <c r="N592" s="122">
        <f>IFERROR(__xludf.DUMMYFUNCTION("""COMPUTED_VALUE"""),29520)</f>
        <v>29520</v>
      </c>
      <c r="O592" s="1" t="str">
        <f>IFERROR(__xludf.DUMMYFUNCTION("""COMPUTED_VALUE"""),"Masculino")</f>
        <v>Masculino</v>
      </c>
      <c r="P592" s="1"/>
      <c r="Q592" s="1"/>
      <c r="R592" s="1"/>
      <c r="S592" s="1"/>
      <c r="T592" s="1"/>
      <c r="U592" s="1"/>
      <c r="V592" s="1"/>
      <c r="W592" s="1"/>
      <c r="X592" s="1"/>
      <c r="Y592" s="1" t="str">
        <f>IFERROR(__xludf.DUMMYFUNCTION("""COMPUTED_VALUE"""),"Tapera")</f>
        <v>Tapera</v>
      </c>
      <c r="Z592" s="1"/>
      <c r="AA592" s="1"/>
      <c r="AB592" s="1"/>
      <c r="AC592" s="1"/>
      <c r="AD592" s="1"/>
      <c r="AE592" s="1"/>
      <c r="AF592" s="1"/>
      <c r="AG592" s="1" t="str">
        <f>IFERROR(__xludf.DUMMYFUNCTION("""COMPUTED_VALUE"""),"G")</f>
        <v>G</v>
      </c>
      <c r="AH592" s="1">
        <f>IFERROR(__xludf.DUMMYFUNCTION("""COMPUTED_VALUE"""),41)</f>
        <v>41</v>
      </c>
      <c r="AI592" s="1"/>
      <c r="AJ592" s="1"/>
      <c r="AK592" s="1"/>
      <c r="AL592" s="1" t="str">
        <f>IFERROR(__xludf.DUMMYFUNCTION("""COMPUTED_VALUE"""),"G")</f>
        <v>G</v>
      </c>
      <c r="AM592" s="1" t="str">
        <f>IFERROR(__xludf.DUMMYFUNCTION("""COMPUTED_VALUE"""),"G")</f>
        <v>G</v>
      </c>
      <c r="AN592" s="1" t="str">
        <f>IFERROR(__xludf.DUMMYFUNCTION("""COMPUTED_VALUE"""),"G")</f>
        <v>G</v>
      </c>
    </row>
    <row r="593" customHeight="1" spans="1:40">
      <c r="A593" s="1" t="str">
        <f>IFERROR(__xludf.DUMMYFUNCTION("""COMPUTED_VALUE"""),"07° BBM")</f>
        <v>07° BBM</v>
      </c>
      <c r="B593" s="1" t="str">
        <f>IFERROR(__xludf.DUMMYFUNCTION("""COMPUTED_VALUE"""),"Jacutinga")</f>
        <v>Jacutinga</v>
      </c>
      <c r="C593" s="119" t="str">
        <f>IFERROR(__xludf.DUMMYFUNCTION("""COMPUTED_VALUE"""),"CAB")</f>
        <v>CAB</v>
      </c>
      <c r="D593" s="1" t="str">
        <f>IFERROR(__xludf.DUMMYFUNCTION("""COMPUTED_VALUE"""),"DIEGO CARLOS RODHE")</f>
        <v>DIEGO CARLOS RODHE</v>
      </c>
      <c r="E593" s="119" t="str">
        <f>IFERROR(__xludf.DUMMYFUNCTION("""COMPUTED_VALUE"""),"Módulo 1 concluído")</f>
        <v>Módulo 1 concluído</v>
      </c>
      <c r="F593" s="1" t="str">
        <f>IFERROR(__xludf.DUMMYFUNCTION("""COMPUTED_VALUE"""),"014.988.480-01")</f>
        <v>014.988.480-01</v>
      </c>
      <c r="G593" s="1">
        <f>IFERROR(__xludf.DUMMYFUNCTION("""COMPUTED_VALUE"""),4099150106)</f>
        <v>4099150106</v>
      </c>
      <c r="H593" s="1" t="str">
        <f>IFERROR(__xludf.DUMMYFUNCTION("""COMPUTED_VALUE"""),"Presidente")</f>
        <v>Presidente</v>
      </c>
      <c r="I593" s="1" t="str">
        <f>IFERROR(__xludf.DUMMYFUNCTION("""COMPUTED_VALUE"""),"TREINAMENTO EM APH - RESGATE VEICULAR - PREVENÇÃO E COMBATE A INCÊNDIOS - 24H DE PLANTÃO JUNTO AO CBM - RESGATE EM ALTURA NÍVEL 02 - CONDUÇÃO DE VEÍCLOS DE EMERGÊNCIA")</f>
        <v>TREINAMENTO EM APH - RESGATE VEICULAR - PREVENÇÃO E COMBATE A INCÊNDIOS - 24H DE PLANTÃO JUNTO AO CBM - RESGATE EM ALTURA NÍVEL 02 - CONDUÇÃO DE VEÍCLOS DE EMERGÊNCIA</v>
      </c>
      <c r="J593" s="1" t="str">
        <f>IFERROR(__xludf.DUMMYFUNCTION("""COMPUTED_VALUE"""),"Sim")</f>
        <v>Sim</v>
      </c>
      <c r="K593" s="1" t="str">
        <f>IFERROR(__xludf.DUMMYFUNCTION("""COMPUTED_VALUE"""),"Não")</f>
        <v>Não</v>
      </c>
      <c r="L593" s="1" t="str">
        <f>IFERROR(__xludf.DUMMYFUNCTION("""COMPUTED_VALUE"""),"O+")</f>
        <v>O+</v>
      </c>
      <c r="M593" s="1" t="str">
        <f>IFERROR(__xludf.DUMMYFUNCTION("""COMPUTED_VALUE"""),"Rodhe")</f>
        <v>Rodhe</v>
      </c>
      <c r="N593" s="120">
        <f>IFERROR(__xludf.DUMMYFUNCTION("""COMPUTED_VALUE"""),32218)</f>
        <v>32218</v>
      </c>
      <c r="O593" s="1" t="str">
        <f>IFERROR(__xludf.DUMMYFUNCTION("""COMPUTED_VALUE"""),"Masculino")</f>
        <v>Masculino</v>
      </c>
      <c r="P593" s="1" t="str">
        <f>IFERROR(__xludf.DUMMYFUNCTION("""COMPUTED_VALUE"""),"Branca")</f>
        <v>Branca</v>
      </c>
      <c r="Q593" s="1" t="str">
        <f>IFERROR(__xludf.DUMMYFUNCTION("""COMPUTED_VALUE"""),"Ensino Superior Completo")</f>
        <v>Ensino Superior Completo</v>
      </c>
      <c r="R593" s="1" t="str">
        <f>IFERROR(__xludf.DUMMYFUNCTION("""COMPUTED_VALUE"""),"diegorodhe@hotmail.com")</f>
        <v>diegorodhe@hotmail.com</v>
      </c>
      <c r="S593" s="1">
        <f>IFERROR(__xludf.DUMMYFUNCTION("""COMPUTED_VALUE"""),97)</f>
        <v>97</v>
      </c>
      <c r="T593" s="1" t="str">
        <f>IFERROR(__xludf.DUMMYFUNCTION("""COMPUTED_VALUE"""),"Entre 1,76m e 1,80m")</f>
        <v>Entre 1,76m e 1,80m</v>
      </c>
      <c r="U593" s="1"/>
      <c r="V593" s="1" t="str">
        <f>IFERROR(__xludf.DUMMYFUNCTION("""COMPUTED_VALUE"""),"(54)999111218")</f>
        <v>(54)999111218</v>
      </c>
      <c r="W593" s="1" t="str">
        <f>IFERROR(__xludf.DUMMYFUNCTION("""COMPUTED_VALUE"""),"(54)996026736")</f>
        <v>(54)996026736</v>
      </c>
      <c r="X593" s="1" t="str">
        <f>IFERROR(__xludf.DUMMYFUNCTION("""COMPUTED_VALUE"""),"RS")</f>
        <v>RS</v>
      </c>
      <c r="Y593" s="1" t="str">
        <f>IFERROR(__xludf.DUMMYFUNCTION("""COMPUTED_VALUE"""),"Jacutinga")</f>
        <v>Jacutinga</v>
      </c>
      <c r="Z593" s="1" t="str">
        <f>IFERROR(__xludf.DUMMYFUNCTION("""COMPUTED_VALUE"""),"99730-000")</f>
        <v>99730-000</v>
      </c>
      <c r="AA593" s="1" t="str">
        <f>IFERROR(__xludf.DUMMYFUNCTION("""COMPUTED_VALUE"""),"Rua XV de Novembro, 94")</f>
        <v>Rua XV de Novembro, 94</v>
      </c>
      <c r="AB593" s="1" t="str">
        <f>IFERROR(__xludf.DUMMYFUNCTION("""COMPUTED_VALUE"""),"Centro")</f>
        <v>Centro</v>
      </c>
      <c r="AC593" s="1" t="str">
        <f>IFERROR(__xludf.DUMMYFUNCTION("""COMPUTED_VALUE"""),"GG")</f>
        <v>GG</v>
      </c>
      <c r="AD593" s="1" t="str">
        <f>IFERROR(__xludf.DUMMYFUNCTION("""COMPUTED_VALUE"""),"GG")</f>
        <v>GG</v>
      </c>
      <c r="AE593" s="1" t="str">
        <f>IFERROR(__xludf.DUMMYFUNCTION("""COMPUTED_VALUE"""),"GG")</f>
        <v>GG</v>
      </c>
      <c r="AF593" s="1" t="str">
        <f>IFERROR(__xludf.DUMMYFUNCTION("""COMPUTED_VALUE"""),"GG")</f>
        <v>GG</v>
      </c>
      <c r="AG593" s="1" t="str">
        <f>IFERROR(__xludf.DUMMYFUNCTION("""COMPUTED_VALUE"""),"GG")</f>
        <v>GG</v>
      </c>
      <c r="AH593" s="1">
        <f>IFERROR(__xludf.DUMMYFUNCTION("""COMPUTED_VALUE"""),41)</f>
        <v>41</v>
      </c>
      <c r="AI593" s="1">
        <f>IFERROR(__xludf.DUMMYFUNCTION("""COMPUTED_VALUE"""),41)</f>
        <v>41</v>
      </c>
      <c r="AJ593" s="1">
        <f>IFERROR(__xludf.DUMMYFUNCTION("""COMPUTED_VALUE"""),41)</f>
        <v>41</v>
      </c>
      <c r="AK593" s="1">
        <f>IFERROR(__xludf.DUMMYFUNCTION("""COMPUTED_VALUE"""),41)</f>
        <v>41</v>
      </c>
      <c r="AL593" s="1" t="str">
        <f>IFERROR(__xludf.DUMMYFUNCTION("""COMPUTED_VALUE"""),"GG")</f>
        <v>GG</v>
      </c>
      <c r="AM593" s="1" t="str">
        <f>IFERROR(__xludf.DUMMYFUNCTION("""COMPUTED_VALUE"""),"GG")</f>
        <v>GG</v>
      </c>
      <c r="AN593" s="1" t="str">
        <f>IFERROR(__xludf.DUMMYFUNCTION("""COMPUTED_VALUE"""),"G")</f>
        <v>G</v>
      </c>
    </row>
    <row r="594" customHeight="1" spans="1:40">
      <c r="A594" s="1" t="str">
        <f>IFERROR(__xludf.DUMMYFUNCTION("""COMPUTED_VALUE"""),"07° BBM")</f>
        <v>07° BBM</v>
      </c>
      <c r="B594" s="1" t="str">
        <f>IFERROR(__xludf.DUMMYFUNCTION("""COMPUTED_VALUE"""),"Mormaço")</f>
        <v>Mormaço</v>
      </c>
      <c r="C594" s="119" t="str">
        <f>IFERROR(__xludf.DUMMYFUNCTION("""COMPUTED_VALUE"""),"CAB")</f>
        <v>CAB</v>
      </c>
      <c r="D594" s="1" t="str">
        <f>IFERROR(__xludf.DUMMYFUNCTION("""COMPUTED_VALUE"""),"DIEGO FRANCISCO FREITAG")</f>
        <v>DIEGO FRANCISCO FREITAG</v>
      </c>
      <c r="E594" s="119" t="str">
        <f>IFERROR(__xludf.DUMMYFUNCTION("""COMPUTED_VALUE"""),"")</f>
        <v/>
      </c>
      <c r="F594" s="1" t="str">
        <f>IFERROR(__xludf.DUMMYFUNCTION("""COMPUTED_VALUE"""),"008.497.020_03")</f>
        <v>008.497.020_03</v>
      </c>
      <c r="G594" s="1"/>
      <c r="H594" s="1"/>
      <c r="I594" s="1"/>
      <c r="J594" s="1"/>
      <c r="K594" s="1"/>
      <c r="L594" s="1"/>
      <c r="M594" s="1"/>
      <c r="N594" s="120"/>
      <c r="O594" s="1"/>
      <c r="P594" s="1"/>
      <c r="Q594" s="1"/>
      <c r="R594" s="1" t="str">
        <f>IFERROR(__xludf.DUMMYFUNCTION("""COMPUTED_VALUE"""),"diegofreitag1985@gmail.com")</f>
        <v>diegofreitag1985@gmail.com</v>
      </c>
      <c r="S594" s="1"/>
      <c r="T594" s="1"/>
      <c r="U594" s="1"/>
      <c r="V594" s="1"/>
      <c r="W594" s="1"/>
      <c r="X594" s="1"/>
      <c r="Y594" s="1"/>
      <c r="Z594" s="1"/>
      <c r="AA594" s="1"/>
      <c r="AB594" s="1"/>
      <c r="AC594" s="1"/>
      <c r="AD594" s="1"/>
      <c r="AE594" s="1"/>
      <c r="AF594" s="1"/>
      <c r="AG594" s="1" t="str">
        <f>IFERROR(__xludf.DUMMYFUNCTION("""COMPUTED_VALUE"""),"G")</f>
        <v>G</v>
      </c>
      <c r="AH594" s="1">
        <f>IFERROR(__xludf.DUMMYFUNCTION("""COMPUTED_VALUE"""),42)</f>
        <v>42</v>
      </c>
      <c r="AI594" s="1"/>
      <c r="AJ594" s="1"/>
      <c r="AK594" s="1"/>
      <c r="AL594" s="1" t="str">
        <f>IFERROR(__xludf.DUMMYFUNCTION("""COMPUTED_VALUE"""),"G")</f>
        <v>G</v>
      </c>
      <c r="AM594" s="1" t="str">
        <f>IFERROR(__xludf.DUMMYFUNCTION("""COMPUTED_VALUE"""),"G")</f>
        <v>G</v>
      </c>
      <c r="AN594" s="1" t="str">
        <f>IFERROR(__xludf.DUMMYFUNCTION("""COMPUTED_VALUE"""),"G")</f>
        <v>G</v>
      </c>
    </row>
    <row r="595" customHeight="1" spans="1:40">
      <c r="A595" s="1"/>
      <c r="B595" s="1"/>
      <c r="C595" s="119"/>
      <c r="D595" s="1" t="str">
        <f>IFERROR(__xludf.DUMMYFUNCTION("""COMPUTED_VALUE"""),"DIEGO JUNIOR DA SILVA KLIN")</f>
        <v>DIEGO JUNIOR DA SILVA KLIN</v>
      </c>
      <c r="E595" s="119" t="str">
        <f>IFERROR(__xludf.DUMMYFUNCTION("""COMPUTED_VALUE"""),"Módulo 1 concluído")</f>
        <v>Módulo 1 concluído</v>
      </c>
      <c r="F595" s="1" t="str">
        <f>IFERROR(__xludf.DUMMYFUNCTION("""COMPUTED_VALUE"""),"001.725.663-40")</f>
        <v>001.725.663-40</v>
      </c>
      <c r="G595" s="1"/>
      <c r="H595" s="1"/>
      <c r="I595" s="1"/>
      <c r="J595" s="1"/>
      <c r="K595" s="1"/>
      <c r="L595" s="1"/>
      <c r="M595" s="1"/>
      <c r="N595" s="120"/>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row>
    <row r="596" customHeight="1" spans="1:40">
      <c r="A596" s="1" t="str">
        <f>IFERROR(__xludf.DUMMYFUNCTION("""COMPUTED_VALUE"""),"07° BBM")</f>
        <v>07° BBM</v>
      </c>
      <c r="B596" s="1" t="str">
        <f>IFERROR(__xludf.DUMMYFUNCTION("""COMPUTED_VALUE"""),"Barão de Cotegipe")</f>
        <v>Barão de Cotegipe</v>
      </c>
      <c r="C596" s="119" t="str">
        <f>IFERROR(__xludf.DUMMYFUNCTION("""COMPUTED_VALUE"""),"CAB")</f>
        <v>CAB</v>
      </c>
      <c r="D596" s="1" t="str">
        <f>IFERROR(__xludf.DUMMYFUNCTION("""COMPUTED_VALUE"""),"DIMORVAN VARGAS")</f>
        <v>DIMORVAN VARGAS</v>
      </c>
      <c r="E596" s="119" t="str">
        <f>IFERROR(__xludf.DUMMYFUNCTION("""COMPUTED_VALUE"""),"")</f>
        <v/>
      </c>
      <c r="F596" s="1" t="str">
        <f>IFERROR(__xludf.DUMMYFUNCTION("""COMPUTED_VALUE"""),"012.772.720-28")</f>
        <v>012.772.720-28</v>
      </c>
      <c r="G596" s="1">
        <f>IFERROR(__xludf.DUMMYFUNCTION("""COMPUTED_VALUE"""),4099649181)</f>
        <v>4099649181</v>
      </c>
      <c r="H596" s="1" t="str">
        <f>IFERROR(__xludf.DUMMYFUNCTION("""COMPUTED_VALUE"""),"Combatente")</f>
        <v>Combatente</v>
      </c>
      <c r="I596" s="1" t="str">
        <f>IFERROR(__xludf.DUMMYFUNCTION("""COMPUTED_VALUE"""),"APH/TRAUMA ,BLC/RDP,SOCORRISTA.")</f>
        <v>APH/TRAUMA ,BLC/RDP,SOCORRISTA.</v>
      </c>
      <c r="J596" s="1" t="str">
        <f>IFERROR(__xludf.DUMMYFUNCTION("""COMPUTED_VALUE"""),"Sim")</f>
        <v>Sim</v>
      </c>
      <c r="K596" s="1" t="str">
        <f>IFERROR(__xludf.DUMMYFUNCTION("""COMPUTED_VALUE"""),"Sim")</f>
        <v>Sim</v>
      </c>
      <c r="L596" s="1" t="str">
        <f>IFERROR(__xludf.DUMMYFUNCTION("""COMPUTED_VALUE"""),"O+")</f>
        <v>O+</v>
      </c>
      <c r="M596" s="1" t="str">
        <f>IFERROR(__xludf.DUMMYFUNCTION("""COMPUTED_VALUE"""),"DIMORVAN")</f>
        <v>DIMORVAN</v>
      </c>
      <c r="N596" s="121">
        <f>IFERROR(__xludf.DUMMYFUNCTION("""COMPUTED_VALUE"""),34619)</f>
        <v>34619</v>
      </c>
      <c r="O596" s="1" t="str">
        <f>IFERROR(__xludf.DUMMYFUNCTION("""COMPUTED_VALUE"""),"M")</f>
        <v>M</v>
      </c>
      <c r="P596" s="1" t="str">
        <f>IFERROR(__xludf.DUMMYFUNCTION("""COMPUTED_VALUE"""),"BRANCO")</f>
        <v>BRANCO</v>
      </c>
      <c r="Q596" s="1" t="str">
        <f>IFERROR(__xludf.DUMMYFUNCTION("""COMPUTED_VALUE"""),"ENSINO SUPERIOR")</f>
        <v>ENSINO SUPERIOR</v>
      </c>
      <c r="R596" s="1" t="str">
        <f>IFERROR(__xludf.DUMMYFUNCTION("""COMPUTED_VALUE"""),"dimorvan.vargas@gmail.com")</f>
        <v>dimorvan.vargas@gmail.com</v>
      </c>
      <c r="S596" s="1">
        <f>IFERROR(__xludf.DUMMYFUNCTION("""COMPUTED_VALUE"""),75)</f>
        <v>75</v>
      </c>
      <c r="T596" s="1" t="str">
        <f>IFERROR(__xludf.DUMMYFUNCTION("""COMPUTED_VALUE"""),"Entre 1,71m e 1,75m")</f>
        <v>Entre 1,71m e 1,75m</v>
      </c>
      <c r="U596" s="1"/>
      <c r="V596" s="1" t="str">
        <f>IFERROR(__xludf.DUMMYFUNCTION("""COMPUTED_VALUE"""),"(54) 999127191")</f>
        <v>(54) 999127191</v>
      </c>
      <c r="W596" s="1" t="str">
        <f>IFERROR(__xludf.DUMMYFUNCTION("""COMPUTED_VALUE"""),"(54) 999500071")</f>
        <v>(54) 999500071</v>
      </c>
      <c r="X596" s="1" t="str">
        <f>IFERROR(__xludf.DUMMYFUNCTION("""COMPUTED_VALUE"""),"RS")</f>
        <v>RS</v>
      </c>
      <c r="Y596" s="1" t="str">
        <f>IFERROR(__xludf.DUMMYFUNCTION("""COMPUTED_VALUE"""),"ERECHIM")</f>
        <v>ERECHIM</v>
      </c>
      <c r="Z596" s="1" t="str">
        <f>IFERROR(__xludf.DUMMYFUNCTION("""COMPUTED_VALUE"""),"99700-220")</f>
        <v>99700-220</v>
      </c>
      <c r="AA596" s="1" t="str">
        <f>IFERROR(__xludf.DUMMYFUNCTION("""COMPUTED_VALUE"""),"ALVAR IZIDRO CPFFY")</f>
        <v>ALVAR IZIDRO CPFFY</v>
      </c>
      <c r="AB596" s="1" t="str">
        <f>IFERROR(__xludf.DUMMYFUNCTION("""COMPUTED_VALUE"""),"ATLANTICO")</f>
        <v>ATLANTICO</v>
      </c>
      <c r="AC596" s="1" t="str">
        <f>IFERROR(__xludf.DUMMYFUNCTION("""COMPUTED_VALUE"""),"G")</f>
        <v>G</v>
      </c>
      <c r="AD596" s="1" t="str">
        <f>IFERROR(__xludf.DUMMYFUNCTION("""COMPUTED_VALUE"""),"G")</f>
        <v>G</v>
      </c>
      <c r="AE596" s="1" t="str">
        <f>IFERROR(__xludf.DUMMYFUNCTION("""COMPUTED_VALUE"""),"G")</f>
        <v>G</v>
      </c>
      <c r="AF596" s="1" t="str">
        <f>IFERROR(__xludf.DUMMYFUNCTION("""COMPUTED_VALUE"""),"G")</f>
        <v>G</v>
      </c>
      <c r="AG596" s="1" t="str">
        <f>IFERROR(__xludf.DUMMYFUNCTION("""COMPUTED_VALUE"""),"G")</f>
        <v>G</v>
      </c>
      <c r="AH596" s="1" t="str">
        <f>IFERROR(__xludf.DUMMYFUNCTION("""COMPUTED_VALUE"""),"G")</f>
        <v>G</v>
      </c>
      <c r="AI596" s="1">
        <f>IFERROR(__xludf.DUMMYFUNCTION("""COMPUTED_VALUE"""),41)</f>
        <v>41</v>
      </c>
      <c r="AJ596" s="1">
        <f>IFERROR(__xludf.DUMMYFUNCTION("""COMPUTED_VALUE"""),41)</f>
        <v>41</v>
      </c>
      <c r="AK596" s="1">
        <f>IFERROR(__xludf.DUMMYFUNCTION("""COMPUTED_VALUE"""),41)</f>
        <v>41</v>
      </c>
      <c r="AL596" s="1">
        <f>IFERROR(__xludf.DUMMYFUNCTION("""COMPUTED_VALUE"""),41)</f>
        <v>41</v>
      </c>
      <c r="AM596" s="1" t="str">
        <f>IFERROR(__xludf.DUMMYFUNCTION("""COMPUTED_VALUE"""),"G")</f>
        <v>G</v>
      </c>
      <c r="AN596" s="1">
        <f>IFERROR(__xludf.DUMMYFUNCTION("""COMPUTED_VALUE"""),56)</f>
        <v>56</v>
      </c>
    </row>
    <row r="597" customHeight="1" spans="1:40">
      <c r="A597" s="1" t="str">
        <f>IFERROR(__xludf.DUMMYFUNCTION("""COMPUTED_VALUE"""),"07° BBM")</f>
        <v>07° BBM</v>
      </c>
      <c r="B597" s="1" t="str">
        <f>IFERROR(__xludf.DUMMYFUNCTION("""COMPUTED_VALUE"""),"Áurea")</f>
        <v>Áurea</v>
      </c>
      <c r="C597" s="119" t="str">
        <f>IFERROR(__xludf.DUMMYFUNCTION("""COMPUTED_VALUE"""),"CAB")</f>
        <v>CAB</v>
      </c>
      <c r="D597" s="1" t="str">
        <f>IFERROR(__xludf.DUMMYFUNCTION("""COMPUTED_VALUE"""),"DIOGO POMAGERSKI")</f>
        <v>DIOGO POMAGERSKI</v>
      </c>
      <c r="E597" s="119" t="str">
        <f>IFERROR(__xludf.DUMMYFUNCTION("""COMPUTED_VALUE"""),"")</f>
        <v/>
      </c>
      <c r="F597" s="1" t="str">
        <f>IFERROR(__xludf.DUMMYFUNCTION("""COMPUTED_VALUE"""),"812.966.730-49")</f>
        <v>812.966.730-49</v>
      </c>
      <c r="G597" s="1">
        <f>IFERROR(__xludf.DUMMYFUNCTION("""COMPUTED_VALUE"""),3077927501)</f>
        <v>3077927501</v>
      </c>
      <c r="H597" s="1" t="str">
        <f>IFERROR(__xludf.DUMMYFUNCTION("""COMPUTED_VALUE"""),"voluntário")</f>
        <v>voluntário</v>
      </c>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row>
    <row r="598" customHeight="1" spans="1:40">
      <c r="A598" s="1" t="str">
        <f>IFERROR(__xludf.DUMMYFUNCTION("""COMPUTED_VALUE"""),"07° BBM")</f>
        <v>07° BBM</v>
      </c>
      <c r="B598" s="1" t="str">
        <f>IFERROR(__xludf.DUMMYFUNCTION("""COMPUTED_VALUE"""),"Campos Borges")</f>
        <v>Campos Borges</v>
      </c>
      <c r="C598" s="119" t="str">
        <f>IFERROR(__xludf.DUMMYFUNCTION("""COMPUTED_VALUE"""),"CAB")</f>
        <v>CAB</v>
      </c>
      <c r="D598" s="1" t="str">
        <f>IFERROR(__xludf.DUMMYFUNCTION("""COMPUTED_VALUE"""),"DIONI JUNIOR RIBEIRO")</f>
        <v>DIONI JUNIOR RIBEIRO</v>
      </c>
      <c r="E598" s="119" t="str">
        <f>IFERROR(__xludf.DUMMYFUNCTION("""COMPUTED_VALUE"""),"")</f>
        <v/>
      </c>
      <c r="F598" s="1"/>
      <c r="G598" s="1"/>
      <c r="H598" s="1"/>
      <c r="I598" s="1"/>
      <c r="J598" s="1"/>
      <c r="K598" s="1"/>
      <c r="L598" s="1"/>
      <c r="M598" s="1"/>
      <c r="N598" s="120">
        <f>IFERROR(__xludf.DUMMYFUNCTION("""COMPUTED_VALUE"""),32325)</f>
        <v>32325</v>
      </c>
      <c r="O598" s="1" t="str">
        <f>IFERROR(__xludf.DUMMYFUNCTION("""COMPUTED_VALUE"""),"Masculino")</f>
        <v>Masculino</v>
      </c>
      <c r="P598" s="1"/>
      <c r="Q598" s="1"/>
      <c r="R598" s="1"/>
      <c r="S598" s="1"/>
      <c r="T598" s="1"/>
      <c r="U598" s="1"/>
      <c r="V598" s="1"/>
      <c r="W598" s="1"/>
      <c r="X598" s="1"/>
      <c r="Y598" s="1" t="str">
        <f>IFERROR(__xludf.DUMMYFUNCTION("""COMPUTED_VALUE"""),"Campos Borges")</f>
        <v>Campos Borges</v>
      </c>
      <c r="Z598" s="1"/>
      <c r="AA598" s="1"/>
      <c r="AB598" s="1"/>
      <c r="AC598" s="1"/>
      <c r="AD598" s="1"/>
      <c r="AE598" s="1"/>
      <c r="AF598" s="1"/>
      <c r="AG598" s="1" t="str">
        <f>IFERROR(__xludf.DUMMYFUNCTION("""COMPUTED_VALUE"""),"G")</f>
        <v>G</v>
      </c>
      <c r="AH598" s="1">
        <f>IFERROR(__xludf.DUMMYFUNCTION("""COMPUTED_VALUE"""),41)</f>
        <v>41</v>
      </c>
      <c r="AI598" s="1"/>
      <c r="AJ598" s="1"/>
      <c r="AK598" s="1"/>
      <c r="AL598" s="1" t="str">
        <f>IFERROR(__xludf.DUMMYFUNCTION("""COMPUTED_VALUE"""),"G")</f>
        <v>G</v>
      </c>
      <c r="AM598" s="1" t="str">
        <f>IFERROR(__xludf.DUMMYFUNCTION("""COMPUTED_VALUE"""),"G")</f>
        <v>G</v>
      </c>
      <c r="AN598" s="1" t="str">
        <f>IFERROR(__xludf.DUMMYFUNCTION("""COMPUTED_VALUE"""),"G")</f>
        <v>G</v>
      </c>
    </row>
    <row r="599" customHeight="1" spans="1:40">
      <c r="A599" s="1"/>
      <c r="B599" s="1"/>
      <c r="C599" s="119"/>
      <c r="D599" s="1" t="str">
        <f>IFERROR(__xludf.DUMMYFUNCTION("""COMPUTED_VALUE"""),"DIRCIONEI FATIMA GARBO POLIDORO")</f>
        <v>DIRCIONEI FATIMA GARBO POLIDORO</v>
      </c>
      <c r="E599" s="119" t="str">
        <f>IFERROR(__xludf.DUMMYFUNCTION("""COMPUTED_VALUE"""),"Módulo 1 concluído")</f>
        <v>Módulo 1 concluído</v>
      </c>
      <c r="F599" s="1" t="str">
        <f>IFERROR(__xludf.DUMMYFUNCTION("""COMPUTED_VALUE"""),"642.525.820-91")</f>
        <v>642.525.820-91</v>
      </c>
      <c r="G599" s="1"/>
      <c r="H599" s="1"/>
      <c r="I599" s="1"/>
      <c r="J599" s="1"/>
      <c r="K599" s="1"/>
      <c r="L599" s="1"/>
      <c r="M599" s="1"/>
      <c r="N599" s="120"/>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row>
    <row r="600" customHeight="1" spans="1:40">
      <c r="A600" s="1" t="str">
        <f>IFERROR(__xludf.DUMMYFUNCTION("""COMPUTED_VALUE"""),"07° BBM")</f>
        <v>07° BBM</v>
      </c>
      <c r="B600" s="1" t="str">
        <f>IFERROR(__xludf.DUMMYFUNCTION("""COMPUTED_VALUE"""),"Faxinalzinho")</f>
        <v>Faxinalzinho</v>
      </c>
      <c r="C600" s="119" t="str">
        <f>IFERROR(__xludf.DUMMYFUNCTION("""COMPUTED_VALUE"""),"CAB")</f>
        <v>CAB</v>
      </c>
      <c r="D600" s="1" t="str">
        <f>IFERROR(__xludf.DUMMYFUNCTION("""COMPUTED_VALUE"""),"DOUGLAS DAL PIVA")</f>
        <v>DOUGLAS DAL PIVA</v>
      </c>
      <c r="E600" s="119" t="str">
        <f>IFERROR(__xludf.DUMMYFUNCTION("""COMPUTED_VALUE"""),"Módulo 1 concluído")</f>
        <v>Módulo 1 concluído</v>
      </c>
      <c r="F600" s="1" t="str">
        <f>IFERROR(__xludf.DUMMYFUNCTION("""COMPUTED_VALUE"""),"001.047.310-60")</f>
        <v>001.047.310-60</v>
      </c>
      <c r="G600" s="119">
        <f>IFERROR(__xludf.DUMMYFUNCTION("""COMPUTED_VALUE"""),3084303324)</f>
        <v>3084303324</v>
      </c>
      <c r="H600" s="1" t="str">
        <f>IFERROR(__xludf.DUMMYFUNCTION("""COMPUTED_VALUE"""),"Conselho Fiscal - Combatente")</f>
        <v>Conselho Fiscal - Combatente</v>
      </c>
      <c r="I600" s="1" t="str">
        <f>IFERROR(__xludf.DUMMYFUNCTION("""COMPUTED_VALUE"""),"Técnico agrícola, Combate a incendio")</f>
        <v>Técnico agrícola, Combate a incendio</v>
      </c>
      <c r="J600" s="1" t="str">
        <f>IFERROR(__xludf.DUMMYFUNCTION("""COMPUTED_VALUE"""),"Sim")</f>
        <v>Sim</v>
      </c>
      <c r="K600" s="1" t="str">
        <f>IFERROR(__xludf.DUMMYFUNCTION("""COMPUTED_VALUE"""),"Não")</f>
        <v>Não</v>
      </c>
      <c r="L600" s="1" t="str">
        <f>IFERROR(__xludf.DUMMYFUNCTION("""COMPUTED_VALUE"""),"A+")</f>
        <v>A+</v>
      </c>
      <c r="M600" s="1" t="str">
        <f>IFERROR(__xludf.DUMMYFUNCTION("""COMPUTED_VALUE"""),"DAL PIVA")</f>
        <v>DAL PIVA</v>
      </c>
      <c r="N600" s="120">
        <f>IFERROR(__xludf.DUMMYFUNCTION("""COMPUTED_VALUE"""),30438)</f>
        <v>30438</v>
      </c>
      <c r="O600" s="1" t="str">
        <f>IFERROR(__xludf.DUMMYFUNCTION("""COMPUTED_VALUE"""),"Masculino")</f>
        <v>Masculino</v>
      </c>
      <c r="P600" s="1" t="str">
        <f>IFERROR(__xludf.DUMMYFUNCTION("""COMPUTED_VALUE"""),"Branca")</f>
        <v>Branca</v>
      </c>
      <c r="Q600" s="1" t="str">
        <f>IFERROR(__xludf.DUMMYFUNCTION("""COMPUTED_VALUE"""),"Ensino Médio")</f>
        <v>Ensino Médio</v>
      </c>
      <c r="R600" s="1" t="str">
        <f>IFERROR(__xludf.DUMMYFUNCTION("""COMPUTED_VALUE"""),"dpiva@emater.tche.br")</f>
        <v>dpiva@emater.tche.br</v>
      </c>
      <c r="S600" s="1">
        <f>IFERROR(__xludf.DUMMYFUNCTION("""COMPUTED_VALUE"""),85)</f>
        <v>85</v>
      </c>
      <c r="T600" s="1" t="str">
        <f>IFERROR(__xludf.DUMMYFUNCTION("""COMPUTED_VALUE"""),"Entre 1,71m e 1,75m")</f>
        <v>Entre 1,71m e 1,75m</v>
      </c>
      <c r="U600" s="1" t="str">
        <f>IFERROR(__xludf.DUMMYFUNCTION("""COMPUTED_VALUE"""),"(54)35461189")</f>
        <v>(54)35461189</v>
      </c>
      <c r="V600" s="1" t="str">
        <f>IFERROR(__xludf.DUMMYFUNCTION("""COMPUTED_VALUE"""),"(54) 997082841")</f>
        <v>(54) 997082841</v>
      </c>
      <c r="W600" s="1" t="str">
        <f>IFERROR(__xludf.DUMMYFUNCTION("""COMPUTED_VALUE"""),"(54)997082841")</f>
        <v>(54)997082841</v>
      </c>
      <c r="X600" s="1" t="str">
        <f>IFERROR(__xludf.DUMMYFUNCTION("""COMPUTED_VALUE"""),"RIO GRANDE DO SUL")</f>
        <v>RIO GRANDE DO SUL</v>
      </c>
      <c r="Y600" s="1" t="str">
        <f>IFERROR(__xludf.DUMMYFUNCTION("""COMPUTED_VALUE"""),"Faxinalzinho")</f>
        <v>Faxinalzinho</v>
      </c>
      <c r="Z600" s="1" t="str">
        <f>IFERROR(__xludf.DUMMYFUNCTION("""COMPUTED_VALUE"""),"99655-000")</f>
        <v>99655-000</v>
      </c>
      <c r="AA600" s="1" t="str">
        <f>IFERROR(__xludf.DUMMYFUNCTION("""COMPUTED_VALUE"""),"Rua da Matriz")</f>
        <v>Rua da Matriz</v>
      </c>
      <c r="AB600" s="1" t="str">
        <f>IFERROR(__xludf.DUMMYFUNCTION("""COMPUTED_VALUE"""),"Centro")</f>
        <v>Centro</v>
      </c>
      <c r="AC600" s="1" t="str">
        <f>IFERROR(__xludf.DUMMYFUNCTION("""COMPUTED_VALUE"""),"G")</f>
        <v>G</v>
      </c>
      <c r="AD600" s="1" t="str">
        <f>IFERROR(__xludf.DUMMYFUNCTION("""COMPUTED_VALUE"""),"M")</f>
        <v>M</v>
      </c>
      <c r="AE600" s="1" t="str">
        <f>IFERROR(__xludf.DUMMYFUNCTION("""COMPUTED_VALUE"""),"M")</f>
        <v>M</v>
      </c>
      <c r="AF600" s="1" t="str">
        <f>IFERROR(__xludf.DUMMYFUNCTION("""COMPUTED_VALUE"""),"G")</f>
        <v>G</v>
      </c>
      <c r="AG600" s="1" t="str">
        <f>IFERROR(__xludf.DUMMYFUNCTION("""COMPUTED_VALUE"""),"G")</f>
        <v>G</v>
      </c>
      <c r="AH600" s="1">
        <f>IFERROR(__xludf.DUMMYFUNCTION("""COMPUTED_VALUE"""),40)</f>
        <v>40</v>
      </c>
      <c r="AI600" s="1">
        <f>IFERROR(__xludf.DUMMYFUNCTION("""COMPUTED_VALUE"""),40)</f>
        <v>40</v>
      </c>
      <c r="AJ600" s="1">
        <f>IFERROR(__xludf.DUMMYFUNCTION("""COMPUTED_VALUE"""),40)</f>
        <v>40</v>
      </c>
      <c r="AK600" s="1">
        <f>IFERROR(__xludf.DUMMYFUNCTION("""COMPUTED_VALUE"""),42)</f>
        <v>42</v>
      </c>
      <c r="AL600" s="1" t="str">
        <f>IFERROR(__xludf.DUMMYFUNCTION("""COMPUTED_VALUE"""),"G")</f>
        <v>G</v>
      </c>
      <c r="AM600" s="1" t="str">
        <f>IFERROR(__xludf.DUMMYFUNCTION("""COMPUTED_VALUE"""),"M")</f>
        <v>M</v>
      </c>
      <c r="AN600" s="1" t="str">
        <f>IFERROR(__xludf.DUMMYFUNCTION("""COMPUTED_VALUE"""),"G")</f>
        <v>G</v>
      </c>
    </row>
    <row r="601" customHeight="1" spans="1:40">
      <c r="A601" s="1" t="str">
        <f>IFERROR(__xludf.DUMMYFUNCTION("""COMPUTED_VALUE"""),"07° BBM")</f>
        <v>07° BBM</v>
      </c>
      <c r="B601" s="1" t="str">
        <f>IFERROR(__xludf.DUMMYFUNCTION("""COMPUTED_VALUE"""),"Faxinalzinho")</f>
        <v>Faxinalzinho</v>
      </c>
      <c r="C601" s="119" t="str">
        <f>IFERROR(__xludf.DUMMYFUNCTION("""COMPUTED_VALUE"""),"CAB")</f>
        <v>CAB</v>
      </c>
      <c r="D601" s="1" t="str">
        <f>IFERROR(__xludf.DUMMYFUNCTION("""COMPUTED_VALUE"""),"DOUGLAS JOSE RORIG")</f>
        <v>DOUGLAS JOSE RORIG</v>
      </c>
      <c r="E601" s="119" t="str">
        <f>IFERROR(__xludf.DUMMYFUNCTION("""COMPUTED_VALUE"""),"")</f>
        <v/>
      </c>
      <c r="F601" s="1" t="str">
        <f>IFERROR(__xludf.DUMMYFUNCTION("""COMPUTED_VALUE"""),"992.934.550-72")</f>
        <v>992.934.550-72</v>
      </c>
      <c r="G601" s="1">
        <f>IFERROR(__xludf.DUMMYFUNCTION("""COMPUTED_VALUE"""),9064704092)</f>
        <v>9064704092</v>
      </c>
      <c r="H601" s="1" t="str">
        <f>IFERROR(__xludf.DUMMYFUNCTION("""COMPUTED_VALUE"""),"Combatente")</f>
        <v>Combatente</v>
      </c>
      <c r="I601" s="1" t="str">
        <f>IFERROR(__xludf.DUMMYFUNCTION("""COMPUTED_VALUE"""),"Combate à incêndio, Aph")</f>
        <v>Combate à incêndio, Aph</v>
      </c>
      <c r="J601" s="1" t="str">
        <f>IFERROR(__xludf.DUMMYFUNCTION("""COMPUTED_VALUE"""),"Sim")</f>
        <v>Sim</v>
      </c>
      <c r="K601" s="1" t="str">
        <f>IFERROR(__xludf.DUMMYFUNCTION("""COMPUTED_VALUE"""),"Sim")</f>
        <v>Sim</v>
      </c>
      <c r="L601" s="1" t="str">
        <f>IFERROR(__xludf.DUMMYFUNCTION("""COMPUTED_VALUE"""),"A+")</f>
        <v>A+</v>
      </c>
      <c r="M601" s="1" t="str">
        <f>IFERROR(__xludf.DUMMYFUNCTION("""COMPUTED_VALUE"""),"DOUGLAS")</f>
        <v>DOUGLAS</v>
      </c>
      <c r="N601" s="120">
        <f>IFERROR(__xludf.DUMMYFUNCTION("""COMPUTED_VALUE"""),29749)</f>
        <v>29749</v>
      </c>
      <c r="O601" s="1" t="str">
        <f>IFERROR(__xludf.DUMMYFUNCTION("""COMPUTED_VALUE"""),"Masculino")</f>
        <v>Masculino</v>
      </c>
      <c r="P601" s="1" t="str">
        <f>IFERROR(__xludf.DUMMYFUNCTION("""COMPUTED_VALUE"""),"Branca")</f>
        <v>Branca</v>
      </c>
      <c r="Q601" s="1" t="str">
        <f>IFERROR(__xludf.DUMMYFUNCTION("""COMPUTED_VALUE"""),"Pós-graduação")</f>
        <v>Pós-graduação</v>
      </c>
      <c r="R601" s="1" t="str">
        <f>IFERROR(__xludf.DUMMYFUNCTION("""COMPUTED_VALUE"""),"djrorig@yahoo.com.br")</f>
        <v>djrorig@yahoo.com.br</v>
      </c>
      <c r="S601" s="1">
        <f>IFERROR(__xludf.DUMMYFUNCTION("""COMPUTED_VALUE"""),85)</f>
        <v>85</v>
      </c>
      <c r="T601" s="1" t="str">
        <f>IFERROR(__xludf.DUMMYFUNCTION("""COMPUTED_VALUE"""),"Entre 1,71m e 1,75m")</f>
        <v>Entre 1,71m e 1,75m</v>
      </c>
      <c r="U601" s="1" t="str">
        <f>IFERROR(__xludf.DUMMYFUNCTION("""COMPUTED_VALUE"""),"54 99913-0129")</f>
        <v>54 99913-0129</v>
      </c>
      <c r="V601" s="1" t="str">
        <f>IFERROR(__xludf.DUMMYFUNCTION("""COMPUTED_VALUE"""),"(54) 99913-0129")</f>
        <v>(54) 99913-0129</v>
      </c>
      <c r="W601" s="1" t="str">
        <f>IFERROR(__xludf.DUMMYFUNCTION("""COMPUTED_VALUE"""),"54 999815018")</f>
        <v>54 999815018</v>
      </c>
      <c r="X601" s="1" t="str">
        <f>IFERROR(__xludf.DUMMYFUNCTION("""COMPUTED_VALUE"""),"RIO GRANDE DO SUL")</f>
        <v>RIO GRANDE DO SUL</v>
      </c>
      <c r="Y601" s="1" t="str">
        <f>IFERROR(__xludf.DUMMYFUNCTION("""COMPUTED_VALUE"""),"ERECHIM")</f>
        <v>ERECHIM</v>
      </c>
      <c r="Z601" s="1" t="str">
        <f>IFERROR(__xludf.DUMMYFUNCTION("""COMPUTED_VALUE"""),"99700-500")</f>
        <v>99700-500</v>
      </c>
      <c r="AA601" s="1" t="str">
        <f>IFERROR(__xludf.DUMMYFUNCTION("""COMPUTED_VALUE"""),"Av santo Dal Bosco 935")</f>
        <v>Av santo Dal Bosco 935</v>
      </c>
      <c r="AB601" s="1" t="str">
        <f>IFERROR(__xludf.DUMMYFUNCTION("""COMPUTED_VALUE"""),"Ipiranga")</f>
        <v>Ipiranga</v>
      </c>
      <c r="AC601" s="1" t="str">
        <f>IFERROR(__xludf.DUMMYFUNCTION("""COMPUTED_VALUE"""),"G")</f>
        <v>G</v>
      </c>
      <c r="AD601" s="1" t="str">
        <f>IFERROR(__xludf.DUMMYFUNCTION("""COMPUTED_VALUE"""),"G")</f>
        <v>G</v>
      </c>
      <c r="AE601" s="1" t="str">
        <f>IFERROR(__xludf.DUMMYFUNCTION("""COMPUTED_VALUE"""),"G")</f>
        <v>G</v>
      </c>
      <c r="AF601" s="1" t="str">
        <f>IFERROR(__xludf.DUMMYFUNCTION("""COMPUTED_VALUE"""),"G")</f>
        <v>G</v>
      </c>
      <c r="AG601" s="1" t="str">
        <f>IFERROR(__xludf.DUMMYFUNCTION("""COMPUTED_VALUE"""),"G")</f>
        <v>G</v>
      </c>
      <c r="AH601" s="1">
        <f>IFERROR(__xludf.DUMMYFUNCTION("""COMPUTED_VALUE"""),40)</f>
        <v>40</v>
      </c>
      <c r="AI601" s="1">
        <f>IFERROR(__xludf.DUMMYFUNCTION("""COMPUTED_VALUE"""),40)</f>
        <v>40</v>
      </c>
      <c r="AJ601" s="1">
        <f>IFERROR(__xludf.DUMMYFUNCTION("""COMPUTED_VALUE"""),40)</f>
        <v>40</v>
      </c>
      <c r="AK601" s="1">
        <f>IFERROR(__xludf.DUMMYFUNCTION("""COMPUTED_VALUE"""),41)</f>
        <v>41</v>
      </c>
      <c r="AL601" s="1" t="str">
        <f>IFERROR(__xludf.DUMMYFUNCTION("""COMPUTED_VALUE"""),"G")</f>
        <v>G</v>
      </c>
      <c r="AM601" s="1" t="str">
        <f>IFERROR(__xludf.DUMMYFUNCTION("""COMPUTED_VALUE"""),"G")</f>
        <v>G</v>
      </c>
      <c r="AN601" s="1" t="str">
        <f>IFERROR(__xludf.DUMMYFUNCTION("""COMPUTED_VALUE"""),"G")</f>
        <v>G</v>
      </c>
    </row>
    <row r="602" customHeight="1" spans="1:40">
      <c r="A602" s="1"/>
      <c r="B602" s="1"/>
      <c r="C602" s="119"/>
      <c r="D602" s="1" t="str">
        <f>IFERROR(__xludf.DUMMYFUNCTION("""COMPUTED_VALUE"""),"DOUGLAS MADALOSSO")</f>
        <v>DOUGLAS MADALOSSO</v>
      </c>
      <c r="E602" s="1" t="str">
        <f>IFERROR(__xludf.DUMMYFUNCTION("""COMPUTED_VALUE"""),"Módulo 1 concluído")</f>
        <v>Módulo 1 concluído</v>
      </c>
      <c r="F602" s="1" t="str">
        <f>IFERROR(__xludf.DUMMYFUNCTION("""COMPUTED_VALUE"""),"040.055.880-77")</f>
        <v>040.055.880-77</v>
      </c>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row>
    <row r="603" customHeight="1" spans="1:40">
      <c r="A603" s="1" t="str">
        <f>IFERROR(__xludf.DUMMYFUNCTION("""COMPUTED_VALUE"""),"07° BBM")</f>
        <v>07° BBM</v>
      </c>
      <c r="B603" s="1" t="str">
        <f>IFERROR(__xludf.DUMMYFUNCTION("""COMPUTED_VALUE"""),"Aratiba")</f>
        <v>Aratiba</v>
      </c>
      <c r="C603" s="119" t="str">
        <f>IFERROR(__xludf.DUMMYFUNCTION("""COMPUTED_VALUE"""),"CAB")</f>
        <v>CAB</v>
      </c>
      <c r="D603" s="1" t="str">
        <f>IFERROR(__xludf.DUMMYFUNCTION("""COMPUTED_VALUE"""),"DOUGLAS MENTZ")</f>
        <v>DOUGLAS MENTZ</v>
      </c>
      <c r="E603" s="119" t="str">
        <f>IFERROR(__xludf.DUMMYFUNCTION("""COMPUTED_VALUE"""),"")</f>
        <v/>
      </c>
      <c r="F603" s="1" t="str">
        <f>IFERROR(__xludf.DUMMYFUNCTION("""COMPUTED_VALUE"""),"030.077.941-02")</f>
        <v>030.077.941-02</v>
      </c>
      <c r="G603" s="1">
        <f>IFERROR(__xludf.DUMMYFUNCTION("""COMPUTED_VALUE"""),6089026675)</f>
        <v>6089026675</v>
      </c>
      <c r="H603" s="1" t="str">
        <f>IFERROR(__xludf.DUMMYFUNCTION("""COMPUTED_VALUE"""),"Bombeiro Voluntario")</f>
        <v>Bombeiro Voluntario</v>
      </c>
      <c r="I603" s="1" t="str">
        <f>IFERROR(__xludf.DUMMYFUNCTION("""COMPUTED_VALUE"""),"Curso de APH")</f>
        <v>Curso de APH</v>
      </c>
      <c r="J603" s="1" t="str">
        <f>IFERROR(__xludf.DUMMYFUNCTION("""COMPUTED_VALUE"""),"Não")</f>
        <v>Não</v>
      </c>
      <c r="K603" s="1" t="str">
        <f>IFERROR(__xludf.DUMMYFUNCTION("""COMPUTED_VALUE"""),"Não")</f>
        <v>Não</v>
      </c>
      <c r="L603" s="1" t="str">
        <f>IFERROR(__xludf.DUMMYFUNCTION("""COMPUTED_VALUE"""),"O-")</f>
        <v>O-</v>
      </c>
      <c r="M603" s="1" t="str">
        <f>IFERROR(__xludf.DUMMYFUNCTION("""COMPUTED_VALUE"""),"MANINHO")</f>
        <v>MANINHO</v>
      </c>
      <c r="N603" s="120">
        <f>IFERROR(__xludf.DUMMYFUNCTION("""COMPUTED_VALUE"""),32547)</f>
        <v>32547</v>
      </c>
      <c r="O603" s="1" t="str">
        <f>IFERROR(__xludf.DUMMYFUNCTION("""COMPUTED_VALUE"""),"Masculino")</f>
        <v>Masculino</v>
      </c>
      <c r="P603" s="1" t="str">
        <f>IFERROR(__xludf.DUMMYFUNCTION("""COMPUTED_VALUE"""),"Branca")</f>
        <v>Branca</v>
      </c>
      <c r="Q603" s="1" t="str">
        <f>IFERROR(__xludf.DUMMYFUNCTION("""COMPUTED_VALUE"""),"Ensino Superior Completo")</f>
        <v>Ensino Superior Completo</v>
      </c>
      <c r="R603" s="1" t="str">
        <f>IFERROR(__xludf.DUMMYFUNCTION("""COMPUTED_VALUE"""),"douglasmentz@hotmail.com")</f>
        <v>douglasmentz@hotmail.com</v>
      </c>
      <c r="S603" s="1">
        <f>IFERROR(__xludf.DUMMYFUNCTION("""COMPUTED_VALUE"""),107)</f>
        <v>107</v>
      </c>
      <c r="T603" s="1" t="str">
        <f>IFERROR(__xludf.DUMMYFUNCTION("""COMPUTED_VALUE"""),"Entre 1,81m e 1,85m")</f>
        <v>Entre 1,81m e 1,85m</v>
      </c>
      <c r="U603" s="1"/>
      <c r="V603" s="1" t="str">
        <f>IFERROR(__xludf.DUMMYFUNCTION("""COMPUTED_VALUE"""),"(54)991796188")</f>
        <v>(54)991796188</v>
      </c>
      <c r="W603" s="1" t="str">
        <f>IFERROR(__xludf.DUMMYFUNCTION("""COMPUTED_VALUE"""),"(54)991796188")</f>
        <v>(54)991796188</v>
      </c>
      <c r="X603" s="1" t="str">
        <f>IFERROR(__xludf.DUMMYFUNCTION("""COMPUTED_VALUE"""),"RS")</f>
        <v>RS</v>
      </c>
      <c r="Y603" s="1" t="str">
        <f>IFERROR(__xludf.DUMMYFUNCTION("""COMPUTED_VALUE"""),"Aratiba")</f>
        <v>Aratiba</v>
      </c>
      <c r="Z603" s="1">
        <f>IFERROR(__xludf.DUMMYFUNCTION("""COMPUTED_VALUE"""),99770000)</f>
        <v>99770000</v>
      </c>
      <c r="AA603" s="1" t="str">
        <f>IFERROR(__xludf.DUMMYFUNCTION("""COMPUTED_VALUE"""),"Rua José Maté, 120")</f>
        <v>Rua José Maté, 120</v>
      </c>
      <c r="AB603" s="1" t="str">
        <f>IFERROR(__xludf.DUMMYFUNCTION("""COMPUTED_VALUE"""),"Santo Expedito")</f>
        <v>Santo Expedito</v>
      </c>
      <c r="AC603" s="1" t="str">
        <f>IFERROR(__xludf.DUMMYFUNCTION("""COMPUTED_VALUE"""),"GG")</f>
        <v>GG</v>
      </c>
      <c r="AD603" s="1" t="str">
        <f>IFERROR(__xludf.DUMMYFUNCTION("""COMPUTED_VALUE"""),"GG")</f>
        <v>GG</v>
      </c>
      <c r="AE603" s="1" t="str">
        <f>IFERROR(__xludf.DUMMYFUNCTION("""COMPUTED_VALUE"""),"GG")</f>
        <v>GG</v>
      </c>
      <c r="AF603" s="1" t="str">
        <f>IFERROR(__xludf.DUMMYFUNCTION("""COMPUTED_VALUE"""),"GG")</f>
        <v>GG</v>
      </c>
      <c r="AG603" s="1" t="str">
        <f>IFERROR(__xludf.DUMMYFUNCTION("""COMPUTED_VALUE"""),"GG")</f>
        <v>GG</v>
      </c>
      <c r="AH603" s="1">
        <f>IFERROR(__xludf.DUMMYFUNCTION("""COMPUTED_VALUE"""),44)</f>
        <v>44</v>
      </c>
      <c r="AI603" s="1">
        <f>IFERROR(__xludf.DUMMYFUNCTION("""COMPUTED_VALUE"""),44)</f>
        <v>44</v>
      </c>
      <c r="AJ603" s="1">
        <f>IFERROR(__xludf.DUMMYFUNCTION("""COMPUTED_VALUE"""),44)</f>
        <v>44</v>
      </c>
      <c r="AK603" s="1">
        <f>IFERROR(__xludf.DUMMYFUNCTION("""COMPUTED_VALUE"""),44)</f>
        <v>44</v>
      </c>
      <c r="AL603" s="1" t="str">
        <f>IFERROR(__xludf.DUMMYFUNCTION("""COMPUTED_VALUE"""),"GG")</f>
        <v>GG</v>
      </c>
      <c r="AM603" s="1" t="str">
        <f>IFERROR(__xludf.DUMMYFUNCTION("""COMPUTED_VALUE"""),"GG")</f>
        <v>GG</v>
      </c>
      <c r="AN603" s="1" t="str">
        <f>IFERROR(__xludf.DUMMYFUNCTION("""COMPUTED_VALUE"""),"GG")</f>
        <v>GG</v>
      </c>
    </row>
    <row r="604" customHeight="1" spans="1:40">
      <c r="A604" s="1" t="str">
        <f>IFERROR(__xludf.DUMMYFUNCTION("""COMPUTED_VALUE"""),"07° BBM")</f>
        <v>07° BBM</v>
      </c>
      <c r="B604" s="1" t="str">
        <f>IFERROR(__xludf.DUMMYFUNCTION("""COMPUTED_VALUE"""),"Barão de Cotegipe")</f>
        <v>Barão de Cotegipe</v>
      </c>
      <c r="C604" s="119" t="str">
        <f>IFERROR(__xludf.DUMMYFUNCTION("""COMPUTED_VALUE"""),"CAB")</f>
        <v>CAB</v>
      </c>
      <c r="D604" s="1" t="str">
        <f>IFERROR(__xludf.DUMMYFUNCTION("""COMPUTED_VALUE"""),"DOUGLAS RORIG")</f>
        <v>DOUGLAS RORIG</v>
      </c>
      <c r="E604" s="119" t="str">
        <f>IFERROR(__xludf.DUMMYFUNCTION("""COMPUTED_VALUE"""),"")</f>
        <v/>
      </c>
      <c r="F604" s="1" t="str">
        <f>IFERROR(__xludf.DUMMYFUNCTION("""COMPUTED_VALUE"""),"992.934.550-72")</f>
        <v>992.934.550-72</v>
      </c>
      <c r="G604" s="1">
        <f>IFERROR(__xludf.DUMMYFUNCTION("""COMPUTED_VALUE"""),9064704092)</f>
        <v>9064704092</v>
      </c>
      <c r="H604" s="1" t="str">
        <f>IFERROR(__xludf.DUMMYFUNCTION("""COMPUTED_VALUE"""),"VOLUNTARIO")</f>
        <v>VOLUNTARIO</v>
      </c>
      <c r="I604" s="1" t="str">
        <f>IFERROR(__xludf.DUMMYFUNCTION("""COMPUTED_VALUE"""),"BOMBEIRO MILITAR E CIVIL,RESGATE AQUÁTICO,APH,NR35,NR33.")</f>
        <v>BOMBEIRO MILITAR E CIVIL,RESGATE AQUÁTICO,APH,NR35,NR33.</v>
      </c>
      <c r="J604" s="1"/>
      <c r="K604" s="1"/>
      <c r="L604" s="1"/>
      <c r="M604" s="1"/>
      <c r="N604" s="120"/>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row>
    <row r="605" customHeight="1" spans="1:40">
      <c r="A605" s="1" t="str">
        <f>IFERROR(__xludf.DUMMYFUNCTION("""COMPUTED_VALUE"""),"07° BBM")</f>
        <v>07° BBM</v>
      </c>
      <c r="B605" s="1" t="str">
        <f>IFERROR(__xludf.DUMMYFUNCTION("""COMPUTED_VALUE"""),"Serafina Corrêa")</f>
        <v>Serafina Corrêa</v>
      </c>
      <c r="C605" s="119" t="str">
        <f>IFERROR(__xludf.DUMMYFUNCTION("""COMPUTED_VALUE"""),"CAB")</f>
        <v>CAB</v>
      </c>
      <c r="D605" s="1" t="str">
        <f>IFERROR(__xludf.DUMMYFUNCTION("""COMPUTED_VALUE"""),"DYENIFER TAVARES CELINGA")</f>
        <v>DYENIFER TAVARES CELINGA</v>
      </c>
      <c r="E605" s="119" t="str">
        <f>IFERROR(__xludf.DUMMYFUNCTION("""COMPUTED_VALUE"""),"Módulo 1 concluído")</f>
        <v>Módulo 1 concluído</v>
      </c>
      <c r="F605" s="1" t="str">
        <f>IFERROR(__xludf.DUMMYFUNCTION("""COMPUTED_VALUE"""),"043.131.220-60")</f>
        <v>043.131.220-60</v>
      </c>
      <c r="G605" s="1">
        <f>IFERROR(__xludf.DUMMYFUNCTION("""COMPUTED_VALUE"""),112832624)</f>
        <v>112832624</v>
      </c>
      <c r="H605" s="1" t="str">
        <f>IFERROR(__xludf.DUMMYFUNCTION("""COMPUTED_VALUE"""),"CAB - ALUNO")</f>
        <v>CAB - ALUNO</v>
      </c>
      <c r="I605" s="1" t="str">
        <f>IFERROR(__xludf.DUMMYFUNCTION("""COMPUTED_VALUE"""),"APH / BLS - NR 10 NR 33 NR 35 ")</f>
        <v>APH / BLS - NR 10 NR 33 NR 35 </v>
      </c>
      <c r="J605" s="1" t="str">
        <f>IFERROR(__xludf.DUMMYFUNCTION("""COMPUTED_VALUE"""),"Não")</f>
        <v>Não</v>
      </c>
      <c r="K605" s="1" t="str">
        <f>IFERROR(__xludf.DUMMYFUNCTION("""COMPUTED_VALUE"""),"Não")</f>
        <v>Não</v>
      </c>
      <c r="L605" s="1" t="str">
        <f>IFERROR(__xludf.DUMMYFUNCTION("""COMPUTED_VALUE"""),"B+")</f>
        <v>B+</v>
      </c>
      <c r="M605" s="1" t="str">
        <f>IFERROR(__xludf.DUMMYFUNCTION("""COMPUTED_VALUE"""),"Tavares")</f>
        <v>Tavares</v>
      </c>
      <c r="N605" s="120">
        <f>IFERROR(__xludf.DUMMYFUNCTION("""COMPUTED_VALUE"""),38631)</f>
        <v>38631</v>
      </c>
      <c r="O605" s="1" t="str">
        <f>IFERROR(__xludf.DUMMYFUNCTION("""COMPUTED_VALUE"""),"Feminino")</f>
        <v>Feminino</v>
      </c>
      <c r="P605" s="1" t="str">
        <f>IFERROR(__xludf.DUMMYFUNCTION("""COMPUTED_VALUE"""),"Branca")</f>
        <v>Branca</v>
      </c>
      <c r="Q605" s="1" t="str">
        <f>IFERROR(__xludf.DUMMYFUNCTION("""COMPUTED_VALUE"""),"Ensino Médio")</f>
        <v>Ensino Médio</v>
      </c>
      <c r="R605" s="1" t="str">
        <f>IFERROR(__xludf.DUMMYFUNCTION("""COMPUTED_VALUE"""),"dyenifertavares00@gmail.com")</f>
        <v>dyenifertavares00@gmail.com</v>
      </c>
      <c r="S605" s="1">
        <f>IFERROR(__xludf.DUMMYFUNCTION("""COMPUTED_VALUE"""),70)</f>
        <v>70</v>
      </c>
      <c r="T605" s="1" t="str">
        <f>IFERROR(__xludf.DUMMYFUNCTION("""COMPUTED_VALUE"""),"Entre 1,61m e 1,65m")</f>
        <v>Entre 1,61m e 1,65m</v>
      </c>
      <c r="U605" s="1"/>
      <c r="V605" s="1" t="str">
        <f>IFERROR(__xludf.DUMMYFUNCTION("""COMPUTED_VALUE"""),"(54)99940-5330")</f>
        <v>(54)99940-5330</v>
      </c>
      <c r="W605" s="1" t="str">
        <f>IFERROR(__xludf.DUMMYFUNCTION("""COMPUTED_VALUE"""),"(54)99652-7700")</f>
        <v>(54)99652-7700</v>
      </c>
      <c r="X605" s="1" t="str">
        <f>IFERROR(__xludf.DUMMYFUNCTION("""COMPUTED_VALUE"""),"RS")</f>
        <v>RS</v>
      </c>
      <c r="Y605" s="1" t="str">
        <f>IFERROR(__xludf.DUMMYFUNCTION("""COMPUTED_VALUE"""),"Serafina Corrêa")</f>
        <v>Serafina Corrêa</v>
      </c>
      <c r="Z605" s="1" t="str">
        <f>IFERROR(__xludf.DUMMYFUNCTION("""COMPUTED_VALUE"""),"99250-000")</f>
        <v>99250-000</v>
      </c>
      <c r="AA605" s="1" t="str">
        <f>IFERROR(__xludf.DUMMYFUNCTION("""COMPUTED_VALUE"""),"Rua via torino,530")</f>
        <v>Rua via torino,530</v>
      </c>
      <c r="AB605" s="1" t="str">
        <f>IFERROR(__xludf.DUMMYFUNCTION("""COMPUTED_VALUE"""),"Aparecida")</f>
        <v>Aparecida</v>
      </c>
      <c r="AC605" s="1" t="str">
        <f>IFERROR(__xludf.DUMMYFUNCTION("""COMPUTED_VALUE"""),"G")</f>
        <v>G</v>
      </c>
      <c r="AD605" s="1" t="str">
        <f>IFERROR(__xludf.DUMMYFUNCTION("""COMPUTED_VALUE"""),"M")</f>
        <v>M</v>
      </c>
      <c r="AE605" s="1" t="str">
        <f>IFERROR(__xludf.DUMMYFUNCTION("""COMPUTED_VALUE"""),"M")</f>
        <v>M</v>
      </c>
      <c r="AF605" s="1" t="str">
        <f>IFERROR(__xludf.DUMMYFUNCTION("""COMPUTED_VALUE"""),"M")</f>
        <v>M</v>
      </c>
      <c r="AG605" s="1" t="str">
        <f>IFERROR(__xludf.DUMMYFUNCTION("""COMPUTED_VALUE"""),"M")</f>
        <v>M</v>
      </c>
      <c r="AH605" s="1">
        <f>IFERROR(__xludf.DUMMYFUNCTION("""COMPUTED_VALUE"""),39)</f>
        <v>39</v>
      </c>
      <c r="AI605" s="1">
        <f>IFERROR(__xludf.DUMMYFUNCTION("""COMPUTED_VALUE"""),39)</f>
        <v>39</v>
      </c>
      <c r="AJ605" s="1">
        <f>IFERROR(__xludf.DUMMYFUNCTION("""COMPUTED_VALUE"""),39)</f>
        <v>39</v>
      </c>
      <c r="AK605" s="1">
        <f>IFERROR(__xludf.DUMMYFUNCTION("""COMPUTED_VALUE"""),39)</f>
        <v>39</v>
      </c>
      <c r="AL605" s="1" t="str">
        <f>IFERROR(__xludf.DUMMYFUNCTION("""COMPUTED_VALUE"""),"M")</f>
        <v>M</v>
      </c>
      <c r="AM605" s="1" t="str">
        <f>IFERROR(__xludf.DUMMYFUNCTION("""COMPUTED_VALUE"""),"M")</f>
        <v>M</v>
      </c>
      <c r="AN605" s="1" t="str">
        <f>IFERROR(__xludf.DUMMYFUNCTION("""COMPUTED_VALUE"""),"M")</f>
        <v>M</v>
      </c>
    </row>
    <row r="606" customHeight="1" spans="1:40">
      <c r="A606" s="1" t="str">
        <f>IFERROR(__xludf.DUMMYFUNCTION("""COMPUTED_VALUE"""),"07° BBM")</f>
        <v>07° BBM</v>
      </c>
      <c r="B606" s="1" t="str">
        <f>IFERROR(__xludf.DUMMYFUNCTION("""COMPUTED_VALUE"""),"Jacutinga")</f>
        <v>Jacutinga</v>
      </c>
      <c r="C606" s="119" t="str">
        <f>IFERROR(__xludf.DUMMYFUNCTION("""COMPUTED_VALUE"""),"CAB")</f>
        <v>CAB</v>
      </c>
      <c r="D606" s="1" t="str">
        <f>IFERROR(__xludf.DUMMYFUNCTION("""COMPUTED_VALUE"""),"EDEMAR MARCOS RODHE")</f>
        <v>EDEMAR MARCOS RODHE</v>
      </c>
      <c r="E606" s="119" t="str">
        <f>IFERROR(__xludf.DUMMYFUNCTION("""COMPUTED_VALUE"""),"")</f>
        <v/>
      </c>
      <c r="F606" s="1" t="str">
        <f>IFERROR(__xludf.DUMMYFUNCTION("""COMPUTED_VALUE"""),"011.005.790-29")</f>
        <v>011.005.790-29</v>
      </c>
      <c r="G606" s="1">
        <f>IFERROR(__xludf.DUMMYFUNCTION("""COMPUTED_VALUE"""),9076538363)</f>
        <v>9076538363</v>
      </c>
      <c r="H606" s="1" t="str">
        <f>IFERROR(__xludf.DUMMYFUNCTION("""COMPUTED_VALUE"""),"Integrante")</f>
        <v>Integrante</v>
      </c>
      <c r="I606" s="1" t="str">
        <f>IFERROR(__xludf.DUMMYFUNCTION("""COMPUTED_VALUE"""),"CURSO DE CONDUÇÃO DE VEÍCULOS DE EMERGÊNCIA - TREINAMENTOS EM APH E PREVENÇÃO E COMBATE A INCÊNDIOS JUNTO AO CBM/RS")</f>
        <v>CURSO DE CONDUÇÃO DE VEÍCULOS DE EMERGÊNCIA - TREINAMENTOS EM APH E PREVENÇÃO E COMBATE A INCÊNDIOS JUNTO AO CBM/RS</v>
      </c>
      <c r="J606" s="1" t="str">
        <f>IFERROR(__xludf.DUMMYFUNCTION("""COMPUTED_VALUE"""),"Sim")</f>
        <v>Sim</v>
      </c>
      <c r="K606" s="1" t="str">
        <f>IFERROR(__xludf.DUMMYFUNCTION("""COMPUTED_VALUE"""),"Não")</f>
        <v>Não</v>
      </c>
      <c r="L606" s="1" t="str">
        <f>IFERROR(__xludf.DUMMYFUNCTION("""COMPUTED_VALUE"""),"O+")</f>
        <v>O+</v>
      </c>
      <c r="M606" s="1" t="str">
        <f>IFERROR(__xludf.DUMMYFUNCTION("""COMPUTED_VALUE"""),"Edemar")</f>
        <v>Edemar</v>
      </c>
      <c r="N606" s="120">
        <f>IFERROR(__xludf.DUMMYFUNCTION("""COMPUTED_VALUE"""),31122)</f>
        <v>31122</v>
      </c>
      <c r="O606" s="1" t="str">
        <f>IFERROR(__xludf.DUMMYFUNCTION("""COMPUTED_VALUE"""),"Masculino")</f>
        <v>Masculino</v>
      </c>
      <c r="P606" s="1" t="str">
        <f>IFERROR(__xludf.DUMMYFUNCTION("""COMPUTED_VALUE"""),"Branca")</f>
        <v>Branca</v>
      </c>
      <c r="Q606" s="1" t="str">
        <f>IFERROR(__xludf.DUMMYFUNCTION("""COMPUTED_VALUE"""),"Ensino Médio")</f>
        <v>Ensino Médio</v>
      </c>
      <c r="R606" s="1"/>
      <c r="S606" s="1">
        <f>IFERROR(__xludf.DUMMYFUNCTION("""COMPUTED_VALUE"""),110)</f>
        <v>110</v>
      </c>
      <c r="T606" s="1" t="str">
        <f>IFERROR(__xludf.DUMMYFUNCTION("""COMPUTED_VALUE"""),"Entre 1,86m e 1,90m")</f>
        <v>Entre 1,86m e 1,90m</v>
      </c>
      <c r="U606" s="1"/>
      <c r="V606" s="1" t="str">
        <f>IFERROR(__xludf.DUMMYFUNCTION("""COMPUTED_VALUE"""),"(54) 991665325")</f>
        <v>(54) 991665325</v>
      </c>
      <c r="W606" s="1"/>
      <c r="X606" s="1" t="str">
        <f>IFERROR(__xludf.DUMMYFUNCTION("""COMPUTED_VALUE"""),"RS")</f>
        <v>RS</v>
      </c>
      <c r="Y606" s="1" t="str">
        <f>IFERROR(__xludf.DUMMYFUNCTION("""COMPUTED_VALUE"""),"Jacutinga")</f>
        <v>Jacutinga</v>
      </c>
      <c r="Z606" s="1" t="str">
        <f>IFERROR(__xludf.DUMMYFUNCTION("""COMPUTED_VALUE"""),"99730-000")</f>
        <v>99730-000</v>
      </c>
      <c r="AA606" s="1" t="str">
        <f>IFERROR(__xludf.DUMMYFUNCTION("""COMPUTED_VALUE"""),"Rua Stefano Greggio,, 665")</f>
        <v>Rua Stefano Greggio,, 665</v>
      </c>
      <c r="AB606" s="1" t="str">
        <f>IFERROR(__xludf.DUMMYFUNCTION("""COMPUTED_VALUE"""),"Centro")</f>
        <v>Centro</v>
      </c>
      <c r="AC606" s="1" t="str">
        <f>IFERROR(__xludf.DUMMYFUNCTION("""COMPUTED_VALUE"""),"GG")</f>
        <v>GG</v>
      </c>
      <c r="AD606" s="1" t="str">
        <f>IFERROR(__xludf.DUMMYFUNCTION("""COMPUTED_VALUE"""),"GG")</f>
        <v>GG</v>
      </c>
      <c r="AE606" s="1" t="str">
        <f>IFERROR(__xludf.DUMMYFUNCTION("""COMPUTED_VALUE"""),"GG")</f>
        <v>GG</v>
      </c>
      <c r="AF606" s="1" t="str">
        <f>IFERROR(__xludf.DUMMYFUNCTION("""COMPUTED_VALUE"""),"GG")</f>
        <v>GG</v>
      </c>
      <c r="AG606" s="1" t="str">
        <f>IFERROR(__xludf.DUMMYFUNCTION("""COMPUTED_VALUE"""),"GG")</f>
        <v>GG</v>
      </c>
      <c r="AH606" s="1">
        <f>IFERROR(__xludf.DUMMYFUNCTION("""COMPUTED_VALUE"""),43)</f>
        <v>43</v>
      </c>
      <c r="AI606" s="1">
        <f>IFERROR(__xludf.DUMMYFUNCTION("""COMPUTED_VALUE"""),43)</f>
        <v>43</v>
      </c>
      <c r="AJ606" s="1">
        <f>IFERROR(__xludf.DUMMYFUNCTION("""COMPUTED_VALUE"""),43)</f>
        <v>43</v>
      </c>
      <c r="AK606" s="1">
        <f>IFERROR(__xludf.DUMMYFUNCTION("""COMPUTED_VALUE"""),43)</f>
        <v>43</v>
      </c>
      <c r="AL606" s="1" t="str">
        <f>IFERROR(__xludf.DUMMYFUNCTION("""COMPUTED_VALUE"""),"GG")</f>
        <v>GG</v>
      </c>
      <c r="AM606" s="1" t="str">
        <f>IFERROR(__xludf.DUMMYFUNCTION("""COMPUTED_VALUE"""),"GG")</f>
        <v>GG</v>
      </c>
      <c r="AN606" s="1" t="str">
        <f>IFERROR(__xludf.DUMMYFUNCTION("""COMPUTED_VALUE"""),"G")</f>
        <v>G</v>
      </c>
    </row>
    <row r="607" customHeight="1" spans="1:40">
      <c r="A607" s="1" t="str">
        <f>IFERROR(__xludf.DUMMYFUNCTION("""COMPUTED_VALUE"""),"07° BBM")</f>
        <v>07° BBM</v>
      </c>
      <c r="B607" s="1" t="str">
        <f>IFERROR(__xludf.DUMMYFUNCTION("""COMPUTED_VALUE"""),"Faxinalzinho")</f>
        <v>Faxinalzinho</v>
      </c>
      <c r="C607" s="119" t="str">
        <f>IFERROR(__xludf.DUMMYFUNCTION("""COMPUTED_VALUE"""),"CAB")</f>
        <v>CAB</v>
      </c>
      <c r="D607" s="1" t="str">
        <f>IFERROR(__xludf.DUMMYFUNCTION("""COMPUTED_VALUE"""),"EDGAR LUIZ VALENTINI")</f>
        <v>EDGAR LUIZ VALENTINI</v>
      </c>
      <c r="E607" s="119" t="str">
        <f>IFERROR(__xludf.DUMMYFUNCTION("""COMPUTED_VALUE"""),"")</f>
        <v/>
      </c>
      <c r="F607" s="1">
        <f>IFERROR(__xludf.DUMMYFUNCTION("""COMPUTED_VALUE"""),42845467087)</f>
        <v>42845467087</v>
      </c>
      <c r="G607" s="1">
        <f>IFERROR(__xludf.DUMMYFUNCTION("""COMPUTED_VALUE"""),1033745256)</f>
        <v>1033745256</v>
      </c>
      <c r="H607" s="1" t="str">
        <f>IFERROR(__xludf.DUMMYFUNCTION("""COMPUTED_VALUE"""),"Vice Presidente - Combatente")</f>
        <v>Vice Presidente - Combatente</v>
      </c>
      <c r="I607" s="1" t="str">
        <f>IFERROR(__xludf.DUMMYFUNCTION("""COMPUTED_VALUE"""),"Combate a incêndios CBMRS")</f>
        <v>Combate a incêndios CBMRS</v>
      </c>
      <c r="J607" s="1" t="str">
        <f>IFERROR(__xludf.DUMMYFUNCTION("""COMPUTED_VALUE"""),"Sim")</f>
        <v>Sim</v>
      </c>
      <c r="K607" s="1" t="str">
        <f>IFERROR(__xludf.DUMMYFUNCTION("""COMPUTED_VALUE"""),"Não")</f>
        <v>Não</v>
      </c>
      <c r="L607" s="1" t="str">
        <f>IFERROR(__xludf.DUMMYFUNCTION("""COMPUTED_VALUE"""),"O+")</f>
        <v>O+</v>
      </c>
      <c r="M607" s="1" t="str">
        <f>IFERROR(__xludf.DUMMYFUNCTION("""COMPUTED_VALUE"""),"VALENTINI")</f>
        <v>VALENTINI</v>
      </c>
      <c r="N607" s="120">
        <f>IFERROR(__xludf.DUMMYFUNCTION("""COMPUTED_VALUE"""),24179)</f>
        <v>24179</v>
      </c>
      <c r="O607" s="1" t="str">
        <f>IFERROR(__xludf.DUMMYFUNCTION("""COMPUTED_VALUE"""),"Masculino")</f>
        <v>Masculino</v>
      </c>
      <c r="P607" s="1" t="str">
        <f>IFERROR(__xludf.DUMMYFUNCTION("""COMPUTED_VALUE"""),"Branca")</f>
        <v>Branca</v>
      </c>
      <c r="Q607" s="1" t="str">
        <f>IFERROR(__xludf.DUMMYFUNCTION("""COMPUTED_VALUE"""),"Ensino Médio")</f>
        <v>Ensino Médio</v>
      </c>
      <c r="R607" s="1" t="str">
        <f>IFERROR(__xludf.DUMMYFUNCTION("""COMPUTED_VALUE"""),"edgarluizvalentini@gmail.com")</f>
        <v>edgarluizvalentini@gmail.com</v>
      </c>
      <c r="S607" s="1">
        <f>IFERROR(__xludf.DUMMYFUNCTION("""COMPUTED_VALUE"""),85)</f>
        <v>85</v>
      </c>
      <c r="T607" s="1" t="str">
        <f>IFERROR(__xludf.DUMMYFUNCTION("""COMPUTED_VALUE"""),"Entre 1,76m e 1,80m")</f>
        <v>Entre 1,76m e 1,80m</v>
      </c>
      <c r="U607" s="1" t="str">
        <f>IFERROR(__xludf.DUMMYFUNCTION("""COMPUTED_VALUE"""),"54 99679 2035")</f>
        <v>54 99679 2035</v>
      </c>
      <c r="V607" s="1" t="str">
        <f>IFERROR(__xludf.DUMMYFUNCTION("""COMPUTED_VALUE"""),"(54)99679 2035")</f>
        <v>(54)99679 2035</v>
      </c>
      <c r="W607" s="1" t="str">
        <f>IFERROR(__xludf.DUMMYFUNCTION("""COMPUTED_VALUE"""),"54 99679 2035")</f>
        <v>54 99679 2035</v>
      </c>
      <c r="X607" s="1" t="str">
        <f>IFERROR(__xludf.DUMMYFUNCTION("""COMPUTED_VALUE"""),"RIO GRANDE DO SUL")</f>
        <v>RIO GRANDE DO SUL</v>
      </c>
      <c r="Y607" s="1" t="str">
        <f>IFERROR(__xludf.DUMMYFUNCTION("""COMPUTED_VALUE"""),"Faxinalzinho")</f>
        <v>Faxinalzinho</v>
      </c>
      <c r="Z607" s="1" t="str">
        <f>IFERROR(__xludf.DUMMYFUNCTION("""COMPUTED_VALUE"""),"99655-000")</f>
        <v>99655-000</v>
      </c>
      <c r="AA607" s="1" t="str">
        <f>IFERROR(__xludf.DUMMYFUNCTION("""COMPUTED_VALUE"""),"Casa")</f>
        <v>Casa</v>
      </c>
      <c r="AB607" s="1" t="str">
        <f>IFERROR(__xludf.DUMMYFUNCTION("""COMPUTED_VALUE"""),"Centro")</f>
        <v>Centro</v>
      </c>
      <c r="AC607" s="1" t="str">
        <f>IFERROR(__xludf.DUMMYFUNCTION("""COMPUTED_VALUE"""),"G")</f>
        <v>G</v>
      </c>
      <c r="AD607" s="1" t="str">
        <f>IFERROR(__xludf.DUMMYFUNCTION("""COMPUTED_VALUE"""),"G")</f>
        <v>G</v>
      </c>
      <c r="AE607" s="1" t="str">
        <f>IFERROR(__xludf.DUMMYFUNCTION("""COMPUTED_VALUE"""),"G")</f>
        <v>G</v>
      </c>
      <c r="AF607" s="1" t="str">
        <f>IFERROR(__xludf.DUMMYFUNCTION("""COMPUTED_VALUE"""),"G")</f>
        <v>G</v>
      </c>
      <c r="AG607" s="1" t="str">
        <f>IFERROR(__xludf.DUMMYFUNCTION("""COMPUTED_VALUE"""),"G")</f>
        <v>G</v>
      </c>
      <c r="AH607" s="1">
        <f>IFERROR(__xludf.DUMMYFUNCTION("""COMPUTED_VALUE"""),43)</f>
        <v>43</v>
      </c>
      <c r="AI607" s="1">
        <f>IFERROR(__xludf.DUMMYFUNCTION("""COMPUTED_VALUE"""),43)</f>
        <v>43</v>
      </c>
      <c r="AJ607" s="1">
        <f>IFERROR(__xludf.DUMMYFUNCTION("""COMPUTED_VALUE"""),43)</f>
        <v>43</v>
      </c>
      <c r="AK607" s="1">
        <f>IFERROR(__xludf.DUMMYFUNCTION("""COMPUTED_VALUE"""),44)</f>
        <v>44</v>
      </c>
      <c r="AL607" s="1" t="str">
        <f>IFERROR(__xludf.DUMMYFUNCTION("""COMPUTED_VALUE"""),"G")</f>
        <v>G</v>
      </c>
      <c r="AM607" s="1" t="str">
        <f>IFERROR(__xludf.DUMMYFUNCTION("""COMPUTED_VALUE"""),"G")</f>
        <v>G</v>
      </c>
      <c r="AN607" s="1" t="str">
        <f>IFERROR(__xludf.DUMMYFUNCTION("""COMPUTED_VALUE"""),"G")</f>
        <v>G</v>
      </c>
    </row>
    <row r="608" customHeight="1" spans="1:40">
      <c r="A608" s="1" t="str">
        <f>IFERROR(__xludf.DUMMYFUNCTION("""COMPUTED_VALUE"""),"07° BBM")</f>
        <v>07° BBM</v>
      </c>
      <c r="B608" s="1" t="str">
        <f>IFERROR(__xludf.DUMMYFUNCTION("""COMPUTED_VALUE"""),"Erval Grande")</f>
        <v>Erval Grande</v>
      </c>
      <c r="C608" s="119" t="str">
        <f>IFERROR(__xludf.DUMMYFUNCTION("""COMPUTED_VALUE"""),"CAB")</f>
        <v>CAB</v>
      </c>
      <c r="D608" s="1" t="str">
        <f>IFERROR(__xludf.DUMMYFUNCTION("""COMPUTED_VALUE"""),"EDNEI DE OLIVEIRA")</f>
        <v>EDNEI DE OLIVEIRA</v>
      </c>
      <c r="E608" s="119" t="str">
        <f>IFERROR(__xludf.DUMMYFUNCTION("""COMPUTED_VALUE"""),"")</f>
        <v/>
      </c>
      <c r="F608" s="1"/>
      <c r="G608" s="1"/>
      <c r="H608" s="1"/>
      <c r="I608" s="1"/>
      <c r="J608" s="1"/>
      <c r="K608" s="1"/>
      <c r="L608" s="1"/>
      <c r="M608" s="1"/>
      <c r="N608" s="120">
        <f>IFERROR(__xludf.DUMMYFUNCTION("""COMPUTED_VALUE"""),32679)</f>
        <v>32679</v>
      </c>
      <c r="O608" s="1" t="str">
        <f>IFERROR(__xludf.DUMMYFUNCTION("""COMPUTED_VALUE"""),"Masculino")</f>
        <v>Masculino</v>
      </c>
      <c r="P608" s="1"/>
      <c r="Q608" s="1"/>
      <c r="R608" s="1"/>
      <c r="S608" s="1"/>
      <c r="T608" s="1"/>
      <c r="U608" s="1"/>
      <c r="V608" s="1"/>
      <c r="W608" s="1"/>
      <c r="X608" s="1"/>
      <c r="Y608" s="1"/>
      <c r="Z608" s="1"/>
      <c r="AA608" s="1"/>
      <c r="AB608" s="1"/>
      <c r="AC608" s="1"/>
      <c r="AD608" s="1"/>
      <c r="AE608" s="1"/>
      <c r="AF608" s="1"/>
      <c r="AG608" s="1" t="str">
        <f>IFERROR(__xludf.DUMMYFUNCTION("""COMPUTED_VALUE"""),"M")</f>
        <v>M</v>
      </c>
      <c r="AH608" s="1">
        <f>IFERROR(__xludf.DUMMYFUNCTION("""COMPUTED_VALUE"""),40)</f>
        <v>40</v>
      </c>
      <c r="AI608" s="1"/>
      <c r="AJ608" s="1"/>
      <c r="AK608" s="1"/>
      <c r="AL608" s="1" t="str">
        <f>IFERROR(__xludf.DUMMYFUNCTION("""COMPUTED_VALUE"""),"M")</f>
        <v>M</v>
      </c>
      <c r="AM608" s="1" t="str">
        <f>IFERROR(__xludf.DUMMYFUNCTION("""COMPUTED_VALUE"""),"M")</f>
        <v>M</v>
      </c>
      <c r="AN608" s="1" t="str">
        <f>IFERROR(__xludf.DUMMYFUNCTION("""COMPUTED_VALUE"""),"M")</f>
        <v>M</v>
      </c>
    </row>
    <row r="609" customHeight="1" spans="1:40">
      <c r="A609" s="1" t="str">
        <f>IFERROR(__xludf.DUMMYFUNCTION("""COMPUTED_VALUE"""),"07° BBM")</f>
        <v>07° BBM</v>
      </c>
      <c r="B609" s="1" t="str">
        <f>IFERROR(__xludf.DUMMYFUNCTION("""COMPUTED_VALUE"""),"Barão de Cotegipe")</f>
        <v>Barão de Cotegipe</v>
      </c>
      <c r="C609" s="119" t="str">
        <f>IFERROR(__xludf.DUMMYFUNCTION("""COMPUTED_VALUE"""),"CAB")</f>
        <v>CAB</v>
      </c>
      <c r="D609" s="1" t="str">
        <f>IFERROR(__xludf.DUMMYFUNCTION("""COMPUTED_VALUE"""),"EDOMAR LUIS ARTUSO")</f>
        <v>EDOMAR LUIS ARTUSO</v>
      </c>
      <c r="E609" s="119" t="str">
        <f>IFERROR(__xludf.DUMMYFUNCTION("""COMPUTED_VALUE"""),"")</f>
        <v/>
      </c>
      <c r="F609" s="1" t="str">
        <f>IFERROR(__xludf.DUMMYFUNCTION("""COMPUTED_VALUE"""),"680.471.500-49")</f>
        <v>680.471.500-49</v>
      </c>
      <c r="G609" s="1">
        <f>IFERROR(__xludf.DUMMYFUNCTION("""COMPUTED_VALUE"""),4050124892)</f>
        <v>4050124892</v>
      </c>
      <c r="H609" s="1" t="str">
        <f>IFERROR(__xludf.DUMMYFUNCTION("""COMPUTED_VALUE"""),"VOLUNTARIO")</f>
        <v>VOLUNTARIO</v>
      </c>
      <c r="I609" s="1" t="str">
        <f>IFERROR(__xludf.DUMMYFUNCTION("""COMPUTED_VALUE"""),"CONDUTOR DE VEICULO DE EMERGÊNCIA,BOMBEIRO CIVIL,APH,SVB.")</f>
        <v>CONDUTOR DE VEICULO DE EMERGÊNCIA,BOMBEIRO CIVIL,APH,SVB.</v>
      </c>
      <c r="J609" s="1" t="str">
        <f>IFERROR(__xludf.DUMMYFUNCTION("""COMPUTED_VALUE"""),"Sim")</f>
        <v>Sim</v>
      </c>
      <c r="K609" s="1" t="str">
        <f>IFERROR(__xludf.DUMMYFUNCTION("""COMPUTED_VALUE"""),"Não")</f>
        <v>Não</v>
      </c>
      <c r="L609" s="1" t="str">
        <f>IFERROR(__xludf.DUMMYFUNCTION("""COMPUTED_VALUE"""),"A+")</f>
        <v>A+</v>
      </c>
      <c r="M609" s="1" t="str">
        <f>IFERROR(__xludf.DUMMYFUNCTION("""COMPUTED_VALUE"""),"ARTUSO")</f>
        <v>ARTUSO</v>
      </c>
      <c r="N609" s="120">
        <f>IFERROR(__xludf.DUMMYFUNCTION("""COMPUTED_VALUE"""),26438)</f>
        <v>26438</v>
      </c>
      <c r="O609" s="1" t="str">
        <f>IFERROR(__xludf.DUMMYFUNCTION("""COMPUTED_VALUE"""),"M")</f>
        <v>M</v>
      </c>
      <c r="P609" s="1" t="str">
        <f>IFERROR(__xludf.DUMMYFUNCTION("""COMPUTED_VALUE"""),"BRANCA")</f>
        <v>BRANCA</v>
      </c>
      <c r="Q609" s="1" t="str">
        <f>IFERROR(__xludf.DUMMYFUNCTION("""COMPUTED_VALUE"""),"Ensino Médio")</f>
        <v>Ensino Médio</v>
      </c>
      <c r="R609" s="1" t="str">
        <f>IFERROR(__xludf.DUMMYFUNCTION("""COMPUTED_VALUE"""),"edomarartuso60@gmail.com")</f>
        <v>edomarartuso60@gmail.com</v>
      </c>
      <c r="S609" s="1">
        <f>IFERROR(__xludf.DUMMYFUNCTION("""COMPUTED_VALUE"""),91)</f>
        <v>91</v>
      </c>
      <c r="T609" s="1" t="str">
        <f>IFERROR(__xludf.DUMMYFUNCTION("""COMPUTED_VALUE"""),"Entre 1,76m e 1,80m")</f>
        <v>Entre 1,76m e 1,80m</v>
      </c>
      <c r="U609" s="1" t="str">
        <f>IFERROR(__xludf.DUMMYFUNCTION("""COMPUTED_VALUE"""),"(54) 993188201")</f>
        <v>(54) 993188201</v>
      </c>
      <c r="V609" s="1" t="str">
        <f>IFERROR(__xludf.DUMMYFUNCTION("""COMPUTED_VALUE"""),"(54) 99062678")</f>
        <v>(54) 99062678</v>
      </c>
      <c r="W609" s="1" t="str">
        <f>IFERROR(__xludf.DUMMYFUNCTION("""COMPUTED_VALUE"""),"(54) 99318820")</f>
        <v>(54) 99318820</v>
      </c>
      <c r="X609" s="1" t="str">
        <f>IFERROR(__xludf.DUMMYFUNCTION("""COMPUTED_VALUE"""),"RS")</f>
        <v>RS</v>
      </c>
      <c r="Y609" s="1" t="str">
        <f>IFERROR(__xludf.DUMMYFUNCTION("""COMPUTED_VALUE"""),"FLORIANO PEIXOTO")</f>
        <v>FLORIANO PEIXOTO</v>
      </c>
      <c r="Z609" s="1" t="str">
        <f>IFERROR(__xludf.DUMMYFUNCTION("""COMPUTED_VALUE"""),"99910-000")</f>
        <v>99910-000</v>
      </c>
      <c r="AA609" s="1" t="str">
        <f>IFERROR(__xludf.DUMMYFUNCTION("""COMPUTED_VALUE"""),"LINHA TANSINI")</f>
        <v>LINHA TANSINI</v>
      </c>
      <c r="AB609" s="1" t="str">
        <f>IFERROR(__xludf.DUMMYFUNCTION("""COMPUTED_VALUE"""),"INTERIOR")</f>
        <v>INTERIOR</v>
      </c>
      <c r="AC609" s="1" t="str">
        <f>IFERROR(__xludf.DUMMYFUNCTION("""COMPUTED_VALUE"""),"G")</f>
        <v>G</v>
      </c>
      <c r="AD609" s="1" t="str">
        <f>IFERROR(__xludf.DUMMYFUNCTION("""COMPUTED_VALUE"""),"G")</f>
        <v>G</v>
      </c>
      <c r="AE609" s="1" t="str">
        <f>IFERROR(__xludf.DUMMYFUNCTION("""COMPUTED_VALUE"""),"G")</f>
        <v>G</v>
      </c>
      <c r="AF609" s="1" t="str">
        <f>IFERROR(__xludf.DUMMYFUNCTION("""COMPUTED_VALUE"""),"G")</f>
        <v>G</v>
      </c>
      <c r="AG609" s="1" t="str">
        <f>IFERROR(__xludf.DUMMYFUNCTION("""COMPUTED_VALUE"""),"GG")</f>
        <v>GG</v>
      </c>
      <c r="AH609" s="1" t="str">
        <f>IFERROR(__xludf.DUMMYFUNCTION("""COMPUTED_VALUE"""),"G")</f>
        <v>G</v>
      </c>
      <c r="AI609" s="1">
        <f>IFERROR(__xludf.DUMMYFUNCTION("""COMPUTED_VALUE"""),41)</f>
        <v>41</v>
      </c>
      <c r="AJ609" s="1">
        <f>IFERROR(__xludf.DUMMYFUNCTION("""COMPUTED_VALUE"""),41)</f>
        <v>41</v>
      </c>
      <c r="AK609" s="1">
        <f>IFERROR(__xludf.DUMMYFUNCTION("""COMPUTED_VALUE"""),41)</f>
        <v>41</v>
      </c>
      <c r="AL609" s="1">
        <f>IFERROR(__xludf.DUMMYFUNCTION("""COMPUTED_VALUE"""),41)</f>
        <v>41</v>
      </c>
      <c r="AM609" s="1" t="str">
        <f>IFERROR(__xludf.DUMMYFUNCTION("""COMPUTED_VALUE"""),"G")</f>
        <v>G</v>
      </c>
      <c r="AN609" s="1">
        <f>IFERROR(__xludf.DUMMYFUNCTION("""COMPUTED_VALUE"""),52)</f>
        <v>52</v>
      </c>
    </row>
    <row r="610" customHeight="1" spans="1:40">
      <c r="A610" s="1" t="str">
        <f>IFERROR(__xludf.DUMMYFUNCTION("""COMPUTED_VALUE"""),"07° BBM")</f>
        <v>07° BBM</v>
      </c>
      <c r="B610" s="1" t="str">
        <f>IFERROR(__xludf.DUMMYFUNCTION("""COMPUTED_VALUE"""),"Barão de Cotegipe")</f>
        <v>Barão de Cotegipe</v>
      </c>
      <c r="C610" s="119" t="str">
        <f>IFERROR(__xludf.DUMMYFUNCTION("""COMPUTED_VALUE"""),"CAB")</f>
        <v>CAB</v>
      </c>
      <c r="D610" s="1" t="str">
        <f>IFERROR(__xludf.DUMMYFUNCTION("""COMPUTED_VALUE"""),"EDSON JOSÉ BEVILACQUA")</f>
        <v>EDSON JOSÉ BEVILACQUA</v>
      </c>
      <c r="E610" s="119" t="str">
        <f>IFERROR(__xludf.DUMMYFUNCTION("""COMPUTED_VALUE"""),"")</f>
        <v/>
      </c>
      <c r="F610" s="1" t="str">
        <f>IFERROR(__xludf.DUMMYFUNCTION("""COMPUTED_VALUE"""),"687.489.650-49")</f>
        <v>687.489.650-49</v>
      </c>
      <c r="G610" s="1">
        <f>IFERROR(__xludf.DUMMYFUNCTION("""COMPUTED_VALUE"""),3051134303)</f>
        <v>3051134303</v>
      </c>
      <c r="H610" s="1" t="str">
        <f>IFERROR(__xludf.DUMMYFUNCTION("""COMPUTED_VALUE"""),"PRESIDENTE")</f>
        <v>PRESIDENTE</v>
      </c>
      <c r="I610" s="1" t="str">
        <f>IFERROR(__xludf.DUMMYFUNCTION("""COMPUTED_VALUE"""),"APH,MOTORISTA SOCORRISTA.")</f>
        <v>APH,MOTORISTA SOCORRISTA.</v>
      </c>
      <c r="J610" s="1" t="str">
        <f>IFERROR(__xludf.DUMMYFUNCTION("""COMPUTED_VALUE"""),"Sim")</f>
        <v>Sim</v>
      </c>
      <c r="K610" s="1" t="str">
        <f>IFERROR(__xludf.DUMMYFUNCTION("""COMPUTED_VALUE"""),"Sim")</f>
        <v>Sim</v>
      </c>
      <c r="L610" s="1" t="str">
        <f>IFERROR(__xludf.DUMMYFUNCTION("""COMPUTED_VALUE"""),"B+")</f>
        <v>B+</v>
      </c>
      <c r="M610" s="1" t="str">
        <f>IFERROR(__xludf.DUMMYFUNCTION("""COMPUTED_VALUE"""),"BEVILACQUA")</f>
        <v>BEVILACQUA</v>
      </c>
      <c r="N610" s="120">
        <f>IFERROR(__xludf.DUMMYFUNCTION("""COMPUTED_VALUE"""),26448)</f>
        <v>26448</v>
      </c>
      <c r="O610" s="1" t="str">
        <f>IFERROR(__xludf.DUMMYFUNCTION("""COMPUTED_VALUE"""),"M")</f>
        <v>M</v>
      </c>
      <c r="P610" s="1" t="str">
        <f>IFERROR(__xludf.DUMMYFUNCTION("""COMPUTED_VALUE"""),"BRANCO")</f>
        <v>BRANCO</v>
      </c>
      <c r="Q610" s="1" t="str">
        <f>IFERROR(__xludf.DUMMYFUNCTION("""COMPUTED_VALUE"""),"Ensino Médio")</f>
        <v>Ensino Médio</v>
      </c>
      <c r="R610" s="1" t="str">
        <f>IFERROR(__xludf.DUMMYFUNCTION("""COMPUTED_VALUE"""),"edsonbevi@gmail.com")</f>
        <v>edsonbevi@gmail.com</v>
      </c>
      <c r="S610" s="1">
        <f>IFERROR(__xludf.DUMMYFUNCTION("""COMPUTED_VALUE"""),97)</f>
        <v>97</v>
      </c>
      <c r="T610" s="1" t="str">
        <f>IFERROR(__xludf.DUMMYFUNCTION("""COMPUTED_VALUE"""),"Entre 1,81m e 1,85m")</f>
        <v>Entre 1,81m e 1,85m</v>
      </c>
      <c r="U610" s="1" t="str">
        <f>IFERROR(__xludf.DUMMYFUNCTION("""COMPUTED_VALUE"""),"(54) 996128488")</f>
        <v>(54) 996128488</v>
      </c>
      <c r="V610" s="1" t="str">
        <f>IFERROR(__xludf.DUMMYFUNCTION("""COMPUTED_VALUE"""),"(54) 996128488")</f>
        <v>(54) 996128488</v>
      </c>
      <c r="W610" s="1" t="str">
        <f>IFERROR(__xludf.DUMMYFUNCTION("""COMPUTED_VALUE"""),"(54) 996128488")</f>
        <v>(54) 996128488</v>
      </c>
      <c r="X610" s="1" t="str">
        <f>IFERROR(__xludf.DUMMYFUNCTION("""COMPUTED_VALUE"""),"RS")</f>
        <v>RS</v>
      </c>
      <c r="Y610" s="1" t="str">
        <f>IFERROR(__xludf.DUMMYFUNCTION("""COMPUTED_VALUE"""),"BARÃO DE COTEGIPE")</f>
        <v>BARÃO DE COTEGIPE</v>
      </c>
      <c r="Z610" s="1" t="str">
        <f>IFERROR(__xludf.DUMMYFUNCTION("""COMPUTED_VALUE"""),"99740-000")</f>
        <v>99740-000</v>
      </c>
      <c r="AA610" s="1" t="str">
        <f>IFERROR(__xludf.DUMMYFUNCTION("""COMPUTED_VALUE"""),"LINHA UMA SECCAO CRAVO")</f>
        <v>LINHA UMA SECCAO CRAVO</v>
      </c>
      <c r="AB610" s="1" t="str">
        <f>IFERROR(__xludf.DUMMYFUNCTION("""COMPUTED_VALUE"""),"INTERIOR")</f>
        <v>INTERIOR</v>
      </c>
      <c r="AC610" s="1" t="str">
        <f>IFERROR(__xludf.DUMMYFUNCTION("""COMPUTED_VALUE"""),"GG")</f>
        <v>GG</v>
      </c>
      <c r="AD610" s="1" t="str">
        <f>IFERROR(__xludf.DUMMYFUNCTION("""COMPUTED_VALUE"""),"GG")</f>
        <v>GG</v>
      </c>
      <c r="AE610" s="1" t="str">
        <f>IFERROR(__xludf.DUMMYFUNCTION("""COMPUTED_VALUE"""),"G")</f>
        <v>G</v>
      </c>
      <c r="AF610" s="1" t="str">
        <f>IFERROR(__xludf.DUMMYFUNCTION("""COMPUTED_VALUE"""),"GG")</f>
        <v>GG</v>
      </c>
      <c r="AG610" s="1" t="str">
        <f>IFERROR(__xludf.DUMMYFUNCTION("""COMPUTED_VALUE"""),"GG")</f>
        <v>GG</v>
      </c>
      <c r="AH610" s="1" t="str">
        <f>IFERROR(__xludf.DUMMYFUNCTION("""COMPUTED_VALUE"""),"GG")</f>
        <v>GG</v>
      </c>
      <c r="AI610" s="1">
        <f>IFERROR(__xludf.DUMMYFUNCTION("""COMPUTED_VALUE"""),42)</f>
        <v>42</v>
      </c>
      <c r="AJ610" s="1">
        <f>IFERROR(__xludf.DUMMYFUNCTION("""COMPUTED_VALUE"""),42)</f>
        <v>42</v>
      </c>
      <c r="AK610" s="1">
        <f>IFERROR(__xludf.DUMMYFUNCTION("""COMPUTED_VALUE"""),42)</f>
        <v>42</v>
      </c>
      <c r="AL610" s="1">
        <f>IFERROR(__xludf.DUMMYFUNCTION("""COMPUTED_VALUE"""),42)</f>
        <v>42</v>
      </c>
      <c r="AM610" s="1" t="str">
        <f>IFERROR(__xludf.DUMMYFUNCTION("""COMPUTED_VALUE"""),"GG")</f>
        <v>GG</v>
      </c>
      <c r="AN610" s="1">
        <f>IFERROR(__xludf.DUMMYFUNCTION("""COMPUTED_VALUE"""),58)</f>
        <v>58</v>
      </c>
    </row>
    <row r="611" customHeight="1" spans="1:40">
      <c r="A611" s="1" t="str">
        <f>IFERROR(__xludf.DUMMYFUNCTION("""COMPUTED_VALUE"""),"07° BBM")</f>
        <v>07° BBM</v>
      </c>
      <c r="B611" s="1" t="str">
        <f>IFERROR(__xludf.DUMMYFUNCTION("""COMPUTED_VALUE"""),"Barão de Cotegipe")</f>
        <v>Barão de Cotegipe</v>
      </c>
      <c r="C611" s="119" t="str">
        <f>IFERROR(__xludf.DUMMYFUNCTION("""COMPUTED_VALUE"""),"CAB")</f>
        <v>CAB</v>
      </c>
      <c r="D611" s="1" t="str">
        <f>IFERROR(__xludf.DUMMYFUNCTION("""COMPUTED_VALUE"""),"EDUARDA CARVALHO")</f>
        <v>EDUARDA CARVALHO</v>
      </c>
      <c r="E611" s="119" t="str">
        <f>IFERROR(__xludf.DUMMYFUNCTION("""COMPUTED_VALUE"""),"")</f>
        <v/>
      </c>
      <c r="F611" s="1" t="str">
        <f>IFERROR(__xludf.DUMMYFUNCTION("""COMPUTED_VALUE"""),"048.437.360-90")</f>
        <v>048.437.360-90</v>
      </c>
      <c r="G611" s="1">
        <f>IFERROR(__xludf.DUMMYFUNCTION("""COMPUTED_VALUE"""),1105796708)</f>
        <v>1105796708</v>
      </c>
      <c r="H611" s="1" t="str">
        <f>IFERROR(__xludf.DUMMYFUNCTION("""COMPUTED_VALUE"""),"VOLUNTARIO")</f>
        <v>VOLUNTARIO</v>
      </c>
      <c r="I611" s="1" t="str">
        <f>IFERROR(__xludf.DUMMYFUNCTION("""COMPUTED_VALUE"""),"NR35,APH,NR10,PRIMEROS SOCORROS.")</f>
        <v>NR35,APH,NR10,PRIMEROS SOCORROS.</v>
      </c>
      <c r="J611" s="1"/>
      <c r="K611" s="1"/>
      <c r="L611" s="1"/>
      <c r="M611" s="1"/>
      <c r="N611" s="12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row>
    <row r="612" customHeight="1" spans="1:40">
      <c r="A612" s="1" t="str">
        <f>IFERROR(__xludf.DUMMYFUNCTION("""COMPUTED_VALUE"""),"07° BBM")</f>
        <v>07° BBM</v>
      </c>
      <c r="B612" s="1" t="str">
        <f>IFERROR(__xludf.DUMMYFUNCTION("""COMPUTED_VALUE"""),"TAPERA")</f>
        <v>TAPERA</v>
      </c>
      <c r="C612" s="119" t="str">
        <f>IFERROR(__xludf.DUMMYFUNCTION("""COMPUTED_VALUE"""),"Comunitário")</f>
        <v>Comunitário</v>
      </c>
      <c r="D612" s="1" t="str">
        <f>IFERROR(__xludf.DUMMYFUNCTION("""COMPUTED_VALUE"""),"EDUARDO CHRIST")</f>
        <v>EDUARDO CHRIST</v>
      </c>
      <c r="E612" s="119" t="str">
        <f>IFERROR(__xludf.DUMMYFUNCTION("""COMPUTED_VALUE"""),"")</f>
        <v/>
      </c>
      <c r="F612" s="1">
        <f>IFERROR(__xludf.DUMMYFUNCTION("""COMPUTED_VALUE"""),845407023)</f>
        <v>845407023</v>
      </c>
      <c r="G612" s="1">
        <f>IFERROR(__xludf.DUMMYFUNCTION("""COMPUTED_VALUE"""),5084747228)</f>
        <v>5084747228</v>
      </c>
      <c r="H612" s="1" t="str">
        <f>IFERROR(__xludf.DUMMYFUNCTION("""COMPUTED_VALUE"""),"OP")</f>
        <v>OP</v>
      </c>
      <c r="I612" s="1"/>
      <c r="J612" s="1"/>
      <c r="K612" s="1"/>
      <c r="L612" s="1"/>
      <c r="M612" s="1"/>
      <c r="N612" s="121">
        <f>IFERROR(__xludf.DUMMYFUNCTION("""COMPUTED_VALUE"""),33824)</f>
        <v>33824</v>
      </c>
      <c r="O612" s="1" t="str">
        <f>IFERROR(__xludf.DUMMYFUNCTION("""COMPUTED_VALUE"""),"Masculino")</f>
        <v>Masculino</v>
      </c>
      <c r="P612" s="1"/>
      <c r="Q612" s="1"/>
      <c r="R612" s="1"/>
      <c r="S612" s="1"/>
      <c r="T612" s="1"/>
      <c r="U612" s="1"/>
      <c r="V612" s="1"/>
      <c r="W612" s="1"/>
      <c r="X612" s="1"/>
      <c r="Y612" s="1" t="str">
        <f>IFERROR(__xludf.DUMMYFUNCTION("""COMPUTED_VALUE"""),"Tapera")</f>
        <v>Tapera</v>
      </c>
      <c r="Z612" s="1"/>
      <c r="AA612" s="1"/>
      <c r="AB612" s="1"/>
      <c r="AC612" s="1"/>
      <c r="AD612" s="1"/>
      <c r="AE612" s="1"/>
      <c r="AF612" s="1"/>
      <c r="AG612" s="1" t="str">
        <f>IFERROR(__xludf.DUMMYFUNCTION("""COMPUTED_VALUE"""),"GG")</f>
        <v>GG</v>
      </c>
      <c r="AH612" s="1">
        <f>IFERROR(__xludf.DUMMYFUNCTION("""COMPUTED_VALUE"""),43)</f>
        <v>43</v>
      </c>
      <c r="AI612" s="1"/>
      <c r="AJ612" s="1"/>
      <c r="AK612" s="1"/>
      <c r="AL612" s="1" t="str">
        <f>IFERROR(__xludf.DUMMYFUNCTION("""COMPUTED_VALUE"""),"GG")</f>
        <v>GG</v>
      </c>
      <c r="AM612" s="1" t="str">
        <f>IFERROR(__xludf.DUMMYFUNCTION("""COMPUTED_VALUE"""),"GG")</f>
        <v>GG</v>
      </c>
      <c r="AN612" s="1" t="str">
        <f>IFERROR(__xludf.DUMMYFUNCTION("""COMPUTED_VALUE"""),"GG")</f>
        <v>GG</v>
      </c>
    </row>
    <row r="613" customHeight="1" spans="1:40">
      <c r="A613" s="1" t="str">
        <f>IFERROR(__xludf.DUMMYFUNCTION("""COMPUTED_VALUE"""),"07° BBM")</f>
        <v>07° BBM</v>
      </c>
      <c r="B613" s="1" t="str">
        <f>IFERROR(__xludf.DUMMYFUNCTION("""COMPUTED_VALUE"""),"Erval Grande")</f>
        <v>Erval Grande</v>
      </c>
      <c r="C613" s="119" t="str">
        <f>IFERROR(__xludf.DUMMYFUNCTION("""COMPUTED_VALUE"""),"CAB")</f>
        <v>CAB</v>
      </c>
      <c r="D613" s="1" t="str">
        <f>IFERROR(__xludf.DUMMYFUNCTION("""COMPUTED_VALUE"""),"EDVAN VAGNER DE OLIVEIRA")</f>
        <v>EDVAN VAGNER DE OLIVEIRA</v>
      </c>
      <c r="E613" s="119" t="str">
        <f>IFERROR(__xludf.DUMMYFUNCTION("""COMPUTED_VALUE"""),"")</f>
        <v/>
      </c>
      <c r="F613" s="1"/>
      <c r="G613" s="1"/>
      <c r="H613" s="1"/>
      <c r="I613" s="1"/>
      <c r="J613" s="1"/>
      <c r="K613" s="1"/>
      <c r="L613" s="1"/>
      <c r="M613" s="1"/>
      <c r="N613" s="120">
        <f>IFERROR(__xludf.DUMMYFUNCTION("""COMPUTED_VALUE"""),31544)</f>
        <v>31544</v>
      </c>
      <c r="O613" s="1" t="str">
        <f>IFERROR(__xludf.DUMMYFUNCTION("""COMPUTED_VALUE"""),"Masculino")</f>
        <v>Masculino</v>
      </c>
      <c r="P613" s="1"/>
      <c r="Q613" s="1"/>
      <c r="R613" s="1"/>
      <c r="S613" s="1"/>
      <c r="T613" s="1"/>
      <c r="U613" s="1"/>
      <c r="V613" s="1"/>
      <c r="W613" s="1"/>
      <c r="X613" s="1"/>
      <c r="Y613" s="1"/>
      <c r="Z613" s="1"/>
      <c r="AA613" s="1"/>
      <c r="AB613" s="1"/>
      <c r="AC613" s="1"/>
      <c r="AD613" s="1"/>
      <c r="AE613" s="1"/>
      <c r="AF613" s="1"/>
      <c r="AG613" s="1" t="str">
        <f>IFERROR(__xludf.DUMMYFUNCTION("""COMPUTED_VALUE"""),"P")</f>
        <v>P</v>
      </c>
      <c r="AH613" s="1">
        <f>IFERROR(__xludf.DUMMYFUNCTION("""COMPUTED_VALUE"""),39)</f>
        <v>39</v>
      </c>
      <c r="AI613" s="1"/>
      <c r="AJ613" s="1"/>
      <c r="AK613" s="1"/>
      <c r="AL613" s="1" t="str">
        <f>IFERROR(__xludf.DUMMYFUNCTION("""COMPUTED_VALUE"""),"M")</f>
        <v>M</v>
      </c>
      <c r="AM613" s="1" t="str">
        <f>IFERROR(__xludf.DUMMYFUNCTION("""COMPUTED_VALUE"""),"M")</f>
        <v>M</v>
      </c>
      <c r="AN613" s="1" t="str">
        <f>IFERROR(__xludf.DUMMYFUNCTION("""COMPUTED_VALUE"""),"M")</f>
        <v>M</v>
      </c>
    </row>
    <row r="614" customHeight="1" spans="1:40">
      <c r="A614" s="1" t="str">
        <f>IFERROR(__xludf.DUMMYFUNCTION("""COMPUTED_VALUE"""),"07° BBM")</f>
        <v>07° BBM</v>
      </c>
      <c r="B614" s="1" t="str">
        <f>IFERROR(__xludf.DUMMYFUNCTION("""COMPUTED_VALUE"""),"Aratiba")</f>
        <v>Aratiba</v>
      </c>
      <c r="C614" s="119" t="str">
        <f>IFERROR(__xludf.DUMMYFUNCTION("""COMPUTED_VALUE"""),"CAB")</f>
        <v>CAB</v>
      </c>
      <c r="D614" s="1" t="str">
        <f>IFERROR(__xludf.DUMMYFUNCTION("""COMPUTED_VALUE"""),"ÉLIO FRANCISCO BACKES")</f>
        <v>ÉLIO FRANCISCO BACKES</v>
      </c>
      <c r="E614" s="119" t="str">
        <f>IFERROR(__xludf.DUMMYFUNCTION("""COMPUTED_VALUE"""),"Módulo 1 concluído")</f>
        <v>Módulo 1 concluído</v>
      </c>
      <c r="F614" s="1" t="str">
        <f>IFERROR(__xludf.DUMMYFUNCTION("""COMPUTED_VALUE"""),"032.002.880-19")</f>
        <v>032.002.880-19</v>
      </c>
      <c r="G614" s="1">
        <f>IFERROR(__xludf.DUMMYFUNCTION("""COMPUTED_VALUE"""),2093561229)</f>
        <v>2093561229</v>
      </c>
      <c r="H614" s="1" t="str">
        <f>IFERROR(__xludf.DUMMYFUNCTION("""COMPUTED_VALUE"""),"Bombeiro Voluntario")</f>
        <v>Bombeiro Voluntario</v>
      </c>
      <c r="I614" s="1" t="str">
        <f>IFERROR(__xludf.DUMMYFUNCTION("""COMPUTED_VALUE"""),"Curso de APH")</f>
        <v>Curso de APH</v>
      </c>
      <c r="J614" s="1" t="str">
        <f>IFERROR(__xludf.DUMMYFUNCTION("""COMPUTED_VALUE"""),"Não")</f>
        <v>Não</v>
      </c>
      <c r="K614" s="1" t="str">
        <f>IFERROR(__xludf.DUMMYFUNCTION("""COMPUTED_VALUE"""),"Não")</f>
        <v>Não</v>
      </c>
      <c r="L614" s="1" t="str">
        <f>IFERROR(__xludf.DUMMYFUNCTION("""COMPUTED_VALUE"""),"O-")</f>
        <v>O-</v>
      </c>
      <c r="M614" s="1" t="str">
        <f>IFERROR(__xludf.DUMMYFUNCTION("""COMPUTED_VALUE"""),"ÉLIO")</f>
        <v>ÉLIO</v>
      </c>
      <c r="N614" s="120">
        <f>IFERROR(__xludf.DUMMYFUNCTION("""COMPUTED_VALUE"""),34234)</f>
        <v>34234</v>
      </c>
      <c r="O614" s="1" t="str">
        <f>IFERROR(__xludf.DUMMYFUNCTION("""COMPUTED_VALUE"""),"Masculino")</f>
        <v>Masculino</v>
      </c>
      <c r="P614" s="1" t="str">
        <f>IFERROR(__xludf.DUMMYFUNCTION("""COMPUTED_VALUE"""),"Branca")</f>
        <v>Branca</v>
      </c>
      <c r="Q614" s="1" t="str">
        <f>IFERROR(__xludf.DUMMYFUNCTION("""COMPUTED_VALUE"""),"Ensino Médio")</f>
        <v>Ensino Médio</v>
      </c>
      <c r="R614" s="1" t="str">
        <f>IFERROR(__xludf.DUMMYFUNCTION("""COMPUTED_VALUE"""),"tiofranciscobackes@gmail.com")</f>
        <v>tiofranciscobackes@gmail.com</v>
      </c>
      <c r="S614" s="1">
        <f>IFERROR(__xludf.DUMMYFUNCTION("""COMPUTED_VALUE"""),80)</f>
        <v>80</v>
      </c>
      <c r="T614" s="1" t="str">
        <f>IFERROR(__xludf.DUMMYFUNCTION("""COMPUTED_VALUE"""),"Entre 1,66m e 1,70m")</f>
        <v>Entre 1,66m e 1,70m</v>
      </c>
      <c r="U614" s="1"/>
      <c r="V614" s="1" t="str">
        <f>IFERROR(__xludf.DUMMYFUNCTION("""COMPUTED_VALUE"""),"(54)991260646")</f>
        <v>(54)991260646</v>
      </c>
      <c r="W614" s="1" t="str">
        <f>IFERROR(__xludf.DUMMYFUNCTION("""COMPUTED_VALUE"""),"(54)991260646")</f>
        <v>(54)991260646</v>
      </c>
      <c r="X614" s="1" t="str">
        <f>IFERROR(__xludf.DUMMYFUNCTION("""COMPUTED_VALUE"""),"RS")</f>
        <v>RS</v>
      </c>
      <c r="Y614" s="1" t="str">
        <f>IFERROR(__xludf.DUMMYFUNCTION("""COMPUTED_VALUE"""),"Aratiba")</f>
        <v>Aratiba</v>
      </c>
      <c r="Z614" s="1">
        <f>IFERROR(__xludf.DUMMYFUNCTION("""COMPUTED_VALUE"""),99770000)</f>
        <v>99770000</v>
      </c>
      <c r="AA614" s="1" t="str">
        <f>IFERROR(__xludf.DUMMYFUNCTION("""COMPUTED_VALUE"""),"Rua Sete de Setembro, 487")</f>
        <v>Rua Sete de Setembro, 487</v>
      </c>
      <c r="AB614" s="1" t="str">
        <f>IFERROR(__xludf.DUMMYFUNCTION("""COMPUTED_VALUE"""),"Centro")</f>
        <v>Centro</v>
      </c>
      <c r="AC614" s="1" t="str">
        <f>IFERROR(__xludf.DUMMYFUNCTION("""COMPUTED_VALUE"""),"M")</f>
        <v>M</v>
      </c>
      <c r="AD614" s="1" t="str">
        <f>IFERROR(__xludf.DUMMYFUNCTION("""COMPUTED_VALUE"""),"M")</f>
        <v>M</v>
      </c>
      <c r="AE614" s="1" t="str">
        <f>IFERROR(__xludf.DUMMYFUNCTION("""COMPUTED_VALUE"""),"M")</f>
        <v>M</v>
      </c>
      <c r="AF614" s="1" t="str">
        <f>IFERROR(__xludf.DUMMYFUNCTION("""COMPUTED_VALUE"""),"M")</f>
        <v>M</v>
      </c>
      <c r="AG614" s="1" t="str">
        <f>IFERROR(__xludf.DUMMYFUNCTION("""COMPUTED_VALUE"""),"M")</f>
        <v>M</v>
      </c>
      <c r="AH614" s="1">
        <f>IFERROR(__xludf.DUMMYFUNCTION("""COMPUTED_VALUE"""),40)</f>
        <v>40</v>
      </c>
      <c r="AI614" s="1">
        <f>IFERROR(__xludf.DUMMYFUNCTION("""COMPUTED_VALUE"""),40)</f>
        <v>40</v>
      </c>
      <c r="AJ614" s="1">
        <f>IFERROR(__xludf.DUMMYFUNCTION("""COMPUTED_VALUE"""),40)</f>
        <v>40</v>
      </c>
      <c r="AK614" s="1">
        <f>IFERROR(__xludf.DUMMYFUNCTION("""COMPUTED_VALUE"""),40)</f>
        <v>40</v>
      </c>
      <c r="AL614" s="1" t="str">
        <f>IFERROR(__xludf.DUMMYFUNCTION("""COMPUTED_VALUE"""),"M")</f>
        <v>M</v>
      </c>
      <c r="AM614" s="1" t="str">
        <f>IFERROR(__xludf.DUMMYFUNCTION("""COMPUTED_VALUE"""),"M")</f>
        <v>M</v>
      </c>
      <c r="AN614" s="1" t="str">
        <f>IFERROR(__xludf.DUMMYFUNCTION("""COMPUTED_VALUE"""),"M")</f>
        <v>M</v>
      </c>
    </row>
    <row r="615" customHeight="1" spans="1:40">
      <c r="A615" s="1" t="str">
        <f>IFERROR(__xludf.DUMMYFUNCTION("""COMPUTED_VALUE"""),"07° BBM")</f>
        <v>07° BBM</v>
      </c>
      <c r="B615" s="1" t="str">
        <f>IFERROR(__xludf.DUMMYFUNCTION("""COMPUTED_VALUE"""),"Gaurama")</f>
        <v>Gaurama</v>
      </c>
      <c r="C615" s="119" t="str">
        <f>IFERROR(__xludf.DUMMYFUNCTION("""COMPUTED_VALUE"""),"CAB")</f>
        <v>CAB</v>
      </c>
      <c r="D615" s="1" t="str">
        <f>IFERROR(__xludf.DUMMYFUNCTION("""COMPUTED_VALUE"""),"ELISA ANA GORONSI")</f>
        <v>ELISA ANA GORONSI</v>
      </c>
      <c r="E615" s="119" t="str">
        <f>IFERROR(__xludf.DUMMYFUNCTION("""COMPUTED_VALUE"""),"Módulo 1 concluído")</f>
        <v>Módulo 1 concluído</v>
      </c>
      <c r="F615" s="1" t="str">
        <f>IFERROR(__xludf.DUMMYFUNCTION("""COMPUTED_VALUE"""),"998.578.550-91")</f>
        <v>998.578.550-91</v>
      </c>
      <c r="G615" s="1">
        <f>IFERROR(__xludf.DUMMYFUNCTION("""COMPUTED_VALUE"""),7077701675)</f>
        <v>7077701675</v>
      </c>
      <c r="H615" s="1" t="str">
        <f>IFERROR(__xludf.DUMMYFUNCTION("""COMPUTED_VALUE"""),"Combatente")</f>
        <v>Combatente</v>
      </c>
      <c r="I615" s="1" t="str">
        <f>IFERROR(__xludf.DUMMYFUNCTION("""COMPUTED_VALUE"""),"Atendimento Suporte Básico de Vida/ resgate /bombeiro civil")</f>
        <v>Atendimento Suporte Básico de Vida/ resgate /bombeiro civil</v>
      </c>
      <c r="J615" s="1" t="str">
        <f>IFERROR(__xludf.DUMMYFUNCTION("""COMPUTED_VALUE"""),"Não")</f>
        <v>Não</v>
      </c>
      <c r="K615" s="1" t="str">
        <f>IFERROR(__xludf.DUMMYFUNCTION("""COMPUTED_VALUE"""),"Não")</f>
        <v>Não</v>
      </c>
      <c r="L615" s="1" t="str">
        <f>IFERROR(__xludf.DUMMYFUNCTION("""COMPUTED_VALUE"""),"O+")</f>
        <v>O+</v>
      </c>
      <c r="M615" s="1" t="str">
        <f>IFERROR(__xludf.DUMMYFUNCTION("""COMPUTED_VALUE"""),"ELISA")</f>
        <v>ELISA</v>
      </c>
      <c r="N615" s="120">
        <f>IFERROR(__xludf.DUMMYFUNCTION("""COMPUTED_VALUE"""),29334)</f>
        <v>29334</v>
      </c>
      <c r="O615" s="1" t="str">
        <f>IFERROR(__xludf.DUMMYFUNCTION("""COMPUTED_VALUE"""),"Feminino")</f>
        <v>Feminino</v>
      </c>
      <c r="P615" s="1" t="str">
        <f>IFERROR(__xludf.DUMMYFUNCTION("""COMPUTED_VALUE"""),"Branca")</f>
        <v>Branca</v>
      </c>
      <c r="Q615" s="1" t="str">
        <f>IFERROR(__xludf.DUMMYFUNCTION("""COMPUTED_VALUE"""),"Ensino Superior Incompleto")</f>
        <v>Ensino Superior Incompleto</v>
      </c>
      <c r="R615" s="1" t="str">
        <f>IFERROR(__xludf.DUMMYFUNCTION("""COMPUTED_VALUE"""),"goronsielisa@gmail.com")</f>
        <v>goronsielisa@gmail.com</v>
      </c>
      <c r="S615" s="1">
        <f>IFERROR(__xludf.DUMMYFUNCTION("""COMPUTED_VALUE"""),77)</f>
        <v>77</v>
      </c>
      <c r="T615" s="1" t="str">
        <f>IFERROR(__xludf.DUMMYFUNCTION("""COMPUTED_VALUE"""),"Entre 1,71m e 1,75m")</f>
        <v>Entre 1,71m e 1,75m</v>
      </c>
      <c r="U615" s="1"/>
      <c r="V615" s="1" t="str">
        <f>IFERROR(__xludf.DUMMYFUNCTION("""COMPUTED_VALUE"""),"(54)996996622")</f>
        <v>(54)996996622</v>
      </c>
      <c r="W615" s="1"/>
      <c r="X615" s="1" t="str">
        <f>IFERROR(__xludf.DUMMYFUNCTION("""COMPUTED_VALUE"""),"RS")</f>
        <v>RS</v>
      </c>
      <c r="Y615" s="1" t="str">
        <f>IFERROR(__xludf.DUMMYFUNCTION("""COMPUTED_VALUE"""),"Gaurama")</f>
        <v>Gaurama</v>
      </c>
      <c r="Z615" s="1">
        <f>IFERROR(__xludf.DUMMYFUNCTION("""COMPUTED_VALUE"""),99830000)</f>
        <v>99830000</v>
      </c>
      <c r="AA615" s="1" t="str">
        <f>IFERROR(__xludf.DUMMYFUNCTION("""COMPUTED_VALUE"""),"JACOB ALBANO SCHNEIDER")</f>
        <v>JACOB ALBANO SCHNEIDER</v>
      </c>
      <c r="AB615" s="1" t="str">
        <f>IFERROR(__xludf.DUMMYFUNCTION("""COMPUTED_VALUE"""),"CENTRO")</f>
        <v>CENTRO</v>
      </c>
      <c r="AC615" s="1" t="str">
        <f>IFERROR(__xludf.DUMMYFUNCTION("""COMPUTED_VALUE"""),"G")</f>
        <v>G</v>
      </c>
      <c r="AD615" s="1" t="str">
        <f>IFERROR(__xludf.DUMMYFUNCTION("""COMPUTED_VALUE"""),"G")</f>
        <v>G</v>
      </c>
      <c r="AE615" s="1" t="str">
        <f>IFERROR(__xludf.DUMMYFUNCTION("""COMPUTED_VALUE"""),"GG")</f>
        <v>GG</v>
      </c>
      <c r="AF615" s="1" t="str">
        <f>IFERROR(__xludf.DUMMYFUNCTION("""COMPUTED_VALUE"""),"G")</f>
        <v>G</v>
      </c>
      <c r="AG615" s="1" t="str">
        <f>IFERROR(__xludf.DUMMYFUNCTION("""COMPUTED_VALUE"""),"G")</f>
        <v>G</v>
      </c>
      <c r="AH615" s="1">
        <f>IFERROR(__xludf.DUMMYFUNCTION("""COMPUTED_VALUE"""),42)</f>
        <v>42</v>
      </c>
      <c r="AI615" s="1">
        <f>IFERROR(__xludf.DUMMYFUNCTION("""COMPUTED_VALUE"""),42)</f>
        <v>42</v>
      </c>
      <c r="AJ615" s="1">
        <f>IFERROR(__xludf.DUMMYFUNCTION("""COMPUTED_VALUE"""),42)</f>
        <v>42</v>
      </c>
      <c r="AK615" s="1">
        <f>IFERROR(__xludf.DUMMYFUNCTION("""COMPUTED_VALUE"""),42)</f>
        <v>42</v>
      </c>
      <c r="AL615" s="1" t="str">
        <f>IFERROR(__xludf.DUMMYFUNCTION("""COMPUTED_VALUE"""),"G")</f>
        <v>G</v>
      </c>
      <c r="AM615" s="1" t="str">
        <f>IFERROR(__xludf.DUMMYFUNCTION("""COMPUTED_VALUE"""),"G")</f>
        <v>G</v>
      </c>
      <c r="AN615" s="1" t="str">
        <f>IFERROR(__xludf.DUMMYFUNCTION("""COMPUTED_VALUE"""),"G")</f>
        <v>G</v>
      </c>
    </row>
    <row r="616" customHeight="1" spans="1:40">
      <c r="A616" s="1" t="str">
        <f>IFERROR(__xludf.DUMMYFUNCTION("""COMPUTED_VALUE"""),"07° BBM")</f>
        <v>07° BBM</v>
      </c>
      <c r="B616" s="1" t="str">
        <f>IFERROR(__xludf.DUMMYFUNCTION("""COMPUTED_VALUE"""),"TAPERA")</f>
        <v>TAPERA</v>
      </c>
      <c r="C616" s="119" t="str">
        <f>IFERROR(__xludf.DUMMYFUNCTION("""COMPUTED_VALUE"""),"Comunitário")</f>
        <v>Comunitário</v>
      </c>
      <c r="D616" s="1" t="str">
        <f>IFERROR(__xludf.DUMMYFUNCTION("""COMPUTED_VALUE"""),"ELIVELTON MORAES DOS SANTOS")</f>
        <v>ELIVELTON MORAES DOS SANTOS</v>
      </c>
      <c r="E616" s="119" t="str">
        <f>IFERROR(__xludf.DUMMYFUNCTION("""COMPUTED_VALUE"""),"")</f>
        <v/>
      </c>
      <c r="F616" s="1">
        <f>IFERROR(__xludf.DUMMYFUNCTION("""COMPUTED_VALUE"""),2558699083)</f>
        <v>2558699083</v>
      </c>
      <c r="G616" s="1">
        <f>IFERROR(__xludf.DUMMYFUNCTION("""COMPUTED_VALUE"""),9097314729)</f>
        <v>9097314729</v>
      </c>
      <c r="H616" s="1" t="str">
        <f>IFERROR(__xludf.DUMMYFUNCTION("""COMPUTED_VALUE"""),"OP")</f>
        <v>OP</v>
      </c>
      <c r="I616" s="1"/>
      <c r="J616" s="1"/>
      <c r="K616" s="1"/>
      <c r="L616" s="1"/>
      <c r="M616" s="1"/>
      <c r="N616" s="121">
        <f>IFERROR(__xludf.DUMMYFUNCTION("""COMPUTED_VALUE"""),33824)</f>
        <v>33824</v>
      </c>
      <c r="O616" s="1" t="str">
        <f>IFERROR(__xludf.DUMMYFUNCTION("""COMPUTED_VALUE"""),"Masculino")</f>
        <v>Masculino</v>
      </c>
      <c r="P616" s="1"/>
      <c r="Q616" s="1"/>
      <c r="R616" s="1"/>
      <c r="S616" s="1"/>
      <c r="T616" s="1"/>
      <c r="U616" s="1"/>
      <c r="V616" s="1"/>
      <c r="W616" s="1"/>
      <c r="X616" s="1"/>
      <c r="Y616" s="1" t="str">
        <f>IFERROR(__xludf.DUMMYFUNCTION("""COMPUTED_VALUE"""),"Tapera")</f>
        <v>Tapera</v>
      </c>
      <c r="Z616" s="1"/>
      <c r="AA616" s="1"/>
      <c r="AB616" s="1"/>
      <c r="AC616" s="1"/>
      <c r="AD616" s="1"/>
      <c r="AE616" s="1"/>
      <c r="AF616" s="1"/>
      <c r="AG616" s="1" t="str">
        <f>IFERROR(__xludf.DUMMYFUNCTION("""COMPUTED_VALUE"""),"G")</f>
        <v>G</v>
      </c>
      <c r="AH616" s="1">
        <f>IFERROR(__xludf.DUMMYFUNCTION("""COMPUTED_VALUE"""),41)</f>
        <v>41</v>
      </c>
      <c r="AI616" s="1"/>
      <c r="AJ616" s="1"/>
      <c r="AK616" s="1"/>
      <c r="AL616" s="1" t="str">
        <f>IFERROR(__xludf.DUMMYFUNCTION("""COMPUTED_VALUE"""),"G")</f>
        <v>G</v>
      </c>
      <c r="AM616" s="1" t="str">
        <f>IFERROR(__xludf.DUMMYFUNCTION("""COMPUTED_VALUE"""),"G")</f>
        <v>G</v>
      </c>
      <c r="AN616" s="1" t="str">
        <f>IFERROR(__xludf.DUMMYFUNCTION("""COMPUTED_VALUE"""),"G")</f>
        <v>G</v>
      </c>
    </row>
    <row r="617" customHeight="1" spans="1:40">
      <c r="A617" s="1" t="str">
        <f>IFERROR(__xludf.DUMMYFUNCTION("""COMPUTED_VALUE"""),"07° BBM")</f>
        <v>07° BBM</v>
      </c>
      <c r="B617" s="1" t="str">
        <f>IFERROR(__xludf.DUMMYFUNCTION("""COMPUTED_VALUE"""),"Áurea")</f>
        <v>Áurea</v>
      </c>
      <c r="C617" s="119" t="str">
        <f>IFERROR(__xludf.DUMMYFUNCTION("""COMPUTED_VALUE"""),"CAB")</f>
        <v>CAB</v>
      </c>
      <c r="D617" s="1" t="str">
        <f>IFERROR(__xludf.DUMMYFUNCTION("""COMPUTED_VALUE"""),"ELOY ZAVAROSKI")</f>
        <v>ELOY ZAVAROSKI</v>
      </c>
      <c r="E617" s="119" t="str">
        <f>IFERROR(__xludf.DUMMYFUNCTION("""COMPUTED_VALUE"""),"")</f>
        <v/>
      </c>
      <c r="F617" s="1" t="str">
        <f>IFERROR(__xludf.DUMMYFUNCTION("""COMPUTED_VALUE"""),"315.701.430-72")</f>
        <v>315.701.430-72</v>
      </c>
      <c r="G617" s="1">
        <f>IFERROR(__xludf.DUMMYFUNCTION("""COMPUTED_VALUE"""),3010829624)</f>
        <v>3010829624</v>
      </c>
      <c r="H617" s="1" t="str">
        <f>IFERROR(__xludf.DUMMYFUNCTION("""COMPUTED_VALUE"""),"voluntário")</f>
        <v>voluntário</v>
      </c>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row>
    <row r="618" customHeight="1" spans="1:40">
      <c r="A618" s="1" t="str">
        <f>IFERROR(__xludf.DUMMYFUNCTION("""COMPUTED_VALUE"""),"07° BBM")</f>
        <v>07° BBM</v>
      </c>
      <c r="B618" s="1" t="str">
        <f>IFERROR(__xludf.DUMMYFUNCTION("""COMPUTED_VALUE"""),"Faxinalzinho")</f>
        <v>Faxinalzinho</v>
      </c>
      <c r="C618" s="119" t="str">
        <f>IFERROR(__xludf.DUMMYFUNCTION("""COMPUTED_VALUE"""),"CAB")</f>
        <v>CAB</v>
      </c>
      <c r="D618" s="1" t="str">
        <f>IFERROR(__xludf.DUMMYFUNCTION("""COMPUTED_VALUE"""),"ELSOM JOSE PELIN")</f>
        <v>ELSOM JOSE PELIN</v>
      </c>
      <c r="E618" s="119" t="str">
        <f>IFERROR(__xludf.DUMMYFUNCTION("""COMPUTED_VALUE"""),"")</f>
        <v/>
      </c>
      <c r="F618" s="1" t="str">
        <f>IFERROR(__xludf.DUMMYFUNCTION("""COMPUTED_VALUE"""),"698.981.200-10")</f>
        <v>698.981.200-10</v>
      </c>
      <c r="G618" s="1">
        <f>IFERROR(__xludf.DUMMYFUNCTION("""COMPUTED_VALUE"""),6055861246)</f>
        <v>6055861246</v>
      </c>
      <c r="H618" s="1" t="str">
        <f>IFERROR(__xludf.DUMMYFUNCTION("""COMPUTED_VALUE"""),"Membro")</f>
        <v>Membro</v>
      </c>
      <c r="I618" s="1" t="str">
        <f>IFERROR(__xludf.DUMMYFUNCTION("""COMPUTED_VALUE"""),"Combate a incêndio, motorista.")</f>
        <v>Combate a incêndio, motorista.</v>
      </c>
      <c r="J618" s="1" t="str">
        <f>IFERROR(__xludf.DUMMYFUNCTION("""COMPUTED_VALUE"""),"Não")</f>
        <v>Não</v>
      </c>
      <c r="K618" s="1" t="str">
        <f>IFERROR(__xludf.DUMMYFUNCTION("""COMPUTED_VALUE"""),"Não")</f>
        <v>Não</v>
      </c>
      <c r="L618" s="1" t="str">
        <f>IFERROR(__xludf.DUMMYFUNCTION("""COMPUTED_VALUE"""),"O+")</f>
        <v>O+</v>
      </c>
      <c r="M618" s="1" t="str">
        <f>IFERROR(__xludf.DUMMYFUNCTION("""COMPUTED_VALUE"""),"PELIN")</f>
        <v>PELIN</v>
      </c>
      <c r="N618" s="121">
        <f>IFERROR(__xludf.DUMMYFUNCTION("""COMPUTED_VALUE"""),25183)</f>
        <v>25183</v>
      </c>
      <c r="O618" s="1" t="str">
        <f>IFERROR(__xludf.DUMMYFUNCTION("""COMPUTED_VALUE"""),"Masculino")</f>
        <v>Masculino</v>
      </c>
      <c r="P618" s="1" t="str">
        <f>IFERROR(__xludf.DUMMYFUNCTION("""COMPUTED_VALUE"""),"Branca")</f>
        <v>Branca</v>
      </c>
      <c r="Q618" s="1" t="str">
        <f>IFERROR(__xludf.DUMMYFUNCTION("""COMPUTED_VALUE"""),"Ensino Superior Completo")</f>
        <v>Ensino Superior Completo</v>
      </c>
      <c r="R618" s="1" t="str">
        <f>IFERROR(__xludf.DUMMYFUNCTION("""COMPUTED_VALUE"""),"elsompelin@gmail.com")</f>
        <v>elsompelin@gmail.com</v>
      </c>
      <c r="S618" s="1">
        <f>IFERROR(__xludf.DUMMYFUNCTION("""COMPUTED_VALUE"""),82)</f>
        <v>82</v>
      </c>
      <c r="T618" s="1" t="str">
        <f>IFERROR(__xludf.DUMMYFUNCTION("""COMPUTED_VALUE"""),"Entre 1,76m e 1,80m")</f>
        <v>Entre 1,76m e 1,80m</v>
      </c>
      <c r="U618" s="1" t="str">
        <f>IFERROR(__xludf.DUMMYFUNCTION("""COMPUTED_VALUE"""),"(54) 996753146")</f>
        <v>(54) 996753146</v>
      </c>
      <c r="V618" s="1" t="str">
        <f>IFERROR(__xludf.DUMMYFUNCTION("""COMPUTED_VALUE"""),"Não")</f>
        <v>Não</v>
      </c>
      <c r="W618" s="1"/>
      <c r="X618" s="1" t="str">
        <f>IFERROR(__xludf.DUMMYFUNCTION("""COMPUTED_VALUE"""),"RIO GRANDE DO SUL")</f>
        <v>RIO GRANDE DO SUL</v>
      </c>
      <c r="Y618" s="1" t="str">
        <f>IFERROR(__xludf.DUMMYFUNCTION("""COMPUTED_VALUE"""),"Faxinalzinho")</f>
        <v>Faxinalzinho</v>
      </c>
      <c r="Z618" s="1" t="str">
        <f>IFERROR(__xludf.DUMMYFUNCTION("""COMPUTED_VALUE"""),"99655-000")</f>
        <v>99655-000</v>
      </c>
      <c r="AA618" s="1" t="str">
        <f>IFERROR(__xludf.DUMMYFUNCTION("""COMPUTED_VALUE"""),"Rua Saul José Conci 1175")</f>
        <v>Rua Saul José Conci 1175</v>
      </c>
      <c r="AB618" s="1" t="str">
        <f>IFERROR(__xludf.DUMMYFUNCTION("""COMPUTED_VALUE"""),"Centro")</f>
        <v>Centro</v>
      </c>
      <c r="AC618" s="1" t="str">
        <f>IFERROR(__xludf.DUMMYFUNCTION("""COMPUTED_VALUE"""),"GG")</f>
        <v>GG</v>
      </c>
      <c r="AD618" s="1" t="str">
        <f>IFERROR(__xludf.DUMMYFUNCTION("""COMPUTED_VALUE"""),"G")</f>
        <v>G</v>
      </c>
      <c r="AE618" s="1" t="str">
        <f>IFERROR(__xludf.DUMMYFUNCTION("""COMPUTED_VALUE"""),"GG")</f>
        <v>GG</v>
      </c>
      <c r="AF618" s="1" t="str">
        <f>IFERROR(__xludf.DUMMYFUNCTION("""COMPUTED_VALUE"""),"GG")</f>
        <v>GG</v>
      </c>
      <c r="AG618" s="1" t="str">
        <f>IFERROR(__xludf.DUMMYFUNCTION("""COMPUTED_VALUE"""),"GG")</f>
        <v>GG</v>
      </c>
      <c r="AH618" s="1">
        <f>IFERROR(__xludf.DUMMYFUNCTION("""COMPUTED_VALUE"""),42)</f>
        <v>42</v>
      </c>
      <c r="AI618" s="1">
        <f>IFERROR(__xludf.DUMMYFUNCTION("""COMPUTED_VALUE"""),42)</f>
        <v>42</v>
      </c>
      <c r="AJ618" s="1">
        <f>IFERROR(__xludf.DUMMYFUNCTION("""COMPUTED_VALUE"""),42)</f>
        <v>42</v>
      </c>
      <c r="AK618" s="1">
        <f>IFERROR(__xludf.DUMMYFUNCTION("""COMPUTED_VALUE"""),44)</f>
        <v>44</v>
      </c>
      <c r="AL618" s="1" t="str">
        <f>IFERROR(__xludf.DUMMYFUNCTION("""COMPUTED_VALUE"""),"GG")</f>
        <v>GG</v>
      </c>
      <c r="AM618" s="1" t="str">
        <f>IFERROR(__xludf.DUMMYFUNCTION("""COMPUTED_VALUE"""),"GG")</f>
        <v>GG</v>
      </c>
      <c r="AN618" s="1" t="str">
        <f>IFERROR(__xludf.DUMMYFUNCTION("""COMPUTED_VALUE"""),"G")</f>
        <v>G</v>
      </c>
    </row>
    <row r="619" customHeight="1" spans="1:40">
      <c r="A619" s="1" t="str">
        <f>IFERROR(__xludf.DUMMYFUNCTION("""COMPUTED_VALUE"""),"07° BBM")</f>
        <v>07° BBM</v>
      </c>
      <c r="B619" s="1" t="str">
        <f>IFERROR(__xludf.DUMMYFUNCTION("""COMPUTED_VALUE"""),"Mormaço")</f>
        <v>Mormaço</v>
      </c>
      <c r="C619" s="119" t="str">
        <f>IFERROR(__xludf.DUMMYFUNCTION("""COMPUTED_VALUE"""),"CAB")</f>
        <v>CAB</v>
      </c>
      <c r="D619" s="1" t="str">
        <f>IFERROR(__xludf.DUMMYFUNCTION("""COMPUTED_VALUE"""),"EMERSON FAGUNDES DA SILVA")</f>
        <v>EMERSON FAGUNDES DA SILVA</v>
      </c>
      <c r="E619" s="119" t="str">
        <f>IFERROR(__xludf.DUMMYFUNCTION("""COMPUTED_VALUE"""),"Módulo 1 concluído")</f>
        <v>Módulo 1 concluído</v>
      </c>
      <c r="F619" s="1" t="str">
        <f>IFERROR(__xludf.DUMMYFUNCTION("""COMPUTED_VALUE"""),"007.907.350-67")</f>
        <v>007.907.350-67</v>
      </c>
      <c r="G619" s="1"/>
      <c r="H619" s="1"/>
      <c r="I619" s="1"/>
      <c r="J619" s="1"/>
      <c r="K619" s="1"/>
      <c r="L619" s="1"/>
      <c r="M619" s="1"/>
      <c r="N619" s="120"/>
      <c r="O619" s="1"/>
      <c r="P619" s="1"/>
      <c r="Q619" s="1"/>
      <c r="R619" s="1" t="str">
        <f>IFERROR(__xludf.DUMMYFUNCTION("""COMPUTED_VALUE"""),"eng.dioice@gmail.com")</f>
        <v>eng.dioice@gmail.com</v>
      </c>
      <c r="S619" s="1"/>
      <c r="T619" s="1"/>
      <c r="U619" s="1"/>
      <c r="V619" s="1"/>
      <c r="W619" s="1"/>
      <c r="X619" s="1"/>
      <c r="Y619" s="1"/>
      <c r="Z619" s="1"/>
      <c r="AA619" s="1"/>
      <c r="AB619" s="1"/>
      <c r="AC619" s="1"/>
      <c r="AD619" s="1"/>
      <c r="AE619" s="1"/>
      <c r="AF619" s="1"/>
      <c r="AG619" s="1" t="str">
        <f>IFERROR(__xludf.DUMMYFUNCTION("""COMPUTED_VALUE"""),"M")</f>
        <v>M</v>
      </c>
      <c r="AH619" s="1">
        <f>IFERROR(__xludf.DUMMYFUNCTION("""COMPUTED_VALUE"""),39)</f>
        <v>39</v>
      </c>
      <c r="AI619" s="1"/>
      <c r="AJ619" s="1"/>
      <c r="AK619" s="1"/>
      <c r="AL619" s="1" t="str">
        <f>IFERROR(__xludf.DUMMYFUNCTION("""COMPUTED_VALUE"""),"M")</f>
        <v>M</v>
      </c>
      <c r="AM619" s="1" t="str">
        <f>IFERROR(__xludf.DUMMYFUNCTION("""COMPUTED_VALUE"""),"M")</f>
        <v>M</v>
      </c>
      <c r="AN619" s="1" t="str">
        <f>IFERROR(__xludf.DUMMYFUNCTION("""COMPUTED_VALUE"""),"M")</f>
        <v>M</v>
      </c>
    </row>
    <row r="620" customHeight="1" spans="1:40">
      <c r="A620" s="1" t="str">
        <f>IFERROR(__xludf.DUMMYFUNCTION("""COMPUTED_VALUE"""),"07° BBM")</f>
        <v>07° BBM</v>
      </c>
      <c r="B620" s="1" t="str">
        <f>IFERROR(__xludf.DUMMYFUNCTION("""COMPUTED_VALUE"""),"Mormaço")</f>
        <v>Mormaço</v>
      </c>
      <c r="C620" s="119" t="str">
        <f>IFERROR(__xludf.DUMMYFUNCTION("""COMPUTED_VALUE"""),"CAB")</f>
        <v>CAB</v>
      </c>
      <c r="D620" s="1" t="str">
        <f>IFERROR(__xludf.DUMMYFUNCTION("""COMPUTED_VALUE"""),"ENIO BUENO DA SILVA")</f>
        <v>ENIO BUENO DA SILVA</v>
      </c>
      <c r="E620" s="119" t="str">
        <f>IFERROR(__xludf.DUMMYFUNCTION("""COMPUTED_VALUE"""),"")</f>
        <v/>
      </c>
      <c r="F620" s="1" t="str">
        <f>IFERROR(__xludf.DUMMYFUNCTION("""COMPUTED_VALUE"""),"307.551.740-20")</f>
        <v>307.551.740-20</v>
      </c>
      <c r="G620" s="1"/>
      <c r="H620" s="1"/>
      <c r="I620" s="1"/>
      <c r="J620" s="1"/>
      <c r="K620" s="1"/>
      <c r="L620" s="1"/>
      <c r="M620" s="1"/>
      <c r="N620" s="120"/>
      <c r="O620" s="1"/>
      <c r="P620" s="1"/>
      <c r="Q620" s="1"/>
      <c r="R620" s="1" t="str">
        <f>IFERROR(__xludf.DUMMYFUNCTION("""COMPUTED_VALUE"""),"enio2025mormaco@gmail.com")</f>
        <v>enio2025mormaco@gmail.com</v>
      </c>
      <c r="S620" s="1"/>
      <c r="T620" s="1"/>
      <c r="U620" s="1"/>
      <c r="V620" s="1"/>
      <c r="W620" s="1"/>
      <c r="X620" s="1"/>
      <c r="Y620" s="1"/>
      <c r="Z620" s="1"/>
      <c r="AA620" s="1"/>
      <c r="AB620" s="1"/>
      <c r="AC620" s="1"/>
      <c r="AD620" s="1"/>
      <c r="AE620" s="1"/>
      <c r="AF620" s="1"/>
      <c r="AG620" s="1" t="str">
        <f>IFERROR(__xludf.DUMMYFUNCTION("""COMPUTED_VALUE"""),"M")</f>
        <v>M</v>
      </c>
      <c r="AH620" s="1">
        <f>IFERROR(__xludf.DUMMYFUNCTION("""COMPUTED_VALUE"""),41)</f>
        <v>41</v>
      </c>
      <c r="AI620" s="1"/>
      <c r="AJ620" s="1"/>
      <c r="AK620" s="1"/>
      <c r="AL620" s="1" t="str">
        <f>IFERROR(__xludf.DUMMYFUNCTION("""COMPUTED_VALUE"""),"M")</f>
        <v>M</v>
      </c>
      <c r="AM620" s="1" t="str">
        <f>IFERROR(__xludf.DUMMYFUNCTION("""COMPUTED_VALUE"""),"M")</f>
        <v>M</v>
      </c>
      <c r="AN620" s="1" t="str">
        <f>IFERROR(__xludf.DUMMYFUNCTION("""COMPUTED_VALUE"""),"M")</f>
        <v>M</v>
      </c>
    </row>
    <row r="621" customHeight="1" spans="1:40">
      <c r="A621" s="1" t="str">
        <f>IFERROR(__xludf.DUMMYFUNCTION("""COMPUTED_VALUE"""),"07° BBM")</f>
        <v>07° BBM</v>
      </c>
      <c r="B621" s="1" t="str">
        <f>IFERROR(__xludf.DUMMYFUNCTION("""COMPUTED_VALUE"""),"Erval Grande")</f>
        <v>Erval Grande</v>
      </c>
      <c r="C621" s="119" t="str">
        <f>IFERROR(__xludf.DUMMYFUNCTION("""COMPUTED_VALUE"""),"CAB")</f>
        <v>CAB</v>
      </c>
      <c r="D621" s="1" t="str">
        <f>IFERROR(__xludf.DUMMYFUNCTION("""COMPUTED_VALUE"""),"ERIVELTOM DE OLIVEIRA")</f>
        <v>ERIVELTOM DE OLIVEIRA</v>
      </c>
      <c r="E621" s="119" t="str">
        <f>IFERROR(__xludf.DUMMYFUNCTION("""COMPUTED_VALUE"""),"")</f>
        <v/>
      </c>
      <c r="F621" s="1"/>
      <c r="G621" s="1"/>
      <c r="H621" s="1"/>
      <c r="I621" s="1"/>
      <c r="J621" s="1"/>
      <c r="K621" s="1"/>
      <c r="L621" s="1"/>
      <c r="M621" s="1"/>
      <c r="N621" s="120">
        <f>IFERROR(__xludf.DUMMYFUNCTION("""COMPUTED_VALUE"""),30831)</f>
        <v>30831</v>
      </c>
      <c r="O621" s="1" t="str">
        <f>IFERROR(__xludf.DUMMYFUNCTION("""COMPUTED_VALUE"""),"Masculino")</f>
        <v>Masculino</v>
      </c>
      <c r="P621" s="1"/>
      <c r="Q621" s="1"/>
      <c r="R621" s="1"/>
      <c r="S621" s="1"/>
      <c r="T621" s="1"/>
      <c r="U621" s="1"/>
      <c r="V621" s="1"/>
      <c r="W621" s="1"/>
      <c r="X621" s="1"/>
      <c r="Y621" s="1"/>
      <c r="Z621" s="1"/>
      <c r="AA621" s="1"/>
      <c r="AB621" s="1"/>
      <c r="AC621" s="1"/>
      <c r="AD621" s="1"/>
      <c r="AE621" s="1"/>
      <c r="AF621" s="1"/>
      <c r="AG621" s="1" t="str">
        <f>IFERROR(__xludf.DUMMYFUNCTION("""COMPUTED_VALUE"""),"M")</f>
        <v>M</v>
      </c>
      <c r="AH621" s="1">
        <f>IFERROR(__xludf.DUMMYFUNCTION("""COMPUTED_VALUE"""),38)</f>
        <v>38</v>
      </c>
      <c r="AI621" s="1"/>
      <c r="AJ621" s="1"/>
      <c r="AK621" s="1"/>
      <c r="AL621" s="1" t="str">
        <f>IFERROR(__xludf.DUMMYFUNCTION("""COMPUTED_VALUE"""),"M")</f>
        <v>M</v>
      </c>
      <c r="AM621" s="1" t="str">
        <f>IFERROR(__xludf.DUMMYFUNCTION("""COMPUTED_VALUE"""),"M")</f>
        <v>M</v>
      </c>
      <c r="AN621" s="1" t="str">
        <f>IFERROR(__xludf.DUMMYFUNCTION("""COMPUTED_VALUE"""),"M")</f>
        <v>M</v>
      </c>
    </row>
    <row r="622" customHeight="1" spans="1:40">
      <c r="A622" s="1" t="str">
        <f>IFERROR(__xludf.DUMMYFUNCTION("""COMPUTED_VALUE"""),"07° BBM")</f>
        <v>07° BBM</v>
      </c>
      <c r="B622" s="1" t="str">
        <f>IFERROR(__xludf.DUMMYFUNCTION("""COMPUTED_VALUE"""),"NONOAI")</f>
        <v>NONOAI</v>
      </c>
      <c r="C622" s="119" t="str">
        <f>IFERROR(__xludf.DUMMYFUNCTION("""COMPUTED_VALUE"""),"Comunitário")</f>
        <v>Comunitário</v>
      </c>
      <c r="D622" s="1" t="str">
        <f>IFERROR(__xludf.DUMMYFUNCTION("""COMPUTED_VALUE"""),"ERNESTO RODRIGUES")</f>
        <v>ERNESTO RODRIGUES</v>
      </c>
      <c r="E622" s="119" t="str">
        <f>IFERROR(__xludf.DUMMYFUNCTION("""COMPUTED_VALUE"""),"")</f>
        <v/>
      </c>
      <c r="F622" s="1" t="str">
        <f>IFERROR(__xludf.DUMMYFUNCTION("""COMPUTED_VALUE"""),"007.035.520-74")</f>
        <v>007.035.520-74</v>
      </c>
      <c r="G622" s="1">
        <f>IFERROR(__xludf.DUMMYFUNCTION("""COMPUTED_VALUE"""),1090403691)</f>
        <v>1090403691</v>
      </c>
      <c r="H622" s="1" t="str">
        <f>IFERROR(__xludf.DUMMYFUNCTION("""COMPUTED_VALUE"""),"OP")</f>
        <v>OP</v>
      </c>
      <c r="I622" s="1"/>
      <c r="J622" s="1"/>
      <c r="K622" s="1"/>
      <c r="L622" s="1"/>
      <c r="M622" s="1"/>
      <c r="N622" s="121">
        <f>IFERROR(__xludf.DUMMYFUNCTION("""COMPUTED_VALUE"""),30714)</f>
        <v>30714</v>
      </c>
      <c r="O622" s="1" t="str">
        <f>IFERROR(__xludf.DUMMYFUNCTION("""COMPUTED_VALUE"""),"Masculino")</f>
        <v>Masculino</v>
      </c>
      <c r="P622" s="1"/>
      <c r="Q622" s="1"/>
      <c r="R622" s="1"/>
      <c r="S622" s="1"/>
      <c r="T622" s="1"/>
      <c r="U622" s="1"/>
      <c r="V622" s="1"/>
      <c r="W622" s="1"/>
      <c r="X622" s="1"/>
      <c r="Y622" s="1" t="str">
        <f>IFERROR(__xludf.DUMMYFUNCTION("""COMPUTED_VALUE"""),"Nonoai")</f>
        <v>Nonoai</v>
      </c>
      <c r="Z622" s="1"/>
      <c r="AA622" s="1"/>
      <c r="AB622" s="1"/>
      <c r="AC622" s="1"/>
      <c r="AD622" s="1"/>
      <c r="AE622" s="1"/>
      <c r="AF622" s="1"/>
      <c r="AG622" s="1" t="str">
        <f>IFERROR(__xludf.DUMMYFUNCTION("""COMPUTED_VALUE"""),"M")</f>
        <v>M</v>
      </c>
      <c r="AH622" s="1">
        <f>IFERROR(__xludf.DUMMYFUNCTION("""COMPUTED_VALUE"""),39)</f>
        <v>39</v>
      </c>
      <c r="AI622" s="1"/>
      <c r="AJ622" s="1"/>
      <c r="AK622" s="1"/>
      <c r="AL622" s="1" t="str">
        <f>IFERROR(__xludf.DUMMYFUNCTION("""COMPUTED_VALUE"""),"M")</f>
        <v>M</v>
      </c>
      <c r="AM622" s="1" t="str">
        <f>IFERROR(__xludf.DUMMYFUNCTION("""COMPUTED_VALUE"""),"M")</f>
        <v>M</v>
      </c>
      <c r="AN622" s="1" t="str">
        <f>IFERROR(__xludf.DUMMYFUNCTION("""COMPUTED_VALUE"""),"M")</f>
        <v>M</v>
      </c>
    </row>
    <row r="623" customHeight="1" spans="1:40">
      <c r="A623" s="1" t="str">
        <f>IFERROR(__xludf.DUMMYFUNCTION("""COMPUTED_VALUE"""),"07° BBM")</f>
        <v>07° BBM</v>
      </c>
      <c r="B623" s="1" t="str">
        <f>IFERROR(__xludf.DUMMYFUNCTION("""COMPUTED_VALUE"""),"Áurea")</f>
        <v>Áurea</v>
      </c>
      <c r="C623" s="119" t="str">
        <f>IFERROR(__xludf.DUMMYFUNCTION("""COMPUTED_VALUE"""),"CAB")</f>
        <v>CAB</v>
      </c>
      <c r="D623" s="1" t="str">
        <f>IFERROR(__xludf.DUMMYFUNCTION("""COMPUTED_VALUE"""),"EVANDRO CARLOS SLUSSAREK")</f>
        <v>EVANDRO CARLOS SLUSSAREK</v>
      </c>
      <c r="E623" s="119" t="str">
        <f>IFERROR(__xludf.DUMMYFUNCTION("""COMPUTED_VALUE"""),"")</f>
        <v/>
      </c>
      <c r="F623" s="1" t="str">
        <f>IFERROR(__xludf.DUMMYFUNCTION("""COMPUTED_VALUE"""),"006.822.740-03")</f>
        <v>006.822.740-03</v>
      </c>
      <c r="G623" s="1">
        <f>IFERROR(__xludf.DUMMYFUNCTION("""COMPUTED_VALUE"""),1082085968)</f>
        <v>1082085968</v>
      </c>
      <c r="H623" s="1" t="str">
        <f>IFERROR(__xludf.DUMMYFUNCTION("""COMPUTED_VALUE"""),"voluntário")</f>
        <v>voluntário</v>
      </c>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row>
    <row r="624" customHeight="1" spans="1:40">
      <c r="A624" s="1" t="str">
        <f>IFERROR(__xludf.DUMMYFUNCTION("""COMPUTED_VALUE"""),"07° BBM")</f>
        <v>07° BBM</v>
      </c>
      <c r="B624" s="1" t="str">
        <f>IFERROR(__xludf.DUMMYFUNCTION("""COMPUTED_VALUE"""),"Serafina Corrêa")</f>
        <v>Serafina Corrêa</v>
      </c>
      <c r="C624" s="119" t="str">
        <f>IFERROR(__xludf.DUMMYFUNCTION("""COMPUTED_VALUE"""),"CAB")</f>
        <v>CAB</v>
      </c>
      <c r="D624" s="1" t="str">
        <f>IFERROR(__xludf.DUMMYFUNCTION("""COMPUTED_VALUE"""),"EVANDRO MARCELO MULLER")</f>
        <v>EVANDRO MARCELO MULLER</v>
      </c>
      <c r="E624" s="119" t="str">
        <f>IFERROR(__xludf.DUMMYFUNCTION("""COMPUTED_VALUE"""),"Módulo 1 concluído")</f>
        <v>Módulo 1 concluído</v>
      </c>
      <c r="F624" s="1" t="str">
        <f>IFERROR(__xludf.DUMMYFUNCTION("""COMPUTED_VALUE"""),"009.730.150-71")</f>
        <v>009.730.150-71</v>
      </c>
      <c r="G624" s="1">
        <f>IFERROR(__xludf.DUMMYFUNCTION("""COMPUTED_VALUE"""),2099843126)</f>
        <v>2099843126</v>
      </c>
      <c r="H624" s="1" t="str">
        <f>IFERROR(__xludf.DUMMYFUNCTION("""COMPUTED_VALUE"""),"CAB - ALUNO")</f>
        <v>CAB - ALUNO</v>
      </c>
      <c r="I624" s="1" t="str">
        <f>IFERROR(__xludf.DUMMYFUNCTION("""COMPUTED_VALUE"""),"APH / BLS - NR 10 NR 33 NR 35 ")</f>
        <v>APH / BLS - NR 10 NR 33 NR 35 </v>
      </c>
      <c r="J624" s="1" t="str">
        <f>IFERROR(__xludf.DUMMYFUNCTION("""COMPUTED_VALUE"""),"Não")</f>
        <v>Não</v>
      </c>
      <c r="K624" s="1" t="str">
        <f>IFERROR(__xludf.DUMMYFUNCTION("""COMPUTED_VALUE"""),"Não")</f>
        <v>Não</v>
      </c>
      <c r="L624" s="1" t="str">
        <f>IFERROR(__xludf.DUMMYFUNCTION("""COMPUTED_VALUE"""),"A+")</f>
        <v>A+</v>
      </c>
      <c r="M624" s="1" t="str">
        <f>IFERROR(__xludf.DUMMYFUNCTION("""COMPUTED_VALUE"""),"Muller")</f>
        <v>Muller</v>
      </c>
      <c r="N624" s="120">
        <f>IFERROR(__xludf.DUMMYFUNCTION("""COMPUTED_VALUE"""),31216)</f>
        <v>31216</v>
      </c>
      <c r="O624" s="1" t="str">
        <f>IFERROR(__xludf.DUMMYFUNCTION("""COMPUTED_VALUE"""),"Masculino")</f>
        <v>Masculino</v>
      </c>
      <c r="P624" s="1" t="str">
        <f>IFERROR(__xludf.DUMMYFUNCTION("""COMPUTED_VALUE"""),"Branca")</f>
        <v>Branca</v>
      </c>
      <c r="Q624" s="1" t="str">
        <f>IFERROR(__xludf.DUMMYFUNCTION("""COMPUTED_VALUE"""),"Ensino Médio")</f>
        <v>Ensino Médio</v>
      </c>
      <c r="R624" s="1" t="str">
        <f>IFERROR(__xludf.DUMMYFUNCTION("""COMPUTED_VALUE"""),"evandromuller85@gmail.com")</f>
        <v>evandromuller85@gmail.com</v>
      </c>
      <c r="S624" s="1">
        <f>IFERROR(__xludf.DUMMYFUNCTION("""COMPUTED_VALUE"""),123)</f>
        <v>123</v>
      </c>
      <c r="T624" s="1" t="str">
        <f>IFERROR(__xludf.DUMMYFUNCTION("""COMPUTED_VALUE"""),"Entre 1,71m e 1,75m")</f>
        <v>Entre 1,71m e 1,75m</v>
      </c>
      <c r="U624" s="1"/>
      <c r="V624" s="1" t="str">
        <f>IFERROR(__xludf.DUMMYFUNCTION("""COMPUTED_VALUE"""),"(54)99913-8550")</f>
        <v>(54)99913-8550</v>
      </c>
      <c r="W624" s="1"/>
      <c r="X624" s="1" t="str">
        <f>IFERROR(__xludf.DUMMYFUNCTION("""COMPUTED_VALUE"""),"RS")</f>
        <v>RS</v>
      </c>
      <c r="Y624" s="1" t="str">
        <f>IFERROR(__xludf.DUMMYFUNCTION("""COMPUTED_VALUE"""),"Guaporé")</f>
        <v>Guaporé</v>
      </c>
      <c r="Z624" s="1" t="str">
        <f>IFERROR(__xludf.DUMMYFUNCTION("""COMPUTED_VALUE"""),"99200-000")</f>
        <v>99200-000</v>
      </c>
      <c r="AA624" s="1" t="str">
        <f>IFERROR(__xludf.DUMMYFUNCTION("""COMPUTED_VALUE"""),"Rua Muçum, 12")</f>
        <v>Rua Muçum, 12</v>
      </c>
      <c r="AB624" s="1" t="str">
        <f>IFERROR(__xludf.DUMMYFUNCTION("""COMPUTED_VALUE"""),"Planalto")</f>
        <v>Planalto</v>
      </c>
      <c r="AC624" s="1" t="str">
        <f>IFERROR(__xludf.DUMMYFUNCTION("""COMPUTED_VALUE"""),"EXG")</f>
        <v>EXG</v>
      </c>
      <c r="AD624" s="1" t="str">
        <f>IFERROR(__xludf.DUMMYFUNCTION("""COMPUTED_VALUE"""),"EXG")</f>
        <v>EXG</v>
      </c>
      <c r="AE624" s="1" t="str">
        <f>IFERROR(__xludf.DUMMYFUNCTION("""COMPUTED_VALUE"""),"EXG")</f>
        <v>EXG</v>
      </c>
      <c r="AF624" s="1" t="str">
        <f>IFERROR(__xludf.DUMMYFUNCTION("""COMPUTED_VALUE"""),"EXG")</f>
        <v>EXG</v>
      </c>
      <c r="AG624" s="1" t="str">
        <f>IFERROR(__xludf.DUMMYFUNCTION("""COMPUTED_VALUE"""),"EXG")</f>
        <v>EXG</v>
      </c>
      <c r="AH624" s="1">
        <f>IFERROR(__xludf.DUMMYFUNCTION("""COMPUTED_VALUE"""),42)</f>
        <v>42</v>
      </c>
      <c r="AI624" s="1">
        <f>IFERROR(__xludf.DUMMYFUNCTION("""COMPUTED_VALUE"""),42)</f>
        <v>42</v>
      </c>
      <c r="AJ624" s="1">
        <f>IFERROR(__xludf.DUMMYFUNCTION("""COMPUTED_VALUE"""),42)</f>
        <v>42</v>
      </c>
      <c r="AK624" s="1">
        <f>IFERROR(__xludf.DUMMYFUNCTION("""COMPUTED_VALUE"""),42)</f>
        <v>42</v>
      </c>
      <c r="AL624" s="1" t="str">
        <f>IFERROR(__xludf.DUMMYFUNCTION("""COMPUTED_VALUE"""),"EXG")</f>
        <v>EXG</v>
      </c>
      <c r="AM624" s="1" t="str">
        <f>IFERROR(__xludf.DUMMYFUNCTION("""COMPUTED_VALUE"""),"EXG")</f>
        <v>EXG</v>
      </c>
      <c r="AN624" s="1" t="str">
        <f>IFERROR(__xludf.DUMMYFUNCTION("""COMPUTED_VALUE"""),"EXG")</f>
        <v>EXG</v>
      </c>
    </row>
    <row r="625" customHeight="1" spans="1:40">
      <c r="A625" s="1" t="str">
        <f>IFERROR(__xludf.DUMMYFUNCTION("""COMPUTED_VALUE"""),"07° BBM")</f>
        <v>07° BBM</v>
      </c>
      <c r="B625" s="1" t="str">
        <f>IFERROR(__xludf.DUMMYFUNCTION("""COMPUTED_VALUE"""),"Não-Me-Toque")</f>
        <v>Não-Me-Toque</v>
      </c>
      <c r="C625" s="119" t="str">
        <f>IFERROR(__xludf.DUMMYFUNCTION("""COMPUTED_VALUE"""),"CAB")</f>
        <v>CAB</v>
      </c>
      <c r="D625" s="1" t="str">
        <f>IFERROR(__xludf.DUMMYFUNCTION("""COMPUTED_VALUE"""),"EVANDRO TARSO PAUWELS")</f>
        <v>EVANDRO TARSO PAUWELS</v>
      </c>
      <c r="E625" s="119" t="str">
        <f>IFERROR(__xludf.DUMMYFUNCTION("""COMPUTED_VALUE"""),"Módulo 1 concluído")</f>
        <v>Módulo 1 concluído</v>
      </c>
      <c r="F625" s="1" t="str">
        <f>IFERROR(__xludf.DUMMYFUNCTION("""COMPUTED_VALUE"""),"599.619.880-00")</f>
        <v>599.619.880-00</v>
      </c>
      <c r="G625" s="1">
        <f>IFERROR(__xludf.DUMMYFUNCTION("""COMPUTED_VALUE"""),8045556878)</f>
        <v>8045556878</v>
      </c>
      <c r="H625" s="1" t="str">
        <f>IFERROR(__xludf.DUMMYFUNCTION("""COMPUTED_VALUE"""),"BOMBEIRO")</f>
        <v>BOMBEIRO</v>
      </c>
      <c r="I625" s="1" t="str">
        <f>IFERROR(__xludf.DUMMYFUNCTION("""COMPUTED_VALUE"""),"Brigada de Incêndio/Nivelamento Operacional BV/EPI's e EPRA/Nivelamento Operacional CBMRS/Operador de Motosserra")</f>
        <v>Brigada de Incêndio/Nivelamento Operacional BV/EPI's e EPRA/Nivelamento Operacional CBMRS/Operador de Motosserra</v>
      </c>
      <c r="J625" s="1" t="str">
        <f>IFERROR(__xludf.DUMMYFUNCTION("""COMPUTED_VALUE"""),"Não")</f>
        <v>Não</v>
      </c>
      <c r="K625" s="1" t="str">
        <f>IFERROR(__xludf.DUMMYFUNCTION("""COMPUTED_VALUE"""),"Não")</f>
        <v>Não</v>
      </c>
      <c r="L625" s="1" t="str">
        <f>IFERROR(__xludf.DUMMYFUNCTION("""COMPUTED_VALUE"""),"O+")</f>
        <v>O+</v>
      </c>
      <c r="M625" s="1" t="str">
        <f>IFERROR(__xludf.DUMMYFUNCTION("""COMPUTED_VALUE"""),"EVANDRO")</f>
        <v>EVANDRO</v>
      </c>
      <c r="N625" s="120">
        <f>IFERROR(__xludf.DUMMYFUNCTION("""COMPUTED_VALUE"""),27705)</f>
        <v>27705</v>
      </c>
      <c r="O625" s="1" t="str">
        <f>IFERROR(__xludf.DUMMYFUNCTION("""COMPUTED_VALUE"""),"Masculino")</f>
        <v>Masculino</v>
      </c>
      <c r="P625" s="1" t="str">
        <f>IFERROR(__xludf.DUMMYFUNCTION("""COMPUTED_VALUE"""),"Branca")</f>
        <v>Branca</v>
      </c>
      <c r="Q625" s="1" t="str">
        <f>IFERROR(__xludf.DUMMYFUNCTION("""COMPUTED_VALUE"""),"Pós-graduação")</f>
        <v>Pós-graduação</v>
      </c>
      <c r="R625" s="1" t="str">
        <f>IFERROR(__xludf.DUMMYFUNCTION("""COMPUTED_VALUE"""),"evandrotarso@gmail.com")</f>
        <v>evandrotarso@gmail.com</v>
      </c>
      <c r="S625" s="1">
        <f>IFERROR(__xludf.DUMMYFUNCTION("""COMPUTED_VALUE"""),98)</f>
        <v>98</v>
      </c>
      <c r="T625" s="1" t="str">
        <f>IFERROR(__xludf.DUMMYFUNCTION("""COMPUTED_VALUE"""),"Entre 1,76m e 1,80m")</f>
        <v>Entre 1,76m e 1,80m</v>
      </c>
      <c r="U625" s="1"/>
      <c r="V625" s="1" t="str">
        <f>IFERROR(__xludf.DUMMYFUNCTION("""COMPUTED_VALUE"""),"(54)991913102")</f>
        <v>(54)991913102</v>
      </c>
      <c r="W625" s="1"/>
      <c r="X625" s="1" t="str">
        <f>IFERROR(__xludf.DUMMYFUNCTION("""COMPUTED_VALUE"""),"RS")</f>
        <v>RS</v>
      </c>
      <c r="Y625" s="1" t="str">
        <f>IFERROR(__xludf.DUMMYFUNCTION("""COMPUTED_VALUE"""),"Não-Me-Toque")</f>
        <v>Não-Me-Toque</v>
      </c>
      <c r="Z625" s="1" t="str">
        <f>IFERROR(__xludf.DUMMYFUNCTION("""COMPUTED_VALUE"""),"99470-000")</f>
        <v>99470-000</v>
      </c>
      <c r="AA625" s="1" t="str">
        <f>IFERROR(__xludf.DUMMYFUNCTION("""COMPUTED_VALUE"""),"Rua Colorado, 461")</f>
        <v>Rua Colorado, 461</v>
      </c>
      <c r="AB625" s="1" t="str">
        <f>IFERROR(__xludf.DUMMYFUNCTION("""COMPUTED_VALUE"""),"Martini")</f>
        <v>Martini</v>
      </c>
      <c r="AC625" s="1" t="str">
        <f>IFERROR(__xludf.DUMMYFUNCTION("""COMPUTED_VALUE"""),"GG")</f>
        <v>GG</v>
      </c>
      <c r="AD625" s="1" t="str">
        <f>IFERROR(__xludf.DUMMYFUNCTION("""COMPUTED_VALUE"""),"GG")</f>
        <v>GG</v>
      </c>
      <c r="AE625" s="1" t="str">
        <f>IFERROR(__xludf.DUMMYFUNCTION("""COMPUTED_VALUE"""),"GG")</f>
        <v>GG</v>
      </c>
      <c r="AF625" s="1" t="str">
        <f>IFERROR(__xludf.DUMMYFUNCTION("""COMPUTED_VALUE"""),"GG")</f>
        <v>GG</v>
      </c>
      <c r="AG625" s="1" t="str">
        <f>IFERROR(__xludf.DUMMYFUNCTION("""COMPUTED_VALUE"""),"GG")</f>
        <v>GG</v>
      </c>
      <c r="AH625" s="1">
        <f>IFERROR(__xludf.DUMMYFUNCTION("""COMPUTED_VALUE"""),40)</f>
        <v>40</v>
      </c>
      <c r="AI625" s="1">
        <f>IFERROR(__xludf.DUMMYFUNCTION("""COMPUTED_VALUE"""),40)</f>
        <v>40</v>
      </c>
      <c r="AJ625" s="1">
        <f>IFERROR(__xludf.DUMMYFUNCTION("""COMPUTED_VALUE"""),40)</f>
        <v>40</v>
      </c>
      <c r="AK625" s="1">
        <f>IFERROR(__xludf.DUMMYFUNCTION("""COMPUTED_VALUE"""),40)</f>
        <v>40</v>
      </c>
      <c r="AL625" s="1" t="str">
        <f>IFERROR(__xludf.DUMMYFUNCTION("""COMPUTED_VALUE"""),"GG")</f>
        <v>GG</v>
      </c>
      <c r="AM625" s="1" t="str">
        <f>IFERROR(__xludf.DUMMYFUNCTION("""COMPUTED_VALUE"""),"GG")</f>
        <v>GG</v>
      </c>
      <c r="AN625" s="1" t="str">
        <f>IFERROR(__xludf.DUMMYFUNCTION("""COMPUTED_VALUE"""),"GG")</f>
        <v>GG</v>
      </c>
    </row>
    <row r="626" customHeight="1" spans="1:40">
      <c r="A626" s="1" t="str">
        <f>IFERROR(__xludf.DUMMYFUNCTION("""COMPUTED_VALUE"""),"07° BBM")</f>
        <v>07° BBM</v>
      </c>
      <c r="B626" s="1" t="str">
        <f>IFERROR(__xludf.DUMMYFUNCTION("""COMPUTED_VALUE"""),"Faxinalzinho")</f>
        <v>Faxinalzinho</v>
      </c>
      <c r="C626" s="119" t="str">
        <f>IFERROR(__xludf.DUMMYFUNCTION("""COMPUTED_VALUE"""),"CAB")</f>
        <v>CAB</v>
      </c>
      <c r="D626" s="1" t="str">
        <f>IFERROR(__xludf.DUMMYFUNCTION("""COMPUTED_VALUE"""),"EVERALDO BORBA")</f>
        <v>EVERALDO BORBA</v>
      </c>
      <c r="E626" s="119" t="str">
        <f>IFERROR(__xludf.DUMMYFUNCTION("""COMPUTED_VALUE"""),"")</f>
        <v/>
      </c>
      <c r="F626" s="1" t="str">
        <f>IFERROR(__xludf.DUMMYFUNCTION("""COMPUTED_VALUE"""),"009.036.610-71")</f>
        <v>009.036.610-71</v>
      </c>
      <c r="G626" s="1">
        <f>IFERROR(__xludf.DUMMYFUNCTION("""COMPUTED_VALUE"""),4081234314)</f>
        <v>4081234314</v>
      </c>
      <c r="H626" s="1" t="str">
        <f>IFERROR(__xludf.DUMMYFUNCTION("""COMPUTED_VALUE"""),"Combatente")</f>
        <v>Combatente</v>
      </c>
      <c r="I626" s="1" t="str">
        <f>IFERROR(__xludf.DUMMYFUNCTION("""COMPUTED_VALUE"""),"Combate a Incendio")</f>
        <v>Combate a Incendio</v>
      </c>
      <c r="J626" s="1" t="str">
        <f>IFERROR(__xludf.DUMMYFUNCTION("""COMPUTED_VALUE"""),"Sim")</f>
        <v>Sim</v>
      </c>
      <c r="K626" s="1" t="str">
        <f>IFERROR(__xludf.DUMMYFUNCTION("""COMPUTED_VALUE"""),"Não")</f>
        <v>Não</v>
      </c>
      <c r="L626" s="1" t="str">
        <f>IFERROR(__xludf.DUMMYFUNCTION("""COMPUTED_VALUE"""),"A-")</f>
        <v>A-</v>
      </c>
      <c r="M626" s="1" t="str">
        <f>IFERROR(__xludf.DUMMYFUNCTION("""COMPUTED_VALUE"""),"PARDA")</f>
        <v>PARDA</v>
      </c>
      <c r="N626" s="120">
        <f>IFERROR(__xludf.DUMMYFUNCTION("""COMPUTED_VALUE"""),29333)</f>
        <v>29333</v>
      </c>
      <c r="O626" s="1" t="str">
        <f>IFERROR(__xludf.DUMMYFUNCTION("""COMPUTED_VALUE"""),"Masculino")</f>
        <v>Masculino</v>
      </c>
      <c r="P626" s="1" t="str">
        <f>IFERROR(__xludf.DUMMYFUNCTION("""COMPUTED_VALUE"""),"Parda")</f>
        <v>Parda</v>
      </c>
      <c r="Q626" s="1" t="str">
        <f>IFERROR(__xludf.DUMMYFUNCTION("""COMPUTED_VALUE"""),"Ensino Médio")</f>
        <v>Ensino Médio</v>
      </c>
      <c r="R626" s="1" t="str">
        <f>IFERROR(__xludf.DUMMYFUNCTION("""COMPUTED_VALUE"""),"everaldoborba84a gmail.com")</f>
        <v>everaldoborba84a gmail.com</v>
      </c>
      <c r="S626" s="1">
        <f>IFERROR(__xludf.DUMMYFUNCTION("""COMPUTED_VALUE"""),87)</f>
        <v>87</v>
      </c>
      <c r="T626" s="1" t="str">
        <f>IFERROR(__xludf.DUMMYFUNCTION("""COMPUTED_VALUE"""),"Entre 1,76m e 1,80m")</f>
        <v>Entre 1,76m e 1,80m</v>
      </c>
      <c r="U626" s="1">
        <f>IFERROR(__xludf.DUMMYFUNCTION("""COMPUTED_VALUE"""),5435461246)</f>
        <v>5435461246</v>
      </c>
      <c r="V626" s="1" t="str">
        <f>IFERROR(__xludf.DUMMYFUNCTION("""COMPUTED_VALUE"""),"(54) 996951384")</f>
        <v>(54) 996951384</v>
      </c>
      <c r="W626" s="1">
        <f>IFERROR(__xludf.DUMMYFUNCTION("""COMPUTED_VALUE"""),190)</f>
        <v>190</v>
      </c>
      <c r="X626" s="1" t="str">
        <f>IFERROR(__xludf.DUMMYFUNCTION("""COMPUTED_VALUE"""),"RIO GRANDE DO SUL")</f>
        <v>RIO GRANDE DO SUL</v>
      </c>
      <c r="Y626" s="1" t="str">
        <f>IFERROR(__xludf.DUMMYFUNCTION("""COMPUTED_VALUE"""),"Faxinalzinho")</f>
        <v>Faxinalzinho</v>
      </c>
      <c r="Z626" s="1" t="str">
        <f>IFERROR(__xludf.DUMMYFUNCTION("""COMPUTED_VALUE"""),"99655-000")</f>
        <v>99655-000</v>
      </c>
      <c r="AA626" s="1" t="str">
        <f>IFERROR(__xludf.DUMMYFUNCTION("""COMPUTED_VALUE"""),"Avenida Lido Armando Ultramari")</f>
        <v>Avenida Lido Armando Ultramari</v>
      </c>
      <c r="AB626" s="1" t="str">
        <f>IFERROR(__xludf.DUMMYFUNCTION("""COMPUTED_VALUE"""),"COROADOS")</f>
        <v>COROADOS</v>
      </c>
      <c r="AC626" s="1" t="str">
        <f>IFERROR(__xludf.DUMMYFUNCTION("""COMPUTED_VALUE"""),"M")</f>
        <v>M</v>
      </c>
      <c r="AD626" s="1" t="str">
        <f>IFERROR(__xludf.DUMMYFUNCTION("""COMPUTED_VALUE"""),"M")</f>
        <v>M</v>
      </c>
      <c r="AE626" s="1" t="str">
        <f>IFERROR(__xludf.DUMMYFUNCTION("""COMPUTED_VALUE"""),"M")</f>
        <v>M</v>
      </c>
      <c r="AF626" s="1" t="str">
        <f>IFERROR(__xludf.DUMMYFUNCTION("""COMPUTED_VALUE"""),"M")</f>
        <v>M</v>
      </c>
      <c r="AG626" s="1" t="str">
        <f>IFERROR(__xludf.DUMMYFUNCTION("""COMPUTED_VALUE"""),"M")</f>
        <v>M</v>
      </c>
      <c r="AH626" s="1">
        <f>IFERROR(__xludf.DUMMYFUNCTION("""COMPUTED_VALUE"""),40)</f>
        <v>40</v>
      </c>
      <c r="AI626" s="1">
        <f>IFERROR(__xludf.DUMMYFUNCTION("""COMPUTED_VALUE"""),40)</f>
        <v>40</v>
      </c>
      <c r="AJ626" s="1">
        <f>IFERROR(__xludf.DUMMYFUNCTION("""COMPUTED_VALUE"""),40)</f>
        <v>40</v>
      </c>
      <c r="AK626" s="1">
        <f>IFERROR(__xludf.DUMMYFUNCTION("""COMPUTED_VALUE"""),40)</f>
        <v>40</v>
      </c>
      <c r="AL626" s="1" t="str">
        <f>IFERROR(__xludf.DUMMYFUNCTION("""COMPUTED_VALUE"""),"M")</f>
        <v>M</v>
      </c>
      <c r="AM626" s="1" t="str">
        <f>IFERROR(__xludf.DUMMYFUNCTION("""COMPUTED_VALUE"""),"M")</f>
        <v>M</v>
      </c>
      <c r="AN626" s="1" t="str">
        <f>IFERROR(__xludf.DUMMYFUNCTION("""COMPUTED_VALUE"""),"M")</f>
        <v>M</v>
      </c>
    </row>
    <row r="627" customHeight="1" spans="1:40">
      <c r="A627" s="1" t="str">
        <f>IFERROR(__xludf.DUMMYFUNCTION("""COMPUTED_VALUE"""),"07° BBM")</f>
        <v>07° BBM</v>
      </c>
      <c r="B627" s="1" t="str">
        <f>IFERROR(__xludf.DUMMYFUNCTION("""COMPUTED_VALUE"""),"Faxinalzinho")</f>
        <v>Faxinalzinho</v>
      </c>
      <c r="C627" s="119" t="str">
        <f>IFERROR(__xludf.DUMMYFUNCTION("""COMPUTED_VALUE"""),"CAB")</f>
        <v>CAB</v>
      </c>
      <c r="D627" s="1" t="str">
        <f>IFERROR(__xludf.DUMMYFUNCTION("""COMPUTED_VALUE"""),"EVERALDO LUIS DAVID BALDO")</f>
        <v>EVERALDO LUIS DAVID BALDO</v>
      </c>
      <c r="E627" s="119" t="str">
        <f>IFERROR(__xludf.DUMMYFUNCTION("""COMPUTED_VALUE"""),"")</f>
        <v/>
      </c>
      <c r="F627" s="1" t="str">
        <f>IFERROR(__xludf.DUMMYFUNCTION("""COMPUTED_VALUE"""),"536.995.560-34")</f>
        <v>536.995.560-34</v>
      </c>
      <c r="G627" s="1">
        <f>IFERROR(__xludf.DUMMYFUNCTION("""COMPUTED_VALUE"""),1046764476)</f>
        <v>1046764476</v>
      </c>
      <c r="H627" s="1" t="str">
        <f>IFERROR(__xludf.DUMMYFUNCTION("""COMPUTED_VALUE"""),"Presidente - Combatente")</f>
        <v>Presidente - Combatente</v>
      </c>
      <c r="I627" s="1" t="str">
        <f>IFERROR(__xludf.DUMMYFUNCTION("""COMPUTED_VALUE"""),"Quiropraxia, Combate a Incendio")</f>
        <v>Quiropraxia, Combate a Incendio</v>
      </c>
      <c r="J627" s="1" t="str">
        <f>IFERROR(__xludf.DUMMYFUNCTION("""COMPUTED_VALUE"""),"Sim")</f>
        <v>Sim</v>
      </c>
      <c r="K627" s="1" t="str">
        <f>IFERROR(__xludf.DUMMYFUNCTION("""COMPUTED_VALUE"""),"Não")</f>
        <v>Não</v>
      </c>
      <c r="L627" s="1" t="str">
        <f>IFERROR(__xludf.DUMMYFUNCTION("""COMPUTED_VALUE"""),"A+")</f>
        <v>A+</v>
      </c>
      <c r="M627" s="1" t="str">
        <f>IFERROR(__xludf.DUMMYFUNCTION("""COMPUTED_VALUE"""),"BALDO A+")</f>
        <v>BALDO A+</v>
      </c>
      <c r="N627" s="120">
        <f>IFERROR(__xludf.DUMMYFUNCTION("""COMPUTED_VALUE"""),25408)</f>
        <v>25408</v>
      </c>
      <c r="O627" s="1" t="str">
        <f>IFERROR(__xludf.DUMMYFUNCTION("""COMPUTED_VALUE"""),"Masculino")</f>
        <v>Masculino</v>
      </c>
      <c r="P627" s="1" t="str">
        <f>IFERROR(__xludf.DUMMYFUNCTION("""COMPUTED_VALUE"""),"Branca")</f>
        <v>Branca</v>
      </c>
      <c r="Q627" s="1" t="str">
        <f>IFERROR(__xludf.DUMMYFUNCTION("""COMPUTED_VALUE"""),"Ensino Médio")</f>
        <v>Ensino Médio</v>
      </c>
      <c r="R627" s="1" t="str">
        <f>IFERROR(__xludf.DUMMYFUNCTION("""COMPUTED_VALUE"""),"everaldolbaldo@gmail.com")</f>
        <v>everaldolbaldo@gmail.com</v>
      </c>
      <c r="S627" s="1">
        <f>IFERROR(__xludf.DUMMYFUNCTION("""COMPUTED_VALUE"""),96)</f>
        <v>96</v>
      </c>
      <c r="T627" s="1" t="str">
        <f>IFERROR(__xludf.DUMMYFUNCTION("""COMPUTED_VALUE"""),"Entre 1,71m e 1,75m")</f>
        <v>Entre 1,71m e 1,75m</v>
      </c>
      <c r="U627" s="1" t="str">
        <f>IFERROR(__xludf.DUMMYFUNCTION("""COMPUTED_VALUE"""),"(54) 99932 8677")</f>
        <v>(54) 99932 8677</v>
      </c>
      <c r="V627" s="1" t="str">
        <f>IFERROR(__xludf.DUMMYFUNCTION("""COMPUTED_VALUE"""),"(54) 99932 8677")</f>
        <v>(54) 99932 8677</v>
      </c>
      <c r="W627" s="1" t="str">
        <f>IFERROR(__xludf.DUMMYFUNCTION("""COMPUTED_VALUE"""),"(54) 999328677")</f>
        <v>(54) 999328677</v>
      </c>
      <c r="X627" s="1" t="str">
        <f>IFERROR(__xludf.DUMMYFUNCTION("""COMPUTED_VALUE"""),"RIO GRANDE DO SUL")</f>
        <v>RIO GRANDE DO SUL</v>
      </c>
      <c r="Y627" s="1" t="str">
        <f>IFERROR(__xludf.DUMMYFUNCTION("""COMPUTED_VALUE"""),"Faxinalzinho")</f>
        <v>Faxinalzinho</v>
      </c>
      <c r="Z627" s="1" t="str">
        <f>IFERROR(__xludf.DUMMYFUNCTION("""COMPUTED_VALUE"""),"99655-000")</f>
        <v>99655-000</v>
      </c>
      <c r="AA627" s="1" t="str">
        <f>IFERROR(__xludf.DUMMYFUNCTION("""COMPUTED_VALUE"""),"Linha Votouro 630")</f>
        <v>Linha Votouro 630</v>
      </c>
      <c r="AB627" s="1" t="str">
        <f>IFERROR(__xludf.DUMMYFUNCTION("""COMPUTED_VALUE"""),"Interior")</f>
        <v>Interior</v>
      </c>
      <c r="AC627" s="1" t="str">
        <f>IFERROR(__xludf.DUMMYFUNCTION("""COMPUTED_VALUE"""),"GG")</f>
        <v>GG</v>
      </c>
      <c r="AD627" s="1" t="str">
        <f>IFERROR(__xludf.DUMMYFUNCTION("""COMPUTED_VALUE"""),"GG")</f>
        <v>GG</v>
      </c>
      <c r="AE627" s="1" t="str">
        <f>IFERROR(__xludf.DUMMYFUNCTION("""COMPUTED_VALUE"""),"GG")</f>
        <v>GG</v>
      </c>
      <c r="AF627" s="1" t="str">
        <f>IFERROR(__xludf.DUMMYFUNCTION("""COMPUTED_VALUE"""),"GG")</f>
        <v>GG</v>
      </c>
      <c r="AG627" s="1" t="str">
        <f>IFERROR(__xludf.DUMMYFUNCTION("""COMPUTED_VALUE"""),"GG")</f>
        <v>GG</v>
      </c>
      <c r="AH627" s="1">
        <f>IFERROR(__xludf.DUMMYFUNCTION("""COMPUTED_VALUE"""),42)</f>
        <v>42</v>
      </c>
      <c r="AI627" s="1">
        <f>IFERROR(__xludf.DUMMYFUNCTION("""COMPUTED_VALUE"""),42)</f>
        <v>42</v>
      </c>
      <c r="AJ627" s="1">
        <f>IFERROR(__xludf.DUMMYFUNCTION("""COMPUTED_VALUE"""),42)</f>
        <v>42</v>
      </c>
      <c r="AK627" s="1">
        <f>IFERROR(__xludf.DUMMYFUNCTION("""COMPUTED_VALUE"""),42)</f>
        <v>42</v>
      </c>
      <c r="AL627" s="1" t="str">
        <f>IFERROR(__xludf.DUMMYFUNCTION("""COMPUTED_VALUE"""),"GG")</f>
        <v>GG</v>
      </c>
      <c r="AM627" s="1" t="str">
        <f>IFERROR(__xludf.DUMMYFUNCTION("""COMPUTED_VALUE"""),"GG")</f>
        <v>GG</v>
      </c>
      <c r="AN627" s="1" t="str">
        <f>IFERROR(__xludf.DUMMYFUNCTION("""COMPUTED_VALUE"""),"G")</f>
        <v>G</v>
      </c>
    </row>
    <row r="628" customHeight="1" spans="1:40">
      <c r="A628" s="1" t="str">
        <f>IFERROR(__xludf.DUMMYFUNCTION("""COMPUTED_VALUE"""),"07° BBM")</f>
        <v>07° BBM</v>
      </c>
      <c r="B628" s="1" t="str">
        <f>IFERROR(__xludf.DUMMYFUNCTION("""COMPUTED_VALUE"""),"Gaurama")</f>
        <v>Gaurama</v>
      </c>
      <c r="C628" s="119" t="str">
        <f>IFERROR(__xludf.DUMMYFUNCTION("""COMPUTED_VALUE"""),"CAB")</f>
        <v>CAB</v>
      </c>
      <c r="D628" s="1" t="str">
        <f>IFERROR(__xludf.DUMMYFUNCTION("""COMPUTED_VALUE"""),"EVERSON ROBERTO BURGRAFF")</f>
        <v>EVERSON ROBERTO BURGRAFF</v>
      </c>
      <c r="E628" s="119" t="str">
        <f>IFERROR(__xludf.DUMMYFUNCTION("""COMPUTED_VALUE"""),"")</f>
        <v/>
      </c>
      <c r="F628" s="1" t="str">
        <f>IFERROR(__xludf.DUMMYFUNCTION("""COMPUTED_VALUE"""),"005.299.840-16")</f>
        <v>005.299.840-16</v>
      </c>
      <c r="G628" s="1">
        <f>IFERROR(__xludf.DUMMYFUNCTION("""COMPUTED_VALUE"""),7076101612)</f>
        <v>7076101612</v>
      </c>
      <c r="H628" s="1" t="str">
        <f>IFERROR(__xludf.DUMMYFUNCTION("""COMPUTED_VALUE"""),"Combatente")</f>
        <v>Combatente</v>
      </c>
      <c r="I628" s="1" t="str">
        <f>IFERROR(__xludf.DUMMYFUNCTION("""COMPUTED_VALUE"""),"Atendimento Suporte Básico de Vida")</f>
        <v>Atendimento Suporte Básico de Vida</v>
      </c>
      <c r="J628" s="1" t="str">
        <f>IFERROR(__xludf.DUMMYFUNCTION("""COMPUTED_VALUE"""),"Não")</f>
        <v>Não</v>
      </c>
      <c r="K628" s="1" t="str">
        <f>IFERROR(__xludf.DUMMYFUNCTION("""COMPUTED_VALUE"""),"Não")</f>
        <v>Não</v>
      </c>
      <c r="L628" s="1" t="str">
        <f>IFERROR(__xludf.DUMMYFUNCTION("""COMPUTED_VALUE"""),"A+")</f>
        <v>A+</v>
      </c>
      <c r="M628" s="1" t="str">
        <f>IFERROR(__xludf.DUMMYFUNCTION("""COMPUTED_VALUE"""),"BURGGRAFF")</f>
        <v>BURGGRAFF</v>
      </c>
      <c r="N628" s="120">
        <f>IFERROR(__xludf.DUMMYFUNCTION("""COMPUTED_VALUE"""),31178)</f>
        <v>31178</v>
      </c>
      <c r="O628" s="1" t="str">
        <f>IFERROR(__xludf.DUMMYFUNCTION("""COMPUTED_VALUE"""),"Masculino")</f>
        <v>Masculino</v>
      </c>
      <c r="P628" s="1" t="str">
        <f>IFERROR(__xludf.DUMMYFUNCTION("""COMPUTED_VALUE"""),"Branca")</f>
        <v>Branca</v>
      </c>
      <c r="Q628" s="1" t="str">
        <f>IFERROR(__xludf.DUMMYFUNCTION("""COMPUTED_VALUE"""),"Ensino Superior Completo")</f>
        <v>Ensino Superior Completo</v>
      </c>
      <c r="R628" s="1" t="str">
        <f>IFERROR(__xludf.DUMMYFUNCTION("""COMPUTED_VALUE"""),"eversonburggraf@gmail.com")</f>
        <v>eversonburggraf@gmail.com</v>
      </c>
      <c r="S628" s="1">
        <f>IFERROR(__xludf.DUMMYFUNCTION("""COMPUTED_VALUE"""),110)</f>
        <v>110</v>
      </c>
      <c r="T628" s="1" t="str">
        <f>IFERROR(__xludf.DUMMYFUNCTION("""COMPUTED_VALUE"""),"Entre 1,71m e 1,75m")</f>
        <v>Entre 1,71m e 1,75m</v>
      </c>
      <c r="U628" s="1"/>
      <c r="V628" s="1" t="str">
        <f>IFERROR(__xludf.DUMMYFUNCTION("""COMPUTED_VALUE"""),"(54)996857186")</f>
        <v>(54)996857186</v>
      </c>
      <c r="W628" s="1"/>
      <c r="X628" s="1" t="str">
        <f>IFERROR(__xludf.DUMMYFUNCTION("""COMPUTED_VALUE"""),"RS")</f>
        <v>RS</v>
      </c>
      <c r="Y628" s="1" t="str">
        <f>IFERROR(__xludf.DUMMYFUNCTION("""COMPUTED_VALUE"""),"Gaurama")</f>
        <v>Gaurama</v>
      </c>
      <c r="Z628" s="1">
        <f>IFERROR(__xludf.DUMMYFUNCTION("""COMPUTED_VALUE"""),99830000)</f>
        <v>99830000</v>
      </c>
      <c r="AA628" s="1" t="str">
        <f>IFERROR(__xludf.DUMMYFUNCTION("""COMPUTED_VALUE"""),"RUA JOSE SPONCHIADO")</f>
        <v>RUA JOSE SPONCHIADO</v>
      </c>
      <c r="AB628" s="1" t="str">
        <f>IFERROR(__xludf.DUMMYFUNCTION("""COMPUTED_VALUE"""),"CENTRO")</f>
        <v>CENTRO</v>
      </c>
      <c r="AC628" s="1" t="str">
        <f>IFERROR(__xludf.DUMMYFUNCTION("""COMPUTED_VALUE"""),"EXG")</f>
        <v>EXG</v>
      </c>
      <c r="AD628" s="1" t="str">
        <f>IFERROR(__xludf.DUMMYFUNCTION("""COMPUTED_VALUE"""),"EXG")</f>
        <v>EXG</v>
      </c>
      <c r="AE628" s="1" t="str">
        <f>IFERROR(__xludf.DUMMYFUNCTION("""COMPUTED_VALUE"""),"EXG")</f>
        <v>EXG</v>
      </c>
      <c r="AF628" s="1" t="str">
        <f>IFERROR(__xludf.DUMMYFUNCTION("""COMPUTED_VALUE"""),"EXG")</f>
        <v>EXG</v>
      </c>
      <c r="AG628" s="1" t="str">
        <f>IFERROR(__xludf.DUMMYFUNCTION("""COMPUTED_VALUE"""),"EXG")</f>
        <v>EXG</v>
      </c>
      <c r="AH628" s="1">
        <f>IFERROR(__xludf.DUMMYFUNCTION("""COMPUTED_VALUE"""),46)</f>
        <v>46</v>
      </c>
      <c r="AI628" s="1">
        <f>IFERROR(__xludf.DUMMYFUNCTION("""COMPUTED_VALUE"""),46)</f>
        <v>46</v>
      </c>
      <c r="AJ628" s="1">
        <f>IFERROR(__xludf.DUMMYFUNCTION("""COMPUTED_VALUE"""),46)</f>
        <v>46</v>
      </c>
      <c r="AK628" s="1">
        <f>IFERROR(__xludf.DUMMYFUNCTION("""COMPUTED_VALUE"""),46)</f>
        <v>46</v>
      </c>
      <c r="AL628" s="1" t="str">
        <f>IFERROR(__xludf.DUMMYFUNCTION("""COMPUTED_VALUE"""),"EXG")</f>
        <v>EXG</v>
      </c>
      <c r="AM628" s="1" t="str">
        <f>IFERROR(__xludf.DUMMYFUNCTION("""COMPUTED_VALUE"""),"EXG")</f>
        <v>EXG</v>
      </c>
      <c r="AN628" s="1" t="str">
        <f>IFERROR(__xludf.DUMMYFUNCTION("""COMPUTED_VALUE"""),"G")</f>
        <v>G</v>
      </c>
    </row>
    <row r="629" customHeight="1" spans="1:40">
      <c r="A629" s="1" t="str">
        <f>IFERROR(__xludf.DUMMYFUNCTION("""COMPUTED_VALUE"""),"07° BBM")</f>
        <v>07° BBM</v>
      </c>
      <c r="B629" s="1" t="str">
        <f>IFERROR(__xludf.DUMMYFUNCTION("""COMPUTED_VALUE"""),"Serafina Corrêa")</f>
        <v>Serafina Corrêa</v>
      </c>
      <c r="C629" s="119" t="str">
        <f>IFERROR(__xludf.DUMMYFUNCTION("""COMPUTED_VALUE"""),"CAB")</f>
        <v>CAB</v>
      </c>
      <c r="D629" s="1" t="str">
        <f>IFERROR(__xludf.DUMMYFUNCTION("""COMPUTED_VALUE"""),"FABIANO RODRIGUES")</f>
        <v>FABIANO RODRIGUES</v>
      </c>
      <c r="E629" s="119" t="str">
        <f>IFERROR(__xludf.DUMMYFUNCTION("""COMPUTED_VALUE"""),"Módulo 1 concluído")</f>
        <v>Módulo 1 concluído</v>
      </c>
      <c r="F629" s="1" t="str">
        <f>IFERROR(__xludf.DUMMYFUNCTION("""COMPUTED_VALUE"""),"836.115.410-87")</f>
        <v>836.115.410-87</v>
      </c>
      <c r="G629" s="1">
        <f>IFERROR(__xludf.DUMMYFUNCTION("""COMPUTED_VALUE"""),8089316841)</f>
        <v>8089316841</v>
      </c>
      <c r="H629" s="1" t="str">
        <f>IFERROR(__xludf.DUMMYFUNCTION("""COMPUTED_VALUE"""),"SUB COORDENADOR")</f>
        <v>SUB COORDENADOR</v>
      </c>
      <c r="I629" s="1" t="str">
        <f>IFERROR(__xludf.DUMMYFUNCTION("""COMPUTED_VALUE"""),"Bombeiro Civil Classe II - 555 HORAS CEVTE - Condutor de veiculo de emergencia - SEST/SENAT APH / BLS Resgate Veicular - CBMRS Primeira resposta em produtos perigosos - HAZMAT NR 10 NR 33 NR 35 Resgate de Passageiros Em Elevadores - Tyssen Kroup Instrutor"&amp;" Master Internacional - CTILSB Curso de Resgatista CBMRS 2º Ediçao")</f>
        <v>Bombeiro Civil Classe II - 555 HORAS CEVTE - Condutor de veiculo de emergencia - SEST/SENAT APH / BLS Resgate Veicular - CBMRS Primeira resposta em produtos perigosos - HAZMAT NR 10 NR 33 NR 35 Resgate de Passageiros Em Elevadores - Tyssen Kroup Instrutor Master Internacional - CTILSB Curso de Resgatista CBMRS 2º Ediçao</v>
      </c>
      <c r="J629" s="1" t="str">
        <f>IFERROR(__xludf.DUMMYFUNCTION("""COMPUTED_VALUE"""),"Sim")</f>
        <v>Sim</v>
      </c>
      <c r="K629" s="1" t="str">
        <f>IFERROR(__xludf.DUMMYFUNCTION("""COMPUTED_VALUE"""),"Sim")</f>
        <v>Sim</v>
      </c>
      <c r="L629" s="1" t="str">
        <f>IFERROR(__xludf.DUMMYFUNCTION("""COMPUTED_VALUE"""),"B+")</f>
        <v>B+</v>
      </c>
      <c r="M629" s="1" t="str">
        <f>IFERROR(__xludf.DUMMYFUNCTION("""COMPUTED_VALUE"""),"Rodrigues")</f>
        <v>Rodrigues</v>
      </c>
      <c r="N629" s="121">
        <f>IFERROR(__xludf.DUMMYFUNCTION("""COMPUTED_VALUE"""),32098)</f>
        <v>32098</v>
      </c>
      <c r="O629" s="1" t="str">
        <f>IFERROR(__xludf.DUMMYFUNCTION("""COMPUTED_VALUE"""),"Masculino")</f>
        <v>Masculino</v>
      </c>
      <c r="P629" s="1" t="str">
        <f>IFERROR(__xludf.DUMMYFUNCTION("""COMPUTED_VALUE"""),"Preta")</f>
        <v>Preta</v>
      </c>
      <c r="Q629" s="1" t="str">
        <f>IFERROR(__xludf.DUMMYFUNCTION("""COMPUTED_VALUE"""),"Ensino Médio")</f>
        <v>Ensino Médio</v>
      </c>
      <c r="R629" s="1" t="str">
        <f>IFERROR(__xludf.DUMMYFUNCTION("""COMPUTED_VALUE"""),"fabianocacapava2013@gmail.com")</f>
        <v>fabianocacapava2013@gmail.com</v>
      </c>
      <c r="S629" s="1">
        <f>IFERROR(__xludf.DUMMYFUNCTION("""COMPUTED_VALUE"""),109)</f>
        <v>109</v>
      </c>
      <c r="T629" s="1" t="str">
        <f>IFERROR(__xludf.DUMMYFUNCTION("""COMPUTED_VALUE"""),"Entre 1,86m e 1,90m")</f>
        <v>Entre 1,86m e 1,90m</v>
      </c>
      <c r="U629" s="1"/>
      <c r="V629" s="1" t="str">
        <f>IFERROR(__xludf.DUMMYFUNCTION("""COMPUTED_VALUE"""),"(55)99681-5714")</f>
        <v>(55)99681-5714</v>
      </c>
      <c r="W629" s="1" t="str">
        <f>IFERROR(__xludf.DUMMYFUNCTION("""COMPUTED_VALUE"""),"(54)99610-0053")</f>
        <v>(54)99610-0053</v>
      </c>
      <c r="X629" s="1" t="str">
        <f>IFERROR(__xludf.DUMMYFUNCTION("""COMPUTED_VALUE"""),"RS")</f>
        <v>RS</v>
      </c>
      <c r="Y629" s="1" t="str">
        <f>IFERROR(__xludf.DUMMYFUNCTION("""COMPUTED_VALUE"""),"Serafina Corrêa")</f>
        <v>Serafina Corrêa</v>
      </c>
      <c r="Z629" s="1" t="str">
        <f>IFERROR(__xludf.DUMMYFUNCTION("""COMPUTED_VALUE"""),"99250-000")</f>
        <v>99250-000</v>
      </c>
      <c r="AA629" s="1" t="str">
        <f>IFERROR(__xludf.DUMMYFUNCTION("""COMPUTED_VALUE"""),"Rua Dom Pedro II, 50")</f>
        <v>Rua Dom Pedro II, 50</v>
      </c>
      <c r="AB629" s="1" t="str">
        <f>IFERROR(__xludf.DUMMYFUNCTION("""COMPUTED_VALUE"""),"centro ")</f>
        <v>centro </v>
      </c>
      <c r="AC629" s="1" t="str">
        <f>IFERROR(__xludf.DUMMYFUNCTION("""COMPUTED_VALUE"""),"EXG")</f>
        <v>EXG</v>
      </c>
      <c r="AD629" s="1" t="str">
        <f>IFERROR(__xludf.DUMMYFUNCTION("""COMPUTED_VALUE"""),"EXG")</f>
        <v>EXG</v>
      </c>
      <c r="AE629" s="1" t="str">
        <f>IFERROR(__xludf.DUMMYFUNCTION("""COMPUTED_VALUE"""),"EXG")</f>
        <v>EXG</v>
      </c>
      <c r="AF629" s="1" t="str">
        <f>IFERROR(__xludf.DUMMYFUNCTION("""COMPUTED_VALUE"""),"EXG")</f>
        <v>EXG</v>
      </c>
      <c r="AG629" s="1" t="str">
        <f>IFERROR(__xludf.DUMMYFUNCTION("""COMPUTED_VALUE"""),"EXG")</f>
        <v>EXG</v>
      </c>
      <c r="AH629" s="1">
        <f>IFERROR(__xludf.DUMMYFUNCTION("""COMPUTED_VALUE"""),43)</f>
        <v>43</v>
      </c>
      <c r="AI629" s="1">
        <f>IFERROR(__xludf.DUMMYFUNCTION("""COMPUTED_VALUE"""),43)</f>
        <v>43</v>
      </c>
      <c r="AJ629" s="1">
        <f>IFERROR(__xludf.DUMMYFUNCTION("""COMPUTED_VALUE"""),43)</f>
        <v>43</v>
      </c>
      <c r="AK629" s="1">
        <f>IFERROR(__xludf.DUMMYFUNCTION("""COMPUTED_VALUE"""),43)</f>
        <v>43</v>
      </c>
      <c r="AL629" s="1" t="str">
        <f>IFERROR(__xludf.DUMMYFUNCTION("""COMPUTED_VALUE"""),"EXG")</f>
        <v>EXG</v>
      </c>
      <c r="AM629" s="1" t="str">
        <f>IFERROR(__xludf.DUMMYFUNCTION("""COMPUTED_VALUE"""),"EXG")</f>
        <v>EXG</v>
      </c>
      <c r="AN629" s="1" t="str">
        <f>IFERROR(__xludf.DUMMYFUNCTION("""COMPUTED_VALUE"""),"GG")</f>
        <v>GG</v>
      </c>
    </row>
    <row r="630" customHeight="1" spans="1:40">
      <c r="A630" s="1" t="str">
        <f>IFERROR(__xludf.DUMMYFUNCTION("""COMPUTED_VALUE"""),"07° BBM")</f>
        <v>07° BBM</v>
      </c>
      <c r="B630" s="1" t="str">
        <f>IFERROR(__xludf.DUMMYFUNCTION("""COMPUTED_VALUE"""),"Faxinalzinho")</f>
        <v>Faxinalzinho</v>
      </c>
      <c r="C630" s="119" t="str">
        <f>IFERROR(__xludf.DUMMYFUNCTION("""COMPUTED_VALUE"""),"CAB")</f>
        <v>CAB</v>
      </c>
      <c r="D630" s="1" t="str">
        <f>IFERROR(__xludf.DUMMYFUNCTION("""COMPUTED_VALUE"""),"FABIO KUCMANSKI")</f>
        <v>FABIO KUCMANSKI</v>
      </c>
      <c r="E630" s="119" t="str">
        <f>IFERROR(__xludf.DUMMYFUNCTION("""COMPUTED_VALUE"""),"Módulo 1 concluído")</f>
        <v>Módulo 1 concluído</v>
      </c>
      <c r="F630" s="1" t="str">
        <f>IFERROR(__xludf.DUMMYFUNCTION("""COMPUTED_VALUE"""),"006.311.330-97")</f>
        <v>006.311.330-97</v>
      </c>
      <c r="G630" s="1">
        <f>IFERROR(__xludf.DUMMYFUNCTION("""COMPUTED_VALUE"""),7081233269)</f>
        <v>7081233269</v>
      </c>
      <c r="H630" s="1" t="str">
        <f>IFERROR(__xludf.DUMMYFUNCTION("""COMPUTED_VALUE"""),"Secretário - Combatente")</f>
        <v>Secretário - Combatente</v>
      </c>
      <c r="I630" s="1" t="str">
        <f>IFERROR(__xludf.DUMMYFUNCTION("""COMPUTED_VALUE"""),"Operador e condutor de veículos de emergência, resgate veicular CBMSC basico, Bombeiro Comunitário CBMSC, APH, NR10, Combate incêndio, Suporte Básico de Vida
")</f>
        <v>Operador e condutor de veículos de emergência, resgate veicular CBMSC basico, Bombeiro Comunitário CBMSC, APH, NR10, Combate incêndio, Suporte Básico de Vida
</v>
      </c>
      <c r="J630" s="1" t="str">
        <f>IFERROR(__xludf.DUMMYFUNCTION("""COMPUTED_VALUE"""),"Sim")</f>
        <v>Sim</v>
      </c>
      <c r="K630" s="1" t="str">
        <f>IFERROR(__xludf.DUMMYFUNCTION("""COMPUTED_VALUE"""),"Não")</f>
        <v>Não</v>
      </c>
      <c r="L630" s="1" t="str">
        <f>IFERROR(__xludf.DUMMYFUNCTION("""COMPUTED_VALUE"""),"O+")</f>
        <v>O+</v>
      </c>
      <c r="M630" s="1" t="str">
        <f>IFERROR(__xludf.DUMMYFUNCTION("""COMPUTED_VALUE"""),"FABIO")</f>
        <v>FABIO</v>
      </c>
      <c r="N630" s="121">
        <f>IFERROR(__xludf.DUMMYFUNCTION("""COMPUTED_VALUE"""),31316)</f>
        <v>31316</v>
      </c>
      <c r="O630" s="1" t="str">
        <f>IFERROR(__xludf.DUMMYFUNCTION("""COMPUTED_VALUE"""),"Masculino")</f>
        <v>Masculino</v>
      </c>
      <c r="P630" s="1" t="str">
        <f>IFERROR(__xludf.DUMMYFUNCTION("""COMPUTED_VALUE"""),"Branca")</f>
        <v>Branca</v>
      </c>
      <c r="Q630" s="1" t="str">
        <f>IFERROR(__xludf.DUMMYFUNCTION("""COMPUTED_VALUE"""),"Ensino Superior Incompleto")</f>
        <v>Ensino Superior Incompleto</v>
      </c>
      <c r="R630" s="1" t="str">
        <f>IFERROR(__xludf.DUMMYFUNCTION("""COMPUTED_VALUE"""),"fabiokucmanski@gmail.com")</f>
        <v>fabiokucmanski@gmail.com</v>
      </c>
      <c r="S630" s="1">
        <f>IFERROR(__xludf.DUMMYFUNCTION("""COMPUTED_VALUE"""),61)</f>
        <v>61</v>
      </c>
      <c r="T630" s="1" t="str">
        <f>IFERROR(__xludf.DUMMYFUNCTION("""COMPUTED_VALUE"""),"Entre 1,71m e 1,75m")</f>
        <v>Entre 1,71m e 1,75m</v>
      </c>
      <c r="U630" s="1" t="str">
        <f>IFERROR(__xludf.DUMMYFUNCTION("""COMPUTED_VALUE"""),"(54) 9 9676-5455")</f>
        <v>(54) 9 9676-5455</v>
      </c>
      <c r="V630" s="1" t="str">
        <f>IFERROR(__xludf.DUMMYFUNCTION("""COMPUTED_VALUE"""),"(49)98414-4551")</f>
        <v>(49)98414-4551</v>
      </c>
      <c r="W630" s="1" t="str">
        <f>IFERROR(__xludf.DUMMYFUNCTION("""COMPUTED_VALUE"""),"(54)99676-5455")</f>
        <v>(54)99676-5455</v>
      </c>
      <c r="X630" s="1" t="str">
        <f>IFERROR(__xludf.DUMMYFUNCTION("""COMPUTED_VALUE"""),"RIO GRANDE DO SUL")</f>
        <v>RIO GRANDE DO SUL</v>
      </c>
      <c r="Y630" s="1" t="str">
        <f>IFERROR(__xludf.DUMMYFUNCTION("""COMPUTED_VALUE"""),"Faxinalzinho")</f>
        <v>Faxinalzinho</v>
      </c>
      <c r="Z630" s="1" t="str">
        <f>IFERROR(__xludf.DUMMYFUNCTION("""COMPUTED_VALUE"""),"99655-000")</f>
        <v>99655-000</v>
      </c>
      <c r="AA630" s="1" t="str">
        <f>IFERROR(__xludf.DUMMYFUNCTION("""COMPUTED_VALUE"""),"Av. Lido Armando Oltramari,577")</f>
        <v>Av. Lido Armando Oltramari,577</v>
      </c>
      <c r="AB630" s="1" t="str">
        <f>IFERROR(__xludf.DUMMYFUNCTION("""COMPUTED_VALUE"""),"Centro")</f>
        <v>Centro</v>
      </c>
      <c r="AC630" s="1" t="str">
        <f>IFERROR(__xludf.DUMMYFUNCTION("""COMPUTED_VALUE"""),"M")</f>
        <v>M</v>
      </c>
      <c r="AD630" s="1" t="str">
        <f>IFERROR(__xludf.DUMMYFUNCTION("""COMPUTED_VALUE"""),"M")</f>
        <v>M</v>
      </c>
      <c r="AE630" s="1" t="str">
        <f>IFERROR(__xludf.DUMMYFUNCTION("""COMPUTED_VALUE"""),"M")</f>
        <v>M</v>
      </c>
      <c r="AF630" s="1" t="str">
        <f>IFERROR(__xludf.DUMMYFUNCTION("""COMPUTED_VALUE"""),"M")</f>
        <v>M</v>
      </c>
      <c r="AG630" s="1" t="str">
        <f>IFERROR(__xludf.DUMMYFUNCTION("""COMPUTED_VALUE"""),"M")</f>
        <v>M</v>
      </c>
      <c r="AH630" s="1">
        <f>IFERROR(__xludf.DUMMYFUNCTION("""COMPUTED_VALUE"""),40)</f>
        <v>40</v>
      </c>
      <c r="AI630" s="1">
        <f>IFERROR(__xludf.DUMMYFUNCTION("""COMPUTED_VALUE"""),40)</f>
        <v>40</v>
      </c>
      <c r="AJ630" s="1">
        <f>IFERROR(__xludf.DUMMYFUNCTION("""COMPUTED_VALUE"""),40)</f>
        <v>40</v>
      </c>
      <c r="AK630" s="1">
        <f>IFERROR(__xludf.DUMMYFUNCTION("""COMPUTED_VALUE"""),41)</f>
        <v>41</v>
      </c>
      <c r="AL630" s="1" t="str">
        <f>IFERROR(__xludf.DUMMYFUNCTION("""COMPUTED_VALUE"""),"M")</f>
        <v>M</v>
      </c>
      <c r="AM630" s="1" t="str">
        <f>IFERROR(__xludf.DUMMYFUNCTION("""COMPUTED_VALUE"""),"M")</f>
        <v>M</v>
      </c>
      <c r="AN630" s="1" t="str">
        <f>IFERROR(__xludf.DUMMYFUNCTION("""COMPUTED_VALUE"""),"M")</f>
        <v>M</v>
      </c>
    </row>
    <row r="631" customHeight="1" spans="1:40">
      <c r="A631" s="1" t="str">
        <f>IFERROR(__xludf.DUMMYFUNCTION("""COMPUTED_VALUE"""),"07° BBM")</f>
        <v>07° BBM</v>
      </c>
      <c r="B631" s="1" t="str">
        <f>IFERROR(__xludf.DUMMYFUNCTION("""COMPUTED_VALUE"""),"Serafina Corrêa")</f>
        <v>Serafina Corrêa</v>
      </c>
      <c r="C631" s="119" t="str">
        <f>IFERROR(__xludf.DUMMYFUNCTION("""COMPUTED_VALUE"""),"CAB")</f>
        <v>CAB</v>
      </c>
      <c r="D631" s="1" t="str">
        <f>IFERROR(__xludf.DUMMYFUNCTION("""COMPUTED_VALUE"""),"FELIPE CHIARELLO BASTIANI")</f>
        <v>FELIPE CHIARELLO BASTIANI</v>
      </c>
      <c r="E631" s="119" t="str">
        <f>IFERROR(__xludf.DUMMYFUNCTION("""COMPUTED_VALUE"""),"")</f>
        <v/>
      </c>
      <c r="F631" s="1" t="str">
        <f>IFERROR(__xludf.DUMMYFUNCTION("""COMPUTED_VALUE"""),"033.816.050-70")</f>
        <v>033.816.050-70</v>
      </c>
      <c r="G631" s="1">
        <f>IFERROR(__xludf.DUMMYFUNCTION("""COMPUTED_VALUE"""),4120715621)</f>
        <v>4120715621</v>
      </c>
      <c r="H631" s="1" t="str">
        <f>IFERROR(__xludf.DUMMYFUNCTION("""COMPUTED_VALUE"""),"CAB - ALUNO")</f>
        <v>CAB - ALUNO</v>
      </c>
      <c r="I631" s="1" t="str">
        <f>IFERROR(__xludf.DUMMYFUNCTION("""COMPUTED_VALUE"""),"APH / BLS - NR 10 NR 33 NR 35 ")</f>
        <v>APH / BLS - NR 10 NR 33 NR 35 </v>
      </c>
      <c r="J631" s="1" t="str">
        <f>IFERROR(__xludf.DUMMYFUNCTION("""COMPUTED_VALUE"""),"Não")</f>
        <v>Não</v>
      </c>
      <c r="K631" s="1" t="str">
        <f>IFERROR(__xludf.DUMMYFUNCTION("""COMPUTED_VALUE"""),"Não")</f>
        <v>Não</v>
      </c>
      <c r="L631" s="1" t="str">
        <f>IFERROR(__xludf.DUMMYFUNCTION("""COMPUTED_VALUE"""),"B+")</f>
        <v>B+</v>
      </c>
      <c r="M631" s="1" t="str">
        <f>IFERROR(__xludf.DUMMYFUNCTION("""COMPUTED_VALUE"""),"Chiarello")</f>
        <v>Chiarello</v>
      </c>
      <c r="N631" s="120">
        <f>IFERROR(__xludf.DUMMYFUNCTION("""COMPUTED_VALUE"""),38362)</f>
        <v>38362</v>
      </c>
      <c r="O631" s="1" t="str">
        <f>IFERROR(__xludf.DUMMYFUNCTION("""COMPUTED_VALUE"""),"Masculino")</f>
        <v>Masculino</v>
      </c>
      <c r="P631" s="1" t="str">
        <f>IFERROR(__xludf.DUMMYFUNCTION("""COMPUTED_VALUE"""),"Branca")</f>
        <v>Branca</v>
      </c>
      <c r="Q631" s="1" t="str">
        <f>IFERROR(__xludf.DUMMYFUNCTION("""COMPUTED_VALUE"""),"Ensino Médio")</f>
        <v>Ensino Médio</v>
      </c>
      <c r="R631" s="1" t="str">
        <f>IFERROR(__xludf.DUMMYFUNCTION("""COMPUTED_VALUE"""),"felipe.chiarello10@icloud.com")</f>
        <v>felipe.chiarello10@icloud.com</v>
      </c>
      <c r="S631" s="1">
        <f>IFERROR(__xludf.DUMMYFUNCTION("""COMPUTED_VALUE"""),63)</f>
        <v>63</v>
      </c>
      <c r="T631" s="1" t="str">
        <f>IFERROR(__xludf.DUMMYFUNCTION("""COMPUTED_VALUE"""),"Entre 1,76m e 1,80m")</f>
        <v>Entre 1,76m e 1,80m</v>
      </c>
      <c r="U631" s="1"/>
      <c r="V631" s="1" t="str">
        <f>IFERROR(__xludf.DUMMYFUNCTION("""COMPUTED_VALUE"""),"(54)98164 - 7152")</f>
        <v>(54)98164 - 7152</v>
      </c>
      <c r="W631" s="1" t="str">
        <f>IFERROR(__xludf.DUMMYFUNCTION("""COMPUTED_VALUE"""),"(54)99913 - 3582")</f>
        <v>(54)99913 - 3582</v>
      </c>
      <c r="X631" s="1" t="str">
        <f>IFERROR(__xludf.DUMMYFUNCTION("""COMPUTED_VALUE"""),"RS")</f>
        <v>RS</v>
      </c>
      <c r="Y631" s="1" t="str">
        <f>IFERROR(__xludf.DUMMYFUNCTION("""COMPUTED_VALUE"""),"Serafina Corrêa")</f>
        <v>Serafina Corrêa</v>
      </c>
      <c r="Z631" s="1" t="str">
        <f>IFERROR(__xludf.DUMMYFUNCTION("""COMPUTED_VALUE"""),"99250-000")</f>
        <v>99250-000</v>
      </c>
      <c r="AA631" s="1" t="str">
        <f>IFERROR(__xludf.DUMMYFUNCTION("""COMPUTED_VALUE"""),"Rua do Imigrante, 670 ")</f>
        <v>Rua do Imigrante, 670 </v>
      </c>
      <c r="AB631" s="1" t="str">
        <f>IFERROR(__xludf.DUMMYFUNCTION("""COMPUTED_VALUE"""),"Centro")</f>
        <v>Centro</v>
      </c>
      <c r="AC631" s="1" t="str">
        <f>IFERROR(__xludf.DUMMYFUNCTION("""COMPUTED_VALUE"""),"M")</f>
        <v>M</v>
      </c>
      <c r="AD631" s="1" t="str">
        <f>IFERROR(__xludf.DUMMYFUNCTION("""COMPUTED_VALUE"""),"M")</f>
        <v>M</v>
      </c>
      <c r="AE631" s="1" t="str">
        <f>IFERROR(__xludf.DUMMYFUNCTION("""COMPUTED_VALUE"""),"M")</f>
        <v>M</v>
      </c>
      <c r="AF631" s="1" t="str">
        <f>IFERROR(__xludf.DUMMYFUNCTION("""COMPUTED_VALUE"""),"M")</f>
        <v>M</v>
      </c>
      <c r="AG631" s="1" t="str">
        <f>IFERROR(__xludf.DUMMYFUNCTION("""COMPUTED_VALUE"""),"M")</f>
        <v>M</v>
      </c>
      <c r="AH631" s="1">
        <f>IFERROR(__xludf.DUMMYFUNCTION("""COMPUTED_VALUE"""),40)</f>
        <v>40</v>
      </c>
      <c r="AI631" s="1">
        <f>IFERROR(__xludf.DUMMYFUNCTION("""COMPUTED_VALUE"""),40)</f>
        <v>40</v>
      </c>
      <c r="AJ631" s="1">
        <f>IFERROR(__xludf.DUMMYFUNCTION("""COMPUTED_VALUE"""),40)</f>
        <v>40</v>
      </c>
      <c r="AK631" s="1">
        <f>IFERROR(__xludf.DUMMYFUNCTION("""COMPUTED_VALUE"""),40)</f>
        <v>40</v>
      </c>
      <c r="AL631" s="1" t="str">
        <f>IFERROR(__xludf.DUMMYFUNCTION("""COMPUTED_VALUE"""),"M")</f>
        <v>M</v>
      </c>
      <c r="AM631" s="1" t="str">
        <f>IFERROR(__xludf.DUMMYFUNCTION("""COMPUTED_VALUE"""),"M")</f>
        <v>M</v>
      </c>
      <c r="AN631" s="1" t="str">
        <f>IFERROR(__xludf.DUMMYFUNCTION("""COMPUTED_VALUE"""),"M")</f>
        <v>M</v>
      </c>
    </row>
    <row r="632" customHeight="1" spans="1:40">
      <c r="A632" s="1" t="str">
        <f>IFERROR(__xludf.DUMMYFUNCTION("""COMPUTED_VALUE"""),"07° BBM")</f>
        <v>07° BBM</v>
      </c>
      <c r="B632" s="1" t="str">
        <f>IFERROR(__xludf.DUMMYFUNCTION("""COMPUTED_VALUE"""),"Áurea")</f>
        <v>Áurea</v>
      </c>
      <c r="C632" s="119" t="str">
        <f>IFERROR(__xludf.DUMMYFUNCTION("""COMPUTED_VALUE"""),"CAB")</f>
        <v>CAB</v>
      </c>
      <c r="D632" s="1" t="str">
        <f>IFERROR(__xludf.DUMMYFUNCTION("""COMPUTED_VALUE"""),"FELIPE PAGOTTO")</f>
        <v>FELIPE PAGOTTO</v>
      </c>
      <c r="E632" s="119" t="str">
        <f>IFERROR(__xludf.DUMMYFUNCTION("""COMPUTED_VALUE"""),"")</f>
        <v/>
      </c>
      <c r="F632" s="1" t="str">
        <f>IFERROR(__xludf.DUMMYFUNCTION("""COMPUTED_VALUE"""),"021.808.180-41")</f>
        <v>021.808.180-41</v>
      </c>
      <c r="G632" s="1">
        <f>IFERROR(__xludf.DUMMYFUNCTION("""COMPUTED_VALUE"""),1088779754)</f>
        <v>1088779754</v>
      </c>
      <c r="H632" s="1" t="str">
        <f>IFERROR(__xludf.DUMMYFUNCTION("""COMPUTED_VALUE"""),"voluntário")</f>
        <v>voluntário</v>
      </c>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row>
    <row r="633" customHeight="1" spans="1:40">
      <c r="A633" s="1" t="str">
        <f>IFERROR(__xludf.DUMMYFUNCTION("""COMPUTED_VALUE"""),"07° BBM")</f>
        <v>07° BBM</v>
      </c>
      <c r="B633" s="1" t="str">
        <f>IFERROR(__xludf.DUMMYFUNCTION("""COMPUTED_VALUE"""),"Faxinalzinho")</f>
        <v>Faxinalzinho</v>
      </c>
      <c r="C633" s="119" t="str">
        <f>IFERROR(__xludf.DUMMYFUNCTION("""COMPUTED_VALUE"""),"CAB")</f>
        <v>CAB</v>
      </c>
      <c r="D633" s="1" t="str">
        <f>IFERROR(__xludf.DUMMYFUNCTION("""COMPUTED_VALUE"""),"FERNANDA FERREIRA")</f>
        <v>FERNANDA FERREIRA</v>
      </c>
      <c r="E633" s="119" t="str">
        <f>IFERROR(__xludf.DUMMYFUNCTION("""COMPUTED_VALUE"""),"")</f>
        <v/>
      </c>
      <c r="F633" s="1" t="str">
        <f>IFERROR(__xludf.DUMMYFUNCTION("""COMPUTED_VALUE"""),"017.530.340-19")</f>
        <v>017.530.340-19</v>
      </c>
      <c r="G633" s="1">
        <f>IFERROR(__xludf.DUMMYFUNCTION("""COMPUTED_VALUE"""),8097605094)</f>
        <v>8097605094</v>
      </c>
      <c r="H633" s="1" t="str">
        <f>IFERROR(__xludf.DUMMYFUNCTION("""COMPUTED_VALUE"""),"Conselho fiscal")</f>
        <v>Conselho fiscal</v>
      </c>
      <c r="I633" s="1" t="str">
        <f>IFERROR(__xludf.DUMMYFUNCTION("""COMPUTED_VALUE"""),"Combate a Incendios")</f>
        <v>Combate a Incendios</v>
      </c>
      <c r="J633" s="1"/>
      <c r="K633" s="1" t="str">
        <f>IFERROR(__xludf.DUMMYFUNCTION("""COMPUTED_VALUE"""),"Não")</f>
        <v>Não</v>
      </c>
      <c r="L633" s="1"/>
      <c r="M633" s="1"/>
      <c r="N633" s="120"/>
      <c r="O633" s="1" t="str">
        <f>IFERROR(__xludf.DUMMYFUNCTION("""COMPUTED_VALUE"""),"Feminino")</f>
        <v>Feminino</v>
      </c>
      <c r="P633" s="1"/>
      <c r="Q633" s="1"/>
      <c r="R633" s="1"/>
      <c r="S633" s="1"/>
      <c r="T633" s="1"/>
      <c r="U633" s="1"/>
      <c r="V633" s="1"/>
      <c r="W633" s="1"/>
      <c r="X633" s="1"/>
      <c r="Y633" s="1" t="str">
        <f>IFERROR(__xludf.DUMMYFUNCTION("""COMPUTED_VALUE"""),"Faxinalzinho")</f>
        <v>Faxinalzinho</v>
      </c>
      <c r="Z633" s="1"/>
      <c r="AA633" s="1"/>
      <c r="AB633" s="1"/>
      <c r="AC633" s="1"/>
      <c r="AD633" s="1"/>
      <c r="AE633" s="1"/>
      <c r="AF633" s="1"/>
      <c r="AG633" s="1"/>
      <c r="AH633" s="1"/>
      <c r="AI633" s="1"/>
      <c r="AJ633" s="1"/>
      <c r="AK633" s="1"/>
      <c r="AL633" s="1"/>
      <c r="AM633" s="1"/>
      <c r="AN633" s="1"/>
    </row>
    <row r="634" customHeight="1" spans="1:40">
      <c r="A634" s="1" t="str">
        <f>IFERROR(__xludf.DUMMYFUNCTION("""COMPUTED_VALUE"""),"07° BBM")</f>
        <v>07° BBM</v>
      </c>
      <c r="B634" s="1" t="str">
        <f>IFERROR(__xludf.DUMMYFUNCTION("""COMPUTED_VALUE"""),"Não-Me-Toque")</f>
        <v>Não-Me-Toque</v>
      </c>
      <c r="C634" s="119" t="str">
        <f>IFERROR(__xludf.DUMMYFUNCTION("""COMPUTED_VALUE"""),"CAB")</f>
        <v>CAB</v>
      </c>
      <c r="D634" s="1" t="str">
        <f>IFERROR(__xludf.DUMMYFUNCTION("""COMPUTED_VALUE"""),"FERNANDO DOMINIQUE FRANK")</f>
        <v>FERNANDO DOMINIQUE FRANK</v>
      </c>
      <c r="E634" s="119" t="str">
        <f>IFERROR(__xludf.DUMMYFUNCTION("""COMPUTED_VALUE"""),"")</f>
        <v/>
      </c>
      <c r="F634" s="1"/>
      <c r="G634" s="1"/>
      <c r="H634" s="1"/>
      <c r="I634" s="1"/>
      <c r="J634" s="1"/>
      <c r="K634" s="1"/>
      <c r="L634" s="1"/>
      <c r="M634" s="1"/>
      <c r="N634" s="120"/>
      <c r="O634" s="1"/>
      <c r="P634" s="1"/>
      <c r="Q634" s="1"/>
      <c r="R634" s="1"/>
      <c r="S634" s="1"/>
      <c r="T634" s="1"/>
      <c r="U634" s="1"/>
      <c r="V634" s="1"/>
      <c r="W634" s="1"/>
      <c r="X634" s="1"/>
      <c r="Y634" s="1"/>
      <c r="Z634" s="1"/>
      <c r="AA634" s="1"/>
      <c r="AB634" s="1"/>
      <c r="AC634" s="1"/>
      <c r="AD634" s="1"/>
      <c r="AE634" s="1"/>
      <c r="AF634" s="1"/>
      <c r="AG634" s="1" t="str">
        <f>IFERROR(__xludf.DUMMYFUNCTION("""COMPUTED_VALUE"""),"GG")</f>
        <v>GG</v>
      </c>
      <c r="AH634" s="1">
        <f>IFERROR(__xludf.DUMMYFUNCTION("""COMPUTED_VALUE"""),40)</f>
        <v>40</v>
      </c>
      <c r="AI634" s="1"/>
      <c r="AJ634" s="1"/>
      <c r="AK634" s="1"/>
      <c r="AL634" s="1" t="str">
        <f>IFERROR(__xludf.DUMMYFUNCTION("""COMPUTED_VALUE"""),"GG")</f>
        <v>GG</v>
      </c>
      <c r="AM634" s="1" t="str">
        <f>IFERROR(__xludf.DUMMYFUNCTION("""COMPUTED_VALUE"""),"GG")</f>
        <v>GG</v>
      </c>
      <c r="AN634" s="1" t="str">
        <f>IFERROR(__xludf.DUMMYFUNCTION("""COMPUTED_VALUE"""),"GG")</f>
        <v>GG</v>
      </c>
    </row>
    <row r="635" customHeight="1" spans="1:40">
      <c r="A635" s="1"/>
      <c r="B635" s="1"/>
      <c r="C635" s="119"/>
      <c r="D635" s="1" t="str">
        <f>IFERROR(__xludf.DUMMYFUNCTION("""COMPUTED_VALUE"""),"FERNANDO INOCÊNCIO DE MOURA")</f>
        <v>FERNANDO INOCÊNCIO DE MOURA</v>
      </c>
      <c r="E635" s="1" t="str">
        <f>IFERROR(__xludf.DUMMYFUNCTION("""COMPUTED_VALUE"""),"Módulo 1 concluído")</f>
        <v>Módulo 1 concluído</v>
      </c>
      <c r="F635" s="1" t="str">
        <f>IFERROR(__xludf.DUMMYFUNCTION("""COMPUTED_VALUE"""),"027.045.300-84")</f>
        <v>027.045.300-84</v>
      </c>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row>
    <row r="636" customHeight="1" spans="1:40">
      <c r="A636" s="1" t="str">
        <f>IFERROR(__xludf.DUMMYFUNCTION("""COMPUTED_VALUE"""),"07° BBM")</f>
        <v>07° BBM</v>
      </c>
      <c r="B636" s="1" t="str">
        <f>IFERROR(__xludf.DUMMYFUNCTION("""COMPUTED_VALUE"""),"Gaurama")</f>
        <v>Gaurama</v>
      </c>
      <c r="C636" s="119" t="str">
        <f>IFERROR(__xludf.DUMMYFUNCTION("""COMPUTED_VALUE"""),"CAB")</f>
        <v>CAB</v>
      </c>
      <c r="D636" s="1" t="str">
        <f>IFERROR(__xludf.DUMMYFUNCTION("""COMPUTED_VALUE"""),"FERNANDO LUIZ MAZZUTI")</f>
        <v>FERNANDO LUIZ MAZZUTI</v>
      </c>
      <c r="E636" s="119" t="str">
        <f>IFERROR(__xludf.DUMMYFUNCTION("""COMPUTED_VALUE"""),"")</f>
        <v/>
      </c>
      <c r="F636" s="1" t="str">
        <f>IFERROR(__xludf.DUMMYFUNCTION("""COMPUTED_VALUE"""),"929.360.670-49")</f>
        <v>929.360.670-49</v>
      </c>
      <c r="G636" s="1">
        <f>IFERROR(__xludf.DUMMYFUNCTION("""COMPUTED_VALUE"""),3059432124)</f>
        <v>3059432124</v>
      </c>
      <c r="H636" s="1" t="str">
        <f>IFERROR(__xludf.DUMMYFUNCTION("""COMPUTED_VALUE"""),"Combatente")</f>
        <v>Combatente</v>
      </c>
      <c r="I636" s="1" t="str">
        <f>IFERROR(__xludf.DUMMYFUNCTION("""COMPUTED_VALUE"""),"Atendimento Suporte Básico de Vida")</f>
        <v>Atendimento Suporte Básico de Vida</v>
      </c>
      <c r="J636" s="1" t="str">
        <f>IFERROR(__xludf.DUMMYFUNCTION("""COMPUTED_VALUE"""),"Não")</f>
        <v>Não</v>
      </c>
      <c r="K636" s="1" t="str">
        <f>IFERROR(__xludf.DUMMYFUNCTION("""COMPUTED_VALUE"""),"Não")</f>
        <v>Não</v>
      </c>
      <c r="L636" s="1" t="str">
        <f>IFERROR(__xludf.DUMMYFUNCTION("""COMPUTED_VALUE"""),"O+")</f>
        <v>O+</v>
      </c>
      <c r="M636" s="1" t="str">
        <f>IFERROR(__xludf.DUMMYFUNCTION("""COMPUTED_VALUE"""),"FERNANDO")</f>
        <v>FERNANDO</v>
      </c>
      <c r="N636" s="120">
        <f>IFERROR(__xludf.DUMMYFUNCTION("""COMPUTED_VALUE"""),28255)</f>
        <v>28255</v>
      </c>
      <c r="O636" s="1" t="str">
        <f>IFERROR(__xludf.DUMMYFUNCTION("""COMPUTED_VALUE"""),"Masculino")</f>
        <v>Masculino</v>
      </c>
      <c r="P636" s="1" t="str">
        <f>IFERROR(__xludf.DUMMYFUNCTION("""COMPUTED_VALUE"""),"Branca")</f>
        <v>Branca</v>
      </c>
      <c r="Q636" s="1" t="str">
        <f>IFERROR(__xludf.DUMMYFUNCTION("""COMPUTED_VALUE"""),"Ensino Médio")</f>
        <v>Ensino Médio</v>
      </c>
      <c r="R636" s="1" t="str">
        <f>IFERROR(__xludf.DUMMYFUNCTION("""COMPUTED_VALUE"""),"fernandomazutti44@gmail.com")</f>
        <v>fernandomazutti44@gmail.com</v>
      </c>
      <c r="S636" s="1">
        <f>IFERROR(__xludf.DUMMYFUNCTION("""COMPUTED_VALUE"""),68)</f>
        <v>68</v>
      </c>
      <c r="T636" s="1" t="str">
        <f>IFERROR(__xludf.DUMMYFUNCTION("""COMPUTED_VALUE"""),"Entre 1,61m e 1,65m")</f>
        <v>Entre 1,61m e 1,65m</v>
      </c>
      <c r="U636" s="1"/>
      <c r="V636" s="1" t="str">
        <f>IFERROR(__xludf.DUMMYFUNCTION("""COMPUTED_VALUE"""),"(54)999993752")</f>
        <v>(54)999993752</v>
      </c>
      <c r="W636" s="1"/>
      <c r="X636" s="1" t="str">
        <f>IFERROR(__xludf.DUMMYFUNCTION("""COMPUTED_VALUE"""),"RS")</f>
        <v>RS</v>
      </c>
      <c r="Y636" s="1" t="str">
        <f>IFERROR(__xludf.DUMMYFUNCTION("""COMPUTED_VALUE"""),"Gaurama")</f>
        <v>Gaurama</v>
      </c>
      <c r="Z636" s="1">
        <f>IFERROR(__xludf.DUMMYFUNCTION("""COMPUTED_VALUE"""),99830000)</f>
        <v>99830000</v>
      </c>
      <c r="AA636" s="1" t="str">
        <f>IFERROR(__xludf.DUMMYFUNCTION("""COMPUTED_VALUE"""),"RUA MAXIMILIANO MAZUTTI")</f>
        <v>RUA MAXIMILIANO MAZUTTI</v>
      </c>
      <c r="AB636" s="1" t="str">
        <f>IFERROR(__xludf.DUMMYFUNCTION("""COMPUTED_VALUE"""),"CENTRO")</f>
        <v>CENTRO</v>
      </c>
      <c r="AC636" s="1" t="str">
        <f>IFERROR(__xludf.DUMMYFUNCTION("""COMPUTED_VALUE"""),"M")</f>
        <v>M</v>
      </c>
      <c r="AD636" s="1" t="str">
        <f>IFERROR(__xludf.DUMMYFUNCTION("""COMPUTED_VALUE"""),"M")</f>
        <v>M</v>
      </c>
      <c r="AE636" s="1" t="str">
        <f>IFERROR(__xludf.DUMMYFUNCTION("""COMPUTED_VALUE"""),"G")</f>
        <v>G</v>
      </c>
      <c r="AF636" s="1" t="str">
        <f>IFERROR(__xludf.DUMMYFUNCTION("""COMPUTED_VALUE"""),"G")</f>
        <v>G</v>
      </c>
      <c r="AG636" s="1" t="str">
        <f>IFERROR(__xludf.DUMMYFUNCTION("""COMPUTED_VALUE"""),"G")</f>
        <v>G</v>
      </c>
      <c r="AH636" s="1">
        <f>IFERROR(__xludf.DUMMYFUNCTION("""COMPUTED_VALUE"""),41)</f>
        <v>41</v>
      </c>
      <c r="AI636" s="1">
        <f>IFERROR(__xludf.DUMMYFUNCTION("""COMPUTED_VALUE"""),41)</f>
        <v>41</v>
      </c>
      <c r="AJ636" s="1">
        <f>IFERROR(__xludf.DUMMYFUNCTION("""COMPUTED_VALUE"""),41)</f>
        <v>41</v>
      </c>
      <c r="AK636" s="1">
        <f>IFERROR(__xludf.DUMMYFUNCTION("""COMPUTED_VALUE"""),41)</f>
        <v>41</v>
      </c>
      <c r="AL636" s="1" t="str">
        <f>IFERROR(__xludf.DUMMYFUNCTION("""COMPUTED_VALUE"""),"M")</f>
        <v>M</v>
      </c>
      <c r="AM636" s="1" t="str">
        <f>IFERROR(__xludf.DUMMYFUNCTION("""COMPUTED_VALUE"""),"M")</f>
        <v>M</v>
      </c>
      <c r="AN636" s="1" t="str">
        <f>IFERROR(__xludf.DUMMYFUNCTION("""COMPUTED_VALUE"""),"M")</f>
        <v>M</v>
      </c>
    </row>
    <row r="637" customHeight="1" spans="1:40">
      <c r="A637" s="1" t="str">
        <f>IFERROR(__xludf.DUMMYFUNCTION("""COMPUTED_VALUE"""),"07° BBM")</f>
        <v>07° BBM</v>
      </c>
      <c r="B637" s="1" t="str">
        <f>IFERROR(__xludf.DUMMYFUNCTION("""COMPUTED_VALUE"""),"Jacutinga")</f>
        <v>Jacutinga</v>
      </c>
      <c r="C637" s="119" t="str">
        <f>IFERROR(__xludf.DUMMYFUNCTION("""COMPUTED_VALUE"""),"CAB")</f>
        <v>CAB</v>
      </c>
      <c r="D637" s="1" t="str">
        <f>IFERROR(__xludf.DUMMYFUNCTION("""COMPUTED_VALUE"""),"FERNANDO PIEROZAN")</f>
        <v>FERNANDO PIEROZAN</v>
      </c>
      <c r="E637" s="119" t="str">
        <f>IFERROR(__xludf.DUMMYFUNCTION("""COMPUTED_VALUE"""),"")</f>
        <v/>
      </c>
      <c r="F637" s="1" t="str">
        <f>IFERROR(__xludf.DUMMYFUNCTION("""COMPUTED_VALUE"""),"778.548.450-34")</f>
        <v>778.548.450-34</v>
      </c>
      <c r="G637" s="1">
        <f>IFERROR(__xludf.DUMMYFUNCTION("""COMPUTED_VALUE"""),1068372596)</f>
        <v>1068372596</v>
      </c>
      <c r="H637" s="1" t="str">
        <f>IFERROR(__xludf.DUMMYFUNCTION("""COMPUTED_VALUE"""),"Somente ações cívicas e apoio administrativo")</f>
        <v>Somente ações cívicas e apoio administrativo</v>
      </c>
      <c r="I637" s="1"/>
      <c r="J637" s="1" t="str">
        <f>IFERROR(__xludf.DUMMYFUNCTION("""COMPUTED_VALUE"""),"Sim")</f>
        <v>Sim</v>
      </c>
      <c r="K637" s="1" t="str">
        <f>IFERROR(__xludf.DUMMYFUNCTION("""COMPUTED_VALUE"""),"Não")</f>
        <v>Não</v>
      </c>
      <c r="L637" s="1" t="str">
        <f>IFERROR(__xludf.DUMMYFUNCTION("""COMPUTED_VALUE"""),"O+")</f>
        <v>O+</v>
      </c>
      <c r="M637" s="1" t="str">
        <f>IFERROR(__xludf.DUMMYFUNCTION("""COMPUTED_VALUE"""),"Piero")</f>
        <v>Piero</v>
      </c>
      <c r="N637" s="120">
        <f>IFERROR(__xludf.DUMMYFUNCTION("""COMPUTED_VALUE"""),28697)</f>
        <v>28697</v>
      </c>
      <c r="O637" s="1" t="str">
        <f>IFERROR(__xludf.DUMMYFUNCTION("""COMPUTED_VALUE"""),"Masculino")</f>
        <v>Masculino</v>
      </c>
      <c r="P637" s="1" t="str">
        <f>IFERROR(__xludf.DUMMYFUNCTION("""COMPUTED_VALUE"""),"Branca")</f>
        <v>Branca</v>
      </c>
      <c r="Q637" s="1" t="str">
        <f>IFERROR(__xludf.DUMMYFUNCTION("""COMPUTED_VALUE"""),"Ensino Superior Completo")</f>
        <v>Ensino Superior Completo</v>
      </c>
      <c r="R637" s="1" t="str">
        <f>IFERROR(__xludf.DUMMYFUNCTION("""COMPUTED_VALUE"""),"pierozan@pierozancontabilidade.com.br")</f>
        <v>pierozan@pierozancontabilidade.com.br</v>
      </c>
      <c r="S637" s="1">
        <f>IFERROR(__xludf.DUMMYFUNCTION("""COMPUTED_VALUE"""),93)</f>
        <v>93</v>
      </c>
      <c r="T637" s="1" t="str">
        <f>IFERROR(__xludf.DUMMYFUNCTION("""COMPUTED_VALUE"""),"Entre 1,71m e 1,75m")</f>
        <v>Entre 1,71m e 1,75m</v>
      </c>
      <c r="U637" s="1"/>
      <c r="V637" s="1" t="str">
        <f>IFERROR(__xludf.DUMMYFUNCTION("""COMPUTED_VALUE"""),"(54) 991097168")</f>
        <v>(54) 991097168</v>
      </c>
      <c r="W637" s="1" t="str">
        <f>IFERROR(__xludf.DUMMYFUNCTION("""COMPUTED_VALUE"""),"(54) 991814068")</f>
        <v>(54) 991814068</v>
      </c>
      <c r="X637" s="1" t="str">
        <f>IFERROR(__xludf.DUMMYFUNCTION("""COMPUTED_VALUE"""),"RS")</f>
        <v>RS</v>
      </c>
      <c r="Y637" s="1" t="str">
        <f>IFERROR(__xludf.DUMMYFUNCTION("""COMPUTED_VALUE"""),"Jacutinga")</f>
        <v>Jacutinga</v>
      </c>
      <c r="Z637" s="1" t="str">
        <f>IFERROR(__xludf.DUMMYFUNCTION("""COMPUTED_VALUE"""),"99730-000")</f>
        <v>99730-000</v>
      </c>
      <c r="AA637" s="1" t="str">
        <f>IFERROR(__xludf.DUMMYFUNCTION("""COMPUTED_VALUE"""),"Rua Reinaldo Valente, ")</f>
        <v>Rua Reinaldo Valente, </v>
      </c>
      <c r="AB637" s="1" t="str">
        <f>IFERROR(__xludf.DUMMYFUNCTION("""COMPUTED_VALUE"""),"Centro")</f>
        <v>Centro</v>
      </c>
      <c r="AC637" s="1" t="str">
        <f>IFERROR(__xludf.DUMMYFUNCTION("""COMPUTED_VALUE"""),"G")</f>
        <v>G</v>
      </c>
      <c r="AD637" s="1" t="str">
        <f>IFERROR(__xludf.DUMMYFUNCTION("""COMPUTED_VALUE"""),"G")</f>
        <v>G</v>
      </c>
      <c r="AE637" s="1" t="str">
        <f>IFERROR(__xludf.DUMMYFUNCTION("""COMPUTED_VALUE"""),"G")</f>
        <v>G</v>
      </c>
      <c r="AF637" s="1" t="str">
        <f>IFERROR(__xludf.DUMMYFUNCTION("""COMPUTED_VALUE"""),"G")</f>
        <v>G</v>
      </c>
      <c r="AG637" s="1" t="str">
        <f>IFERROR(__xludf.DUMMYFUNCTION("""COMPUTED_VALUE"""),"G")</f>
        <v>G</v>
      </c>
      <c r="AH637" s="1">
        <f>IFERROR(__xludf.DUMMYFUNCTION("""COMPUTED_VALUE"""),42)</f>
        <v>42</v>
      </c>
      <c r="AI637" s="1">
        <f>IFERROR(__xludf.DUMMYFUNCTION("""COMPUTED_VALUE"""),42)</f>
        <v>42</v>
      </c>
      <c r="AJ637" s="1">
        <f>IFERROR(__xludf.DUMMYFUNCTION("""COMPUTED_VALUE"""),42)</f>
        <v>42</v>
      </c>
      <c r="AK637" s="1">
        <f>IFERROR(__xludf.DUMMYFUNCTION("""COMPUTED_VALUE"""),42)</f>
        <v>42</v>
      </c>
      <c r="AL637" s="1" t="str">
        <f>IFERROR(__xludf.DUMMYFUNCTION("""COMPUTED_VALUE"""),"G")</f>
        <v>G</v>
      </c>
      <c r="AM637" s="1" t="str">
        <f>IFERROR(__xludf.DUMMYFUNCTION("""COMPUTED_VALUE"""),"G")</f>
        <v>G</v>
      </c>
      <c r="AN637" s="1" t="str">
        <f>IFERROR(__xludf.DUMMYFUNCTION("""COMPUTED_VALUE"""),"G")</f>
        <v>G</v>
      </c>
    </row>
    <row r="638" customHeight="1" spans="1:40">
      <c r="A638" s="1" t="str">
        <f>IFERROR(__xludf.DUMMYFUNCTION("""COMPUTED_VALUE"""),"07° BBM")</f>
        <v>07° BBM</v>
      </c>
      <c r="B638" s="1" t="str">
        <f>IFERROR(__xludf.DUMMYFUNCTION("""COMPUTED_VALUE"""),"Mormaço")</f>
        <v>Mormaço</v>
      </c>
      <c r="C638" s="119" t="str">
        <f>IFERROR(__xludf.DUMMYFUNCTION("""COMPUTED_VALUE"""),"CAB")</f>
        <v>CAB</v>
      </c>
      <c r="D638" s="1" t="str">
        <f>IFERROR(__xludf.DUMMYFUNCTION("""COMPUTED_VALUE"""),"FLÁVIO EGLON GUARDA")</f>
        <v>FLÁVIO EGLON GUARDA</v>
      </c>
      <c r="E638" s="119" t="str">
        <f>IFERROR(__xludf.DUMMYFUNCTION("""COMPUTED_VALUE"""),"")</f>
        <v/>
      </c>
      <c r="F638" s="1" t="str">
        <f>IFERROR(__xludf.DUMMYFUNCTION("""COMPUTED_VALUE"""),"399.338.650-72")</f>
        <v>399.338.650-72</v>
      </c>
      <c r="G638" s="1"/>
      <c r="H638" s="1"/>
      <c r="I638" s="1"/>
      <c r="J638" s="1"/>
      <c r="K638" s="1"/>
      <c r="L638" s="1"/>
      <c r="M638" s="1"/>
      <c r="N638" s="120"/>
      <c r="O638" s="1"/>
      <c r="P638" s="1"/>
      <c r="Q638" s="1"/>
      <c r="R638" s="1" t="str">
        <f>IFERROR(__xludf.DUMMYFUNCTION("""COMPUTED_VALUE"""),"flavioguarda63@gmail.com")</f>
        <v>flavioguarda63@gmail.com</v>
      </c>
      <c r="S638" s="1"/>
      <c r="T638" s="1"/>
      <c r="U638" s="1"/>
      <c r="V638" s="1"/>
      <c r="W638" s="1"/>
      <c r="X638" s="1"/>
      <c r="Y638" s="1"/>
      <c r="Z638" s="1"/>
      <c r="AA638" s="1"/>
      <c r="AB638" s="1"/>
      <c r="AC638" s="1"/>
      <c r="AD638" s="1"/>
      <c r="AE638" s="1"/>
      <c r="AF638" s="1"/>
      <c r="AG638" s="1" t="str">
        <f>IFERROR(__xludf.DUMMYFUNCTION("""COMPUTED_VALUE"""),"EXG")</f>
        <v>EXG</v>
      </c>
      <c r="AH638" s="1">
        <f>IFERROR(__xludf.DUMMYFUNCTION("""COMPUTED_VALUE"""),43)</f>
        <v>43</v>
      </c>
      <c r="AI638" s="1"/>
      <c r="AJ638" s="1"/>
      <c r="AK638" s="1"/>
      <c r="AL638" s="1" t="str">
        <f>IFERROR(__xludf.DUMMYFUNCTION("""COMPUTED_VALUE"""),"EXG")</f>
        <v>EXG</v>
      </c>
      <c r="AM638" s="1" t="str">
        <f>IFERROR(__xludf.DUMMYFUNCTION("""COMPUTED_VALUE"""),"EXG")</f>
        <v>EXG</v>
      </c>
      <c r="AN638" s="1" t="str">
        <f>IFERROR(__xludf.DUMMYFUNCTION("""COMPUTED_VALUE"""),"EXG")</f>
        <v>EXG</v>
      </c>
    </row>
    <row r="639" customHeight="1" spans="1:40">
      <c r="A639" s="1" t="str">
        <f>IFERROR(__xludf.DUMMYFUNCTION("""COMPUTED_VALUE"""),"07° BBM")</f>
        <v>07° BBM</v>
      </c>
      <c r="B639" s="1" t="str">
        <f>IFERROR(__xludf.DUMMYFUNCTION("""COMPUTED_VALUE"""),"Aratiba")</f>
        <v>Aratiba</v>
      </c>
      <c r="C639" s="119" t="str">
        <f>IFERROR(__xludf.DUMMYFUNCTION("""COMPUTED_VALUE"""),"CAB")</f>
        <v>CAB</v>
      </c>
      <c r="D639" s="1" t="str">
        <f>IFERROR(__xludf.DUMMYFUNCTION("""COMPUTED_VALUE"""),"FRANCIANO ALBERTO DAL BOSCO")</f>
        <v>FRANCIANO ALBERTO DAL BOSCO</v>
      </c>
      <c r="E639" s="119" t="str">
        <f>IFERROR(__xludf.DUMMYFUNCTION("""COMPUTED_VALUE"""),"")</f>
        <v/>
      </c>
      <c r="F639" s="1" t="str">
        <f>IFERROR(__xludf.DUMMYFUNCTION("""COMPUTED_VALUE"""),"994.295.150-34")</f>
        <v>994.295.150-34</v>
      </c>
      <c r="G639" s="1">
        <f>IFERROR(__xludf.DUMMYFUNCTION("""COMPUTED_VALUE"""),9049718142)</f>
        <v>9049718142</v>
      </c>
      <c r="H639" s="1" t="str">
        <f>IFERROR(__xludf.DUMMYFUNCTION("""COMPUTED_VALUE"""),"Bombeiro Voluntario")</f>
        <v>Bombeiro Voluntario</v>
      </c>
      <c r="I639" s="1" t="str">
        <f>IFERROR(__xludf.DUMMYFUNCTION("""COMPUTED_VALUE"""),"Curso de APH")</f>
        <v>Curso de APH</v>
      </c>
      <c r="J639" s="1" t="str">
        <f>IFERROR(__xludf.DUMMYFUNCTION("""COMPUTED_VALUE"""),"Não")</f>
        <v>Não</v>
      </c>
      <c r="K639" s="1" t="str">
        <f>IFERROR(__xludf.DUMMYFUNCTION("""COMPUTED_VALUE"""),"Não")</f>
        <v>Não</v>
      </c>
      <c r="L639" s="1" t="str">
        <f>IFERROR(__xludf.DUMMYFUNCTION("""COMPUTED_VALUE"""),"O+")</f>
        <v>O+</v>
      </c>
      <c r="M639" s="1" t="str">
        <f>IFERROR(__xludf.DUMMYFUNCTION("""COMPUTED_VALUE"""),"FRANCIANO")</f>
        <v>FRANCIANO</v>
      </c>
      <c r="N639" s="120">
        <f>IFERROR(__xludf.DUMMYFUNCTION("""COMPUTED_VALUE"""),30359)</f>
        <v>30359</v>
      </c>
      <c r="O639" s="1" t="str">
        <f>IFERROR(__xludf.DUMMYFUNCTION("""COMPUTED_VALUE"""),"Masculino")</f>
        <v>Masculino</v>
      </c>
      <c r="P639" s="1" t="str">
        <f>IFERROR(__xludf.DUMMYFUNCTION("""COMPUTED_VALUE"""),"Branca")</f>
        <v>Branca</v>
      </c>
      <c r="Q639" s="1" t="str">
        <f>IFERROR(__xludf.DUMMYFUNCTION("""COMPUTED_VALUE"""),"Ensino Médio")</f>
        <v>Ensino Médio</v>
      </c>
      <c r="R639" s="1" t="str">
        <f>IFERROR(__xludf.DUMMYFUNCTION("""COMPUTED_VALUE"""),"fadalbosco@hotmail.com")</f>
        <v>fadalbosco@hotmail.com</v>
      </c>
      <c r="S639" s="1">
        <f>IFERROR(__xludf.DUMMYFUNCTION("""COMPUTED_VALUE"""),82)</f>
        <v>82</v>
      </c>
      <c r="T639" s="1" t="str">
        <f>IFERROR(__xludf.DUMMYFUNCTION("""COMPUTED_VALUE"""),"Entre 1,66m e 1,70m")</f>
        <v>Entre 1,66m e 1,70m</v>
      </c>
      <c r="U639" s="1"/>
      <c r="V639" s="1" t="str">
        <f>IFERROR(__xludf.DUMMYFUNCTION("""COMPUTED_VALUE"""),"(54)991724003")</f>
        <v>(54)991724003</v>
      </c>
      <c r="W639" s="1" t="str">
        <f>IFERROR(__xludf.DUMMYFUNCTION("""COMPUTED_VALUE"""),"(54)991724003")</f>
        <v>(54)991724003</v>
      </c>
      <c r="X639" s="1" t="str">
        <f>IFERROR(__xludf.DUMMYFUNCTION("""COMPUTED_VALUE"""),"RS")</f>
        <v>RS</v>
      </c>
      <c r="Y639" s="1" t="str">
        <f>IFERROR(__xludf.DUMMYFUNCTION("""COMPUTED_VALUE"""),"Aratiba")</f>
        <v>Aratiba</v>
      </c>
      <c r="Z639" s="1">
        <f>IFERROR(__xludf.DUMMYFUNCTION("""COMPUTED_VALUE"""),99770000)</f>
        <v>99770000</v>
      </c>
      <c r="AA639" s="1" t="str">
        <f>IFERROR(__xludf.DUMMYFUNCTION("""COMPUTED_VALUE"""),"Travessa Otto João Rorig, 28")</f>
        <v>Travessa Otto João Rorig, 28</v>
      </c>
      <c r="AB639" s="1" t="str">
        <f>IFERROR(__xludf.DUMMYFUNCTION("""COMPUTED_VALUE"""),"Centro")</f>
        <v>Centro</v>
      </c>
      <c r="AC639" s="1" t="str">
        <f>IFERROR(__xludf.DUMMYFUNCTION("""COMPUTED_VALUE"""),"G")</f>
        <v>G</v>
      </c>
      <c r="AD639" s="1" t="str">
        <f>IFERROR(__xludf.DUMMYFUNCTION("""COMPUTED_VALUE"""),"G")</f>
        <v>G</v>
      </c>
      <c r="AE639" s="1" t="str">
        <f>IFERROR(__xludf.DUMMYFUNCTION("""COMPUTED_VALUE"""),"G")</f>
        <v>G</v>
      </c>
      <c r="AF639" s="1" t="str">
        <f>IFERROR(__xludf.DUMMYFUNCTION("""COMPUTED_VALUE"""),"P")</f>
        <v>P</v>
      </c>
      <c r="AG639" s="1" t="str">
        <f>IFERROR(__xludf.DUMMYFUNCTION("""COMPUTED_VALUE"""),"G")</f>
        <v>G</v>
      </c>
      <c r="AH639" s="1">
        <f>IFERROR(__xludf.DUMMYFUNCTION("""COMPUTED_VALUE"""),42)</f>
        <v>42</v>
      </c>
      <c r="AI639" s="1">
        <f>IFERROR(__xludf.DUMMYFUNCTION("""COMPUTED_VALUE"""),42)</f>
        <v>42</v>
      </c>
      <c r="AJ639" s="1">
        <f>IFERROR(__xludf.DUMMYFUNCTION("""COMPUTED_VALUE"""),42)</f>
        <v>42</v>
      </c>
      <c r="AK639" s="1">
        <f>IFERROR(__xludf.DUMMYFUNCTION("""COMPUTED_VALUE"""),42)</f>
        <v>42</v>
      </c>
      <c r="AL639" s="1" t="str">
        <f>IFERROR(__xludf.DUMMYFUNCTION("""COMPUTED_VALUE"""),"G")</f>
        <v>G</v>
      </c>
      <c r="AM639" s="1" t="str">
        <f>IFERROR(__xludf.DUMMYFUNCTION("""COMPUTED_VALUE"""),"G")</f>
        <v>G</v>
      </c>
      <c r="AN639" s="1" t="str">
        <f>IFERROR(__xludf.DUMMYFUNCTION("""COMPUTED_VALUE"""),"G")</f>
        <v>G</v>
      </c>
    </row>
    <row r="640" customHeight="1" spans="1:40">
      <c r="A640" s="1"/>
      <c r="B640" s="1"/>
      <c r="C640" s="119"/>
      <c r="D640" s="1" t="str">
        <f>IFERROR(__xludf.DUMMYFUNCTION("""COMPUTED_VALUE"""),"FRANCIANO ALBERTO DAL BOSCO")</f>
        <v>FRANCIANO ALBERTO DAL BOSCO</v>
      </c>
      <c r="E640" s="1" t="str">
        <f>IFERROR(__xludf.DUMMYFUNCTION("""COMPUTED_VALUE"""),"Módulo 1 concluído")</f>
        <v>Módulo 1 concluído</v>
      </c>
      <c r="F640" s="1" t="str">
        <f>IFERROR(__xludf.DUMMYFUNCTION("""COMPUTED_VALUE"""),"994.295.190-34")</f>
        <v>994.295.190-34</v>
      </c>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row>
    <row r="641" customHeight="1" spans="1:40">
      <c r="A641" s="1" t="str">
        <f>IFERROR(__xludf.DUMMYFUNCTION("""COMPUTED_VALUE"""),"07° BBM")</f>
        <v>07° BBM</v>
      </c>
      <c r="B641" s="1" t="str">
        <f>IFERROR(__xludf.DUMMYFUNCTION("""COMPUTED_VALUE"""),"Serafina Corrêa")</f>
        <v>Serafina Corrêa</v>
      </c>
      <c r="C641" s="119" t="str">
        <f>IFERROR(__xludf.DUMMYFUNCTION("""COMPUTED_VALUE"""),"CAB")</f>
        <v>CAB</v>
      </c>
      <c r="D641" s="1" t="str">
        <f>IFERROR(__xludf.DUMMYFUNCTION("""COMPUTED_VALUE"""),"GABRIEL BENOVIT SILVA")</f>
        <v>GABRIEL BENOVIT SILVA</v>
      </c>
      <c r="E641" s="119" t="str">
        <f>IFERROR(__xludf.DUMMYFUNCTION("""COMPUTED_VALUE"""),"Módulo 1 concluído")</f>
        <v>Módulo 1 concluído</v>
      </c>
      <c r="F641" s="1" t="str">
        <f>IFERROR(__xludf.DUMMYFUNCTION("""COMPUTED_VALUE"""),"029.102.040-22")</f>
        <v>029.102.040-22</v>
      </c>
      <c r="G641" s="124" t="str">
        <f>IFERROR(__xludf.DUMMYFUNCTION("""COMPUTED_VALUE"""),"5113012891")</f>
        <v>5113012891</v>
      </c>
      <c r="H641" s="1" t="str">
        <f>IFERROR(__xludf.DUMMYFUNCTION("""COMPUTED_VALUE"""),"ADMINISTRATIVO")</f>
        <v>ADMINISTRATIVO</v>
      </c>
      <c r="I641" s="1" t="str">
        <f>IFERROR(__xludf.DUMMYFUNCTION("""COMPUTED_VALUE"""),"Curso de Resgate veicular operador 1º Edição- CBMRS, CIGOI Curso Internacional Gestão Operações de Incêndio 1º Edição,  Curso de Operaçoes em incendios florestais 1º Edição- CBMRS (cursando), Superior em Gestao Publica. Superior em Segurança Publica (curs"&amp;"ando) Bombeiro Civil Classe I - 306 HORAS CEVTE - Condutor de veiculo de emergencia - SEST/SENAT APH / BLS, Primeira resposta em produtos perigosos - HAZMAT NR 10 NR 33 NR 35 Resgate de Passageiros Em Elevadores - Tyssen Kroup,")</f>
        <v>Curso de Resgate veicular operador 1º Edição- CBMRS, CIGOI Curso Internacional Gestão Operações de Incêndio 1º Edição,  Curso de Operaçoes em incendios florestais 1º Edição- CBMRS (cursando), Superior em Gestao Publica. Superior em Segurança Publica (cursando) Bombeiro Civil Classe I - 306 HORAS CEVTE - Condutor de veiculo de emergencia - SEST/SENAT APH / BLS, Primeira resposta em produtos perigosos - HAZMAT NR 10 NR 33 NR 35 Resgate de Passageiros Em Elevadores - Tyssen Kroup,</v>
      </c>
      <c r="J641" s="1" t="str">
        <f>IFERROR(__xludf.DUMMYFUNCTION("""COMPUTED_VALUE"""),"Sim")</f>
        <v>Sim</v>
      </c>
      <c r="K641" s="1" t="str">
        <f>IFERROR(__xludf.DUMMYFUNCTION("""COMPUTED_VALUE"""),"Não")</f>
        <v>Não</v>
      </c>
      <c r="L641" s="1" t="str">
        <f>IFERROR(__xludf.DUMMYFUNCTION("""COMPUTED_VALUE"""),"O+")</f>
        <v>O+</v>
      </c>
      <c r="M641" s="1" t="str">
        <f>IFERROR(__xludf.DUMMYFUNCTION("""COMPUTED_VALUE"""),"Benovit")</f>
        <v>Benovit</v>
      </c>
      <c r="N641" s="121">
        <f>IFERROR(__xludf.DUMMYFUNCTION("""COMPUTED_VALUE"""),36460)</f>
        <v>36460</v>
      </c>
      <c r="O641" s="1" t="str">
        <f>IFERROR(__xludf.DUMMYFUNCTION("""COMPUTED_VALUE"""),"Masculino")</f>
        <v>Masculino</v>
      </c>
      <c r="P641" s="1" t="str">
        <f>IFERROR(__xludf.DUMMYFUNCTION("""COMPUTED_VALUE"""),"Branca")</f>
        <v>Branca</v>
      </c>
      <c r="Q641" s="1" t="str">
        <f>IFERROR(__xludf.DUMMYFUNCTION("""COMPUTED_VALUE"""),"Ensino Superior Completo")</f>
        <v>Ensino Superior Completo</v>
      </c>
      <c r="R641" s="1" t="str">
        <f>IFERROR(__xludf.DUMMYFUNCTION("""COMPUTED_VALUE"""),"benoxd1@gmail.com")</f>
        <v>benoxd1@gmail.com</v>
      </c>
      <c r="S641" s="1">
        <f>IFERROR(__xludf.DUMMYFUNCTION("""COMPUTED_VALUE"""),71)</f>
        <v>71</v>
      </c>
      <c r="T641" s="1" t="str">
        <f>IFERROR(__xludf.DUMMYFUNCTION("""COMPUTED_VALUE"""),"Entre 1,71m e 1,75m")</f>
        <v>Entre 1,71m e 1,75m</v>
      </c>
      <c r="U641" s="1"/>
      <c r="V641" s="1" t="str">
        <f>IFERROR(__xludf.DUMMYFUNCTION("""COMPUTED_VALUE"""),"(54)99700 - 4557")</f>
        <v>(54)99700 - 4557</v>
      </c>
      <c r="W641" s="1" t="str">
        <f>IFERROR(__xludf.DUMMYFUNCTION("""COMPUTED_VALUE"""),"(54)99647 - 3263")</f>
        <v>(54)99647 - 3263</v>
      </c>
      <c r="X641" s="1" t="str">
        <f>IFERROR(__xludf.DUMMYFUNCTION("""COMPUTED_VALUE"""),"RS")</f>
        <v>RS</v>
      </c>
      <c r="Y641" s="1" t="str">
        <f>IFERROR(__xludf.DUMMYFUNCTION("""COMPUTED_VALUE"""),"Serafina Corrêa")</f>
        <v>Serafina Corrêa</v>
      </c>
      <c r="Z641" s="1" t="str">
        <f>IFERROR(__xludf.DUMMYFUNCTION("""COMPUTED_VALUE"""),"99250-000")</f>
        <v>99250-000</v>
      </c>
      <c r="AA641" s="1" t="str">
        <f>IFERROR(__xludf.DUMMYFUNCTION("""COMPUTED_VALUE"""),"Rua Via Trento, 1052")</f>
        <v>Rua Via Trento, 1052</v>
      </c>
      <c r="AB641" s="1" t="str">
        <f>IFERROR(__xludf.DUMMYFUNCTION("""COMPUTED_VALUE"""),"Monte grappa")</f>
        <v>Monte grappa</v>
      </c>
      <c r="AC641" s="1" t="str">
        <f>IFERROR(__xludf.DUMMYFUNCTION("""COMPUTED_VALUE"""),"P")</f>
        <v>P</v>
      </c>
      <c r="AD641" s="1" t="str">
        <f>IFERROR(__xludf.DUMMYFUNCTION("""COMPUTED_VALUE"""),"P")</f>
        <v>P</v>
      </c>
      <c r="AE641" s="1" t="str">
        <f>IFERROR(__xludf.DUMMYFUNCTION("""COMPUTED_VALUE"""),"P")</f>
        <v>P</v>
      </c>
      <c r="AF641" s="1" t="str">
        <f>IFERROR(__xludf.DUMMYFUNCTION("""COMPUTED_VALUE"""),"P")</f>
        <v>P</v>
      </c>
      <c r="AG641" s="1" t="str">
        <f>IFERROR(__xludf.DUMMYFUNCTION("""COMPUTED_VALUE"""),"P")</f>
        <v>P</v>
      </c>
      <c r="AH641" s="1">
        <f>IFERROR(__xludf.DUMMYFUNCTION("""COMPUTED_VALUE"""),41)</f>
        <v>41</v>
      </c>
      <c r="AI641" s="1">
        <f>IFERROR(__xludf.DUMMYFUNCTION("""COMPUTED_VALUE"""),41)</f>
        <v>41</v>
      </c>
      <c r="AJ641" s="1">
        <f>IFERROR(__xludf.DUMMYFUNCTION("""COMPUTED_VALUE"""),41)</f>
        <v>41</v>
      </c>
      <c r="AK641" s="1">
        <f>IFERROR(__xludf.DUMMYFUNCTION("""COMPUTED_VALUE"""),41)</f>
        <v>41</v>
      </c>
      <c r="AL641" s="1" t="str">
        <f>IFERROR(__xludf.DUMMYFUNCTION("""COMPUTED_VALUE"""),"P")</f>
        <v>P</v>
      </c>
      <c r="AM641" s="1" t="str">
        <f>IFERROR(__xludf.DUMMYFUNCTION("""COMPUTED_VALUE"""),"P")</f>
        <v>P</v>
      </c>
      <c r="AN641" s="1" t="str">
        <f>IFERROR(__xludf.DUMMYFUNCTION("""COMPUTED_VALUE"""),"P")</f>
        <v>P</v>
      </c>
    </row>
    <row r="642" customHeight="1" spans="1:40">
      <c r="A642" s="1" t="str">
        <f>IFERROR(__xludf.DUMMYFUNCTION("""COMPUTED_VALUE"""),"07° BBM")</f>
        <v>07° BBM</v>
      </c>
      <c r="B642" s="1" t="str">
        <f>IFERROR(__xludf.DUMMYFUNCTION("""COMPUTED_VALUE"""),"Não-Me-Toque")</f>
        <v>Não-Me-Toque</v>
      </c>
      <c r="C642" s="119" t="str">
        <f>IFERROR(__xludf.DUMMYFUNCTION("""COMPUTED_VALUE"""),"CAB")</f>
        <v>CAB</v>
      </c>
      <c r="D642" s="1" t="str">
        <f>IFERROR(__xludf.DUMMYFUNCTION("""COMPUTED_VALUE"""),"GILMAR MEIRA")</f>
        <v>GILMAR MEIRA</v>
      </c>
      <c r="E642" s="119" t="str">
        <f>IFERROR(__xludf.DUMMYFUNCTION("""COMPUTED_VALUE"""),"")</f>
        <v/>
      </c>
      <c r="F642" s="1"/>
      <c r="G642" s="1"/>
      <c r="H642" s="1"/>
      <c r="I642" s="1"/>
      <c r="J642" s="1"/>
      <c r="K642" s="1"/>
      <c r="L642" s="1"/>
      <c r="M642" s="1"/>
      <c r="N642" s="120"/>
      <c r="O642" s="1"/>
      <c r="P642" s="1"/>
      <c r="Q642" s="1"/>
      <c r="R642" s="1"/>
      <c r="S642" s="1"/>
      <c r="T642" s="1"/>
      <c r="U642" s="1"/>
      <c r="V642" s="1"/>
      <c r="W642" s="1"/>
      <c r="X642" s="1"/>
      <c r="Y642" s="1"/>
      <c r="Z642" s="1"/>
      <c r="AA642" s="1"/>
      <c r="AB642" s="1"/>
      <c r="AC642" s="1"/>
      <c r="AD642" s="1"/>
      <c r="AE642" s="1"/>
      <c r="AF642" s="1"/>
      <c r="AG642" s="1" t="str">
        <f>IFERROR(__xludf.DUMMYFUNCTION("""COMPUTED_VALUE"""),"GG")</f>
        <v>GG</v>
      </c>
      <c r="AH642" s="1">
        <f>IFERROR(__xludf.DUMMYFUNCTION("""COMPUTED_VALUE"""),42)</f>
        <v>42</v>
      </c>
      <c r="AI642" s="1"/>
      <c r="AJ642" s="1"/>
      <c r="AK642" s="1"/>
      <c r="AL642" s="1" t="str">
        <f>IFERROR(__xludf.DUMMYFUNCTION("""COMPUTED_VALUE"""),"G")</f>
        <v>G</v>
      </c>
      <c r="AM642" s="1" t="str">
        <f>IFERROR(__xludf.DUMMYFUNCTION("""COMPUTED_VALUE"""),"G")</f>
        <v>G</v>
      </c>
      <c r="AN642" s="1" t="str">
        <f>IFERROR(__xludf.DUMMYFUNCTION("""COMPUTED_VALUE"""),"G")</f>
        <v>G</v>
      </c>
    </row>
    <row r="643" customHeight="1" spans="1:40">
      <c r="A643" s="1" t="str">
        <f>IFERROR(__xludf.DUMMYFUNCTION("""COMPUTED_VALUE"""),"07° BBM")</f>
        <v>07° BBM</v>
      </c>
      <c r="B643" s="1" t="str">
        <f>IFERROR(__xludf.DUMMYFUNCTION("""COMPUTED_VALUE"""),"Jacutinga")</f>
        <v>Jacutinga</v>
      </c>
      <c r="C643" s="119" t="str">
        <f>IFERROR(__xludf.DUMMYFUNCTION("""COMPUTED_VALUE"""),"CAB")</f>
        <v>CAB</v>
      </c>
      <c r="D643" s="1" t="str">
        <f>IFERROR(__xludf.DUMMYFUNCTION("""COMPUTED_VALUE"""),"GILNEI ANTONIO PALAVICINI")</f>
        <v>GILNEI ANTONIO PALAVICINI</v>
      </c>
      <c r="E643" s="119" t="str">
        <f>IFERROR(__xludf.DUMMYFUNCTION("""COMPUTED_VALUE"""),"")</f>
        <v/>
      </c>
      <c r="F643" s="1" t="str">
        <f>IFERROR(__xludf.DUMMYFUNCTION("""COMPUTED_VALUE"""),"452.715.000-63")</f>
        <v>452.715.000-63</v>
      </c>
      <c r="G643" s="1">
        <f>IFERROR(__xludf.DUMMYFUNCTION("""COMPUTED_VALUE"""),8035003865)</f>
        <v>8035003865</v>
      </c>
      <c r="H643" s="1" t="str">
        <f>IFERROR(__xludf.DUMMYFUNCTION("""COMPUTED_VALUE"""),"Integrante")</f>
        <v>Integrante</v>
      </c>
      <c r="I643" s="1" t="str">
        <f>IFERROR(__xludf.DUMMYFUNCTION("""COMPUTED_VALUE"""),"TREINAMENTOS EM APH E PREVENÇÃO E COMBATE A INCÊNDIOS JUNTO AO CBM/RS")</f>
        <v>TREINAMENTOS EM APH E PREVENÇÃO E COMBATE A INCÊNDIOS JUNTO AO CBM/RS</v>
      </c>
      <c r="J643" s="1" t="str">
        <f>IFERROR(__xludf.DUMMYFUNCTION("""COMPUTED_VALUE"""),"Sim")</f>
        <v>Sim</v>
      </c>
      <c r="K643" s="1" t="str">
        <f>IFERROR(__xludf.DUMMYFUNCTION("""COMPUTED_VALUE"""),"Não")</f>
        <v>Não</v>
      </c>
      <c r="L643" s="1" t="str">
        <f>IFERROR(__xludf.DUMMYFUNCTION("""COMPUTED_VALUE"""),"B+")</f>
        <v>B+</v>
      </c>
      <c r="M643" s="1" t="str">
        <f>IFERROR(__xludf.DUMMYFUNCTION("""COMPUTED_VALUE"""),"Gilnei")</f>
        <v>Gilnei</v>
      </c>
      <c r="N643" s="120">
        <f>IFERROR(__xludf.DUMMYFUNCTION("""COMPUTED_VALUE"""),24881)</f>
        <v>24881</v>
      </c>
      <c r="O643" s="1" t="str">
        <f>IFERROR(__xludf.DUMMYFUNCTION("""COMPUTED_VALUE"""),"Masculino")</f>
        <v>Masculino</v>
      </c>
      <c r="P643" s="1" t="str">
        <f>IFERROR(__xludf.DUMMYFUNCTION("""COMPUTED_VALUE"""),"Branca")</f>
        <v>Branca</v>
      </c>
      <c r="Q643" s="1" t="str">
        <f>IFERROR(__xludf.DUMMYFUNCTION("""COMPUTED_VALUE"""),"Ensino Superior Completo")</f>
        <v>Ensino Superior Completo</v>
      </c>
      <c r="R643" s="1" t="str">
        <f>IFERROR(__xludf.DUMMYFUNCTION("""COMPUTED_VALUE"""),"neipalavicini@yahoo.combr")</f>
        <v>neipalavicini@yahoo.combr</v>
      </c>
      <c r="S643" s="1">
        <f>IFERROR(__xludf.DUMMYFUNCTION("""COMPUTED_VALUE"""),70)</f>
        <v>70</v>
      </c>
      <c r="T643" s="1" t="str">
        <f>IFERROR(__xludf.DUMMYFUNCTION("""COMPUTED_VALUE"""),"Entre 1,66m e 1,70m")</f>
        <v>Entre 1,66m e 1,70m</v>
      </c>
      <c r="U643" s="1"/>
      <c r="V643" s="1" t="str">
        <f>IFERROR(__xludf.DUMMYFUNCTION("""COMPUTED_VALUE"""),"(54)999050084")</f>
        <v>(54)999050084</v>
      </c>
      <c r="W643" s="1" t="str">
        <f>IFERROR(__xludf.DUMMYFUNCTION("""COMPUTED_VALUE"""),"(54)33681247")</f>
        <v>(54)33681247</v>
      </c>
      <c r="X643" s="1" t="str">
        <f>IFERROR(__xludf.DUMMYFUNCTION("""COMPUTED_VALUE"""),"RS")</f>
        <v>RS</v>
      </c>
      <c r="Y643" s="1" t="str">
        <f>IFERROR(__xludf.DUMMYFUNCTION("""COMPUTED_VALUE"""),"Jacutinga")</f>
        <v>Jacutinga</v>
      </c>
      <c r="Z643" s="1" t="str">
        <f>IFERROR(__xludf.DUMMYFUNCTION("""COMPUTED_VALUE"""),"99730-000")</f>
        <v>99730-000</v>
      </c>
      <c r="AA643" s="1" t="str">
        <f>IFERROR(__xludf.DUMMYFUNCTION("""COMPUTED_VALUE"""),"Rua isidoro Gasparetto, 182")</f>
        <v>Rua isidoro Gasparetto, 182</v>
      </c>
      <c r="AB643" s="1" t="str">
        <f>IFERROR(__xludf.DUMMYFUNCTION("""COMPUTED_VALUE"""),"Centro")</f>
        <v>Centro</v>
      </c>
      <c r="AC643" s="1" t="str">
        <f>IFERROR(__xludf.DUMMYFUNCTION("""COMPUTED_VALUE"""),"M")</f>
        <v>M</v>
      </c>
      <c r="AD643" s="1" t="str">
        <f>IFERROR(__xludf.DUMMYFUNCTION("""COMPUTED_VALUE"""),"M")</f>
        <v>M</v>
      </c>
      <c r="AE643" s="1" t="str">
        <f>IFERROR(__xludf.DUMMYFUNCTION("""COMPUTED_VALUE"""),"M")</f>
        <v>M</v>
      </c>
      <c r="AF643" s="1" t="str">
        <f>IFERROR(__xludf.DUMMYFUNCTION("""COMPUTED_VALUE"""),"M")</f>
        <v>M</v>
      </c>
      <c r="AG643" s="1" t="str">
        <f>IFERROR(__xludf.DUMMYFUNCTION("""COMPUTED_VALUE"""),"M")</f>
        <v>M</v>
      </c>
      <c r="AH643" s="1">
        <f>IFERROR(__xludf.DUMMYFUNCTION("""COMPUTED_VALUE"""),42)</f>
        <v>42</v>
      </c>
      <c r="AI643" s="1">
        <f>IFERROR(__xludf.DUMMYFUNCTION("""COMPUTED_VALUE"""),41)</f>
        <v>41</v>
      </c>
      <c r="AJ643" s="1">
        <f>IFERROR(__xludf.DUMMYFUNCTION("""COMPUTED_VALUE"""),41)</f>
        <v>41</v>
      </c>
      <c r="AK643" s="1">
        <f>IFERROR(__xludf.DUMMYFUNCTION("""COMPUTED_VALUE"""),41)</f>
        <v>41</v>
      </c>
      <c r="AL643" s="1" t="str">
        <f>IFERROR(__xludf.DUMMYFUNCTION("""COMPUTED_VALUE"""),"M")</f>
        <v>M</v>
      </c>
      <c r="AM643" s="1" t="str">
        <f>IFERROR(__xludf.DUMMYFUNCTION("""COMPUTED_VALUE"""),"M")</f>
        <v>M</v>
      </c>
      <c r="AN643" s="1" t="str">
        <f>IFERROR(__xludf.DUMMYFUNCTION("""COMPUTED_VALUE"""),"M")</f>
        <v>M</v>
      </c>
    </row>
    <row r="644" customHeight="1" spans="1:40">
      <c r="A644" s="1" t="str">
        <f>IFERROR(__xludf.DUMMYFUNCTION("""COMPUTED_VALUE"""),"07° BBM")</f>
        <v>07° BBM</v>
      </c>
      <c r="B644" s="1" t="str">
        <f>IFERROR(__xludf.DUMMYFUNCTION("""COMPUTED_VALUE"""),"Áurea")</f>
        <v>Áurea</v>
      </c>
      <c r="C644" s="119" t="str">
        <f>IFERROR(__xludf.DUMMYFUNCTION("""COMPUTED_VALUE"""),"CAB")</f>
        <v>CAB</v>
      </c>
      <c r="D644" s="1" t="str">
        <f>IFERROR(__xludf.DUMMYFUNCTION("""COMPUTED_VALUE"""),"GIOVANE ANTONIO SCOLARI")</f>
        <v>GIOVANE ANTONIO SCOLARI</v>
      </c>
      <c r="E644" s="119" t="str">
        <f>IFERROR(__xludf.DUMMYFUNCTION("""COMPUTED_VALUE"""),"")</f>
        <v/>
      </c>
      <c r="F644" s="1" t="str">
        <f>IFERROR(__xludf.DUMMYFUNCTION("""COMPUTED_VALUE"""),"012.574.590-74")</f>
        <v>012.574.590-74</v>
      </c>
      <c r="G644" s="1">
        <f>IFERROR(__xludf.DUMMYFUNCTION("""COMPUTED_VALUE"""),7088770974)</f>
        <v>7088770974</v>
      </c>
      <c r="H644" s="1" t="str">
        <f>IFERROR(__xludf.DUMMYFUNCTION("""COMPUTED_VALUE"""),"socorrista")</f>
        <v>socorrista</v>
      </c>
      <c r="I644" s="1" t="str">
        <f>IFERROR(__xludf.DUMMYFUNCTION("""COMPUTED_VALUE"""),"primeiros socorros")</f>
        <v>primeiros socorros</v>
      </c>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row>
    <row r="645" customHeight="1" spans="1:40">
      <c r="A645" s="1" t="str">
        <f>IFERROR(__xludf.DUMMYFUNCTION("""COMPUTED_VALUE"""),"07° BBM")</f>
        <v>07° BBM</v>
      </c>
      <c r="B645" s="1" t="str">
        <f>IFERROR(__xludf.DUMMYFUNCTION("""COMPUTED_VALUE"""),"Serafina Corrêa")</f>
        <v>Serafina Corrêa</v>
      </c>
      <c r="C645" s="119" t="str">
        <f>IFERROR(__xludf.DUMMYFUNCTION("""COMPUTED_VALUE"""),"CAB")</f>
        <v>CAB</v>
      </c>
      <c r="D645" s="1" t="str">
        <f>IFERROR(__xludf.DUMMYFUNCTION("""COMPUTED_VALUE"""),"GIOVANI RODRIGUES BATISTA")</f>
        <v>GIOVANI RODRIGUES BATISTA</v>
      </c>
      <c r="E645" s="119" t="str">
        <f>IFERROR(__xludf.DUMMYFUNCTION("""COMPUTED_VALUE"""),"")</f>
        <v/>
      </c>
      <c r="F645" s="1" t="str">
        <f>IFERROR(__xludf.DUMMYFUNCTION("""COMPUTED_VALUE"""),"025.482.090-59")</f>
        <v>025.482.090-59</v>
      </c>
      <c r="G645" s="1">
        <f>IFERROR(__xludf.DUMMYFUNCTION("""COMPUTED_VALUE"""),1110701156)</f>
        <v>1110701156</v>
      </c>
      <c r="H645" s="1" t="str">
        <f>IFERROR(__xludf.DUMMYFUNCTION("""COMPUTED_VALUE"""),"CAB")</f>
        <v>CAB</v>
      </c>
      <c r="I645" s="1" t="str">
        <f>IFERROR(__xludf.DUMMYFUNCTION("""COMPUTED_VALUE"""),"Bacharel Em Educaçao Fisica Bombeiro Civil Classe I - 306 HORAS CEVTE - Condutor de veiculo de emergencia - SEST/SENAT APH / BLS Primeira resposta em produtos perigosos - HAZMAT NR 10 NR 33 NR 35 Resgate de Passageiros Em Elevadores - Tyssen Kroup")</f>
        <v>Bacharel Em Educaçao Fisica Bombeiro Civil Classe I - 306 HORAS CEVTE - Condutor de veiculo de emergencia - SEST/SENAT APH / BLS Primeira resposta em produtos perigosos - HAZMAT NR 10 NR 33 NR 35 Resgate de Passageiros Em Elevadores - Tyssen Kroup</v>
      </c>
      <c r="J645" s="1" t="str">
        <f>IFERROR(__xludf.DUMMYFUNCTION("""COMPUTED_VALUE"""),"Não")</f>
        <v>Não</v>
      </c>
      <c r="K645" s="1" t="str">
        <f>IFERROR(__xludf.DUMMYFUNCTION("""COMPUTED_VALUE"""),"Não")</f>
        <v>Não</v>
      </c>
      <c r="L645" s="1" t="str">
        <f>IFERROR(__xludf.DUMMYFUNCTION("""COMPUTED_VALUE"""),"O+")</f>
        <v>O+</v>
      </c>
      <c r="M645" s="1" t="str">
        <f>IFERROR(__xludf.DUMMYFUNCTION("""COMPUTED_VALUE"""),"Giovani")</f>
        <v>Giovani</v>
      </c>
      <c r="N645" s="121">
        <f>IFERROR(__xludf.DUMMYFUNCTION("""COMPUTED_VALUE"""),36522)</f>
        <v>36522</v>
      </c>
      <c r="O645" s="1" t="str">
        <f>IFERROR(__xludf.DUMMYFUNCTION("""COMPUTED_VALUE"""),"Masculino")</f>
        <v>Masculino</v>
      </c>
      <c r="P645" s="1" t="str">
        <f>IFERROR(__xludf.DUMMYFUNCTION("""COMPUTED_VALUE"""),"Branca")</f>
        <v>Branca</v>
      </c>
      <c r="Q645" s="1" t="str">
        <f>IFERROR(__xludf.DUMMYFUNCTION("""COMPUTED_VALUE"""),"Ensino Superior Completo")</f>
        <v>Ensino Superior Completo</v>
      </c>
      <c r="R645" s="1" t="str">
        <f>IFERROR(__xludf.DUMMYFUNCTION("""COMPUTED_VALUE"""),"giovani_batista99@hotmail.com")</f>
        <v>giovani_batista99@hotmail.com</v>
      </c>
      <c r="S645" s="1">
        <f>IFERROR(__xludf.DUMMYFUNCTION("""COMPUTED_VALUE"""),86)</f>
        <v>86</v>
      </c>
      <c r="T645" s="1" t="str">
        <f>IFERROR(__xludf.DUMMYFUNCTION("""COMPUTED_VALUE"""),"Entre 1,71m e 1,75m")</f>
        <v>Entre 1,71m e 1,75m</v>
      </c>
      <c r="U645" s="1"/>
      <c r="V645" s="1" t="str">
        <f>IFERROR(__xludf.DUMMYFUNCTION("""COMPUTED_VALUE"""),"(54)98143 - 3636")</f>
        <v>(54)98143 - 3636</v>
      </c>
      <c r="W645" s="1" t="str">
        <f>IFERROR(__xludf.DUMMYFUNCTION("""COMPUTED_VALUE"""),"(54)99607-9724")</f>
        <v>(54)99607-9724</v>
      </c>
      <c r="X645" s="1" t="str">
        <f>IFERROR(__xludf.DUMMYFUNCTION("""COMPUTED_VALUE"""),"RS")</f>
        <v>RS</v>
      </c>
      <c r="Y645" s="1" t="str">
        <f>IFERROR(__xludf.DUMMYFUNCTION("""COMPUTED_VALUE"""),"Serafina Corrêa")</f>
        <v>Serafina Corrêa</v>
      </c>
      <c r="Z645" s="1" t="str">
        <f>IFERROR(__xludf.DUMMYFUNCTION("""COMPUTED_VALUE"""),"99250-000")</f>
        <v>99250-000</v>
      </c>
      <c r="AA645" s="1" t="str">
        <f>IFERROR(__xludf.DUMMYFUNCTION("""COMPUTED_VALUE"""),"Rua Jose Caberlon, 192")</f>
        <v>Rua Jose Caberlon, 192</v>
      </c>
      <c r="AB645" s="1" t="str">
        <f>IFERROR(__xludf.DUMMYFUNCTION("""COMPUTED_VALUE"""),"Bella Vista")</f>
        <v>Bella Vista</v>
      </c>
      <c r="AC645" s="1" t="str">
        <f>IFERROR(__xludf.DUMMYFUNCTION("""COMPUTED_VALUE"""),"G")</f>
        <v>G</v>
      </c>
      <c r="AD645" s="1" t="str">
        <f>IFERROR(__xludf.DUMMYFUNCTION("""COMPUTED_VALUE"""),"G")</f>
        <v>G</v>
      </c>
      <c r="AE645" s="1" t="str">
        <f>IFERROR(__xludf.DUMMYFUNCTION("""COMPUTED_VALUE"""),"G")</f>
        <v>G</v>
      </c>
      <c r="AF645" s="1" t="str">
        <f>IFERROR(__xludf.DUMMYFUNCTION("""COMPUTED_VALUE"""),"G")</f>
        <v>G</v>
      </c>
      <c r="AG645" s="1" t="str">
        <f>IFERROR(__xludf.DUMMYFUNCTION("""COMPUTED_VALUE"""),"G")</f>
        <v>G</v>
      </c>
      <c r="AH645" s="1">
        <f>IFERROR(__xludf.DUMMYFUNCTION("""COMPUTED_VALUE"""),40)</f>
        <v>40</v>
      </c>
      <c r="AI645" s="1">
        <f>IFERROR(__xludf.DUMMYFUNCTION("""COMPUTED_VALUE"""),40)</f>
        <v>40</v>
      </c>
      <c r="AJ645" s="1">
        <f>IFERROR(__xludf.DUMMYFUNCTION("""COMPUTED_VALUE"""),40)</f>
        <v>40</v>
      </c>
      <c r="AK645" s="1">
        <f>IFERROR(__xludf.DUMMYFUNCTION("""COMPUTED_VALUE"""),40)</f>
        <v>40</v>
      </c>
      <c r="AL645" s="1" t="str">
        <f>IFERROR(__xludf.DUMMYFUNCTION("""COMPUTED_VALUE"""),"G")</f>
        <v>G</v>
      </c>
      <c r="AM645" s="1" t="str">
        <f>IFERROR(__xludf.DUMMYFUNCTION("""COMPUTED_VALUE"""),"G")</f>
        <v>G</v>
      </c>
      <c r="AN645" s="1" t="str">
        <f>IFERROR(__xludf.DUMMYFUNCTION("""COMPUTED_VALUE"""),"G")</f>
        <v>G</v>
      </c>
    </row>
    <row r="646" customHeight="1" spans="1:40">
      <c r="A646" s="1" t="str">
        <f>IFERROR(__xludf.DUMMYFUNCTION("""COMPUTED_VALUE"""),"07° BBM")</f>
        <v>07° BBM</v>
      </c>
      <c r="B646" s="1" t="str">
        <f>IFERROR(__xludf.DUMMYFUNCTION("""COMPUTED_VALUE"""),"Jacutinga")</f>
        <v>Jacutinga</v>
      </c>
      <c r="C646" s="119" t="str">
        <f>IFERROR(__xludf.DUMMYFUNCTION("""COMPUTED_VALUE"""),"CAB")</f>
        <v>CAB</v>
      </c>
      <c r="D646" s="1" t="str">
        <f>IFERROR(__xludf.DUMMYFUNCTION("""COMPUTED_VALUE"""),"GLEISON DIONATAN JESUS DE ANDRADE")</f>
        <v>GLEISON DIONATAN JESUS DE ANDRADE</v>
      </c>
      <c r="E646" s="119" t="str">
        <f>IFERROR(__xludf.DUMMYFUNCTION("""COMPUTED_VALUE"""),"")</f>
        <v/>
      </c>
      <c r="F646" s="1" t="str">
        <f>IFERROR(__xludf.DUMMYFUNCTION("""COMPUTED_VALUE"""),"030.703.480-17")</f>
        <v>030.703.480-17</v>
      </c>
      <c r="G646" s="1">
        <f>IFERROR(__xludf.DUMMYFUNCTION("""COMPUTED_VALUE"""),2113614966)</f>
        <v>2113614966</v>
      </c>
      <c r="H646" s="1" t="str">
        <f>IFERROR(__xludf.DUMMYFUNCTION("""COMPUTED_VALUE"""),"Integrante")</f>
        <v>Integrante</v>
      </c>
      <c r="I646" s="1"/>
      <c r="J646" s="1" t="str">
        <f>IFERROR(__xludf.DUMMYFUNCTION("""COMPUTED_VALUE"""),"Não")</f>
        <v>Não</v>
      </c>
      <c r="K646" s="1" t="str">
        <f>IFERROR(__xludf.DUMMYFUNCTION("""COMPUTED_VALUE"""),"Não")</f>
        <v>Não</v>
      </c>
      <c r="L646" s="1" t="str">
        <f>IFERROR(__xludf.DUMMYFUNCTION("""COMPUTED_VALUE"""),"O-")</f>
        <v>O-</v>
      </c>
      <c r="M646" s="1" t="str">
        <f>IFERROR(__xludf.DUMMYFUNCTION("""COMPUTED_VALUE"""),"GLEISSON")</f>
        <v>GLEISSON</v>
      </c>
      <c r="N646" s="121">
        <f>IFERROR(__xludf.DUMMYFUNCTION("""COMPUTED_VALUE"""),34300)</f>
        <v>34300</v>
      </c>
      <c r="O646" s="1" t="str">
        <f>IFERROR(__xludf.DUMMYFUNCTION("""COMPUTED_VALUE"""),"Masculino")</f>
        <v>Masculino</v>
      </c>
      <c r="P646" s="1" t="str">
        <f>IFERROR(__xludf.DUMMYFUNCTION("""COMPUTED_VALUE"""),"Preta")</f>
        <v>Preta</v>
      </c>
      <c r="Q646" s="1" t="str">
        <f>IFERROR(__xludf.DUMMYFUNCTION("""COMPUTED_VALUE"""),"Ensino Médio")</f>
        <v>Ensino Médio</v>
      </c>
      <c r="R646" s="1"/>
      <c r="S646" s="1">
        <f>IFERROR(__xludf.DUMMYFUNCTION("""COMPUTED_VALUE"""),62)</f>
        <v>62</v>
      </c>
      <c r="T646" s="1" t="str">
        <f>IFERROR(__xludf.DUMMYFUNCTION("""COMPUTED_VALUE"""),"Entre 1,61m e 1,65m")</f>
        <v>Entre 1,61m e 1,65m</v>
      </c>
      <c r="U646" s="1"/>
      <c r="V646" s="1" t="str">
        <f>IFERROR(__xludf.DUMMYFUNCTION("""COMPUTED_VALUE"""),"(54) 996300750")</f>
        <v>(54) 996300750</v>
      </c>
      <c r="W646" s="1"/>
      <c r="X646" s="1" t="str">
        <f>IFERROR(__xludf.DUMMYFUNCTION("""COMPUTED_VALUE"""),"RS")</f>
        <v>RS</v>
      </c>
      <c r="Y646" s="1" t="str">
        <f>IFERROR(__xludf.DUMMYFUNCTION("""COMPUTED_VALUE"""),"Erechim")</f>
        <v>Erechim</v>
      </c>
      <c r="Z646" s="1" t="str">
        <f>IFERROR(__xludf.DUMMYFUNCTION("""COMPUTED_VALUE"""),"99700-000")</f>
        <v>99700-000</v>
      </c>
      <c r="AA646" s="1" t="str">
        <f>IFERROR(__xludf.DUMMYFUNCTION("""COMPUTED_VALUE"""),"Rua Liberato Salzano, 65,")</f>
        <v>Rua Liberato Salzano, 65,</v>
      </c>
      <c r="AB646" s="1" t="str">
        <f>IFERROR(__xludf.DUMMYFUNCTION("""COMPUTED_VALUE"""),"Centro")</f>
        <v>Centro</v>
      </c>
      <c r="AC646" s="1" t="str">
        <f>IFERROR(__xludf.DUMMYFUNCTION("""COMPUTED_VALUE"""),"M")</f>
        <v>M</v>
      </c>
      <c r="AD646" s="1" t="str">
        <f>IFERROR(__xludf.DUMMYFUNCTION("""COMPUTED_VALUE"""),"M")</f>
        <v>M</v>
      </c>
      <c r="AE646" s="1" t="str">
        <f>IFERROR(__xludf.DUMMYFUNCTION("""COMPUTED_VALUE"""),"M")</f>
        <v>M</v>
      </c>
      <c r="AF646" s="1" t="str">
        <f>IFERROR(__xludf.DUMMYFUNCTION("""COMPUTED_VALUE"""),"M")</f>
        <v>M</v>
      </c>
      <c r="AG646" s="1" t="str">
        <f>IFERROR(__xludf.DUMMYFUNCTION("""COMPUTED_VALUE"""),"M")</f>
        <v>M</v>
      </c>
      <c r="AH646" s="1">
        <f>IFERROR(__xludf.DUMMYFUNCTION("""COMPUTED_VALUE"""),39)</f>
        <v>39</v>
      </c>
      <c r="AI646" s="1">
        <f>IFERROR(__xludf.DUMMYFUNCTION("""COMPUTED_VALUE"""),39)</f>
        <v>39</v>
      </c>
      <c r="AJ646" s="1">
        <f>IFERROR(__xludf.DUMMYFUNCTION("""COMPUTED_VALUE"""),39)</f>
        <v>39</v>
      </c>
      <c r="AK646" s="1">
        <f>IFERROR(__xludf.DUMMYFUNCTION("""COMPUTED_VALUE"""),39)</f>
        <v>39</v>
      </c>
      <c r="AL646" s="1" t="str">
        <f>IFERROR(__xludf.DUMMYFUNCTION("""COMPUTED_VALUE"""),"M")</f>
        <v>M</v>
      </c>
      <c r="AM646" s="1" t="str">
        <f>IFERROR(__xludf.DUMMYFUNCTION("""COMPUTED_VALUE"""),"M")</f>
        <v>M</v>
      </c>
      <c r="AN646" s="1" t="str">
        <f>IFERROR(__xludf.DUMMYFUNCTION("""COMPUTED_VALUE"""),"M")</f>
        <v>M</v>
      </c>
    </row>
    <row r="647" customHeight="1" spans="1:40">
      <c r="A647" s="1" t="str">
        <f>IFERROR(__xludf.DUMMYFUNCTION("""COMPUTED_VALUE"""),"07° BBM")</f>
        <v>07° BBM</v>
      </c>
      <c r="B647" s="1" t="str">
        <f>IFERROR(__xludf.DUMMYFUNCTION("""COMPUTED_VALUE"""),"Serafina Corrêa")</f>
        <v>Serafina Corrêa</v>
      </c>
      <c r="C647" s="119" t="str">
        <f>IFERROR(__xludf.DUMMYFUNCTION("""COMPUTED_VALUE"""),"CAB")</f>
        <v>CAB</v>
      </c>
      <c r="D647" s="1" t="str">
        <f>IFERROR(__xludf.DUMMYFUNCTION("""COMPUTED_VALUE"""),"GUILHERME DA SILVA SANTOS")</f>
        <v>GUILHERME DA SILVA SANTOS</v>
      </c>
      <c r="E647" s="119" t="str">
        <f>IFERROR(__xludf.DUMMYFUNCTION("""COMPUTED_VALUE"""),"")</f>
        <v/>
      </c>
      <c r="F647" s="1" t="str">
        <f>IFERROR(__xludf.DUMMYFUNCTION("""COMPUTED_VALUE"""),"046.267.230-12")</f>
        <v>046.267.230-12</v>
      </c>
      <c r="G647" s="1">
        <f>IFERROR(__xludf.DUMMYFUNCTION("""COMPUTED_VALUE"""),5114518862)</f>
        <v>5114518862</v>
      </c>
      <c r="H647" s="1" t="str">
        <f>IFERROR(__xludf.DUMMYFUNCTION("""COMPUTED_VALUE"""),"CAB - ALUNO")</f>
        <v>CAB - ALUNO</v>
      </c>
      <c r="I647" s="1" t="str">
        <f>IFERROR(__xludf.DUMMYFUNCTION("""COMPUTED_VALUE"""),"APH / BLS - NR 10 NR 33 NR 35 ")</f>
        <v>APH / BLS - NR 10 NR 33 NR 35 </v>
      </c>
      <c r="J647" s="1" t="str">
        <f>IFERROR(__xludf.DUMMYFUNCTION("""COMPUTED_VALUE"""),"Não")</f>
        <v>Não</v>
      </c>
      <c r="K647" s="1" t="str">
        <f>IFERROR(__xludf.DUMMYFUNCTION("""COMPUTED_VALUE"""),"Não")</f>
        <v>Não</v>
      </c>
      <c r="L647" s="1" t="str">
        <f>IFERROR(__xludf.DUMMYFUNCTION("""COMPUTED_VALUE"""),"A+")</f>
        <v>A+</v>
      </c>
      <c r="M647" s="1" t="str">
        <f>IFERROR(__xludf.DUMMYFUNCTION("""COMPUTED_VALUE"""),"Santos")</f>
        <v>Santos</v>
      </c>
      <c r="N647" s="120">
        <f>IFERROR(__xludf.DUMMYFUNCTION("""COMPUTED_VALUE"""),36931)</f>
        <v>36931</v>
      </c>
      <c r="O647" s="1" t="str">
        <f>IFERROR(__xludf.DUMMYFUNCTION("""COMPUTED_VALUE"""),"Masculino")</f>
        <v>Masculino</v>
      </c>
      <c r="P647" s="1" t="str">
        <f>IFERROR(__xludf.DUMMYFUNCTION("""COMPUTED_VALUE"""),"Branca")</f>
        <v>Branca</v>
      </c>
      <c r="Q647" s="1" t="str">
        <f>IFERROR(__xludf.DUMMYFUNCTION("""COMPUTED_VALUE"""),"Ensino Médio")</f>
        <v>Ensino Médio</v>
      </c>
      <c r="R647" s="1" t="str">
        <f>IFERROR(__xludf.DUMMYFUNCTION("""COMPUTED_VALUE"""),"guisilvars01@gmail.com")</f>
        <v>guisilvars01@gmail.com</v>
      </c>
      <c r="S647" s="1">
        <f>IFERROR(__xludf.DUMMYFUNCTION("""COMPUTED_VALUE"""),92)</f>
        <v>92</v>
      </c>
      <c r="T647" s="1" t="str">
        <f>IFERROR(__xludf.DUMMYFUNCTION("""COMPUTED_VALUE"""),"Entre 1,76m e 1,80m")</f>
        <v>Entre 1,76m e 1,80m</v>
      </c>
      <c r="U647" s="1"/>
      <c r="V647" s="1" t="str">
        <f>IFERROR(__xludf.DUMMYFUNCTION("""COMPUTED_VALUE"""),"(54)99920-1407")</f>
        <v>(54)99920-1407</v>
      </c>
      <c r="W647" s="1" t="str">
        <f>IFERROR(__xludf.DUMMYFUNCTION("""COMPUTED_VALUE"""),"(54)99920-1425")</f>
        <v>(54)99920-1425</v>
      </c>
      <c r="X647" s="1" t="str">
        <f>IFERROR(__xludf.DUMMYFUNCTION("""COMPUTED_VALUE"""),"RS")</f>
        <v>RS</v>
      </c>
      <c r="Y647" s="1" t="str">
        <f>IFERROR(__xludf.DUMMYFUNCTION("""COMPUTED_VALUE"""),"Serafina Corrêa")</f>
        <v>Serafina Corrêa</v>
      </c>
      <c r="Z647" s="1" t="str">
        <f>IFERROR(__xludf.DUMMYFUNCTION("""COMPUTED_VALUE"""),"99250-000")</f>
        <v>99250-000</v>
      </c>
      <c r="AA647" s="1" t="str">
        <f>IFERROR(__xludf.DUMMYFUNCTION("""COMPUTED_VALUE"""),"Rua Jose Frigo, 1057")</f>
        <v>Rua Jose Frigo, 1057</v>
      </c>
      <c r="AB647" s="1" t="str">
        <f>IFERROR(__xludf.DUMMYFUNCTION("""COMPUTED_VALUE"""),"Aparecida")</f>
        <v>Aparecida</v>
      </c>
      <c r="AC647" s="1" t="str">
        <f>IFERROR(__xludf.DUMMYFUNCTION("""COMPUTED_VALUE"""),"G")</f>
        <v>G</v>
      </c>
      <c r="AD647" s="1" t="str">
        <f>IFERROR(__xludf.DUMMYFUNCTION("""COMPUTED_VALUE"""),"G")</f>
        <v>G</v>
      </c>
      <c r="AE647" s="1" t="str">
        <f>IFERROR(__xludf.DUMMYFUNCTION("""COMPUTED_VALUE"""),"G")</f>
        <v>G</v>
      </c>
      <c r="AF647" s="1" t="str">
        <f>IFERROR(__xludf.DUMMYFUNCTION("""COMPUTED_VALUE"""),"G")</f>
        <v>G</v>
      </c>
      <c r="AG647" s="1" t="str">
        <f>IFERROR(__xludf.DUMMYFUNCTION("""COMPUTED_VALUE"""),"G")</f>
        <v>G</v>
      </c>
      <c r="AH647" s="1">
        <f>IFERROR(__xludf.DUMMYFUNCTION("""COMPUTED_VALUE"""),43)</f>
        <v>43</v>
      </c>
      <c r="AI647" s="1">
        <f>IFERROR(__xludf.DUMMYFUNCTION("""COMPUTED_VALUE"""),43)</f>
        <v>43</v>
      </c>
      <c r="AJ647" s="1">
        <f>IFERROR(__xludf.DUMMYFUNCTION("""COMPUTED_VALUE"""),43)</f>
        <v>43</v>
      </c>
      <c r="AK647" s="1">
        <f>IFERROR(__xludf.DUMMYFUNCTION("""COMPUTED_VALUE"""),43)</f>
        <v>43</v>
      </c>
      <c r="AL647" s="1" t="str">
        <f>IFERROR(__xludf.DUMMYFUNCTION("""COMPUTED_VALUE"""),"G")</f>
        <v>G</v>
      </c>
      <c r="AM647" s="1" t="str">
        <f>IFERROR(__xludf.DUMMYFUNCTION("""COMPUTED_VALUE"""),"G")</f>
        <v>G</v>
      </c>
      <c r="AN647" s="1" t="str">
        <f>IFERROR(__xludf.DUMMYFUNCTION("""COMPUTED_VALUE"""),"G")</f>
        <v>G</v>
      </c>
    </row>
    <row r="648" customHeight="1" spans="1:40">
      <c r="A648" s="1" t="str">
        <f>IFERROR(__xludf.DUMMYFUNCTION("""COMPUTED_VALUE"""),"07° BBM")</f>
        <v>07° BBM</v>
      </c>
      <c r="B648" s="1" t="str">
        <f>IFERROR(__xludf.DUMMYFUNCTION("""COMPUTED_VALUE"""),"Viadutos")</f>
        <v>Viadutos</v>
      </c>
      <c r="C648" s="119" t="str">
        <f>IFERROR(__xludf.DUMMYFUNCTION("""COMPUTED_VALUE"""),"CAB")</f>
        <v>CAB</v>
      </c>
      <c r="D648" s="1" t="str">
        <f>IFERROR(__xludf.DUMMYFUNCTION("""COMPUTED_VALUE"""),"GUILHERME LUIZ BOHM")</f>
        <v>GUILHERME LUIZ BOHM</v>
      </c>
      <c r="E648" s="119" t="str">
        <f>IFERROR(__xludf.DUMMYFUNCTION("""COMPUTED_VALUE"""),"Módulo 1 concluído")</f>
        <v>Módulo 1 concluído</v>
      </c>
      <c r="F648" s="1" t="str">
        <f>IFERROR(__xludf.DUMMYFUNCTION("""COMPUTED_VALUE"""),"030.734.690-01")</f>
        <v>030.734.690-01</v>
      </c>
      <c r="G648" s="1">
        <f>IFERROR(__xludf.DUMMYFUNCTION("""COMPUTED_VALUE"""),6111448566)</f>
        <v>6111448566</v>
      </c>
      <c r="H648" s="1" t="str">
        <f>IFERROR(__xludf.DUMMYFUNCTION("""COMPUTED_VALUE"""),"COMBATENTE")</f>
        <v>COMBATENTE</v>
      </c>
      <c r="I648" s="1" t="str">
        <f>IFERROR(__xludf.DUMMYFUNCTION("""COMPUTED_VALUE"""),"Atendiimento Suporte Básico de Vida")</f>
        <v>Atendiimento Suporte Básico de Vida</v>
      </c>
      <c r="J648" s="1" t="str">
        <f>IFERROR(__xludf.DUMMYFUNCTION("""COMPUTED_VALUE"""),"Não")</f>
        <v>Não</v>
      </c>
      <c r="K648" s="1" t="str">
        <f>IFERROR(__xludf.DUMMYFUNCTION("""COMPUTED_VALUE"""),"Não")</f>
        <v>Não</v>
      </c>
      <c r="L648" s="1" t="str">
        <f>IFERROR(__xludf.DUMMYFUNCTION("""COMPUTED_VALUE"""),"O+")</f>
        <v>O+</v>
      </c>
      <c r="M648" s="1" t="str">
        <f>IFERROR(__xludf.DUMMYFUNCTION("""COMPUTED_VALUE"""),"GUILHERME")</f>
        <v>GUILHERME</v>
      </c>
      <c r="N648" s="121">
        <f>IFERROR(__xludf.DUMMYFUNCTION("""COMPUTED_VALUE"""),35746)</f>
        <v>35746</v>
      </c>
      <c r="O648" s="1" t="str">
        <f>IFERROR(__xludf.DUMMYFUNCTION("""COMPUTED_VALUE"""),"Masculino")</f>
        <v>Masculino</v>
      </c>
      <c r="P648" s="1" t="str">
        <f>IFERROR(__xludf.DUMMYFUNCTION("""COMPUTED_VALUE"""),"Branca")</f>
        <v>Branca</v>
      </c>
      <c r="Q648" s="1" t="str">
        <f>IFERROR(__xludf.DUMMYFUNCTION("""COMPUTED_VALUE"""),"Ensino Médio")</f>
        <v>Ensino Médio</v>
      </c>
      <c r="R648" s="1" t="str">
        <f>IFERROR(__xludf.DUMMYFUNCTION("""COMPUTED_VALUE"""),"guilhrmeluizbohm@gmail.com")</f>
        <v>guilhrmeluizbohm@gmail.com</v>
      </c>
      <c r="S648" s="1">
        <f>IFERROR(__xludf.DUMMYFUNCTION("""COMPUTED_VALUE"""),75)</f>
        <v>75</v>
      </c>
      <c r="T648" s="1" t="str">
        <f>IFERROR(__xludf.DUMMYFUNCTION("""COMPUTED_VALUE"""),"Entre 1,71m e 1,75m")</f>
        <v>Entre 1,71m e 1,75m</v>
      </c>
      <c r="U648" s="1"/>
      <c r="V648" s="1" t="str">
        <f>IFERROR(__xludf.DUMMYFUNCTION("""COMPUTED_VALUE"""),"(54) 999480749")</f>
        <v>(54) 999480749</v>
      </c>
      <c r="W648" s="1" t="str">
        <f>IFERROR(__xludf.DUMMYFUNCTION("""COMPUTED_VALUE"""),"(54) 999249531")</f>
        <v>(54) 999249531</v>
      </c>
      <c r="X648" s="1" t="str">
        <f>IFERROR(__xludf.DUMMYFUNCTION("""COMPUTED_VALUE"""),"RS")</f>
        <v>RS</v>
      </c>
      <c r="Y648" s="1" t="str">
        <f>IFERROR(__xludf.DUMMYFUNCTION("""COMPUTED_VALUE"""),"Viadutos")</f>
        <v>Viadutos</v>
      </c>
      <c r="Z648" s="1" t="str">
        <f>IFERROR(__xludf.DUMMYFUNCTION("""COMPUTED_VALUE"""),"99820-000")</f>
        <v>99820-000</v>
      </c>
      <c r="AA648" s="1" t="str">
        <f>IFERROR(__xludf.DUMMYFUNCTION("""COMPUTED_VALUE"""),"Linha Barbara S/N")</f>
        <v>Linha Barbara S/N</v>
      </c>
      <c r="AB648" s="1" t="str">
        <f>IFERROR(__xludf.DUMMYFUNCTION("""COMPUTED_VALUE"""),"Centro")</f>
        <v>Centro</v>
      </c>
      <c r="AC648" s="1" t="str">
        <f>IFERROR(__xludf.DUMMYFUNCTION("""COMPUTED_VALUE"""),"M")</f>
        <v>M</v>
      </c>
      <c r="AD648" s="1" t="str">
        <f>IFERROR(__xludf.DUMMYFUNCTION("""COMPUTED_VALUE"""),"M")</f>
        <v>M</v>
      </c>
      <c r="AE648" s="1" t="str">
        <f>IFERROR(__xludf.DUMMYFUNCTION("""COMPUTED_VALUE"""),"M")</f>
        <v>M</v>
      </c>
      <c r="AF648" s="1" t="str">
        <f>IFERROR(__xludf.DUMMYFUNCTION("""COMPUTED_VALUE"""),"M")</f>
        <v>M</v>
      </c>
      <c r="AG648" s="1" t="str">
        <f>IFERROR(__xludf.DUMMYFUNCTION("""COMPUTED_VALUE"""),"M")</f>
        <v>M</v>
      </c>
      <c r="AH648" s="1">
        <f>IFERROR(__xludf.DUMMYFUNCTION("""COMPUTED_VALUE"""),41)</f>
        <v>41</v>
      </c>
      <c r="AI648" s="1">
        <f>IFERROR(__xludf.DUMMYFUNCTION("""COMPUTED_VALUE"""),41)</f>
        <v>41</v>
      </c>
      <c r="AJ648" s="1">
        <f>IFERROR(__xludf.DUMMYFUNCTION("""COMPUTED_VALUE"""),41)</f>
        <v>41</v>
      </c>
      <c r="AK648" s="1">
        <f>IFERROR(__xludf.DUMMYFUNCTION("""COMPUTED_VALUE"""),41)</f>
        <v>41</v>
      </c>
      <c r="AL648" s="1" t="str">
        <f>IFERROR(__xludf.DUMMYFUNCTION("""COMPUTED_VALUE"""),"M")</f>
        <v>M</v>
      </c>
      <c r="AM648" s="1" t="str">
        <f>IFERROR(__xludf.DUMMYFUNCTION("""COMPUTED_VALUE"""),"M")</f>
        <v>M</v>
      </c>
      <c r="AN648" s="1" t="str">
        <f>IFERROR(__xludf.DUMMYFUNCTION("""COMPUTED_VALUE"""),"M")</f>
        <v>M</v>
      </c>
    </row>
    <row r="649" customHeight="1" spans="1:40">
      <c r="A649" s="1" t="str">
        <f>IFERROR(__xludf.DUMMYFUNCTION("""COMPUTED_VALUE"""),"07° BBM")</f>
        <v>07° BBM</v>
      </c>
      <c r="B649" s="1" t="str">
        <f>IFERROR(__xludf.DUMMYFUNCTION("""COMPUTED_VALUE"""),"Erval Grande")</f>
        <v>Erval Grande</v>
      </c>
      <c r="C649" s="119" t="str">
        <f>IFERROR(__xludf.DUMMYFUNCTION("""COMPUTED_VALUE"""),"CAB")</f>
        <v>CAB</v>
      </c>
      <c r="D649" s="1" t="str">
        <f>IFERROR(__xludf.DUMMYFUNCTION("""COMPUTED_VALUE"""),"GUSTAVO CHIOCHETTA")</f>
        <v>GUSTAVO CHIOCHETTA</v>
      </c>
      <c r="E649" s="119" t="str">
        <f>IFERROR(__xludf.DUMMYFUNCTION("""COMPUTED_VALUE"""),"Módulo 1 concluído")</f>
        <v>Módulo 1 concluído</v>
      </c>
      <c r="F649" s="1"/>
      <c r="G649" s="1"/>
      <c r="H649" s="1"/>
      <c r="I649" s="1"/>
      <c r="J649" s="1"/>
      <c r="K649" s="1"/>
      <c r="L649" s="1"/>
      <c r="M649" s="1"/>
      <c r="N649" s="120">
        <f>IFERROR(__xludf.DUMMYFUNCTION("""COMPUTED_VALUE"""),25697)</f>
        <v>25697</v>
      </c>
      <c r="O649" s="1" t="str">
        <f>IFERROR(__xludf.DUMMYFUNCTION("""COMPUTED_VALUE"""),"Masculino")</f>
        <v>Masculino</v>
      </c>
      <c r="P649" s="1"/>
      <c r="Q649" s="1"/>
      <c r="R649" s="1"/>
      <c r="S649" s="1"/>
      <c r="T649" s="1"/>
      <c r="U649" s="1"/>
      <c r="V649" s="1"/>
      <c r="W649" s="1"/>
      <c r="X649" s="1"/>
      <c r="Y649" s="1"/>
      <c r="Z649" s="1"/>
      <c r="AA649" s="1"/>
      <c r="AB649" s="1"/>
      <c r="AC649" s="1"/>
      <c r="AD649" s="1"/>
      <c r="AE649" s="1"/>
      <c r="AF649" s="1"/>
      <c r="AG649" s="1" t="str">
        <f>IFERROR(__xludf.DUMMYFUNCTION("""COMPUTED_VALUE"""),"EXG")</f>
        <v>EXG</v>
      </c>
      <c r="AH649" s="1">
        <f>IFERROR(__xludf.DUMMYFUNCTION("""COMPUTED_VALUE"""),43)</f>
        <v>43</v>
      </c>
      <c r="AI649" s="1"/>
      <c r="AJ649" s="1"/>
      <c r="AK649" s="1"/>
      <c r="AL649" s="1" t="str">
        <f>IFERROR(__xludf.DUMMYFUNCTION("""COMPUTED_VALUE"""),"GG")</f>
        <v>GG</v>
      </c>
      <c r="AM649" s="1" t="str">
        <f>IFERROR(__xludf.DUMMYFUNCTION("""COMPUTED_VALUE"""),"GG")</f>
        <v>GG</v>
      </c>
      <c r="AN649" s="1" t="str">
        <f>IFERROR(__xludf.DUMMYFUNCTION("""COMPUTED_VALUE"""),"GG")</f>
        <v>GG</v>
      </c>
    </row>
    <row r="650" customHeight="1" spans="1:40">
      <c r="A650" s="1" t="str">
        <f>IFERROR(__xludf.DUMMYFUNCTION("""COMPUTED_VALUE"""),"07° BBM")</f>
        <v>07° BBM</v>
      </c>
      <c r="B650" s="1" t="str">
        <f>IFERROR(__xludf.DUMMYFUNCTION("""COMPUTED_VALUE"""),"Viadutos")</f>
        <v>Viadutos</v>
      </c>
      <c r="C650" s="119" t="str">
        <f>IFERROR(__xludf.DUMMYFUNCTION("""COMPUTED_VALUE"""),"CAB")</f>
        <v>CAB</v>
      </c>
      <c r="D650" s="1" t="str">
        <f>IFERROR(__xludf.DUMMYFUNCTION("""COMPUTED_VALUE"""),"GUSTAVO MAURICIO VERONESE")</f>
        <v>GUSTAVO MAURICIO VERONESE</v>
      </c>
      <c r="E650" s="119" t="str">
        <f>IFERROR(__xludf.DUMMYFUNCTION("""COMPUTED_VALUE"""),"Módulo 1 concluído")</f>
        <v>Módulo 1 concluído</v>
      </c>
      <c r="F650" s="1" t="str">
        <f>IFERROR(__xludf.DUMMYFUNCTION("""COMPUTED_VALUE"""),"028.563.190-09")</f>
        <v>028.563.190-09</v>
      </c>
      <c r="G650" s="1">
        <f>IFERROR(__xludf.DUMMYFUNCTION("""COMPUTED_VALUE"""),1124358951)</f>
        <v>1124358951</v>
      </c>
      <c r="H650" s="1" t="str">
        <f>IFERROR(__xludf.DUMMYFUNCTION("""COMPUTED_VALUE"""),"COMBATENTE")</f>
        <v>COMBATENTE</v>
      </c>
      <c r="I650" s="1" t="str">
        <f>IFERROR(__xludf.DUMMYFUNCTION("""COMPUTED_VALUE"""),"Atendiimento Suporte Básico de Vida")</f>
        <v>Atendiimento Suporte Básico de Vida</v>
      </c>
      <c r="J650" s="1" t="str">
        <f>IFERROR(__xludf.DUMMYFUNCTION("""COMPUTED_VALUE"""),"Não")</f>
        <v>Não</v>
      </c>
      <c r="K650" s="1" t="str">
        <f>IFERROR(__xludf.DUMMYFUNCTION("""COMPUTED_VALUE"""),"Não")</f>
        <v>Não</v>
      </c>
      <c r="L650" s="1" t="str">
        <f>IFERROR(__xludf.DUMMYFUNCTION("""COMPUTED_VALUE"""),"AB+")</f>
        <v>AB+</v>
      </c>
      <c r="M650" s="1" t="str">
        <f>IFERROR(__xludf.DUMMYFUNCTION("""COMPUTED_VALUE"""),"GUSTAVO")</f>
        <v>GUSTAVO</v>
      </c>
      <c r="N650" s="120">
        <f>IFERROR(__xludf.DUMMYFUNCTION("""COMPUTED_VALUE"""),37272)</f>
        <v>37272</v>
      </c>
      <c r="O650" s="1" t="str">
        <f>IFERROR(__xludf.DUMMYFUNCTION("""COMPUTED_VALUE"""),"Masculino")</f>
        <v>Masculino</v>
      </c>
      <c r="P650" s="1" t="str">
        <f>IFERROR(__xludf.DUMMYFUNCTION("""COMPUTED_VALUE"""),"Branca")</f>
        <v>Branca</v>
      </c>
      <c r="Q650" s="1" t="str">
        <f>IFERROR(__xludf.DUMMYFUNCTION("""COMPUTED_VALUE"""),"Ensino Médio")</f>
        <v>Ensino Médio</v>
      </c>
      <c r="R650" s="1" t="str">
        <f>IFERROR(__xludf.DUMMYFUNCTION("""COMPUTED_VALUE"""),"gustavomauricioveronese@gmail.com")</f>
        <v>gustavomauricioveronese@gmail.com</v>
      </c>
      <c r="S650" s="1">
        <f>IFERROR(__xludf.DUMMYFUNCTION("""COMPUTED_VALUE"""),85)</f>
        <v>85</v>
      </c>
      <c r="T650" s="1" t="str">
        <f>IFERROR(__xludf.DUMMYFUNCTION("""COMPUTED_VALUE"""),"Entre 1,76m e 1,80m")</f>
        <v>Entre 1,76m e 1,80m</v>
      </c>
      <c r="U650" s="1"/>
      <c r="V650" s="1" t="str">
        <f>IFERROR(__xludf.DUMMYFUNCTION("""COMPUTED_VALUE"""),"(54) 984260190")</f>
        <v>(54) 984260190</v>
      </c>
      <c r="W650" s="1" t="str">
        <f>IFERROR(__xludf.DUMMYFUNCTION("""COMPUTED_VALUE"""),"(54) 999249531")</f>
        <v>(54) 999249531</v>
      </c>
      <c r="X650" s="1" t="str">
        <f>IFERROR(__xludf.DUMMYFUNCTION("""COMPUTED_VALUE"""),"RS")</f>
        <v>RS</v>
      </c>
      <c r="Y650" s="1" t="str">
        <f>IFERROR(__xludf.DUMMYFUNCTION("""COMPUTED_VALUE"""),"Viadutos")</f>
        <v>Viadutos</v>
      </c>
      <c r="Z650" s="1" t="str">
        <f>IFERROR(__xludf.DUMMYFUNCTION("""COMPUTED_VALUE"""),"99820-000")</f>
        <v>99820-000</v>
      </c>
      <c r="AA650" s="1" t="str">
        <f>IFERROR(__xludf.DUMMYFUNCTION("""COMPUTED_VALUE"""),"Rua Dalagnoll S/N")</f>
        <v>Rua Dalagnoll S/N</v>
      </c>
      <c r="AB650" s="1" t="str">
        <f>IFERROR(__xludf.DUMMYFUNCTION("""COMPUTED_VALUE"""),"Centro")</f>
        <v>Centro</v>
      </c>
      <c r="AC650" s="1" t="str">
        <f>IFERROR(__xludf.DUMMYFUNCTION("""COMPUTED_VALUE"""),"G")</f>
        <v>G</v>
      </c>
      <c r="AD650" s="1" t="str">
        <f>IFERROR(__xludf.DUMMYFUNCTION("""COMPUTED_VALUE"""),"M")</f>
        <v>M</v>
      </c>
      <c r="AE650" s="1" t="str">
        <f>IFERROR(__xludf.DUMMYFUNCTION("""COMPUTED_VALUE"""),"G")</f>
        <v>G</v>
      </c>
      <c r="AF650" s="1" t="str">
        <f>IFERROR(__xludf.DUMMYFUNCTION("""COMPUTED_VALUE"""),"G")</f>
        <v>G</v>
      </c>
      <c r="AG650" s="1" t="str">
        <f>IFERROR(__xludf.DUMMYFUNCTION("""COMPUTED_VALUE"""),"G")</f>
        <v>G</v>
      </c>
      <c r="AH650" s="1">
        <f>IFERROR(__xludf.DUMMYFUNCTION("""COMPUTED_VALUE"""),41)</f>
        <v>41</v>
      </c>
      <c r="AI650" s="1">
        <f>IFERROR(__xludf.DUMMYFUNCTION("""COMPUTED_VALUE"""),41)</f>
        <v>41</v>
      </c>
      <c r="AJ650" s="1">
        <f>IFERROR(__xludf.DUMMYFUNCTION("""COMPUTED_VALUE"""),41)</f>
        <v>41</v>
      </c>
      <c r="AK650" s="1">
        <f>IFERROR(__xludf.DUMMYFUNCTION("""COMPUTED_VALUE"""),41)</f>
        <v>41</v>
      </c>
      <c r="AL650" s="1" t="str">
        <f>IFERROR(__xludf.DUMMYFUNCTION("""COMPUTED_VALUE"""),"G")</f>
        <v>G</v>
      </c>
      <c r="AM650" s="1" t="str">
        <f>IFERROR(__xludf.DUMMYFUNCTION("""COMPUTED_VALUE"""),"G")</f>
        <v>G</v>
      </c>
      <c r="AN650" s="1" t="str">
        <f>IFERROR(__xludf.DUMMYFUNCTION("""COMPUTED_VALUE"""),"G")</f>
        <v>G</v>
      </c>
    </row>
    <row r="651" customHeight="1" spans="1:40">
      <c r="A651" s="1" t="str">
        <f>IFERROR(__xludf.DUMMYFUNCTION("""COMPUTED_VALUE"""),"07° BBM")</f>
        <v>07° BBM</v>
      </c>
      <c r="B651" s="1" t="str">
        <f>IFERROR(__xludf.DUMMYFUNCTION("""COMPUTED_VALUE"""),"Barão de Cotegipe")</f>
        <v>Barão de Cotegipe</v>
      </c>
      <c r="C651" s="119" t="str">
        <f>IFERROR(__xludf.DUMMYFUNCTION("""COMPUTED_VALUE"""),"CAB")</f>
        <v>CAB</v>
      </c>
      <c r="D651" s="1" t="str">
        <f>IFERROR(__xludf.DUMMYFUNCTION("""COMPUTED_VALUE"""),"INDIAMARA PACHECO")</f>
        <v>INDIAMARA PACHECO</v>
      </c>
      <c r="E651" s="119" t="str">
        <f>IFERROR(__xludf.DUMMYFUNCTION("""COMPUTED_VALUE"""),"")</f>
        <v/>
      </c>
      <c r="F651" s="1" t="str">
        <f>IFERROR(__xludf.DUMMYFUNCTION("""COMPUTED_VALUE"""),"038.146.750-37")</f>
        <v>038.146.750-37</v>
      </c>
      <c r="G651" s="1">
        <f>IFERROR(__xludf.DUMMYFUNCTION("""COMPUTED_VALUE"""),1113518169)</f>
        <v>1113518169</v>
      </c>
      <c r="H651" s="1" t="str">
        <f>IFERROR(__xludf.DUMMYFUNCTION("""COMPUTED_VALUE"""),"VOLUNTARIO")</f>
        <v>VOLUNTARIO</v>
      </c>
      <c r="I651" s="1" t="str">
        <f>IFERROR(__xludf.DUMMYFUNCTION("""COMPUTED_VALUE"""),"NR35,NR10,APH,CUIDADORA.")</f>
        <v>NR35,NR10,APH,CUIDADORA.</v>
      </c>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row>
    <row r="652" customHeight="1" spans="1:40">
      <c r="A652" s="1" t="str">
        <f>IFERROR(__xludf.DUMMYFUNCTION("""COMPUTED_VALUE"""),"07° BBM")</f>
        <v>07° BBM</v>
      </c>
      <c r="B652" s="1" t="str">
        <f>IFERROR(__xludf.DUMMYFUNCTION("""COMPUTED_VALUE"""),"Barão de Cotegipe")</f>
        <v>Barão de Cotegipe</v>
      </c>
      <c r="C652" s="119" t="str">
        <f>IFERROR(__xludf.DUMMYFUNCTION("""COMPUTED_VALUE"""),"CAB")</f>
        <v>CAB</v>
      </c>
      <c r="D652" s="1" t="str">
        <f>IFERROR(__xludf.DUMMYFUNCTION("""COMPUTED_VALUE"""),"ISALI FOLTZ KRIELOW")</f>
        <v>ISALI FOLTZ KRIELOW</v>
      </c>
      <c r="E652" s="119" t="str">
        <f>IFERROR(__xludf.DUMMYFUNCTION("""COMPUTED_VALUE"""),"")</f>
        <v/>
      </c>
      <c r="F652" s="1" t="str">
        <f>IFERROR(__xludf.DUMMYFUNCTION("""COMPUTED_VALUE"""),"013.738.909-40")</f>
        <v>013.738.909-40</v>
      </c>
      <c r="G652" s="1" t="str">
        <f>IFERROR(__xludf.DUMMYFUNCTION("""COMPUTED_VALUE"""),"144913787/SSP-SC")</f>
        <v>144913787/SSP-SC</v>
      </c>
      <c r="H652" s="1" t="str">
        <f>IFERROR(__xludf.DUMMYFUNCTION("""COMPUTED_VALUE"""),"Combatente")</f>
        <v>Combatente</v>
      </c>
      <c r="I652" s="1" t="str">
        <f>IFERROR(__xludf.DUMMYFUNCTION("""COMPUTED_VALUE"""),"NR35,NR10,APH")</f>
        <v>NR35,NR10,APH</v>
      </c>
      <c r="J652" s="1" t="str">
        <f>IFERROR(__xludf.DUMMYFUNCTION("""COMPUTED_VALUE"""),"Sim")</f>
        <v>Sim</v>
      </c>
      <c r="K652" s="1" t="str">
        <f>IFERROR(__xludf.DUMMYFUNCTION("""COMPUTED_VALUE"""),"Sim")</f>
        <v>Sim</v>
      </c>
      <c r="L652" s="1" t="str">
        <f>IFERROR(__xludf.DUMMYFUNCTION("""COMPUTED_VALUE"""),"A+")</f>
        <v>A+</v>
      </c>
      <c r="M652" s="1" t="str">
        <f>IFERROR(__xludf.DUMMYFUNCTION("""COMPUTED_VALUE"""),"FOLTZ")</f>
        <v>FOLTZ</v>
      </c>
      <c r="N652" s="121">
        <f>IFERROR(__xludf.DUMMYFUNCTION("""COMPUTED_VALUE"""),32091)</f>
        <v>32091</v>
      </c>
      <c r="O652" s="1" t="str">
        <f>IFERROR(__xludf.DUMMYFUNCTION("""COMPUTED_VALUE"""),"F")</f>
        <v>F</v>
      </c>
      <c r="P652" s="1" t="str">
        <f>IFERROR(__xludf.DUMMYFUNCTION("""COMPUTED_VALUE"""),"BRANCA")</f>
        <v>BRANCA</v>
      </c>
      <c r="Q652" s="1" t="str">
        <f>IFERROR(__xludf.DUMMYFUNCTION("""COMPUTED_VALUE"""),"ENSINO FUNDAMENTAL INCOMPLETO")</f>
        <v>ENSINO FUNDAMENTAL INCOMPLETO</v>
      </c>
      <c r="R652" s="1" t="str">
        <f>IFERROR(__xludf.DUMMYFUNCTION("""COMPUTED_VALUE"""),"isalifoltz1987@gmail.com")</f>
        <v>isalifoltz1987@gmail.com</v>
      </c>
      <c r="S652" s="1">
        <f>IFERROR(__xludf.DUMMYFUNCTION("""COMPUTED_VALUE"""),85)</f>
        <v>85</v>
      </c>
      <c r="T652" s="1">
        <f>IFERROR(__xludf.DUMMYFUNCTION("""COMPUTED_VALUE"""),1.66)</f>
        <v>1.66</v>
      </c>
      <c r="U652" s="1" t="str">
        <f>IFERROR(__xludf.DUMMYFUNCTION("""COMPUTED_VALUE"""),"(54) 996137984")</f>
        <v>(54) 996137984</v>
      </c>
      <c r="V652" s="1"/>
      <c r="W652" s="1"/>
      <c r="X652" s="1" t="str">
        <f>IFERROR(__xludf.DUMMYFUNCTION("""COMPUTED_VALUE"""),"RS")</f>
        <v>RS</v>
      </c>
      <c r="Y652" s="1" t="str">
        <f>IFERROR(__xludf.DUMMYFUNCTION("""COMPUTED_VALUE"""),"BARÃO DE COTEGIPE")</f>
        <v>BARÃO DE COTEGIPE</v>
      </c>
      <c r="Z652" s="1" t="str">
        <f>IFERROR(__xludf.DUMMYFUNCTION("""COMPUTED_VALUE"""),"99740-000")</f>
        <v>99740-000</v>
      </c>
      <c r="AA652" s="1" t="str">
        <f>IFERROR(__xludf.DUMMYFUNCTION("""COMPUTED_VALUE"""),"JUVENTILIO GALINA")</f>
        <v>JUVENTILIO GALINA</v>
      </c>
      <c r="AB652" s="1" t="str">
        <f>IFERROR(__xludf.DUMMYFUNCTION("""COMPUTED_VALUE"""),"CENTRO")</f>
        <v>CENTRO</v>
      </c>
      <c r="AC652" s="1" t="str">
        <f>IFERROR(__xludf.DUMMYFUNCTION("""COMPUTED_VALUE"""),"GG- 50")</f>
        <v>GG- 50</v>
      </c>
      <c r="AD652" s="1" t="str">
        <f>IFERROR(__xludf.DUMMYFUNCTION("""COMPUTED_VALUE"""),"EXG")</f>
        <v>EXG</v>
      </c>
      <c r="AE652" s="1" t="str">
        <f>IFERROR(__xludf.DUMMYFUNCTION("""COMPUTED_VALUE"""),"GG")</f>
        <v>GG</v>
      </c>
      <c r="AF652" s="1" t="str">
        <f>IFERROR(__xludf.DUMMYFUNCTION("""COMPUTED_VALUE"""),"EXG")</f>
        <v>EXG</v>
      </c>
      <c r="AG652" s="1" t="str">
        <f>IFERROR(__xludf.DUMMYFUNCTION("""COMPUTED_VALUE"""),"EXG")</f>
        <v>EXG</v>
      </c>
      <c r="AH652" s="1" t="str">
        <f>IFERROR(__xludf.DUMMYFUNCTION("""COMPUTED_VALUE"""),"EXG")</f>
        <v>EXG</v>
      </c>
      <c r="AI652" s="1">
        <f>IFERROR(__xludf.DUMMYFUNCTION("""COMPUTED_VALUE"""),36)</f>
        <v>36</v>
      </c>
      <c r="AJ652" s="1">
        <f>IFERROR(__xludf.DUMMYFUNCTION("""COMPUTED_VALUE"""),36)</f>
        <v>36</v>
      </c>
      <c r="AK652" s="1">
        <f>IFERROR(__xludf.DUMMYFUNCTION("""COMPUTED_VALUE"""),36)</f>
        <v>36</v>
      </c>
      <c r="AL652" s="1">
        <f>IFERROR(__xludf.DUMMYFUNCTION("""COMPUTED_VALUE"""),36)</f>
        <v>36</v>
      </c>
      <c r="AM652" s="1" t="str">
        <f>IFERROR(__xludf.DUMMYFUNCTION("""COMPUTED_VALUE"""),"EXG")</f>
        <v>EXG</v>
      </c>
      <c r="AN652" s="1">
        <f>IFERROR(__xludf.DUMMYFUNCTION("""COMPUTED_VALUE"""),40)</f>
        <v>40</v>
      </c>
    </row>
    <row r="653" customHeight="1" spans="1:40">
      <c r="A653" s="1" t="str">
        <f>IFERROR(__xludf.DUMMYFUNCTION("""COMPUTED_VALUE"""),"07° BBM")</f>
        <v>07° BBM</v>
      </c>
      <c r="B653" s="1" t="str">
        <f>IFERROR(__xludf.DUMMYFUNCTION("""COMPUTED_VALUE"""),"Barão de Cotegipe")</f>
        <v>Barão de Cotegipe</v>
      </c>
      <c r="C653" s="119" t="str">
        <f>IFERROR(__xludf.DUMMYFUNCTION("""COMPUTED_VALUE"""),"CAB")</f>
        <v>CAB</v>
      </c>
      <c r="D653" s="1" t="str">
        <f>IFERROR(__xludf.DUMMYFUNCTION("""COMPUTED_VALUE"""),"ITAMAR LUIS SOARES")</f>
        <v>ITAMAR LUIS SOARES</v>
      </c>
      <c r="E653" s="119" t="str">
        <f>IFERROR(__xludf.DUMMYFUNCTION("""COMPUTED_VALUE"""),"")</f>
        <v/>
      </c>
      <c r="F653" s="1" t="str">
        <f>IFERROR(__xludf.DUMMYFUNCTION("""COMPUTED_VALUE"""),"385.061.300-34")</f>
        <v>385.061.300-34</v>
      </c>
      <c r="G653" s="1">
        <f>IFERROR(__xludf.DUMMYFUNCTION("""COMPUTED_VALUE"""),9022905021)</f>
        <v>9022905021</v>
      </c>
      <c r="H653" s="1" t="str">
        <f>IFERROR(__xludf.DUMMYFUNCTION("""COMPUTED_VALUE"""),"VOLUNTARIO")</f>
        <v>VOLUNTARIO</v>
      </c>
      <c r="I653" s="1" t="str">
        <f>IFERROR(__xludf.DUMMYFUNCTION("""COMPUTED_VALUE"""),"BOMBEIROS CIVIL,NR33,NR35,N10,NR23,APH.")</f>
        <v>BOMBEIROS CIVIL,NR33,NR35,N10,NR23,APH.</v>
      </c>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row>
    <row r="654" customHeight="1" spans="1:40">
      <c r="A654" s="1" t="str">
        <f>IFERROR(__xludf.DUMMYFUNCTION("""COMPUTED_VALUE"""),"07° BBM")</f>
        <v>07° BBM</v>
      </c>
      <c r="B654" s="1" t="str">
        <f>IFERROR(__xludf.DUMMYFUNCTION("""COMPUTED_VALUE"""),"Campos Borges")</f>
        <v>Campos Borges</v>
      </c>
      <c r="C654" s="119" t="str">
        <f>IFERROR(__xludf.DUMMYFUNCTION("""COMPUTED_VALUE"""),"CAB")</f>
        <v>CAB</v>
      </c>
      <c r="D654" s="1" t="str">
        <f>IFERROR(__xludf.DUMMYFUNCTION("""COMPUTED_VALUE"""),"IVANDRO BIAZZI")</f>
        <v>IVANDRO BIAZZI</v>
      </c>
      <c r="E654" s="119" t="str">
        <f>IFERROR(__xludf.DUMMYFUNCTION("""COMPUTED_VALUE"""),"")</f>
        <v/>
      </c>
      <c r="F654" s="1"/>
      <c r="G654" s="1"/>
      <c r="H654" s="1"/>
      <c r="I654" s="1"/>
      <c r="J654" s="1"/>
      <c r="K654" s="1"/>
      <c r="L654" s="1"/>
      <c r="M654" s="1"/>
      <c r="N654" s="120">
        <f>IFERROR(__xludf.DUMMYFUNCTION("""COMPUTED_VALUE"""),26345)</f>
        <v>26345</v>
      </c>
      <c r="O654" s="1" t="str">
        <f>IFERROR(__xludf.DUMMYFUNCTION("""COMPUTED_VALUE"""),"Masculino")</f>
        <v>Masculino</v>
      </c>
      <c r="P654" s="1"/>
      <c r="Q654" s="1"/>
      <c r="R654" s="1"/>
      <c r="S654" s="1"/>
      <c r="T654" s="1"/>
      <c r="U654" s="1"/>
      <c r="V654" s="1"/>
      <c r="W654" s="1"/>
      <c r="X654" s="1"/>
      <c r="Y654" s="1" t="str">
        <f>IFERROR(__xludf.DUMMYFUNCTION("""COMPUTED_VALUE"""),"Campos Borges")</f>
        <v>Campos Borges</v>
      </c>
      <c r="Z654" s="1"/>
      <c r="AA654" s="1"/>
      <c r="AB654" s="1"/>
      <c r="AC654" s="1"/>
      <c r="AD654" s="1"/>
      <c r="AE654" s="1"/>
      <c r="AF654" s="1"/>
      <c r="AG654" s="1" t="str">
        <f>IFERROR(__xludf.DUMMYFUNCTION("""COMPUTED_VALUE"""),"G")</f>
        <v>G</v>
      </c>
      <c r="AH654" s="1">
        <f>IFERROR(__xludf.DUMMYFUNCTION("""COMPUTED_VALUE"""),41)</f>
        <v>41</v>
      </c>
      <c r="AI654" s="1"/>
      <c r="AJ654" s="1"/>
      <c r="AK654" s="1"/>
      <c r="AL654" s="1" t="str">
        <f>IFERROR(__xludf.DUMMYFUNCTION("""COMPUTED_VALUE"""),"G")</f>
        <v>G</v>
      </c>
      <c r="AM654" s="1" t="str">
        <f>IFERROR(__xludf.DUMMYFUNCTION("""COMPUTED_VALUE"""),"G")</f>
        <v>G</v>
      </c>
      <c r="AN654" s="1" t="str">
        <f>IFERROR(__xludf.DUMMYFUNCTION("""COMPUTED_VALUE"""),"G")</f>
        <v>G</v>
      </c>
    </row>
    <row r="655" customHeight="1" spans="1:40">
      <c r="A655" s="1" t="str">
        <f>IFERROR(__xludf.DUMMYFUNCTION("""COMPUTED_VALUE"""),"07° BBM")</f>
        <v>07° BBM</v>
      </c>
      <c r="B655" s="1" t="str">
        <f>IFERROR(__xludf.DUMMYFUNCTION("""COMPUTED_VALUE"""),"Campos Borges")</f>
        <v>Campos Borges</v>
      </c>
      <c r="C655" s="119" t="str">
        <f>IFERROR(__xludf.DUMMYFUNCTION("""COMPUTED_VALUE"""),"CAB")</f>
        <v>CAB</v>
      </c>
      <c r="D655" s="1" t="str">
        <f>IFERROR(__xludf.DUMMYFUNCTION("""COMPUTED_VALUE"""),"IVO TIARAJU BORBA DE OLIVEIRA")</f>
        <v>IVO TIARAJU BORBA DE OLIVEIRA</v>
      </c>
      <c r="E655" s="119" t="str">
        <f>IFERROR(__xludf.DUMMYFUNCTION("""COMPUTED_VALUE"""),"")</f>
        <v/>
      </c>
      <c r="F655" s="1"/>
      <c r="G655" s="1"/>
      <c r="H655" s="1"/>
      <c r="I655" s="1"/>
      <c r="J655" s="1"/>
      <c r="K655" s="1"/>
      <c r="L655" s="1"/>
      <c r="M655" s="1"/>
      <c r="N655" s="120">
        <f>IFERROR(__xludf.DUMMYFUNCTION("""COMPUTED_VALUE"""),29794)</f>
        <v>29794</v>
      </c>
      <c r="O655" s="1" t="str">
        <f>IFERROR(__xludf.DUMMYFUNCTION("""COMPUTED_VALUE"""),"Masculino")</f>
        <v>Masculino</v>
      </c>
      <c r="P655" s="1"/>
      <c r="Q655" s="1"/>
      <c r="R655" s="1"/>
      <c r="S655" s="1"/>
      <c r="T655" s="1"/>
      <c r="U655" s="1"/>
      <c r="V655" s="1"/>
      <c r="W655" s="1"/>
      <c r="X655" s="1"/>
      <c r="Y655" s="1" t="str">
        <f>IFERROR(__xludf.DUMMYFUNCTION("""COMPUTED_VALUE"""),"Campos Borges")</f>
        <v>Campos Borges</v>
      </c>
      <c r="Z655" s="1"/>
      <c r="AA655" s="1"/>
      <c r="AB655" s="1"/>
      <c r="AC655" s="1"/>
      <c r="AD655" s="1"/>
      <c r="AE655" s="1"/>
      <c r="AF655" s="1"/>
      <c r="AG655" s="1" t="str">
        <f>IFERROR(__xludf.DUMMYFUNCTION("""COMPUTED_VALUE"""),"P")</f>
        <v>P</v>
      </c>
      <c r="AH655" s="1">
        <f>IFERROR(__xludf.DUMMYFUNCTION("""COMPUTED_VALUE"""),39)</f>
        <v>39</v>
      </c>
      <c r="AI655" s="1"/>
      <c r="AJ655" s="1"/>
      <c r="AK655" s="1"/>
      <c r="AL655" s="1" t="str">
        <f>IFERROR(__xludf.DUMMYFUNCTION("""COMPUTED_VALUE"""),"P")</f>
        <v>P</v>
      </c>
      <c r="AM655" s="1" t="str">
        <f>IFERROR(__xludf.DUMMYFUNCTION("""COMPUTED_VALUE"""),"P")</f>
        <v>P</v>
      </c>
      <c r="AN655" s="1" t="str">
        <f>IFERROR(__xludf.DUMMYFUNCTION("""COMPUTED_VALUE"""),"P")</f>
        <v>P</v>
      </c>
    </row>
    <row r="656" customHeight="1" spans="1:40">
      <c r="A656" s="1" t="str">
        <f>IFERROR(__xludf.DUMMYFUNCTION("""COMPUTED_VALUE"""),"07° BBM")</f>
        <v>07° BBM</v>
      </c>
      <c r="B656" s="1" t="str">
        <f>IFERROR(__xludf.DUMMYFUNCTION("""COMPUTED_VALUE"""),"Barão de Cotegipe")</f>
        <v>Barão de Cotegipe</v>
      </c>
      <c r="C656" s="119" t="str">
        <f>IFERROR(__xludf.DUMMYFUNCTION("""COMPUTED_VALUE"""),"CAB")</f>
        <v>CAB</v>
      </c>
      <c r="D656" s="1" t="str">
        <f>IFERROR(__xludf.DUMMYFUNCTION("""COMPUTED_VALUE"""),"JACIR RODRIGUES DE PAULA")</f>
        <v>JACIR RODRIGUES DE PAULA</v>
      </c>
      <c r="E656" s="119" t="str">
        <f>IFERROR(__xludf.DUMMYFUNCTION("""COMPUTED_VALUE"""),"")</f>
        <v/>
      </c>
      <c r="F656" s="1" t="str">
        <f>IFERROR(__xludf.DUMMYFUNCTION("""COMPUTED_VALUE"""),"642.409.590-04")</f>
        <v>642.409.590-04</v>
      </c>
      <c r="G656" s="1">
        <f>IFERROR(__xludf.DUMMYFUNCTION("""COMPUTED_VALUE"""),8056966081)</f>
        <v>8056966081</v>
      </c>
      <c r="H656" s="1" t="str">
        <f>IFERROR(__xludf.DUMMYFUNCTION("""COMPUTED_VALUE"""),"VOLUNTARIO")</f>
        <v>VOLUNTARIO</v>
      </c>
      <c r="I656" s="1" t="str">
        <f>IFERROR(__xludf.DUMMYFUNCTION("""COMPUTED_VALUE"""),"NR35 ,NR10,APH,PRIMEROS SOCORROS.")</f>
        <v>NR35 ,NR10,APH,PRIMEROS SOCORROS.</v>
      </c>
      <c r="J656" s="1"/>
      <c r="K656" s="1"/>
      <c r="L656" s="1"/>
      <c r="M656" s="1"/>
      <c r="N656" s="120"/>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row>
    <row r="657" customHeight="1" spans="1:40">
      <c r="A657" s="1" t="str">
        <f>IFERROR(__xludf.DUMMYFUNCTION("""COMPUTED_VALUE"""),"07° BBM")</f>
        <v>07° BBM</v>
      </c>
      <c r="B657" s="1" t="str">
        <f>IFERROR(__xludf.DUMMYFUNCTION("""COMPUTED_VALUE"""),"Jacutinga")</f>
        <v>Jacutinga</v>
      </c>
      <c r="C657" s="119" t="str">
        <f>IFERROR(__xludf.DUMMYFUNCTION("""COMPUTED_VALUE"""),"CAB")</f>
        <v>CAB</v>
      </c>
      <c r="D657" s="1" t="str">
        <f>IFERROR(__xludf.DUMMYFUNCTION("""COMPUTED_VALUE"""),"JACSON JOSÉ SCHEMBRO")</f>
        <v>JACSON JOSÉ SCHEMBRO</v>
      </c>
      <c r="E657" s="119" t="str">
        <f>IFERROR(__xludf.DUMMYFUNCTION("""COMPUTED_VALUE"""),"Módulo 1 concluído")</f>
        <v>Módulo 1 concluído</v>
      </c>
      <c r="F657" s="1" t="str">
        <f>IFERROR(__xludf.DUMMYFUNCTION("""COMPUTED_VALUE"""),"022.559.840-08")</f>
        <v>022.559.840-08</v>
      </c>
      <c r="G657" s="1">
        <f>IFERROR(__xludf.DUMMYFUNCTION("""COMPUTED_VALUE"""),6090493609)</f>
        <v>6090493609</v>
      </c>
      <c r="H657" s="1" t="str">
        <f>IFERROR(__xludf.DUMMYFUNCTION("""COMPUTED_VALUE"""),"Integrante")</f>
        <v>Integrante</v>
      </c>
      <c r="I657" s="1" t="str">
        <f>IFERROR(__xludf.DUMMYFUNCTION("""COMPUTED_VALUE"""),"TREINAMENTOS EM APH, RESGATE VEICULAR E PREVENÇÃO E COMBATE A INCÊNDIOS - CONCLUINDO CURSO DE BOMBEIRO CIVIL")</f>
        <v>TREINAMENTOS EM APH, RESGATE VEICULAR E PREVENÇÃO E COMBATE A INCÊNDIOS - CONCLUINDO CURSO DE BOMBEIRO CIVIL</v>
      </c>
      <c r="J657" s="1"/>
      <c r="K657" s="1"/>
      <c r="L657" s="1"/>
      <c r="M657" s="1"/>
      <c r="N657" s="12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row>
    <row r="658" customHeight="1" spans="1:40">
      <c r="A658" s="1" t="str">
        <f>IFERROR(__xludf.DUMMYFUNCTION("""COMPUTED_VALUE"""),"07° BBM")</f>
        <v>07° BBM</v>
      </c>
      <c r="B658" s="1" t="str">
        <f>IFERROR(__xludf.DUMMYFUNCTION("""COMPUTED_VALUE"""),"Gaurama")</f>
        <v>Gaurama</v>
      </c>
      <c r="C658" s="119" t="str">
        <f>IFERROR(__xludf.DUMMYFUNCTION("""COMPUTED_VALUE"""),"CAB")</f>
        <v>CAB</v>
      </c>
      <c r="D658" s="1" t="str">
        <f>IFERROR(__xludf.DUMMYFUNCTION("""COMPUTED_VALUE"""),"JACSON LUIZ MUNARO")</f>
        <v>JACSON LUIZ MUNARO</v>
      </c>
      <c r="E658" s="119" t="str">
        <f>IFERROR(__xludf.DUMMYFUNCTION("""COMPUTED_VALUE"""),"")</f>
        <v/>
      </c>
      <c r="F658" s="1" t="str">
        <f>IFERROR(__xludf.DUMMYFUNCTION("""COMPUTED_VALUE"""),"007.922.380-01")</f>
        <v>007.922.380-01</v>
      </c>
      <c r="G658" s="1">
        <f>IFERROR(__xludf.DUMMYFUNCTION("""COMPUTED_VALUE"""),9078048981)</f>
        <v>9078048981</v>
      </c>
      <c r="H658" s="1" t="str">
        <f>IFERROR(__xludf.DUMMYFUNCTION("""COMPUTED_VALUE"""),"Combatente")</f>
        <v>Combatente</v>
      </c>
      <c r="I658" s="1" t="str">
        <f>IFERROR(__xludf.DUMMYFUNCTION("""COMPUTED_VALUE"""),"Atendimento Suporte Básico de Vida")</f>
        <v>Atendimento Suporte Básico de Vida</v>
      </c>
      <c r="J658" s="1" t="str">
        <f>IFERROR(__xludf.DUMMYFUNCTION("""COMPUTED_VALUE"""),"Não")</f>
        <v>Não</v>
      </c>
      <c r="K658" s="1" t="str">
        <f>IFERROR(__xludf.DUMMYFUNCTION("""COMPUTED_VALUE"""),"Não")</f>
        <v>Não</v>
      </c>
      <c r="L658" s="1" t="str">
        <f>IFERROR(__xludf.DUMMYFUNCTION("""COMPUTED_VALUE"""),"A-")</f>
        <v>A-</v>
      </c>
      <c r="M658" s="1" t="str">
        <f>IFERROR(__xludf.DUMMYFUNCTION("""COMPUTED_VALUE"""),"JACSON")</f>
        <v>JACSON</v>
      </c>
      <c r="N658" s="121">
        <f>IFERROR(__xludf.DUMMYFUNCTION("""COMPUTED_VALUE"""),31342)</f>
        <v>31342</v>
      </c>
      <c r="O658" s="1" t="str">
        <f>IFERROR(__xludf.DUMMYFUNCTION("""COMPUTED_VALUE"""),"Masculino")</f>
        <v>Masculino</v>
      </c>
      <c r="P658" s="1" t="str">
        <f>IFERROR(__xludf.DUMMYFUNCTION("""COMPUTED_VALUE"""),"Branca")</f>
        <v>Branca</v>
      </c>
      <c r="Q658" s="1" t="str">
        <f>IFERROR(__xludf.DUMMYFUNCTION("""COMPUTED_VALUE"""),"Ensino Médio")</f>
        <v>Ensino Médio</v>
      </c>
      <c r="R658" s="1" t="str">
        <f>IFERROR(__xludf.DUMMYFUNCTION("""COMPUTED_VALUE"""),"munarojacson7@gmail.com")</f>
        <v>munarojacson7@gmail.com</v>
      </c>
      <c r="S658" s="1">
        <f>IFERROR(__xludf.DUMMYFUNCTION("""COMPUTED_VALUE"""),84)</f>
        <v>84</v>
      </c>
      <c r="T658" s="1" t="str">
        <f>IFERROR(__xludf.DUMMYFUNCTION("""COMPUTED_VALUE"""),"Menos de 1,49m")</f>
        <v>Menos de 1,49m</v>
      </c>
      <c r="U658" s="1"/>
      <c r="V658" s="1" t="str">
        <f>IFERROR(__xludf.DUMMYFUNCTION("""COMPUTED_VALUE"""),"(54)999462166")</f>
        <v>(54)999462166</v>
      </c>
      <c r="W658" s="1"/>
      <c r="X658" s="1" t="str">
        <f>IFERROR(__xludf.DUMMYFUNCTION("""COMPUTED_VALUE"""),"RS")</f>
        <v>RS</v>
      </c>
      <c r="Y658" s="1" t="str">
        <f>IFERROR(__xludf.DUMMYFUNCTION("""COMPUTED_VALUE"""),"Gaurama")</f>
        <v>Gaurama</v>
      </c>
      <c r="Z658" s="1">
        <f>IFERROR(__xludf.DUMMYFUNCTION("""COMPUTED_VALUE"""),99830000)</f>
        <v>99830000</v>
      </c>
      <c r="AA658" s="1" t="str">
        <f>IFERROR(__xludf.DUMMYFUNCTION("""COMPUTED_VALUE"""),"RUA GUILHERME FRANCESCON")</f>
        <v>RUA GUILHERME FRANCESCON</v>
      </c>
      <c r="AB658" s="1" t="str">
        <f>IFERROR(__xludf.DUMMYFUNCTION("""COMPUTED_VALUE"""),"CENTRO")</f>
        <v>CENTRO</v>
      </c>
      <c r="AC658" s="1" t="str">
        <f>IFERROR(__xludf.DUMMYFUNCTION("""COMPUTED_VALUE"""),"G")</f>
        <v>G</v>
      </c>
      <c r="AD658" s="1" t="str">
        <f>IFERROR(__xludf.DUMMYFUNCTION("""COMPUTED_VALUE"""),"G")</f>
        <v>G</v>
      </c>
      <c r="AE658" s="1" t="str">
        <f>IFERROR(__xludf.DUMMYFUNCTION("""COMPUTED_VALUE"""),"GG")</f>
        <v>GG</v>
      </c>
      <c r="AF658" s="1" t="str">
        <f>IFERROR(__xludf.DUMMYFUNCTION("""COMPUTED_VALUE"""),"G")</f>
        <v>G</v>
      </c>
      <c r="AG658" s="1" t="str">
        <f>IFERROR(__xludf.DUMMYFUNCTION("""COMPUTED_VALUE"""),"G")</f>
        <v>G</v>
      </c>
      <c r="AH658" s="1">
        <f>IFERROR(__xludf.DUMMYFUNCTION("""COMPUTED_VALUE"""),41)</f>
        <v>41</v>
      </c>
      <c r="AI658" s="1">
        <f>IFERROR(__xludf.DUMMYFUNCTION("""COMPUTED_VALUE"""),41)</f>
        <v>41</v>
      </c>
      <c r="AJ658" s="1">
        <f>IFERROR(__xludf.DUMMYFUNCTION("""COMPUTED_VALUE"""),41)</f>
        <v>41</v>
      </c>
      <c r="AK658" s="1">
        <f>IFERROR(__xludf.DUMMYFUNCTION("""COMPUTED_VALUE"""),41)</f>
        <v>41</v>
      </c>
      <c r="AL658" s="1" t="str">
        <f>IFERROR(__xludf.DUMMYFUNCTION("""COMPUTED_VALUE"""),"G")</f>
        <v>G</v>
      </c>
      <c r="AM658" s="1" t="str">
        <f>IFERROR(__xludf.DUMMYFUNCTION("""COMPUTED_VALUE"""),"G")</f>
        <v>G</v>
      </c>
      <c r="AN658" s="1" t="str">
        <f>IFERROR(__xludf.DUMMYFUNCTION("""COMPUTED_VALUE"""),"G")</f>
        <v>G</v>
      </c>
    </row>
    <row r="659" customHeight="1" spans="1:40">
      <c r="A659" s="1" t="str">
        <f>IFERROR(__xludf.DUMMYFUNCTION("""COMPUTED_VALUE"""),"07° BBM")</f>
        <v>07° BBM</v>
      </c>
      <c r="B659" s="1" t="str">
        <f>IFERROR(__xludf.DUMMYFUNCTION("""COMPUTED_VALUE"""),"GETULIO VARGAS")</f>
        <v>GETULIO VARGAS</v>
      </c>
      <c r="C659" s="119" t="str">
        <f>IFERROR(__xludf.DUMMYFUNCTION("""COMPUTED_VALUE"""),"Comunitário")</f>
        <v>Comunitário</v>
      </c>
      <c r="D659" s="1" t="str">
        <f>IFERROR(__xludf.DUMMYFUNCTION("""COMPUTED_VALUE"""),"JAIR MONTEMEZZO")</f>
        <v>JAIR MONTEMEZZO</v>
      </c>
      <c r="E659" s="119" t="str">
        <f>IFERROR(__xludf.DUMMYFUNCTION("""COMPUTED_VALUE"""),"")</f>
        <v/>
      </c>
      <c r="F659" s="1" t="str">
        <f>IFERROR(__xludf.DUMMYFUNCTION("""COMPUTED_VALUE"""),"495.237.400-91")</f>
        <v>495.237.400-91</v>
      </c>
      <c r="G659" s="1">
        <f>IFERROR(__xludf.DUMMYFUNCTION("""COMPUTED_VALUE"""),5039666648)</f>
        <v>5039666648</v>
      </c>
      <c r="H659" s="1" t="str">
        <f>IFERROR(__xludf.DUMMYFUNCTION("""COMPUTED_VALUE"""),"OP")</f>
        <v>OP</v>
      </c>
      <c r="I659" s="1"/>
      <c r="J659" s="1"/>
      <c r="K659" s="1"/>
      <c r="L659" s="1"/>
      <c r="M659" s="1"/>
      <c r="N659" s="121">
        <f>IFERROR(__xludf.DUMMYFUNCTION("""COMPUTED_VALUE"""),24780)</f>
        <v>24780</v>
      </c>
      <c r="O659" s="1" t="str">
        <f>IFERROR(__xludf.DUMMYFUNCTION("""COMPUTED_VALUE"""),"Masculino")</f>
        <v>Masculino</v>
      </c>
      <c r="P659" s="1"/>
      <c r="Q659" s="1"/>
      <c r="R659" s="1"/>
      <c r="S659" s="1"/>
      <c r="T659" s="1"/>
      <c r="U659" s="1"/>
      <c r="V659" s="1"/>
      <c r="W659" s="1"/>
      <c r="X659" s="1"/>
      <c r="Y659" s="1" t="str">
        <f>IFERROR(__xludf.DUMMYFUNCTION("""COMPUTED_VALUE"""),"Getúlio Vargas")</f>
        <v>Getúlio Vargas</v>
      </c>
      <c r="Z659" s="1"/>
      <c r="AA659" s="1"/>
      <c r="AB659" s="1"/>
      <c r="AC659" s="1"/>
      <c r="AD659" s="1"/>
      <c r="AE659" s="1"/>
      <c r="AF659" s="1"/>
      <c r="AG659" s="1" t="str">
        <f>IFERROR(__xludf.DUMMYFUNCTION("""COMPUTED_VALUE"""),"M")</f>
        <v>M</v>
      </c>
      <c r="AH659" s="1"/>
      <c r="AI659" s="1"/>
      <c r="AJ659" s="1"/>
      <c r="AK659" s="1"/>
      <c r="AL659" s="1" t="str">
        <f>IFERROR(__xludf.DUMMYFUNCTION("""COMPUTED_VALUE"""),"M")</f>
        <v>M</v>
      </c>
      <c r="AM659" s="1" t="str">
        <f>IFERROR(__xludf.DUMMYFUNCTION("""COMPUTED_VALUE"""),"M")</f>
        <v>M</v>
      </c>
      <c r="AN659" s="1" t="str">
        <f>IFERROR(__xludf.DUMMYFUNCTION("""COMPUTED_VALUE"""),"M")</f>
        <v>M</v>
      </c>
    </row>
    <row r="660" customHeight="1" spans="1:40">
      <c r="A660" s="1" t="str">
        <f>IFERROR(__xludf.DUMMYFUNCTION("""COMPUTED_VALUE"""),"07° BBM")</f>
        <v>07° BBM</v>
      </c>
      <c r="B660" s="1" t="str">
        <f>IFERROR(__xludf.DUMMYFUNCTION("""COMPUTED_VALUE"""),"Constantina")</f>
        <v>Constantina</v>
      </c>
      <c r="C660" s="119" t="str">
        <f>IFERROR(__xludf.DUMMYFUNCTION("""COMPUTED_VALUE"""),"CAB")</f>
        <v>CAB</v>
      </c>
      <c r="D660" s="1" t="str">
        <f>IFERROR(__xludf.DUMMYFUNCTION("""COMPUTED_VALUE"""),"JAIR SOARES")</f>
        <v>JAIR SOARES</v>
      </c>
      <c r="E660" s="119" t="str">
        <f>IFERROR(__xludf.DUMMYFUNCTION("""COMPUTED_VALUE"""),"")</f>
        <v/>
      </c>
      <c r="F660" s="1" t="str">
        <f>IFERROR(__xludf.DUMMYFUNCTION("""COMPUTED_VALUE"""),"656.161.030-04")</f>
        <v>656.161.030-04</v>
      </c>
      <c r="G660" s="1"/>
      <c r="H660" s="1" t="str">
        <f>IFERROR(__xludf.DUMMYFUNCTION("""COMPUTED_VALUE"""),"voluntário")</f>
        <v>voluntário</v>
      </c>
      <c r="I660" s="1"/>
      <c r="J660" s="1"/>
      <c r="K660" s="1"/>
      <c r="L660" s="1"/>
      <c r="M660" s="1" t="str">
        <f>IFERROR(__xludf.DUMMYFUNCTION("""COMPUTED_VALUE"""),"JAIR")</f>
        <v>JAIR</v>
      </c>
      <c r="N660" s="120">
        <f>IFERROR(__xludf.DUMMYFUNCTION("""COMPUTED_VALUE"""),26467)</f>
        <v>26467</v>
      </c>
      <c r="O660" s="1" t="str">
        <f>IFERROR(__xludf.DUMMYFUNCTION("""COMPUTED_VALUE"""),"M")</f>
        <v>M</v>
      </c>
      <c r="P660" s="1" t="str">
        <f>IFERROR(__xludf.DUMMYFUNCTION("""COMPUTED_VALUE"""),"PRETA")</f>
        <v>PRETA</v>
      </c>
      <c r="Q660" s="1" t="str">
        <f>IFERROR(__xludf.DUMMYFUNCTION("""COMPUTED_VALUE"""),"FUNDAMENTAL")</f>
        <v>FUNDAMENTAL</v>
      </c>
      <c r="R660" s="1" t="str">
        <f>IFERROR(__xludf.DUMMYFUNCTION("""COMPUTED_VALUE"""),"Obras@constantina.rs.gov.br")</f>
        <v>Obras@constantina.rs.gov.br</v>
      </c>
      <c r="S660" s="1">
        <f>IFERROR(__xludf.DUMMYFUNCTION("""COMPUTED_VALUE"""),70)</f>
        <v>70</v>
      </c>
      <c r="T660" s="1">
        <f>IFERROR(__xludf.DUMMYFUNCTION("""COMPUTED_VALUE"""),1.72)</f>
        <v>1.72</v>
      </c>
      <c r="U660" s="1" t="str">
        <f>IFERROR(__xludf.DUMMYFUNCTION("""COMPUTED_VALUE"""),"(54) 9 96494501")</f>
        <v>(54) 9 96494501</v>
      </c>
      <c r="V660" s="1"/>
      <c r="W660" s="1"/>
      <c r="X660" s="1" t="str">
        <f>IFERROR(__xludf.DUMMYFUNCTION("""COMPUTED_VALUE"""),"RS")</f>
        <v>RS</v>
      </c>
      <c r="Y660" s="1" t="str">
        <f>IFERROR(__xludf.DUMMYFUNCTION("""COMPUTED_VALUE"""),"Constantina")</f>
        <v>Constantina</v>
      </c>
      <c r="Z660" s="1" t="str">
        <f>IFERROR(__xludf.DUMMYFUNCTION("""COMPUTED_VALUE"""),"99680-000")</f>
        <v>99680-000</v>
      </c>
      <c r="AA660" s="1" t="str">
        <f>IFERROR(__xludf.DUMMYFUNCTION("""COMPUTED_VALUE"""),"Rua Erich Brandtner")</f>
        <v>Rua Erich Brandtner</v>
      </c>
      <c r="AB660" s="1" t="str">
        <f>IFERROR(__xludf.DUMMYFUNCTION("""COMPUTED_VALUE"""),"Bairro Florestal")</f>
        <v>Bairro Florestal</v>
      </c>
      <c r="AC660" s="1" t="str">
        <f>IFERROR(__xludf.DUMMYFUNCTION("""COMPUTED_VALUE"""),"G")</f>
        <v>G</v>
      </c>
      <c r="AD660" s="1" t="str">
        <f>IFERROR(__xludf.DUMMYFUNCTION("""COMPUTED_VALUE"""),"G")</f>
        <v>G</v>
      </c>
      <c r="AE660" s="1" t="str">
        <f>IFERROR(__xludf.DUMMYFUNCTION("""COMPUTED_VALUE"""),"G")</f>
        <v>G</v>
      </c>
      <c r="AF660" s="1" t="str">
        <f>IFERROR(__xludf.DUMMYFUNCTION("""COMPUTED_VALUE"""),"G")</f>
        <v>G</v>
      </c>
      <c r="AG660" s="1" t="str">
        <f>IFERROR(__xludf.DUMMYFUNCTION("""COMPUTED_VALUE"""),"G")</f>
        <v>G</v>
      </c>
      <c r="AH660" s="1">
        <f>IFERROR(__xludf.DUMMYFUNCTION("""COMPUTED_VALUE"""),41)</f>
        <v>41</v>
      </c>
      <c r="AI660" s="1">
        <f>IFERROR(__xludf.DUMMYFUNCTION("""COMPUTED_VALUE"""),41)</f>
        <v>41</v>
      </c>
      <c r="AJ660" s="1">
        <f>IFERROR(__xludf.DUMMYFUNCTION("""COMPUTED_VALUE"""),41)</f>
        <v>41</v>
      </c>
      <c r="AK660" s="1">
        <f>IFERROR(__xludf.DUMMYFUNCTION("""COMPUTED_VALUE"""),41)</f>
        <v>41</v>
      </c>
      <c r="AL660" s="1" t="str">
        <f>IFERROR(__xludf.DUMMYFUNCTION("""COMPUTED_VALUE"""),"G")</f>
        <v>G</v>
      </c>
      <c r="AM660" s="1" t="str">
        <f>IFERROR(__xludf.DUMMYFUNCTION("""COMPUTED_VALUE"""),"G")</f>
        <v>G</v>
      </c>
      <c r="AN660" s="1" t="str">
        <f>IFERROR(__xludf.DUMMYFUNCTION("""COMPUTED_VALUE"""),"G")</f>
        <v>G</v>
      </c>
    </row>
    <row r="661" customHeight="1" spans="1:40">
      <c r="A661" s="1" t="str">
        <f>IFERROR(__xludf.DUMMYFUNCTION("""COMPUTED_VALUE"""),"07° BBM")</f>
        <v>07° BBM</v>
      </c>
      <c r="B661" s="1" t="str">
        <f>IFERROR(__xludf.DUMMYFUNCTION("""COMPUTED_VALUE"""),"Serafina Corrêa")</f>
        <v>Serafina Corrêa</v>
      </c>
      <c r="C661" s="119" t="str">
        <f>IFERROR(__xludf.DUMMYFUNCTION("""COMPUTED_VALUE"""),"CAB")</f>
        <v>CAB</v>
      </c>
      <c r="D661" s="1" t="str">
        <f>IFERROR(__xludf.DUMMYFUNCTION("""COMPUTED_VALUE"""),"JAQUELINE MARIA ARALDI")</f>
        <v>JAQUELINE MARIA ARALDI</v>
      </c>
      <c r="E661" s="119" t="str">
        <f>IFERROR(__xludf.DUMMYFUNCTION("""COMPUTED_VALUE"""),"Módulo 1 concluído")</f>
        <v>Módulo 1 concluído</v>
      </c>
      <c r="F661" s="1" t="str">
        <f>IFERROR(__xludf.DUMMYFUNCTION("""COMPUTED_VALUE"""),"026.110.730-58")</f>
        <v>026.110.730-58</v>
      </c>
      <c r="G661" s="1">
        <f>IFERROR(__xludf.DUMMYFUNCTION("""COMPUTED_VALUE"""),1111083802)</f>
        <v>1111083802</v>
      </c>
      <c r="H661" s="1" t="str">
        <f>IFERROR(__xludf.DUMMYFUNCTION("""COMPUTED_VALUE"""),"CAB")</f>
        <v>CAB</v>
      </c>
      <c r="I661" s="1" t="str">
        <f>IFERROR(__xludf.DUMMYFUNCTION("""COMPUTED_VALUE"""),"Bombeiro Civil Classe I - 306 HORAS APH / BLS Primeira resposta em produtos perigosos - HAZMAT NR 10 NR 33 NR 35 Resgate de Passageiros Em Elevadores - Tyssen Kroup")</f>
        <v>Bombeiro Civil Classe I - 306 HORAS APH / BLS Primeira resposta em produtos perigosos - HAZMAT NR 10 NR 33 NR 35 Resgate de Passageiros Em Elevadores - Tyssen Kroup</v>
      </c>
      <c r="J661" s="1" t="str">
        <f>IFERROR(__xludf.DUMMYFUNCTION("""COMPUTED_VALUE"""),"Não")</f>
        <v>Não</v>
      </c>
      <c r="K661" s="1" t="str">
        <f>IFERROR(__xludf.DUMMYFUNCTION("""COMPUTED_VALUE"""),"Não")</f>
        <v>Não</v>
      </c>
      <c r="L661" s="1" t="str">
        <f>IFERROR(__xludf.DUMMYFUNCTION("""COMPUTED_VALUE"""),"A+")</f>
        <v>A+</v>
      </c>
      <c r="M661" s="1" t="str">
        <f>IFERROR(__xludf.DUMMYFUNCTION("""COMPUTED_VALUE"""),"Jaqueline")</f>
        <v>Jaqueline</v>
      </c>
      <c r="N661" s="120">
        <f>IFERROR(__xludf.DUMMYFUNCTION("""COMPUTED_VALUE"""),33467)</f>
        <v>33467</v>
      </c>
      <c r="O661" s="1" t="str">
        <f>IFERROR(__xludf.DUMMYFUNCTION("""COMPUTED_VALUE"""),"Feminino")</f>
        <v>Feminino</v>
      </c>
      <c r="P661" s="1" t="str">
        <f>IFERROR(__xludf.DUMMYFUNCTION("""COMPUTED_VALUE"""),"Branca")</f>
        <v>Branca</v>
      </c>
      <c r="Q661" s="1" t="str">
        <f>IFERROR(__xludf.DUMMYFUNCTION("""COMPUTED_VALUE"""),"Ensino Médio")</f>
        <v>Ensino Médio</v>
      </c>
      <c r="R661" s="1" t="str">
        <f>IFERROR(__xludf.DUMMYFUNCTION("""COMPUTED_VALUE"""),"jakearaldi1991@gmail.com")</f>
        <v>jakearaldi1991@gmail.com</v>
      </c>
      <c r="S661" s="1">
        <f>IFERROR(__xludf.DUMMYFUNCTION("""COMPUTED_VALUE"""),79)</f>
        <v>79</v>
      </c>
      <c r="T661" s="1" t="str">
        <f>IFERROR(__xludf.DUMMYFUNCTION("""COMPUTED_VALUE"""),"Entre 1,61m e 1,65m")</f>
        <v>Entre 1,61m e 1,65m</v>
      </c>
      <c r="U661" s="1"/>
      <c r="V661" s="1" t="str">
        <f>IFERROR(__xludf.DUMMYFUNCTION("""COMPUTED_VALUE"""),"(54)99162-6792")</f>
        <v>(54)99162-6792</v>
      </c>
      <c r="W661" s="1"/>
      <c r="X661" s="1" t="str">
        <f>IFERROR(__xludf.DUMMYFUNCTION("""COMPUTED_VALUE"""),"RS")</f>
        <v>RS</v>
      </c>
      <c r="Y661" s="1" t="str">
        <f>IFERROR(__xludf.DUMMYFUNCTION("""COMPUTED_VALUE"""),"Serafina Corrêa")</f>
        <v>Serafina Corrêa</v>
      </c>
      <c r="Z661" s="1" t="str">
        <f>IFERROR(__xludf.DUMMYFUNCTION("""COMPUTED_VALUE"""),"99250-000")</f>
        <v>99250-000</v>
      </c>
      <c r="AA661" s="1" t="str">
        <f>IFERROR(__xludf.DUMMYFUNCTION("""COMPUTED_VALUE"""),"Av.Da Felicidade, 15")</f>
        <v>Av.Da Felicidade, 15</v>
      </c>
      <c r="AB661" s="1" t="str">
        <f>IFERROR(__xludf.DUMMYFUNCTION("""COMPUTED_VALUE"""),"Verdes Vales")</f>
        <v>Verdes Vales</v>
      </c>
      <c r="AC661" s="1" t="str">
        <f>IFERROR(__xludf.DUMMYFUNCTION("""COMPUTED_VALUE"""),"G")</f>
        <v>G</v>
      </c>
      <c r="AD661" s="1" t="str">
        <f>IFERROR(__xludf.DUMMYFUNCTION("""COMPUTED_VALUE"""),"G")</f>
        <v>G</v>
      </c>
      <c r="AE661" s="1" t="str">
        <f>IFERROR(__xludf.DUMMYFUNCTION("""COMPUTED_VALUE"""),"M")</f>
        <v>M</v>
      </c>
      <c r="AF661" s="1" t="str">
        <f>IFERROR(__xludf.DUMMYFUNCTION("""COMPUTED_VALUE"""),"M")</f>
        <v>M</v>
      </c>
      <c r="AG661" s="1" t="str">
        <f>IFERROR(__xludf.DUMMYFUNCTION("""COMPUTED_VALUE"""),"G")</f>
        <v>G</v>
      </c>
      <c r="AH661" s="1">
        <f>IFERROR(__xludf.DUMMYFUNCTION("""COMPUTED_VALUE"""),39)</f>
        <v>39</v>
      </c>
      <c r="AI661" s="1">
        <f>IFERROR(__xludf.DUMMYFUNCTION("""COMPUTED_VALUE"""),39)</f>
        <v>39</v>
      </c>
      <c r="AJ661" s="1">
        <f>IFERROR(__xludf.DUMMYFUNCTION("""COMPUTED_VALUE"""),39)</f>
        <v>39</v>
      </c>
      <c r="AK661" s="1">
        <f>IFERROR(__xludf.DUMMYFUNCTION("""COMPUTED_VALUE"""),39)</f>
        <v>39</v>
      </c>
      <c r="AL661" s="1" t="str">
        <f>IFERROR(__xludf.DUMMYFUNCTION("""COMPUTED_VALUE"""),"M")</f>
        <v>M</v>
      </c>
      <c r="AM661" s="1" t="str">
        <f>IFERROR(__xludf.DUMMYFUNCTION("""COMPUTED_VALUE"""),"M")</f>
        <v>M</v>
      </c>
      <c r="AN661" s="1" t="str">
        <f>IFERROR(__xludf.DUMMYFUNCTION("""COMPUTED_VALUE"""),"G")</f>
        <v>G</v>
      </c>
    </row>
    <row r="662" customHeight="1" spans="1:40">
      <c r="A662" s="1" t="str">
        <f>IFERROR(__xludf.DUMMYFUNCTION("""COMPUTED_VALUE"""),"07° BBM")</f>
        <v>07° BBM</v>
      </c>
      <c r="B662" s="1" t="str">
        <f>IFERROR(__xludf.DUMMYFUNCTION("""COMPUTED_VALUE"""),"Aratiba")</f>
        <v>Aratiba</v>
      </c>
      <c r="C662" s="119" t="str">
        <f>IFERROR(__xludf.DUMMYFUNCTION("""COMPUTED_VALUE"""),"CAB")</f>
        <v>CAB</v>
      </c>
      <c r="D662" s="1" t="str">
        <f>IFERROR(__xludf.DUMMYFUNCTION("""COMPUTED_VALUE"""),"JEAN CARLOS SOTORIVA")</f>
        <v>JEAN CARLOS SOTORIVA</v>
      </c>
      <c r="E662" s="119" t="str">
        <f>IFERROR(__xludf.DUMMYFUNCTION("""COMPUTED_VALUE"""),"Módulo 1 concluído")</f>
        <v>Módulo 1 concluído</v>
      </c>
      <c r="F662" s="1" t="str">
        <f>IFERROR(__xludf.DUMMYFUNCTION("""COMPUTED_VALUE"""),"015.278.770-43")</f>
        <v>015.278.770-43</v>
      </c>
      <c r="G662" s="1">
        <f>IFERROR(__xludf.DUMMYFUNCTION("""COMPUTED_VALUE"""),1086030705)</f>
        <v>1086030705</v>
      </c>
      <c r="H662" s="1" t="str">
        <f>IFERROR(__xludf.DUMMYFUNCTION("""COMPUTED_VALUE"""),"Bombeiro Voluntario")</f>
        <v>Bombeiro Voluntario</v>
      </c>
      <c r="I662" s="1" t="str">
        <f>IFERROR(__xludf.DUMMYFUNCTION("""COMPUTED_VALUE"""),"Curso de APH")</f>
        <v>Curso de APH</v>
      </c>
      <c r="J662" s="1" t="str">
        <f>IFERROR(__xludf.DUMMYFUNCTION("""COMPUTED_VALUE"""),"Não")</f>
        <v>Não</v>
      </c>
      <c r="K662" s="1" t="str">
        <f>IFERROR(__xludf.DUMMYFUNCTION("""COMPUTED_VALUE"""),"Não")</f>
        <v>Não</v>
      </c>
      <c r="L662" s="1" t="str">
        <f>IFERROR(__xludf.DUMMYFUNCTION("""COMPUTED_VALUE"""),"A+")</f>
        <v>A+</v>
      </c>
      <c r="M662" s="1" t="str">
        <f>IFERROR(__xludf.DUMMYFUNCTION("""COMPUTED_VALUE"""),"JEAN")</f>
        <v>JEAN</v>
      </c>
      <c r="N662" s="121">
        <f>IFERROR(__xludf.DUMMYFUNCTION("""COMPUTED_VALUE"""),31361)</f>
        <v>31361</v>
      </c>
      <c r="O662" s="1" t="str">
        <f>IFERROR(__xludf.DUMMYFUNCTION("""COMPUTED_VALUE"""),"Masculino")</f>
        <v>Masculino</v>
      </c>
      <c r="P662" s="1" t="str">
        <f>IFERROR(__xludf.DUMMYFUNCTION("""COMPUTED_VALUE"""),"Branca")</f>
        <v>Branca</v>
      </c>
      <c r="Q662" s="1" t="str">
        <f>IFERROR(__xludf.DUMMYFUNCTION("""COMPUTED_VALUE"""),"Ensino Médio")</f>
        <v>Ensino Médio</v>
      </c>
      <c r="R662" s="1" t="str">
        <f>IFERROR(__xludf.DUMMYFUNCTION("""COMPUTED_VALUE"""),"sotorivajean@gmail.com")</f>
        <v>sotorivajean@gmail.com</v>
      </c>
      <c r="S662" s="1">
        <f>IFERROR(__xludf.DUMMYFUNCTION("""COMPUTED_VALUE"""),102)</f>
        <v>102</v>
      </c>
      <c r="T662" s="1" t="str">
        <f>IFERROR(__xludf.DUMMYFUNCTION("""COMPUTED_VALUE"""),"Entre 1,81m e 1,85m")</f>
        <v>Entre 1,81m e 1,85m</v>
      </c>
      <c r="U662" s="1"/>
      <c r="V662" s="1" t="str">
        <f>IFERROR(__xludf.DUMMYFUNCTION("""COMPUTED_VALUE"""),"(54)991030057")</f>
        <v>(54)991030057</v>
      </c>
      <c r="W662" s="1" t="str">
        <f>IFERROR(__xludf.DUMMYFUNCTION("""COMPUTED_VALUE"""),"(54)991030057")</f>
        <v>(54)991030057</v>
      </c>
      <c r="X662" s="1" t="str">
        <f>IFERROR(__xludf.DUMMYFUNCTION("""COMPUTED_VALUE"""),"RS")</f>
        <v>RS</v>
      </c>
      <c r="Y662" s="1" t="str">
        <f>IFERROR(__xludf.DUMMYFUNCTION("""COMPUTED_VALUE"""),"Aratiba")</f>
        <v>Aratiba</v>
      </c>
      <c r="Z662" s="1">
        <f>IFERROR(__xludf.DUMMYFUNCTION("""COMPUTED_VALUE"""),99770000)</f>
        <v>99770000</v>
      </c>
      <c r="AA662" s="1" t="str">
        <f>IFERROR(__xludf.DUMMYFUNCTION("""COMPUTED_VALUE"""),"Rua Santo João Lando, 377")</f>
        <v>Rua Santo João Lando, 377</v>
      </c>
      <c r="AB662" s="1" t="str">
        <f>IFERROR(__xludf.DUMMYFUNCTION("""COMPUTED_VALUE"""),"Jardim ABC")</f>
        <v>Jardim ABC</v>
      </c>
      <c r="AC662" s="1" t="str">
        <f>IFERROR(__xludf.DUMMYFUNCTION("""COMPUTED_VALUE"""),"GG")</f>
        <v>GG</v>
      </c>
      <c r="AD662" s="1" t="str">
        <f>IFERROR(__xludf.DUMMYFUNCTION("""COMPUTED_VALUE"""),"GG")</f>
        <v>GG</v>
      </c>
      <c r="AE662" s="1" t="str">
        <f>IFERROR(__xludf.DUMMYFUNCTION("""COMPUTED_VALUE"""),"GG")</f>
        <v>GG</v>
      </c>
      <c r="AF662" s="1" t="str">
        <f>IFERROR(__xludf.DUMMYFUNCTION("""COMPUTED_VALUE"""),"GG")</f>
        <v>GG</v>
      </c>
      <c r="AG662" s="1" t="str">
        <f>IFERROR(__xludf.DUMMYFUNCTION("""COMPUTED_VALUE"""),"GG")</f>
        <v>GG</v>
      </c>
      <c r="AH662" s="1">
        <f>IFERROR(__xludf.DUMMYFUNCTION("""COMPUTED_VALUE"""),43)</f>
        <v>43</v>
      </c>
      <c r="AI662" s="1">
        <f>IFERROR(__xludf.DUMMYFUNCTION("""COMPUTED_VALUE"""),43)</f>
        <v>43</v>
      </c>
      <c r="AJ662" s="1">
        <f>IFERROR(__xludf.DUMMYFUNCTION("""COMPUTED_VALUE"""),43)</f>
        <v>43</v>
      </c>
      <c r="AK662" s="1">
        <f>IFERROR(__xludf.DUMMYFUNCTION("""COMPUTED_VALUE"""),43)</f>
        <v>43</v>
      </c>
      <c r="AL662" s="1" t="str">
        <f>IFERROR(__xludf.DUMMYFUNCTION("""COMPUTED_VALUE"""),"GG")</f>
        <v>GG</v>
      </c>
      <c r="AM662" s="1" t="str">
        <f>IFERROR(__xludf.DUMMYFUNCTION("""COMPUTED_VALUE"""),"GG")</f>
        <v>GG</v>
      </c>
      <c r="AN662" s="1" t="str">
        <f>IFERROR(__xludf.DUMMYFUNCTION("""COMPUTED_VALUE"""),"GG")</f>
        <v>GG</v>
      </c>
    </row>
    <row r="663" customHeight="1" spans="1:40">
      <c r="A663" s="1" t="str">
        <f>IFERROR(__xludf.DUMMYFUNCTION("""COMPUTED_VALUE"""),"07° BBM")</f>
        <v>07° BBM</v>
      </c>
      <c r="B663" s="1" t="str">
        <f>IFERROR(__xludf.DUMMYFUNCTION("""COMPUTED_VALUE"""),"Serafina Corrêa")</f>
        <v>Serafina Corrêa</v>
      </c>
      <c r="C663" s="119" t="str">
        <f>IFERROR(__xludf.DUMMYFUNCTION("""COMPUTED_VALUE"""),"CAB")</f>
        <v>CAB</v>
      </c>
      <c r="D663" s="1" t="str">
        <f>IFERROR(__xludf.DUMMYFUNCTION("""COMPUTED_VALUE"""),"JEFERSON MOSER")</f>
        <v>JEFERSON MOSER</v>
      </c>
      <c r="E663" s="119" t="str">
        <f>IFERROR(__xludf.DUMMYFUNCTION("""COMPUTED_VALUE"""),"Módulo 1 concluído")</f>
        <v>Módulo 1 concluído</v>
      </c>
      <c r="F663" s="1" t="str">
        <f>IFERROR(__xludf.DUMMYFUNCTION("""COMPUTED_VALUE"""),"013.608.560-13")</f>
        <v>013.608.560-13</v>
      </c>
      <c r="G663" s="1">
        <f>IFERROR(__xludf.DUMMYFUNCTION("""COMPUTED_VALUE"""),7101229057)</f>
        <v>7101229057</v>
      </c>
      <c r="H663" s="1" t="str">
        <f>IFERROR(__xludf.DUMMYFUNCTION("""COMPUTED_VALUE"""),"CAB CHEFE DE SOCORRO")</f>
        <v>CAB CHEFE DE SOCORRO</v>
      </c>
      <c r="I663" s="1" t="str">
        <f>IFERROR(__xludf.DUMMYFUNCTION("""COMPUTED_VALUE"""),"Bombeiro Civil Classe I - 306 HORAS CEVTE - Condutor de veiculo de emergencia - SEST/SENAT APH / BLS Primeira resposta em produtos perigosos - HAZMAT NR 10 NR 33 NR 35 Resgate de Passageiros Em Elevadores - Tyssen Kroup")</f>
        <v>Bombeiro Civil Classe I - 306 HORAS CEVTE - Condutor de veiculo de emergencia - SEST/SENAT APH / BLS Primeira resposta em produtos perigosos - HAZMAT NR 10 NR 33 NR 35 Resgate de Passageiros Em Elevadores - Tyssen Kroup</v>
      </c>
      <c r="J663" s="1" t="str">
        <f>IFERROR(__xludf.DUMMYFUNCTION("""COMPUTED_VALUE"""),"Não")</f>
        <v>Não</v>
      </c>
      <c r="K663" s="1" t="str">
        <f>IFERROR(__xludf.DUMMYFUNCTION("""COMPUTED_VALUE"""),"Não")</f>
        <v>Não</v>
      </c>
      <c r="L663" s="1" t="str">
        <f>IFERROR(__xludf.DUMMYFUNCTION("""COMPUTED_VALUE"""),"O+")</f>
        <v>O+</v>
      </c>
      <c r="M663" s="1" t="str">
        <f>IFERROR(__xludf.DUMMYFUNCTION("""COMPUTED_VALUE"""),"Moser")</f>
        <v>Moser</v>
      </c>
      <c r="N663" s="121">
        <f>IFERROR(__xludf.DUMMYFUNCTION("""COMPUTED_VALUE"""),32806)</f>
        <v>32806</v>
      </c>
      <c r="O663" s="1" t="str">
        <f>IFERROR(__xludf.DUMMYFUNCTION("""COMPUTED_VALUE"""),"Masculino")</f>
        <v>Masculino</v>
      </c>
      <c r="P663" s="1" t="str">
        <f>IFERROR(__xludf.DUMMYFUNCTION("""COMPUTED_VALUE"""),"Branca")</f>
        <v>Branca</v>
      </c>
      <c r="Q663" s="1" t="str">
        <f>IFERROR(__xludf.DUMMYFUNCTION("""COMPUTED_VALUE"""),"Ensino Superior Incompleto")</f>
        <v>Ensino Superior Incompleto</v>
      </c>
      <c r="R663" s="1" t="str">
        <f>IFERROR(__xludf.DUMMYFUNCTION("""COMPUTED_VALUE"""),"jefersonmoser01@yahoo.com.br")</f>
        <v>jefersonmoser01@yahoo.com.br</v>
      </c>
      <c r="S663" s="1">
        <f>IFERROR(__xludf.DUMMYFUNCTION("""COMPUTED_VALUE"""),106)</f>
        <v>106</v>
      </c>
      <c r="T663" s="1" t="str">
        <f>IFERROR(__xludf.DUMMYFUNCTION("""COMPUTED_VALUE"""),"Entre 1,81m e 1,85m")</f>
        <v>Entre 1,81m e 1,85m</v>
      </c>
      <c r="U663" s="1"/>
      <c r="V663" s="1" t="str">
        <f>IFERROR(__xludf.DUMMYFUNCTION("""COMPUTED_VALUE"""),"(54)98100-0572")</f>
        <v>(54)98100-0572</v>
      </c>
      <c r="W663" s="1" t="str">
        <f>IFERROR(__xludf.DUMMYFUNCTION("""COMPUTED_VALUE"""),"(54)99651-4719")</f>
        <v>(54)99651-4719</v>
      </c>
      <c r="X663" s="1" t="str">
        <f>IFERROR(__xludf.DUMMYFUNCTION("""COMPUTED_VALUE"""),"RS")</f>
        <v>RS</v>
      </c>
      <c r="Y663" s="1" t="str">
        <f>IFERROR(__xludf.DUMMYFUNCTION("""COMPUTED_VALUE"""),"Serafina Corrêa")</f>
        <v>Serafina Corrêa</v>
      </c>
      <c r="Z663" s="1" t="str">
        <f>IFERROR(__xludf.DUMMYFUNCTION("""COMPUTED_VALUE"""),"99250-000")</f>
        <v>99250-000</v>
      </c>
      <c r="AA663" s="1" t="str">
        <f>IFERROR(__xludf.DUMMYFUNCTION("""COMPUTED_VALUE"""),"Rua Via Verona, 1067")</f>
        <v>Rua Via Verona, 1067</v>
      </c>
      <c r="AB663" s="1" t="str">
        <f>IFERROR(__xludf.DUMMYFUNCTION("""COMPUTED_VALUE"""),"Monte grappa")</f>
        <v>Monte grappa</v>
      </c>
      <c r="AC663" s="1" t="str">
        <f>IFERROR(__xludf.DUMMYFUNCTION("""COMPUTED_VALUE"""),"GG")</f>
        <v>GG</v>
      </c>
      <c r="AD663" s="1" t="str">
        <f>IFERROR(__xludf.DUMMYFUNCTION("""COMPUTED_VALUE"""),"GG")</f>
        <v>GG</v>
      </c>
      <c r="AE663" s="1" t="str">
        <f>IFERROR(__xludf.DUMMYFUNCTION("""COMPUTED_VALUE"""),"GG")</f>
        <v>GG</v>
      </c>
      <c r="AF663" s="1" t="str">
        <f>IFERROR(__xludf.DUMMYFUNCTION("""COMPUTED_VALUE"""),"GG")</f>
        <v>GG</v>
      </c>
      <c r="AG663" s="1" t="str">
        <f>IFERROR(__xludf.DUMMYFUNCTION("""COMPUTED_VALUE"""),"GG")</f>
        <v>GG</v>
      </c>
      <c r="AH663" s="1">
        <f>IFERROR(__xludf.DUMMYFUNCTION("""COMPUTED_VALUE"""),43)</f>
        <v>43</v>
      </c>
      <c r="AI663" s="1">
        <f>IFERROR(__xludf.DUMMYFUNCTION("""COMPUTED_VALUE"""),43)</f>
        <v>43</v>
      </c>
      <c r="AJ663" s="1">
        <f>IFERROR(__xludf.DUMMYFUNCTION("""COMPUTED_VALUE"""),43)</f>
        <v>43</v>
      </c>
      <c r="AK663" s="1">
        <f>IFERROR(__xludf.DUMMYFUNCTION("""COMPUTED_VALUE"""),43)</f>
        <v>43</v>
      </c>
      <c r="AL663" s="1" t="str">
        <f>IFERROR(__xludf.DUMMYFUNCTION("""COMPUTED_VALUE"""),"GG")</f>
        <v>GG</v>
      </c>
      <c r="AM663" s="1" t="str">
        <f>IFERROR(__xludf.DUMMYFUNCTION("""COMPUTED_VALUE"""),"GG")</f>
        <v>GG</v>
      </c>
      <c r="AN663" s="1" t="str">
        <f>IFERROR(__xludf.DUMMYFUNCTION("""COMPUTED_VALUE"""),"GG")</f>
        <v>GG</v>
      </c>
    </row>
    <row r="664" customHeight="1" spans="1:40">
      <c r="A664" s="1" t="str">
        <f>IFERROR(__xludf.DUMMYFUNCTION("""COMPUTED_VALUE"""),"07° BBM")</f>
        <v>07° BBM</v>
      </c>
      <c r="B664" s="1" t="str">
        <f>IFERROR(__xludf.DUMMYFUNCTION("""COMPUTED_VALUE"""),"Serafina Corrêa")</f>
        <v>Serafina Corrêa</v>
      </c>
      <c r="C664" s="119" t="str">
        <f>IFERROR(__xludf.DUMMYFUNCTION("""COMPUTED_VALUE"""),"CAB")</f>
        <v>CAB</v>
      </c>
      <c r="D664" s="1" t="str">
        <f>IFERROR(__xludf.DUMMYFUNCTION("""COMPUTED_VALUE"""),"JESSICA DE FATIMA ERCICO DUARTE")</f>
        <v>JESSICA DE FATIMA ERCICO DUARTE</v>
      </c>
      <c r="E664" s="119" t="str">
        <f>IFERROR(__xludf.DUMMYFUNCTION("""COMPUTED_VALUE"""),"")</f>
        <v/>
      </c>
      <c r="F664" s="1" t="str">
        <f>IFERROR(__xludf.DUMMYFUNCTION("""COMPUTED_VALUE"""),"033.829.490-24")</f>
        <v>033.829.490-24</v>
      </c>
      <c r="G664" s="1">
        <f>IFERROR(__xludf.DUMMYFUNCTION("""COMPUTED_VALUE"""),7103212093)</f>
        <v>7103212093</v>
      </c>
      <c r="H664" s="1" t="str">
        <f>IFERROR(__xludf.DUMMYFUNCTION("""COMPUTED_VALUE"""),"CAB")</f>
        <v>CAB</v>
      </c>
      <c r="I664" s="1" t="str">
        <f>IFERROR(__xludf.DUMMYFUNCTION("""COMPUTED_VALUE"""),"Bombeiro Civil Classe I - 306 HORAS APH / BLS Primeira resposta em produtos perigosos - HAZMAT NR 10 NR 33 NR 35 Resgate de Passageiros Em Elevadores - Tyssen Kroup")</f>
        <v>Bombeiro Civil Classe I - 306 HORAS APH / BLS Primeira resposta em produtos perigosos - HAZMAT NR 10 NR 33 NR 35 Resgate de Passageiros Em Elevadores - Tyssen Kroup</v>
      </c>
      <c r="J664" s="1" t="str">
        <f>IFERROR(__xludf.DUMMYFUNCTION("""COMPUTED_VALUE"""),"Não")</f>
        <v>Não</v>
      </c>
      <c r="K664" s="1" t="str">
        <f>IFERROR(__xludf.DUMMYFUNCTION("""COMPUTED_VALUE"""),"Não")</f>
        <v>Não</v>
      </c>
      <c r="L664" s="1" t="str">
        <f>IFERROR(__xludf.DUMMYFUNCTION("""COMPUTED_VALUE"""),"O+")</f>
        <v>O+</v>
      </c>
      <c r="M664" s="1" t="str">
        <f>IFERROR(__xludf.DUMMYFUNCTION("""COMPUTED_VALUE"""),"Jessica")</f>
        <v>Jessica</v>
      </c>
      <c r="N664" s="120">
        <f>IFERROR(__xludf.DUMMYFUNCTION("""COMPUTED_VALUE"""),36661)</f>
        <v>36661</v>
      </c>
      <c r="O664" s="1" t="str">
        <f>IFERROR(__xludf.DUMMYFUNCTION("""COMPUTED_VALUE"""),"Feminino")</f>
        <v>Feminino</v>
      </c>
      <c r="P664" s="1" t="str">
        <f>IFERROR(__xludf.DUMMYFUNCTION("""COMPUTED_VALUE"""),"Branca")</f>
        <v>Branca</v>
      </c>
      <c r="Q664" s="1" t="str">
        <f>IFERROR(__xludf.DUMMYFUNCTION("""COMPUTED_VALUE"""),"Ensino Médio")</f>
        <v>Ensino Médio</v>
      </c>
      <c r="R664" s="1" t="str">
        <f>IFERROR(__xludf.DUMMYFUNCTION("""COMPUTED_VALUE"""),"ercicojessica@gmail.com")</f>
        <v>ercicojessica@gmail.com</v>
      </c>
      <c r="S664" s="1">
        <f>IFERROR(__xludf.DUMMYFUNCTION("""COMPUTED_VALUE"""),60)</f>
        <v>60</v>
      </c>
      <c r="T664" s="1" t="str">
        <f>IFERROR(__xludf.DUMMYFUNCTION("""COMPUTED_VALUE"""),"Entre 1,61m e 1,65m")</f>
        <v>Entre 1,61m e 1,65m</v>
      </c>
      <c r="U664" s="1"/>
      <c r="V664" s="1" t="str">
        <f>IFERROR(__xludf.DUMMYFUNCTION("""COMPUTED_VALUE"""),"(55)99101-5651")</f>
        <v>(55)99101-5651</v>
      </c>
      <c r="W664" s="1"/>
      <c r="X664" s="1" t="str">
        <f>IFERROR(__xludf.DUMMYFUNCTION("""COMPUTED_VALUE"""),"RS")</f>
        <v>RS</v>
      </c>
      <c r="Y664" s="1" t="str">
        <f>IFERROR(__xludf.DUMMYFUNCTION("""COMPUTED_VALUE"""),"Serafina Corrêa")</f>
        <v>Serafina Corrêa</v>
      </c>
      <c r="Z664" s="1" t="str">
        <f>IFERROR(__xludf.DUMMYFUNCTION("""COMPUTED_VALUE"""),"99250-000")</f>
        <v>99250-000</v>
      </c>
      <c r="AA664" s="1" t="str">
        <f>IFERROR(__xludf.DUMMYFUNCTION("""COMPUTED_VALUE"""),"Rua Pedro Soccol, 1460")</f>
        <v>Rua Pedro Soccol, 1460</v>
      </c>
      <c r="AB664" s="1" t="str">
        <f>IFERROR(__xludf.DUMMYFUNCTION("""COMPUTED_VALUE"""),"Planalto")</f>
        <v>Planalto</v>
      </c>
      <c r="AC664" s="1" t="str">
        <f>IFERROR(__xludf.DUMMYFUNCTION("""COMPUTED_VALUE"""),"M")</f>
        <v>M</v>
      </c>
      <c r="AD664" s="1" t="str">
        <f>IFERROR(__xludf.DUMMYFUNCTION("""COMPUTED_VALUE"""),"M")</f>
        <v>M</v>
      </c>
      <c r="AE664" s="1" t="str">
        <f>IFERROR(__xludf.DUMMYFUNCTION("""COMPUTED_VALUE"""),"M")</f>
        <v>M</v>
      </c>
      <c r="AF664" s="1" t="str">
        <f>IFERROR(__xludf.DUMMYFUNCTION("""COMPUTED_VALUE"""),"M")</f>
        <v>M</v>
      </c>
      <c r="AG664" s="1" t="str">
        <f>IFERROR(__xludf.DUMMYFUNCTION("""COMPUTED_VALUE"""),"M")</f>
        <v>M</v>
      </c>
      <c r="AH664" s="1">
        <f>IFERROR(__xludf.DUMMYFUNCTION("""COMPUTED_VALUE"""),39)</f>
        <v>39</v>
      </c>
      <c r="AI664" s="1">
        <f>IFERROR(__xludf.DUMMYFUNCTION("""COMPUTED_VALUE"""),39)</f>
        <v>39</v>
      </c>
      <c r="AJ664" s="1">
        <f>IFERROR(__xludf.DUMMYFUNCTION("""COMPUTED_VALUE"""),39)</f>
        <v>39</v>
      </c>
      <c r="AK664" s="1">
        <f>IFERROR(__xludf.DUMMYFUNCTION("""COMPUTED_VALUE"""),39)</f>
        <v>39</v>
      </c>
      <c r="AL664" s="1" t="str">
        <f>IFERROR(__xludf.DUMMYFUNCTION("""COMPUTED_VALUE"""),"M")</f>
        <v>M</v>
      </c>
      <c r="AM664" s="1" t="str">
        <f>IFERROR(__xludf.DUMMYFUNCTION("""COMPUTED_VALUE"""),"M")</f>
        <v>M</v>
      </c>
      <c r="AN664" s="1" t="str">
        <f>IFERROR(__xludf.DUMMYFUNCTION("""COMPUTED_VALUE"""),"M")</f>
        <v>M</v>
      </c>
    </row>
    <row r="665" customHeight="1" spans="1:40">
      <c r="A665" s="1"/>
      <c r="B665" s="1"/>
      <c r="C665" s="119"/>
      <c r="D665" s="1" t="str">
        <f>IFERROR(__xludf.DUMMYFUNCTION("""COMPUTED_VALUE"""),"JÉSSICA DE FÁTIMA ERCICO DUARTE")</f>
        <v>JÉSSICA DE FÁTIMA ERCICO DUARTE</v>
      </c>
      <c r="E665" s="1" t="str">
        <f>IFERROR(__xludf.DUMMYFUNCTION("""COMPUTED_VALUE"""),"Módulo 1 concluído")</f>
        <v>Módulo 1 concluído</v>
      </c>
      <c r="F665" s="1" t="str">
        <f>IFERROR(__xludf.DUMMYFUNCTION("""COMPUTED_VALUE"""),"033.729.490-24")</f>
        <v>033.729.490-24</v>
      </c>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row>
    <row r="666" customHeight="1" spans="1:40">
      <c r="A666" s="1" t="str">
        <f>IFERROR(__xludf.DUMMYFUNCTION("""COMPUTED_VALUE"""),"07° BBM")</f>
        <v>07° BBM</v>
      </c>
      <c r="B666" s="1" t="str">
        <f>IFERROR(__xludf.DUMMYFUNCTION("""COMPUTED_VALUE"""),"Não-Me-Toque")</f>
        <v>Não-Me-Toque</v>
      </c>
      <c r="C666" s="119" t="str">
        <f>IFERROR(__xludf.DUMMYFUNCTION("""COMPUTED_VALUE"""),"CAB")</f>
        <v>CAB</v>
      </c>
      <c r="D666" s="1" t="str">
        <f>IFERROR(__xludf.DUMMYFUNCTION("""COMPUTED_VALUE"""),"JOANES VOLNEI PENA DOS SANTOS")</f>
        <v>JOANES VOLNEI PENA DOS SANTOS</v>
      </c>
      <c r="E666" s="119" t="str">
        <f>IFERROR(__xludf.DUMMYFUNCTION("""COMPUTED_VALUE"""),"")</f>
        <v/>
      </c>
      <c r="F666" s="1"/>
      <c r="G666" s="1"/>
      <c r="H666" s="1"/>
      <c r="I666" s="1"/>
      <c r="J666" s="1"/>
      <c r="K666" s="1"/>
      <c r="L666" s="1"/>
      <c r="M666" s="1"/>
      <c r="N666" s="120"/>
      <c r="O666" s="1"/>
      <c r="P666" s="1"/>
      <c r="Q666" s="1"/>
      <c r="R666" s="1"/>
      <c r="S666" s="1"/>
      <c r="T666" s="1"/>
      <c r="U666" s="1"/>
      <c r="V666" s="1"/>
      <c r="W666" s="1"/>
      <c r="X666" s="1"/>
      <c r="Y666" s="1"/>
      <c r="Z666" s="1"/>
      <c r="AA666" s="1"/>
      <c r="AB666" s="1"/>
      <c r="AC666" s="1"/>
      <c r="AD666" s="1"/>
      <c r="AE666" s="1"/>
      <c r="AF666" s="1"/>
      <c r="AG666" s="1" t="str">
        <f>IFERROR(__xludf.DUMMYFUNCTION("""COMPUTED_VALUE"""),"GG")</f>
        <v>GG</v>
      </c>
      <c r="AH666" s="1">
        <f>IFERROR(__xludf.DUMMYFUNCTION("""COMPUTED_VALUE"""),40)</f>
        <v>40</v>
      </c>
      <c r="AI666" s="1"/>
      <c r="AJ666" s="1"/>
      <c r="AK666" s="1"/>
      <c r="AL666" s="1" t="str">
        <f>IFERROR(__xludf.DUMMYFUNCTION("""COMPUTED_VALUE"""),"GG")</f>
        <v>GG</v>
      </c>
      <c r="AM666" s="1" t="str">
        <f>IFERROR(__xludf.DUMMYFUNCTION("""COMPUTED_VALUE"""),"GG")</f>
        <v>GG</v>
      </c>
      <c r="AN666" s="1" t="str">
        <f>IFERROR(__xludf.DUMMYFUNCTION("""COMPUTED_VALUE"""),"GG")</f>
        <v>GG</v>
      </c>
    </row>
    <row r="667" customHeight="1" spans="1:40">
      <c r="A667" s="1" t="str">
        <f>IFERROR(__xludf.DUMMYFUNCTION("""COMPUTED_VALUE"""),"07° BBM")</f>
        <v>07° BBM</v>
      </c>
      <c r="B667" s="1" t="str">
        <f>IFERROR(__xludf.DUMMYFUNCTION("""COMPUTED_VALUE"""),"Jacutinga")</f>
        <v>Jacutinga</v>
      </c>
      <c r="C667" s="119" t="str">
        <f>IFERROR(__xludf.DUMMYFUNCTION("""COMPUTED_VALUE"""),"CAB")</f>
        <v>CAB</v>
      </c>
      <c r="D667" s="1" t="str">
        <f>IFERROR(__xludf.DUMMYFUNCTION("""COMPUTED_VALUE"""),"JOÃO CARLOS MOTDKOWSKI")</f>
        <v>JOÃO CARLOS MOTDKOWSKI</v>
      </c>
      <c r="E667" s="119" t="str">
        <f>IFERROR(__xludf.DUMMYFUNCTION("""COMPUTED_VALUE"""),"Módulo 1 concluído")</f>
        <v>Módulo 1 concluído</v>
      </c>
      <c r="F667" s="1" t="str">
        <f>IFERROR(__xludf.DUMMYFUNCTION("""COMPUTED_VALUE"""),"921.940.520-20")</f>
        <v>921.940.520-20</v>
      </c>
      <c r="G667" s="1">
        <f>IFERROR(__xludf.DUMMYFUNCTION("""COMPUTED_VALUE"""),7073470697)</f>
        <v>7073470697</v>
      </c>
      <c r="H667" s="1" t="str">
        <f>IFERROR(__xludf.DUMMYFUNCTION("""COMPUTED_VALUE"""),"Sub-comandante")</f>
        <v>Sub-comandante</v>
      </c>
      <c r="I667" s="1" t="str">
        <f>IFERROR(__xludf.DUMMYFUNCTION("""COMPUTED_VALUE"""),"TREINAMENTOS EM APH, RESGATE VEICULAR E PREVENÇÃO E COMBATE A INCENDIOS")</f>
        <v>TREINAMENTOS EM APH, RESGATE VEICULAR E PREVENÇÃO E COMBATE A INCENDIOS</v>
      </c>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row>
    <row r="668" customHeight="1" spans="1:40">
      <c r="A668" s="1" t="str">
        <f>IFERROR(__xludf.DUMMYFUNCTION("""COMPUTED_VALUE"""),"07° BBM")</f>
        <v>07° BBM</v>
      </c>
      <c r="B668" s="1" t="str">
        <f>IFERROR(__xludf.DUMMYFUNCTION("""COMPUTED_VALUE"""),"Faxinalzinho")</f>
        <v>Faxinalzinho</v>
      </c>
      <c r="C668" s="119" t="str">
        <f>IFERROR(__xludf.DUMMYFUNCTION("""COMPUTED_VALUE"""),"CAB")</f>
        <v>CAB</v>
      </c>
      <c r="D668" s="1" t="str">
        <f>IFERROR(__xludf.DUMMYFUNCTION("""COMPUTED_VALUE"""),"JOEL ADILIO BONATTO")</f>
        <v>JOEL ADILIO BONATTO</v>
      </c>
      <c r="E668" s="119" t="str">
        <f>IFERROR(__xludf.DUMMYFUNCTION("""COMPUTED_VALUE"""),"Módulo 1 concluído")</f>
        <v>Módulo 1 concluído</v>
      </c>
      <c r="F668" s="1" t="str">
        <f>IFERROR(__xludf.DUMMYFUNCTION("""COMPUTED_VALUE"""),"004.405.630-38")</f>
        <v>004.405.630-38</v>
      </c>
      <c r="G668" s="1">
        <f>IFERROR(__xludf.DUMMYFUNCTION("""COMPUTED_VALUE"""),1079144083)</f>
        <v>1079144083</v>
      </c>
      <c r="H668" s="1" t="str">
        <f>IFERROR(__xludf.DUMMYFUNCTION("""COMPUTED_VALUE"""),"Comandante - Combatente")</f>
        <v>Comandante - Combatente</v>
      </c>
      <c r="I668" s="1" t="str">
        <f>IFERROR(__xludf.DUMMYFUNCTION("""COMPUTED_VALUE"""),"Combate Incendio CBMRS")</f>
        <v>Combate Incendio CBMRS</v>
      </c>
      <c r="J668" s="1" t="str">
        <f>IFERROR(__xludf.DUMMYFUNCTION("""COMPUTED_VALUE"""),"Não")</f>
        <v>Não</v>
      </c>
      <c r="K668" s="1" t="str">
        <f>IFERROR(__xludf.DUMMYFUNCTION("""COMPUTED_VALUE"""),"Não")</f>
        <v>Não</v>
      </c>
      <c r="L668" s="1" t="str">
        <f>IFERROR(__xludf.DUMMYFUNCTION("""COMPUTED_VALUE"""),"O+")</f>
        <v>O+</v>
      </c>
      <c r="M668" s="1" t="str">
        <f>IFERROR(__xludf.DUMMYFUNCTION("""COMPUTED_VALUE"""),"BONATTO")</f>
        <v>BONATTO</v>
      </c>
      <c r="N668" s="120">
        <f>IFERROR(__xludf.DUMMYFUNCTION("""COMPUTED_VALUE"""),30545)</f>
        <v>30545</v>
      </c>
      <c r="O668" s="1" t="str">
        <f>IFERROR(__xludf.DUMMYFUNCTION("""COMPUTED_VALUE"""),"Masculino")</f>
        <v>Masculino</v>
      </c>
      <c r="P668" s="1" t="str">
        <f>IFERROR(__xludf.DUMMYFUNCTION("""COMPUTED_VALUE"""),"Branca")</f>
        <v>Branca</v>
      </c>
      <c r="Q668" s="1" t="str">
        <f>IFERROR(__xludf.DUMMYFUNCTION("""COMPUTED_VALUE"""),"Ensino Superior Completo")</f>
        <v>Ensino Superior Completo</v>
      </c>
      <c r="R668" s="1" t="str">
        <f>IFERROR(__xludf.DUMMYFUNCTION("""COMPUTED_VALUE"""),"bonattoengenharia@gmail.com")</f>
        <v>bonattoengenharia@gmail.com</v>
      </c>
      <c r="S668" s="1">
        <f>IFERROR(__xludf.DUMMYFUNCTION("""COMPUTED_VALUE"""),98)</f>
        <v>98</v>
      </c>
      <c r="T668" s="1" t="str">
        <f>IFERROR(__xludf.DUMMYFUNCTION("""COMPUTED_VALUE"""),"Entre 1,81m e 1,85m")</f>
        <v>Entre 1,81m e 1,85m</v>
      </c>
      <c r="U668" s="1" t="str">
        <f>IFERROR(__xludf.DUMMYFUNCTION("""COMPUTED_VALUE"""),"(54) 99601-6059")</f>
        <v>(54) 99601-6059</v>
      </c>
      <c r="V668" s="1" t="str">
        <f>IFERROR(__xludf.DUMMYFUNCTION("""COMPUTED_VALUE"""),"(54)99601-6059")</f>
        <v>(54)99601-6059</v>
      </c>
      <c r="W668" s="1" t="str">
        <f>IFERROR(__xludf.DUMMYFUNCTION("""COMPUTED_VALUE"""),"(54) 99601-6059")</f>
        <v>(54) 99601-6059</v>
      </c>
      <c r="X668" s="1" t="str">
        <f>IFERROR(__xludf.DUMMYFUNCTION("""COMPUTED_VALUE"""),"RIO GRANDE DO SUL")</f>
        <v>RIO GRANDE DO SUL</v>
      </c>
      <c r="Y668" s="1" t="str">
        <f>IFERROR(__xludf.DUMMYFUNCTION("""COMPUTED_VALUE"""),"Faxinalzinho")</f>
        <v>Faxinalzinho</v>
      </c>
      <c r="Z668" s="1" t="str">
        <f>IFERROR(__xludf.DUMMYFUNCTION("""COMPUTED_VALUE"""),"99655-000")</f>
        <v>99655-000</v>
      </c>
      <c r="AA668" s="1" t="str">
        <f>IFERROR(__xludf.DUMMYFUNCTION("""COMPUTED_VALUE"""),"Rua Getúlio vargas")</f>
        <v>Rua Getúlio vargas</v>
      </c>
      <c r="AB668" s="1" t="str">
        <f>IFERROR(__xludf.DUMMYFUNCTION("""COMPUTED_VALUE"""),"Centro")</f>
        <v>Centro</v>
      </c>
      <c r="AC668" s="1" t="str">
        <f>IFERROR(__xludf.DUMMYFUNCTION("""COMPUTED_VALUE"""),"G")</f>
        <v>G</v>
      </c>
      <c r="AD668" s="1" t="str">
        <f>IFERROR(__xludf.DUMMYFUNCTION("""COMPUTED_VALUE"""),"G")</f>
        <v>G</v>
      </c>
      <c r="AE668" s="1" t="str">
        <f>IFERROR(__xludf.DUMMYFUNCTION("""COMPUTED_VALUE"""),"G")</f>
        <v>G</v>
      </c>
      <c r="AF668" s="1" t="str">
        <f>IFERROR(__xludf.DUMMYFUNCTION("""COMPUTED_VALUE"""),"G")</f>
        <v>G</v>
      </c>
      <c r="AG668" s="1" t="str">
        <f>IFERROR(__xludf.DUMMYFUNCTION("""COMPUTED_VALUE"""),"G")</f>
        <v>G</v>
      </c>
      <c r="AH668" s="1">
        <f>IFERROR(__xludf.DUMMYFUNCTION("""COMPUTED_VALUE"""),42)</f>
        <v>42</v>
      </c>
      <c r="AI668" s="1">
        <f>IFERROR(__xludf.DUMMYFUNCTION("""COMPUTED_VALUE"""),42)</f>
        <v>42</v>
      </c>
      <c r="AJ668" s="1">
        <f>IFERROR(__xludf.DUMMYFUNCTION("""COMPUTED_VALUE"""),42)</f>
        <v>42</v>
      </c>
      <c r="AK668" s="1">
        <f>IFERROR(__xludf.DUMMYFUNCTION("""COMPUTED_VALUE"""),42)</f>
        <v>42</v>
      </c>
      <c r="AL668" s="1" t="str">
        <f>IFERROR(__xludf.DUMMYFUNCTION("""COMPUTED_VALUE"""),"G")</f>
        <v>G</v>
      </c>
      <c r="AM668" s="1" t="str">
        <f>IFERROR(__xludf.DUMMYFUNCTION("""COMPUTED_VALUE"""),"G")</f>
        <v>G</v>
      </c>
      <c r="AN668" s="1" t="str">
        <f>IFERROR(__xludf.DUMMYFUNCTION("""COMPUTED_VALUE"""),"G")</f>
        <v>G</v>
      </c>
    </row>
    <row r="669" customHeight="1" spans="1:40">
      <c r="A669" s="1" t="str">
        <f>IFERROR(__xludf.DUMMYFUNCTION("""COMPUTED_VALUE"""),"07° BBM")</f>
        <v>07° BBM</v>
      </c>
      <c r="B669" s="1" t="str">
        <f>IFERROR(__xludf.DUMMYFUNCTION("""COMPUTED_VALUE"""),"Barão de Cotegipe")</f>
        <v>Barão de Cotegipe</v>
      </c>
      <c r="C669" s="119" t="str">
        <f>IFERROR(__xludf.DUMMYFUNCTION("""COMPUTED_VALUE"""),"CAB")</f>
        <v>CAB</v>
      </c>
      <c r="D669" s="1" t="str">
        <f>IFERROR(__xludf.DUMMYFUNCTION("""COMPUTED_VALUE"""),"JOEL RODRIGUES")</f>
        <v>JOEL RODRIGUES</v>
      </c>
      <c r="E669" s="119" t="str">
        <f>IFERROR(__xludf.DUMMYFUNCTION("""COMPUTED_VALUE"""),"")</f>
        <v/>
      </c>
      <c r="F669" s="1" t="str">
        <f>IFERROR(__xludf.DUMMYFUNCTION("""COMPUTED_VALUE"""),"038.438.790-01")</f>
        <v>038.438.790-01</v>
      </c>
      <c r="G669" s="1">
        <f>IFERROR(__xludf.DUMMYFUNCTION("""COMPUTED_VALUE"""),4111320091)</f>
        <v>4111320091</v>
      </c>
      <c r="H669" s="1" t="str">
        <f>IFERROR(__xludf.DUMMYFUNCTION("""COMPUTED_VALUE"""),"Combatente")</f>
        <v>Combatente</v>
      </c>
      <c r="I669" s="1" t="str">
        <f>IFERROR(__xludf.DUMMYFUNCTION("""COMPUTED_VALUE"""),"APH/TRAUMA ,BLC/RDP,SOCORRISTA.")</f>
        <v>APH/TRAUMA ,BLC/RDP,SOCORRISTA.</v>
      </c>
      <c r="J669" s="1" t="str">
        <f>IFERROR(__xludf.DUMMYFUNCTION("""COMPUTED_VALUE"""),"Sim")</f>
        <v>Sim</v>
      </c>
      <c r="K669" s="1" t="str">
        <f>IFERROR(__xludf.DUMMYFUNCTION("""COMPUTED_VALUE"""),"Sim")</f>
        <v>Sim</v>
      </c>
      <c r="L669" s="1" t="str">
        <f>IFERROR(__xludf.DUMMYFUNCTION("""COMPUTED_VALUE"""),"A+")</f>
        <v>A+</v>
      </c>
      <c r="M669" s="1" t="str">
        <f>IFERROR(__xludf.DUMMYFUNCTION("""COMPUTED_VALUE"""),"RODRIGUES")</f>
        <v>RODRIGUES</v>
      </c>
      <c r="N669" s="120" t="str">
        <f>IFERROR(__xludf.DUMMYFUNCTION("""COMPUTED_VALUE"""),"22/051996")</f>
        <v>22/051996</v>
      </c>
      <c r="O669" s="1" t="str">
        <f>IFERROR(__xludf.DUMMYFUNCTION("""COMPUTED_VALUE"""),"M")</f>
        <v>M</v>
      </c>
      <c r="P669" s="1" t="str">
        <f>IFERROR(__xludf.DUMMYFUNCTION("""COMPUTED_VALUE"""),"PRETA")</f>
        <v>PRETA</v>
      </c>
      <c r="Q669" s="1" t="str">
        <f>IFERROR(__xludf.DUMMYFUNCTION("""COMPUTED_VALUE"""),"ENSINO MEDIO INCOMPLETO")</f>
        <v>ENSINO MEDIO INCOMPLETO</v>
      </c>
      <c r="R669" s="1" t="str">
        <f>IFERROR(__xludf.DUMMYFUNCTION("""COMPUTED_VALUE"""),"joelrodrigues49719@gmail.com")</f>
        <v>joelrodrigues49719@gmail.com</v>
      </c>
      <c r="S669" s="1">
        <f>IFERROR(__xludf.DUMMYFUNCTION("""COMPUTED_VALUE"""),70)</f>
        <v>70</v>
      </c>
      <c r="T669" s="1">
        <f>IFERROR(__xludf.DUMMYFUNCTION("""COMPUTED_VALUE"""),1.71)</f>
        <v>1.71</v>
      </c>
      <c r="U669" s="1"/>
      <c r="V669" s="1" t="str">
        <f>IFERROR(__xludf.DUMMYFUNCTION("""COMPUTED_VALUE"""),"(54) 996123502")</f>
        <v>(54) 996123502</v>
      </c>
      <c r="W669" s="1" t="str">
        <f>IFERROR(__xludf.DUMMYFUNCTION("""COMPUTED_VALUE"""),"(54) 999550287")</f>
        <v>(54) 999550287</v>
      </c>
      <c r="X669" s="1" t="str">
        <f>IFERROR(__xludf.DUMMYFUNCTION("""COMPUTED_VALUE"""),"RS")</f>
        <v>RS</v>
      </c>
      <c r="Y669" s="1" t="str">
        <f>IFERROR(__xludf.DUMMYFUNCTION("""COMPUTED_VALUE"""),"BARÃO DE COTEGIPE")</f>
        <v>BARÃO DE COTEGIPE</v>
      </c>
      <c r="Z669" s="1" t="str">
        <f>IFERROR(__xludf.DUMMYFUNCTION("""COMPUTED_VALUE"""),"99740-000")</f>
        <v>99740-000</v>
      </c>
      <c r="AA669" s="1" t="str">
        <f>IFERROR(__xludf.DUMMYFUNCTION("""COMPUTED_VALUE"""),"RUA 7 DE SETEMBRO")</f>
        <v>RUA 7 DE SETEMBRO</v>
      </c>
      <c r="AB669" s="1" t="str">
        <f>IFERROR(__xludf.DUMMYFUNCTION("""COMPUTED_VALUE"""),"NOSSA SENHORA DE APARECIDA")</f>
        <v>NOSSA SENHORA DE APARECIDA</v>
      </c>
      <c r="AC669" s="1" t="str">
        <f>IFERROR(__xludf.DUMMYFUNCTION("""COMPUTED_VALUE"""),"M")</f>
        <v>M</v>
      </c>
      <c r="AD669" s="1" t="str">
        <f>IFERROR(__xludf.DUMMYFUNCTION("""COMPUTED_VALUE"""),"M")</f>
        <v>M</v>
      </c>
      <c r="AE669" s="1" t="str">
        <f>IFERROR(__xludf.DUMMYFUNCTION("""COMPUTED_VALUE"""),"M")</f>
        <v>M</v>
      </c>
      <c r="AF669" s="1" t="str">
        <f>IFERROR(__xludf.DUMMYFUNCTION("""COMPUTED_VALUE"""),"M")</f>
        <v>M</v>
      </c>
      <c r="AG669" s="1" t="str">
        <f>IFERROR(__xludf.DUMMYFUNCTION("""COMPUTED_VALUE"""),"M")</f>
        <v>M</v>
      </c>
      <c r="AH669" s="1" t="str">
        <f>IFERROR(__xludf.DUMMYFUNCTION("""COMPUTED_VALUE"""),"M")</f>
        <v>M</v>
      </c>
      <c r="AI669" s="1">
        <f>IFERROR(__xludf.DUMMYFUNCTION("""COMPUTED_VALUE"""),40)</f>
        <v>40</v>
      </c>
      <c r="AJ669" s="1">
        <f>IFERROR(__xludf.DUMMYFUNCTION("""COMPUTED_VALUE"""),40)</f>
        <v>40</v>
      </c>
      <c r="AK669" s="1">
        <f>IFERROR(__xludf.DUMMYFUNCTION("""COMPUTED_VALUE"""),40)</f>
        <v>40</v>
      </c>
      <c r="AL669" s="1">
        <f>IFERROR(__xludf.DUMMYFUNCTION("""COMPUTED_VALUE"""),40)</f>
        <v>40</v>
      </c>
      <c r="AM669" s="1" t="str">
        <f>IFERROR(__xludf.DUMMYFUNCTION("""COMPUTED_VALUE"""),"M")</f>
        <v>M</v>
      </c>
      <c r="AN669" s="1">
        <f>IFERROR(__xludf.DUMMYFUNCTION("""COMPUTED_VALUE"""),55)</f>
        <v>55</v>
      </c>
    </row>
    <row r="670" customHeight="1" spans="1:40">
      <c r="A670" s="1" t="str">
        <f>IFERROR(__xludf.DUMMYFUNCTION("""COMPUTED_VALUE"""),"07° BBM")</f>
        <v>07° BBM</v>
      </c>
      <c r="B670" s="1" t="str">
        <f>IFERROR(__xludf.DUMMYFUNCTION("""COMPUTED_VALUE"""),"Não-Me-Toque")</f>
        <v>Não-Me-Toque</v>
      </c>
      <c r="C670" s="119" t="str">
        <f>IFERROR(__xludf.DUMMYFUNCTION("""COMPUTED_VALUE"""),"CAB")</f>
        <v>CAB</v>
      </c>
      <c r="D670" s="1" t="str">
        <f>IFERROR(__xludf.DUMMYFUNCTION("""COMPUTED_VALUE"""),"JOISSON LUIS HENICKA")</f>
        <v>JOISSON LUIS HENICKA</v>
      </c>
      <c r="E670" s="119" t="str">
        <f>IFERROR(__xludf.DUMMYFUNCTION("""COMPUTED_VALUE"""),"")</f>
        <v/>
      </c>
      <c r="F670" s="1"/>
      <c r="G670" s="1"/>
      <c r="H670" s="1"/>
      <c r="I670" s="1"/>
      <c r="J670" s="1"/>
      <c r="K670" s="1"/>
      <c r="L670" s="1"/>
      <c r="M670" s="1"/>
      <c r="N670" s="120"/>
      <c r="O670" s="1"/>
      <c r="P670" s="1"/>
      <c r="Q670" s="1"/>
      <c r="R670" s="1"/>
      <c r="S670" s="1"/>
      <c r="T670" s="1"/>
      <c r="U670" s="1"/>
      <c r="V670" s="1"/>
      <c r="W670" s="1"/>
      <c r="X670" s="1"/>
      <c r="Y670" s="1"/>
      <c r="Z670" s="1"/>
      <c r="AA670" s="1"/>
      <c r="AB670" s="1"/>
      <c r="AC670" s="1"/>
      <c r="AD670" s="1"/>
      <c r="AE670" s="1"/>
      <c r="AF670" s="1"/>
      <c r="AG670" s="1" t="str">
        <f>IFERROR(__xludf.DUMMYFUNCTION("""COMPUTED_VALUE"""),"GG")</f>
        <v>GG</v>
      </c>
      <c r="AH670" s="1">
        <f>IFERROR(__xludf.DUMMYFUNCTION("""COMPUTED_VALUE"""),40)</f>
        <v>40</v>
      </c>
      <c r="AI670" s="1"/>
      <c r="AJ670" s="1"/>
      <c r="AK670" s="1"/>
      <c r="AL670" s="1" t="str">
        <f>IFERROR(__xludf.DUMMYFUNCTION("""COMPUTED_VALUE"""),"GG")</f>
        <v>GG</v>
      </c>
      <c r="AM670" s="1" t="str">
        <f>IFERROR(__xludf.DUMMYFUNCTION("""COMPUTED_VALUE"""),"GG")</f>
        <v>GG</v>
      </c>
      <c r="AN670" s="1" t="str">
        <f>IFERROR(__xludf.DUMMYFUNCTION("""COMPUTED_VALUE"""),"GG")</f>
        <v>GG</v>
      </c>
    </row>
    <row r="671" customHeight="1" spans="1:40">
      <c r="A671" s="1" t="str">
        <f>IFERROR(__xludf.DUMMYFUNCTION("""COMPUTED_VALUE"""),"07° BBM")</f>
        <v>07° BBM</v>
      </c>
      <c r="B671" s="1" t="str">
        <f>IFERROR(__xludf.DUMMYFUNCTION("""COMPUTED_VALUE"""),"Barão de Cotegipe")</f>
        <v>Barão de Cotegipe</v>
      </c>
      <c r="C671" s="119" t="str">
        <f>IFERROR(__xludf.DUMMYFUNCTION("""COMPUTED_VALUE"""),"CAB")</f>
        <v>CAB</v>
      </c>
      <c r="D671" s="1" t="str">
        <f>IFERROR(__xludf.DUMMYFUNCTION("""COMPUTED_VALUE"""),"JORGE LUIS KOSINSKI")</f>
        <v>JORGE LUIS KOSINSKI</v>
      </c>
      <c r="E671" s="119" t="str">
        <f>IFERROR(__xludf.DUMMYFUNCTION("""COMPUTED_VALUE"""),"")</f>
        <v/>
      </c>
      <c r="F671" s="1" t="str">
        <f>IFERROR(__xludf.DUMMYFUNCTION("""COMPUTED_VALUE"""),"046.613.519-08")</f>
        <v>046.613.519-08</v>
      </c>
      <c r="G671" s="1" t="str">
        <f>IFERROR(__xludf.DUMMYFUNCTION("""COMPUTED_VALUE"""),"48504785/SESPD-SC")</f>
        <v>48504785/SESPD-SC</v>
      </c>
      <c r="H671" s="1" t="str">
        <f>IFERROR(__xludf.DUMMYFUNCTION("""COMPUTED_VALUE"""),"VOLUNTARIO")</f>
        <v>VOLUNTARIO</v>
      </c>
      <c r="I671" s="1" t="str">
        <f>IFERROR(__xludf.DUMMYFUNCTION("""COMPUTED_VALUE"""),"APH, TRAUMA SOCORRISTA, NR10, PRIMEIROS SOCORROS LEI LUCAS, PHRTS, RNC,.")</f>
        <v>APH, TRAUMA SOCORRISTA, NR10, PRIMEIROS SOCORROS LEI LUCAS, PHRTS, RNC,.</v>
      </c>
      <c r="J671" s="1" t="str">
        <f>IFERROR(__xludf.DUMMYFUNCTION("""COMPUTED_VALUE"""),"Sim")</f>
        <v>Sim</v>
      </c>
      <c r="K671" s="1" t="str">
        <f>IFERROR(__xludf.DUMMYFUNCTION("""COMPUTED_VALUE"""),"Sim")</f>
        <v>Sim</v>
      </c>
      <c r="L671" s="1" t="str">
        <f>IFERROR(__xludf.DUMMYFUNCTION("""COMPUTED_VALUE"""),"O+")</f>
        <v>O+</v>
      </c>
      <c r="M671" s="1" t="str">
        <f>IFERROR(__xludf.DUMMYFUNCTION("""COMPUTED_VALUE"""),"KOSINSKI")</f>
        <v>KOSINSKI</v>
      </c>
      <c r="N671" s="120">
        <f>IFERROR(__xludf.DUMMYFUNCTION("""COMPUTED_VALUE"""),31278)</f>
        <v>31278</v>
      </c>
      <c r="O671" s="1" t="str">
        <f>IFERROR(__xludf.DUMMYFUNCTION("""COMPUTED_VALUE"""),"M")</f>
        <v>M</v>
      </c>
      <c r="P671" s="1" t="str">
        <f>IFERROR(__xludf.DUMMYFUNCTION("""COMPUTED_VALUE"""),"BRANCA")</f>
        <v>BRANCA</v>
      </c>
      <c r="Q671" s="1" t="str">
        <f>IFERROR(__xludf.DUMMYFUNCTION("""COMPUTED_VALUE"""),"SUPERIOR COMPLETO")</f>
        <v>SUPERIOR COMPLETO</v>
      </c>
      <c r="R671" s="1" t="str">
        <f>IFERROR(__xludf.DUMMYFUNCTION("""COMPUTED_VALUE"""),"jorgeluis.kosinski@yahoo.com.br")</f>
        <v>jorgeluis.kosinski@yahoo.com.br</v>
      </c>
      <c r="S671" s="1">
        <f>IFERROR(__xludf.DUMMYFUNCTION("""COMPUTED_VALUE"""),115)</f>
        <v>115</v>
      </c>
      <c r="T671" s="1">
        <f>IFERROR(__xludf.DUMMYFUNCTION("""COMPUTED_VALUE"""),185)</f>
        <v>185</v>
      </c>
      <c r="U671" s="1"/>
      <c r="V671" s="1" t="str">
        <f>IFERROR(__xludf.DUMMYFUNCTION("""COMPUTED_VALUE"""),"(54) 984257388")</f>
        <v>(54) 984257388</v>
      </c>
      <c r="W671" s="1" t="str">
        <f>IFERROR(__xludf.DUMMYFUNCTION("""COMPUTED_VALUE"""),"(54) 984118779")</f>
        <v>(54) 984118779</v>
      </c>
      <c r="X671" s="1" t="str">
        <f>IFERROR(__xludf.DUMMYFUNCTION("""COMPUTED_VALUE"""),"RS")</f>
        <v>RS</v>
      </c>
      <c r="Y671" s="1" t="str">
        <f>IFERROR(__xludf.DUMMYFUNCTION("""COMPUTED_VALUE"""),"BARÃO DE COTEGIPE")</f>
        <v>BARÃO DE COTEGIPE</v>
      </c>
      <c r="Z671" s="1" t="str">
        <f>IFERROR(__xludf.DUMMYFUNCTION("""COMPUTED_VALUE"""),"99740-000")</f>
        <v>99740-000</v>
      </c>
      <c r="AA671" s="1" t="str">
        <f>IFERROR(__xludf.DUMMYFUNCTION("""COMPUTED_VALUE"""),"RUA TERCILIO RENE MENEGUEL 79")</f>
        <v>RUA TERCILIO RENE MENEGUEL 79</v>
      </c>
      <c r="AB671" s="1" t="str">
        <f>IFERROR(__xludf.DUMMYFUNCTION("""COMPUTED_VALUE"""),"CENTRO")</f>
        <v>CENTRO</v>
      </c>
      <c r="AC671" s="1" t="str">
        <f>IFERROR(__xludf.DUMMYFUNCTION("""COMPUTED_VALUE"""),"GG")</f>
        <v>GG</v>
      </c>
      <c r="AD671" s="1" t="str">
        <f>IFERROR(__xludf.DUMMYFUNCTION("""COMPUTED_VALUE"""),"GG")</f>
        <v>GG</v>
      </c>
      <c r="AE671" s="1" t="str">
        <f>IFERROR(__xludf.DUMMYFUNCTION("""COMPUTED_VALUE"""),"GG")</f>
        <v>GG</v>
      </c>
      <c r="AF671" s="1" t="str">
        <f>IFERROR(__xludf.DUMMYFUNCTION("""COMPUTED_VALUE"""),"GG")</f>
        <v>GG</v>
      </c>
      <c r="AG671" s="1" t="str">
        <f>IFERROR(__xludf.DUMMYFUNCTION("""COMPUTED_VALUE"""),"GG")</f>
        <v>GG</v>
      </c>
      <c r="AH671" s="1" t="str">
        <f>IFERROR(__xludf.DUMMYFUNCTION("""COMPUTED_VALUE"""),"GG")</f>
        <v>GG</v>
      </c>
      <c r="AI671" s="1">
        <f>IFERROR(__xludf.DUMMYFUNCTION("""COMPUTED_VALUE"""),44)</f>
        <v>44</v>
      </c>
      <c r="AJ671" s="1">
        <f>IFERROR(__xludf.DUMMYFUNCTION("""COMPUTED_VALUE"""),44)</f>
        <v>44</v>
      </c>
      <c r="AK671" s="1">
        <f>IFERROR(__xludf.DUMMYFUNCTION("""COMPUTED_VALUE"""),44)</f>
        <v>44</v>
      </c>
      <c r="AL671" s="1">
        <f>IFERROR(__xludf.DUMMYFUNCTION("""COMPUTED_VALUE"""),44)</f>
        <v>44</v>
      </c>
      <c r="AM671" s="1" t="str">
        <f>IFERROR(__xludf.DUMMYFUNCTION("""COMPUTED_VALUE"""),"GG")</f>
        <v>GG</v>
      </c>
      <c r="AN671" s="1">
        <f>IFERROR(__xludf.DUMMYFUNCTION("""COMPUTED_VALUE"""),58)</f>
        <v>58</v>
      </c>
    </row>
    <row r="672" customHeight="1" spans="1:40">
      <c r="A672" s="1" t="str">
        <f>IFERROR(__xludf.DUMMYFUNCTION("""COMPUTED_VALUE"""),"07° BBM")</f>
        <v>07° BBM</v>
      </c>
      <c r="B672" s="1" t="str">
        <f>IFERROR(__xludf.DUMMYFUNCTION("""COMPUTED_VALUE"""),"Constantina")</f>
        <v>Constantina</v>
      </c>
      <c r="C672" s="119" t="str">
        <f>IFERROR(__xludf.DUMMYFUNCTION("""COMPUTED_VALUE"""),"CAB")</f>
        <v>CAB</v>
      </c>
      <c r="D672" s="1" t="str">
        <f>IFERROR(__xludf.DUMMYFUNCTION("""COMPUTED_VALUE"""),"JORGE PAULO DA SILVA")</f>
        <v>JORGE PAULO DA SILVA</v>
      </c>
      <c r="E672" s="119" t="str">
        <f>IFERROR(__xludf.DUMMYFUNCTION("""COMPUTED_VALUE"""),"")</f>
        <v/>
      </c>
      <c r="F672" s="1" t="str">
        <f>IFERROR(__xludf.DUMMYFUNCTION("""COMPUTED_VALUE"""),"687.574.250-00")</f>
        <v>687.574.250-00</v>
      </c>
      <c r="G672" s="1">
        <f>IFERROR(__xludf.DUMMYFUNCTION("""COMPUTED_VALUE"""),9062461224)</f>
        <v>9062461224</v>
      </c>
      <c r="H672" s="1" t="str">
        <f>IFERROR(__xludf.DUMMYFUNCTION("""COMPUTED_VALUE"""),"voluntário")</f>
        <v>voluntário</v>
      </c>
      <c r="I672" s="1"/>
      <c r="J672" s="1"/>
      <c r="K672" s="1"/>
      <c r="L672" s="1" t="str">
        <f>IFERROR(__xludf.DUMMYFUNCTION("""COMPUTED_VALUE"""),"A+")</f>
        <v>A+</v>
      </c>
      <c r="M672" s="1" t="str">
        <f>IFERROR(__xludf.DUMMYFUNCTION("""COMPUTED_VALUE"""),"JORGE")</f>
        <v>JORGE</v>
      </c>
      <c r="N672" s="120">
        <f>IFERROR(__xludf.DUMMYFUNCTION("""COMPUTED_VALUE"""),26777)</f>
        <v>26777</v>
      </c>
      <c r="O672" s="1" t="str">
        <f>IFERROR(__xludf.DUMMYFUNCTION("""COMPUTED_VALUE"""),"M")</f>
        <v>M</v>
      </c>
      <c r="P672" s="1" t="str">
        <f>IFERROR(__xludf.DUMMYFUNCTION("""COMPUTED_VALUE"""),"BRANCO")</f>
        <v>BRANCO</v>
      </c>
      <c r="Q672" s="1" t="str">
        <f>IFERROR(__xludf.DUMMYFUNCTION("""COMPUTED_VALUE"""),"ENSINO MÉDIO")</f>
        <v>ENSINO MÉDIO</v>
      </c>
      <c r="R672" s="1" t="str">
        <f>IFERROR(__xludf.DUMMYFUNCTION("""COMPUTED_VALUE"""),"obras@constantina.rs.gov.br")</f>
        <v>obras@constantina.rs.gov.br</v>
      </c>
      <c r="S672" s="1">
        <f>IFERROR(__xludf.DUMMYFUNCTION("""COMPUTED_VALUE"""),65)</f>
        <v>65</v>
      </c>
      <c r="T672" s="1">
        <f>IFERROR(__xludf.DUMMYFUNCTION("""COMPUTED_VALUE"""),1.7)</f>
        <v>1.7</v>
      </c>
      <c r="U672" s="1" t="str">
        <f>IFERROR(__xludf.DUMMYFUNCTION("""COMPUTED_VALUE"""),"(54) 9 99481255")</f>
        <v>(54) 9 99481255</v>
      </c>
      <c r="V672" s="1"/>
      <c r="W672" s="1"/>
      <c r="X672" s="1" t="str">
        <f>IFERROR(__xludf.DUMMYFUNCTION("""COMPUTED_VALUE"""),"RS")</f>
        <v>RS</v>
      </c>
      <c r="Y672" s="1" t="str">
        <f>IFERROR(__xludf.DUMMYFUNCTION("""COMPUTED_VALUE"""),"Constantina")</f>
        <v>Constantina</v>
      </c>
      <c r="Z672" s="1" t="str">
        <f>IFERROR(__xludf.DUMMYFUNCTION("""COMPUTED_VALUE"""),"99680-000")</f>
        <v>99680-000</v>
      </c>
      <c r="AA672" s="1" t="str">
        <f>IFERROR(__xludf.DUMMYFUNCTION("""COMPUTED_VALUE"""),"Rua Italo Ferlautto")</f>
        <v>Rua Italo Ferlautto</v>
      </c>
      <c r="AB672" s="1" t="str">
        <f>IFERROR(__xludf.DUMMYFUNCTION("""COMPUTED_VALUE"""),"Bairro Taquaruçu")</f>
        <v>Bairro Taquaruçu</v>
      </c>
      <c r="AC672" s="1" t="str">
        <f>IFERROR(__xludf.DUMMYFUNCTION("""COMPUTED_VALUE"""),"M")</f>
        <v>M</v>
      </c>
      <c r="AD672" s="1" t="str">
        <f>IFERROR(__xludf.DUMMYFUNCTION("""COMPUTED_VALUE"""),"M")</f>
        <v>M</v>
      </c>
      <c r="AE672" s="1" t="str">
        <f>IFERROR(__xludf.DUMMYFUNCTION("""COMPUTED_VALUE"""),"M")</f>
        <v>M</v>
      </c>
      <c r="AF672" s="1" t="str">
        <f>IFERROR(__xludf.DUMMYFUNCTION("""COMPUTED_VALUE"""),"M")</f>
        <v>M</v>
      </c>
      <c r="AG672" s="1" t="str">
        <f>IFERROR(__xludf.DUMMYFUNCTION("""COMPUTED_VALUE"""),"M")</f>
        <v>M</v>
      </c>
      <c r="AH672" s="1">
        <f>IFERROR(__xludf.DUMMYFUNCTION("""COMPUTED_VALUE"""),40)</f>
        <v>40</v>
      </c>
      <c r="AI672" s="1">
        <f>IFERROR(__xludf.DUMMYFUNCTION("""COMPUTED_VALUE"""),40)</f>
        <v>40</v>
      </c>
      <c r="AJ672" s="1">
        <f>IFERROR(__xludf.DUMMYFUNCTION("""COMPUTED_VALUE"""),40)</f>
        <v>40</v>
      </c>
      <c r="AK672" s="1">
        <f>IFERROR(__xludf.DUMMYFUNCTION("""COMPUTED_VALUE"""),40)</f>
        <v>40</v>
      </c>
      <c r="AL672" s="1" t="str">
        <f>IFERROR(__xludf.DUMMYFUNCTION("""COMPUTED_VALUE"""),"G")</f>
        <v>G</v>
      </c>
      <c r="AM672" s="1" t="str">
        <f>IFERROR(__xludf.DUMMYFUNCTION("""COMPUTED_VALUE"""),"G")</f>
        <v>G</v>
      </c>
      <c r="AN672" s="1" t="str">
        <f>IFERROR(__xludf.DUMMYFUNCTION("""COMPUTED_VALUE"""),"G")</f>
        <v>G</v>
      </c>
    </row>
    <row r="673" customHeight="1" spans="1:40">
      <c r="A673" s="1" t="str">
        <f>IFERROR(__xludf.DUMMYFUNCTION("""COMPUTED_VALUE"""),"07° BBM")</f>
        <v>07° BBM</v>
      </c>
      <c r="B673" s="1" t="str">
        <f>IFERROR(__xludf.DUMMYFUNCTION("""COMPUTED_VALUE"""),"Viadutos")</f>
        <v>Viadutos</v>
      </c>
      <c r="C673" s="119" t="str">
        <f>IFERROR(__xludf.DUMMYFUNCTION("""COMPUTED_VALUE"""),"CAB")</f>
        <v>CAB</v>
      </c>
      <c r="D673" s="1" t="str">
        <f>IFERROR(__xludf.DUMMYFUNCTION("""COMPUTED_VALUE"""),"JORGE RIGOTTI")</f>
        <v>JORGE RIGOTTI</v>
      </c>
      <c r="E673" s="119" t="str">
        <f>IFERROR(__xludf.DUMMYFUNCTION("""COMPUTED_VALUE"""),"Módulo 1 concluído")</f>
        <v>Módulo 1 concluído</v>
      </c>
      <c r="F673" s="1" t="str">
        <f>IFERROR(__xludf.DUMMYFUNCTION("""COMPUTED_VALUE"""),"227.683.270-34")</f>
        <v>227.683.270-34</v>
      </c>
      <c r="G673" s="1">
        <f>IFERROR(__xludf.DUMMYFUNCTION("""COMPUTED_VALUE"""),4001710906)</f>
        <v>4001710906</v>
      </c>
      <c r="H673" s="1" t="str">
        <f>IFERROR(__xludf.DUMMYFUNCTION("""COMPUTED_VALUE"""),"COMBATENTE")</f>
        <v>COMBATENTE</v>
      </c>
      <c r="I673" s="1" t="str">
        <f>IFERROR(__xludf.DUMMYFUNCTION("""COMPUTED_VALUE"""),"Atendiimento Suporte Básico de Vida")</f>
        <v>Atendiimento Suporte Básico de Vida</v>
      </c>
      <c r="J673" s="1" t="str">
        <f>IFERROR(__xludf.DUMMYFUNCTION("""COMPUTED_VALUE"""),"Não")</f>
        <v>Não</v>
      </c>
      <c r="K673" s="1" t="str">
        <f>IFERROR(__xludf.DUMMYFUNCTION("""COMPUTED_VALUE"""),"Não")</f>
        <v>Não</v>
      </c>
      <c r="L673" s="1" t="str">
        <f>IFERROR(__xludf.DUMMYFUNCTION("""COMPUTED_VALUE"""),"O+")</f>
        <v>O+</v>
      </c>
      <c r="M673" s="1" t="str">
        <f>IFERROR(__xludf.DUMMYFUNCTION("""COMPUTED_VALUE"""),"LJORGE")</f>
        <v>LJORGE</v>
      </c>
      <c r="N673" s="121">
        <f>IFERROR(__xludf.DUMMYFUNCTION("""COMPUTED_VALUE"""),20082)</f>
        <v>20082</v>
      </c>
      <c r="O673" s="1" t="str">
        <f>IFERROR(__xludf.DUMMYFUNCTION("""COMPUTED_VALUE"""),"Masculino")</f>
        <v>Masculino</v>
      </c>
      <c r="P673" s="1" t="str">
        <f>IFERROR(__xludf.DUMMYFUNCTION("""COMPUTED_VALUE"""),"Branca")</f>
        <v>Branca</v>
      </c>
      <c r="Q673" s="1" t="str">
        <f>IFERROR(__xludf.DUMMYFUNCTION("""COMPUTED_VALUE"""),"Ensino Médio")</f>
        <v>Ensino Médio</v>
      </c>
      <c r="R673" s="1" t="str">
        <f>IFERROR(__xludf.DUMMYFUNCTION("""COMPUTED_VALUE"""),"jorgerigotti4@gmail.com")</f>
        <v>jorgerigotti4@gmail.com</v>
      </c>
      <c r="S673" s="1">
        <f>IFERROR(__xludf.DUMMYFUNCTION("""COMPUTED_VALUE"""),70)</f>
        <v>70</v>
      </c>
      <c r="T673" s="1" t="str">
        <f>IFERROR(__xludf.DUMMYFUNCTION("""COMPUTED_VALUE"""),"Entre 1,71m e 1,75m")</f>
        <v>Entre 1,71m e 1,75m</v>
      </c>
      <c r="U673" s="1"/>
      <c r="V673" s="1" t="str">
        <f>IFERROR(__xludf.DUMMYFUNCTION("""COMPUTED_VALUE"""),"(54) 999320326")</f>
        <v>(54) 999320326</v>
      </c>
      <c r="W673" s="1" t="str">
        <f>IFERROR(__xludf.DUMMYFUNCTION("""COMPUTED_VALUE"""),"(54) 999249531")</f>
        <v>(54) 999249531</v>
      </c>
      <c r="X673" s="1" t="str">
        <f>IFERROR(__xludf.DUMMYFUNCTION("""COMPUTED_VALUE"""),"RS")</f>
        <v>RS</v>
      </c>
      <c r="Y673" s="1" t="str">
        <f>IFERROR(__xludf.DUMMYFUNCTION("""COMPUTED_VALUE"""),"Viadutos")</f>
        <v>Viadutos</v>
      </c>
      <c r="Z673" s="1" t="str">
        <f>IFERROR(__xludf.DUMMYFUNCTION("""COMPUTED_VALUE"""),"99820-000")</f>
        <v>99820-000</v>
      </c>
      <c r="AA673" s="1" t="str">
        <f>IFERROR(__xludf.DUMMYFUNCTION("""COMPUTED_VALUE"""),"Rua Padre Henrique Koch 290")</f>
        <v>Rua Padre Henrique Koch 290</v>
      </c>
      <c r="AB673" s="1" t="str">
        <f>IFERROR(__xludf.DUMMYFUNCTION("""COMPUTED_VALUE"""),"Centro")</f>
        <v>Centro</v>
      </c>
      <c r="AC673" s="1" t="str">
        <f>IFERROR(__xludf.DUMMYFUNCTION("""COMPUTED_VALUE"""),"M")</f>
        <v>M</v>
      </c>
      <c r="AD673" s="1" t="str">
        <f>IFERROR(__xludf.DUMMYFUNCTION("""COMPUTED_VALUE"""),"G")</f>
        <v>G</v>
      </c>
      <c r="AE673" s="1" t="str">
        <f>IFERROR(__xludf.DUMMYFUNCTION("""COMPUTED_VALUE"""),"M")</f>
        <v>M</v>
      </c>
      <c r="AF673" s="1" t="str">
        <f>IFERROR(__xludf.DUMMYFUNCTION("""COMPUTED_VALUE"""),"M")</f>
        <v>M</v>
      </c>
      <c r="AG673" s="1" t="str">
        <f>IFERROR(__xludf.DUMMYFUNCTION("""COMPUTED_VALUE"""),"M")</f>
        <v>M</v>
      </c>
      <c r="AH673" s="1">
        <f>IFERROR(__xludf.DUMMYFUNCTION("""COMPUTED_VALUE"""),43)</f>
        <v>43</v>
      </c>
      <c r="AI673" s="1">
        <f>IFERROR(__xludf.DUMMYFUNCTION("""COMPUTED_VALUE"""),43)</f>
        <v>43</v>
      </c>
      <c r="AJ673" s="1">
        <f>IFERROR(__xludf.DUMMYFUNCTION("""COMPUTED_VALUE"""),43)</f>
        <v>43</v>
      </c>
      <c r="AK673" s="1">
        <f>IFERROR(__xludf.DUMMYFUNCTION("""COMPUTED_VALUE"""),43)</f>
        <v>43</v>
      </c>
      <c r="AL673" s="1" t="str">
        <f>IFERROR(__xludf.DUMMYFUNCTION("""COMPUTED_VALUE"""),"M")</f>
        <v>M</v>
      </c>
      <c r="AM673" s="1" t="str">
        <f>IFERROR(__xludf.DUMMYFUNCTION("""COMPUTED_VALUE"""),"M")</f>
        <v>M</v>
      </c>
      <c r="AN673" s="1" t="str">
        <f>IFERROR(__xludf.DUMMYFUNCTION("""COMPUTED_VALUE"""),"M")</f>
        <v>M</v>
      </c>
    </row>
    <row r="674" customHeight="1" spans="1:40">
      <c r="A674" s="1" t="str">
        <f>IFERROR(__xludf.DUMMYFUNCTION("""COMPUTED_VALUE"""),"07° BBM")</f>
        <v>07° BBM</v>
      </c>
      <c r="B674" s="1" t="str">
        <f>IFERROR(__xludf.DUMMYFUNCTION("""COMPUTED_VALUE"""),"Serafina Corrêa")</f>
        <v>Serafina Corrêa</v>
      </c>
      <c r="C674" s="119" t="str">
        <f>IFERROR(__xludf.DUMMYFUNCTION("""COMPUTED_VALUE"""),"CAB")</f>
        <v>CAB</v>
      </c>
      <c r="D674" s="1" t="str">
        <f>IFERROR(__xludf.DUMMYFUNCTION("""COMPUTED_VALUE"""),"JOSE CARLOS MARQUES LOPES")</f>
        <v>JOSE CARLOS MARQUES LOPES</v>
      </c>
      <c r="E674" s="119" t="str">
        <f>IFERROR(__xludf.DUMMYFUNCTION("""COMPUTED_VALUE"""),"Módulo 1 concluído")</f>
        <v>Módulo 1 concluído</v>
      </c>
      <c r="F674" s="1" t="str">
        <f>IFERROR(__xludf.DUMMYFUNCTION("""COMPUTED_VALUE"""),"682.699.860-20")</f>
        <v>682.699.860-20</v>
      </c>
      <c r="G674" s="1">
        <f>IFERROR(__xludf.DUMMYFUNCTION("""COMPUTED_VALUE"""),5059144559)</f>
        <v>5059144559</v>
      </c>
      <c r="H674" s="1" t="str">
        <f>IFERROR(__xludf.DUMMYFUNCTION("""COMPUTED_VALUE"""),"CAB CHEFE DE SOCORRO")</f>
        <v>CAB CHEFE DE SOCORRO</v>
      </c>
      <c r="I674" s="1" t="str">
        <f>IFERROR(__xludf.DUMMYFUNCTION("""COMPUTED_VALUE"""),"Bombeiro Civil Classe I - 306 HORAS CEVTE - Condutor de veiculo de emergencia - SEST/SENAT APH / BLS Primeira resposta em produtos perigosos - HAZMAT NR 10 NR 33 NR 35 Resgate de Passageiros Em Elevadores - Tyssen Kroup")</f>
        <v>Bombeiro Civil Classe I - 306 HORAS CEVTE - Condutor de veiculo de emergencia - SEST/SENAT APH / BLS Primeira resposta em produtos perigosos - HAZMAT NR 10 NR 33 NR 35 Resgate de Passageiros Em Elevadores - Tyssen Kroup</v>
      </c>
      <c r="J674" s="1" t="str">
        <f>IFERROR(__xludf.DUMMYFUNCTION("""COMPUTED_VALUE"""),"Não")</f>
        <v>Não</v>
      </c>
      <c r="K674" s="1" t="str">
        <f>IFERROR(__xludf.DUMMYFUNCTION("""COMPUTED_VALUE"""),"Não")</f>
        <v>Não</v>
      </c>
      <c r="L674" s="1" t="str">
        <f>IFERROR(__xludf.DUMMYFUNCTION("""COMPUTED_VALUE"""),"A+")</f>
        <v>A+</v>
      </c>
      <c r="M674" s="1" t="str">
        <f>IFERROR(__xludf.DUMMYFUNCTION("""COMPUTED_VALUE"""),"Jose Carlos")</f>
        <v>Jose Carlos</v>
      </c>
      <c r="N674" s="120">
        <f>IFERROR(__xludf.DUMMYFUNCTION("""COMPUTED_VALUE"""),27294)</f>
        <v>27294</v>
      </c>
      <c r="O674" s="1" t="str">
        <f>IFERROR(__xludf.DUMMYFUNCTION("""COMPUTED_VALUE"""),"Masculino")</f>
        <v>Masculino</v>
      </c>
      <c r="P674" s="1" t="str">
        <f>IFERROR(__xludf.DUMMYFUNCTION("""COMPUTED_VALUE"""),"Branca")</f>
        <v>Branca</v>
      </c>
      <c r="Q674" s="1" t="str">
        <f>IFERROR(__xludf.DUMMYFUNCTION("""COMPUTED_VALUE"""),"Ensino Médio")</f>
        <v>Ensino Médio</v>
      </c>
      <c r="R674" s="1" t="str">
        <f>IFERROR(__xludf.DUMMYFUNCTION("""COMPUTED_VALUE"""),"bvscbv05@gmail.com")</f>
        <v>bvscbv05@gmail.com</v>
      </c>
      <c r="S674" s="1">
        <f>IFERROR(__xludf.DUMMYFUNCTION("""COMPUTED_VALUE"""),93)</f>
        <v>93</v>
      </c>
      <c r="T674" s="1" t="str">
        <f>IFERROR(__xludf.DUMMYFUNCTION("""COMPUTED_VALUE"""),"Entre 1,71m e 1,75m")</f>
        <v>Entre 1,71m e 1,75m</v>
      </c>
      <c r="U674" s="1"/>
      <c r="V674" s="1" t="str">
        <f>IFERROR(__xludf.DUMMYFUNCTION("""COMPUTED_VALUE"""),"(54)99695-6791")</f>
        <v>(54)99695-6791</v>
      </c>
      <c r="W674" s="1" t="str">
        <f>IFERROR(__xludf.DUMMYFUNCTION("""COMPUTED_VALUE"""),"(54)98110-5993")</f>
        <v>(54)98110-5993</v>
      </c>
      <c r="X674" s="1" t="str">
        <f>IFERROR(__xludf.DUMMYFUNCTION("""COMPUTED_VALUE"""),"RS")</f>
        <v>RS</v>
      </c>
      <c r="Y674" s="1" t="str">
        <f>IFERROR(__xludf.DUMMYFUNCTION("""COMPUTED_VALUE"""),"Serafina Corrêa")</f>
        <v>Serafina Corrêa</v>
      </c>
      <c r="Z674" s="1" t="str">
        <f>IFERROR(__xludf.DUMMYFUNCTION("""COMPUTED_VALUE"""),"99250-000")</f>
        <v>99250-000</v>
      </c>
      <c r="AA674" s="1" t="str">
        <f>IFERROR(__xludf.DUMMYFUNCTION("""COMPUTED_VALUE"""),"Rua jose benjamim de costa, 176")</f>
        <v>Rua jose benjamim de costa, 176</v>
      </c>
      <c r="AB674" s="1" t="str">
        <f>IFERROR(__xludf.DUMMYFUNCTION("""COMPUTED_VALUE"""),"Bella vista")</f>
        <v>Bella vista</v>
      </c>
      <c r="AC674" s="1" t="str">
        <f>IFERROR(__xludf.DUMMYFUNCTION("""COMPUTED_VALUE"""),"G")</f>
        <v>G</v>
      </c>
      <c r="AD674" s="1" t="str">
        <f>IFERROR(__xludf.DUMMYFUNCTION("""COMPUTED_VALUE"""),"G")</f>
        <v>G</v>
      </c>
      <c r="AE674" s="1" t="str">
        <f>IFERROR(__xludf.DUMMYFUNCTION("""COMPUTED_VALUE"""),"G")</f>
        <v>G</v>
      </c>
      <c r="AF674" s="1" t="str">
        <f>IFERROR(__xludf.DUMMYFUNCTION("""COMPUTED_VALUE"""),"G")</f>
        <v>G</v>
      </c>
      <c r="AG674" s="1" t="str">
        <f>IFERROR(__xludf.DUMMYFUNCTION("""COMPUTED_VALUE"""),"G")</f>
        <v>G</v>
      </c>
      <c r="AH674" s="1">
        <f>IFERROR(__xludf.DUMMYFUNCTION("""COMPUTED_VALUE"""),43)</f>
        <v>43</v>
      </c>
      <c r="AI674" s="1">
        <f>IFERROR(__xludf.DUMMYFUNCTION("""COMPUTED_VALUE"""),43)</f>
        <v>43</v>
      </c>
      <c r="AJ674" s="1">
        <f>IFERROR(__xludf.DUMMYFUNCTION("""COMPUTED_VALUE"""),43)</f>
        <v>43</v>
      </c>
      <c r="AK674" s="1">
        <f>IFERROR(__xludf.DUMMYFUNCTION("""COMPUTED_VALUE"""),43)</f>
        <v>43</v>
      </c>
      <c r="AL674" s="1" t="str">
        <f>IFERROR(__xludf.DUMMYFUNCTION("""COMPUTED_VALUE"""),"G")</f>
        <v>G</v>
      </c>
      <c r="AM674" s="1" t="str">
        <f>IFERROR(__xludf.DUMMYFUNCTION("""COMPUTED_VALUE"""),"G")</f>
        <v>G</v>
      </c>
      <c r="AN674" s="1" t="str">
        <f>IFERROR(__xludf.DUMMYFUNCTION("""COMPUTED_VALUE"""),"G")</f>
        <v>G</v>
      </c>
    </row>
    <row r="675" customHeight="1" spans="1:40">
      <c r="A675" s="1" t="str">
        <f>IFERROR(__xludf.DUMMYFUNCTION("""COMPUTED_VALUE"""),"07° BBM")</f>
        <v>07° BBM</v>
      </c>
      <c r="B675" s="1" t="str">
        <f>IFERROR(__xludf.DUMMYFUNCTION("""COMPUTED_VALUE"""),"Gaurama")</f>
        <v>Gaurama</v>
      </c>
      <c r="C675" s="119" t="str">
        <f>IFERROR(__xludf.DUMMYFUNCTION("""COMPUTED_VALUE"""),"CAB")</f>
        <v>CAB</v>
      </c>
      <c r="D675" s="1" t="str">
        <f>IFERROR(__xludf.DUMMYFUNCTION("""COMPUTED_VALUE"""),"JOSÉ GABRIEL BARROS DE OLIVEIRA")</f>
        <v>JOSÉ GABRIEL BARROS DE OLIVEIRA</v>
      </c>
      <c r="E675" s="119" t="str">
        <f>IFERROR(__xludf.DUMMYFUNCTION("""COMPUTED_VALUE"""),"")</f>
        <v/>
      </c>
      <c r="F675" s="1" t="str">
        <f>IFERROR(__xludf.DUMMYFUNCTION("""COMPUTED_VALUE"""),"633.984.940-72")</f>
        <v>633.984.940-72</v>
      </c>
      <c r="G675" s="1">
        <f>IFERROR(__xludf.DUMMYFUNCTION("""COMPUTED_VALUE"""),8014624277)</f>
        <v>8014624277</v>
      </c>
      <c r="H675" s="1" t="str">
        <f>IFERROR(__xludf.DUMMYFUNCTION("""COMPUTED_VALUE"""),"Combatente")</f>
        <v>Combatente</v>
      </c>
      <c r="I675" s="1" t="str">
        <f>IFERROR(__xludf.DUMMYFUNCTION("""COMPUTED_VALUE"""),"Atendimento Suporte Básico de Vida/Brigada de Incendio")</f>
        <v>Atendimento Suporte Básico de Vida/Brigada de Incendio</v>
      </c>
      <c r="J675" s="1" t="str">
        <f>IFERROR(__xludf.DUMMYFUNCTION("""COMPUTED_VALUE"""),"Não")</f>
        <v>Não</v>
      </c>
      <c r="K675" s="1" t="str">
        <f>IFERROR(__xludf.DUMMYFUNCTION("""COMPUTED_VALUE"""),"Não")</f>
        <v>Não</v>
      </c>
      <c r="L675" s="1" t="str">
        <f>IFERROR(__xludf.DUMMYFUNCTION("""COMPUTED_VALUE"""),"A+")</f>
        <v>A+</v>
      </c>
      <c r="M675" s="1" t="str">
        <f>IFERROR(__xludf.DUMMYFUNCTION("""COMPUTED_VALUE"""),"OLIVEIRA")</f>
        <v>OLIVEIRA</v>
      </c>
      <c r="N675" s="120">
        <f>IFERROR(__xludf.DUMMYFUNCTION("""COMPUTED_VALUE"""),26097)</f>
        <v>26097</v>
      </c>
      <c r="O675" s="1" t="str">
        <f>IFERROR(__xludf.DUMMYFUNCTION("""COMPUTED_VALUE"""),"Masculino")</f>
        <v>Masculino</v>
      </c>
      <c r="P675" s="1" t="str">
        <f>IFERROR(__xludf.DUMMYFUNCTION("""COMPUTED_VALUE"""),"Morena")</f>
        <v>Morena</v>
      </c>
      <c r="Q675" s="1" t="str">
        <f>IFERROR(__xludf.DUMMYFUNCTION("""COMPUTED_VALUE"""),"Ensino Médio")</f>
        <v>Ensino Médio</v>
      </c>
      <c r="R675" s="1" t="str">
        <f>IFERROR(__xludf.DUMMYFUNCTION("""COMPUTED_VALUE"""),"naotememail@.com")</f>
        <v>naotememail@.com</v>
      </c>
      <c r="S675" s="1">
        <f>IFERROR(__xludf.DUMMYFUNCTION("""COMPUTED_VALUE"""),88)</f>
        <v>88</v>
      </c>
      <c r="T675" s="1" t="str">
        <f>IFERROR(__xludf.DUMMYFUNCTION("""COMPUTED_VALUE"""),"Entre 1,71m e 1,75m")</f>
        <v>Entre 1,71m e 1,75m</v>
      </c>
      <c r="U675" s="1"/>
      <c r="V675" s="1" t="str">
        <f>IFERROR(__xludf.DUMMYFUNCTION("""COMPUTED_VALUE"""),"(54)999849771")</f>
        <v>(54)999849771</v>
      </c>
      <c r="W675" s="1"/>
      <c r="X675" s="1" t="str">
        <f>IFERROR(__xludf.DUMMYFUNCTION("""COMPUTED_VALUE"""),"RS")</f>
        <v>RS</v>
      </c>
      <c r="Y675" s="1" t="str">
        <f>IFERROR(__xludf.DUMMYFUNCTION("""COMPUTED_VALUE"""),"Gaurama")</f>
        <v>Gaurama</v>
      </c>
      <c r="Z675" s="1">
        <f>IFERROR(__xludf.DUMMYFUNCTION("""COMPUTED_VALUE"""),99830000)</f>
        <v>99830000</v>
      </c>
      <c r="AA675" s="1" t="str">
        <f>IFERROR(__xludf.DUMMYFUNCTION("""COMPUTED_VALUE"""),"RECINTO FERROVIARIO")</f>
        <v>RECINTO FERROVIARIO</v>
      </c>
      <c r="AB675" s="1" t="str">
        <f>IFERROR(__xludf.DUMMYFUNCTION("""COMPUTED_VALUE"""),"CENTRO")</f>
        <v>CENTRO</v>
      </c>
      <c r="AC675" s="1" t="str">
        <f>IFERROR(__xludf.DUMMYFUNCTION("""COMPUTED_VALUE"""),"G")</f>
        <v>G</v>
      </c>
      <c r="AD675" s="1" t="str">
        <f>IFERROR(__xludf.DUMMYFUNCTION("""COMPUTED_VALUE"""),"G")</f>
        <v>G</v>
      </c>
      <c r="AE675" s="1" t="str">
        <f>IFERROR(__xludf.DUMMYFUNCTION("""COMPUTED_VALUE"""),"G")</f>
        <v>G</v>
      </c>
      <c r="AF675" s="1" t="str">
        <f>IFERROR(__xludf.DUMMYFUNCTION("""COMPUTED_VALUE"""),"G")</f>
        <v>G</v>
      </c>
      <c r="AG675" s="1" t="str">
        <f>IFERROR(__xludf.DUMMYFUNCTION("""COMPUTED_VALUE"""),"G")</f>
        <v>G</v>
      </c>
      <c r="AH675" s="1">
        <f>IFERROR(__xludf.DUMMYFUNCTION("""COMPUTED_VALUE"""),42)</f>
        <v>42</v>
      </c>
      <c r="AI675" s="1">
        <f>IFERROR(__xludf.DUMMYFUNCTION("""COMPUTED_VALUE"""),42)</f>
        <v>42</v>
      </c>
      <c r="AJ675" s="1">
        <f>IFERROR(__xludf.DUMMYFUNCTION("""COMPUTED_VALUE"""),42)</f>
        <v>42</v>
      </c>
      <c r="AK675" s="1">
        <f>IFERROR(__xludf.DUMMYFUNCTION("""COMPUTED_VALUE"""),42)</f>
        <v>42</v>
      </c>
      <c r="AL675" s="1" t="str">
        <f>IFERROR(__xludf.DUMMYFUNCTION("""COMPUTED_VALUE"""),"G")</f>
        <v>G</v>
      </c>
      <c r="AM675" s="1" t="str">
        <f>IFERROR(__xludf.DUMMYFUNCTION("""COMPUTED_VALUE"""),"G")</f>
        <v>G</v>
      </c>
      <c r="AN675" s="1" t="str">
        <f>IFERROR(__xludf.DUMMYFUNCTION("""COMPUTED_VALUE"""),"G")</f>
        <v>G</v>
      </c>
    </row>
    <row r="676" customHeight="1" spans="1:40">
      <c r="A676" s="1" t="str">
        <f>IFERROR(__xludf.DUMMYFUNCTION("""COMPUTED_VALUE"""),"07° BBM")</f>
        <v>07° BBM</v>
      </c>
      <c r="B676" s="1" t="str">
        <f>IFERROR(__xludf.DUMMYFUNCTION("""COMPUTED_VALUE"""),"Mormaço")</f>
        <v>Mormaço</v>
      </c>
      <c r="C676" s="119" t="str">
        <f>IFERROR(__xludf.DUMMYFUNCTION("""COMPUTED_VALUE"""),"CAB")</f>
        <v>CAB</v>
      </c>
      <c r="D676" s="1" t="str">
        <f>IFERROR(__xludf.DUMMYFUNCTION("""COMPUTED_VALUE"""),"JOSÉ JEREMIAS DE CAMARGO DE LIMA")</f>
        <v>JOSÉ JEREMIAS DE CAMARGO DE LIMA</v>
      </c>
      <c r="E676" s="119" t="str">
        <f>IFERROR(__xludf.DUMMYFUNCTION("""COMPUTED_VALUE"""),"")</f>
        <v/>
      </c>
      <c r="F676" s="1" t="str">
        <f>IFERROR(__xludf.DUMMYFUNCTION("""COMPUTED_VALUE"""),"006.884.630-45")</f>
        <v>006.884.630-45</v>
      </c>
      <c r="G676" s="1"/>
      <c r="H676" s="1"/>
      <c r="I676" s="1"/>
      <c r="J676" s="1"/>
      <c r="K676" s="1"/>
      <c r="L676" s="1"/>
      <c r="M676" s="1"/>
      <c r="N676" s="120"/>
      <c r="O676" s="1"/>
      <c r="P676" s="1"/>
      <c r="Q676" s="1"/>
      <c r="R676" s="1" t="str">
        <f>IFERROR(__xludf.DUMMYFUNCTION("""COMPUTED_VALUE"""),"jerelima10@hotmail.com")</f>
        <v>jerelima10@hotmail.com</v>
      </c>
      <c r="S676" s="1"/>
      <c r="T676" s="1"/>
      <c r="U676" s="1"/>
      <c r="V676" s="1"/>
      <c r="W676" s="1"/>
      <c r="X676" s="1"/>
      <c r="Y676" s="1"/>
      <c r="Z676" s="1"/>
      <c r="AA676" s="1"/>
      <c r="AB676" s="1"/>
      <c r="AC676" s="1"/>
      <c r="AD676" s="1"/>
      <c r="AE676" s="1"/>
      <c r="AF676" s="1"/>
      <c r="AG676" s="1" t="str">
        <f>IFERROR(__xludf.DUMMYFUNCTION("""COMPUTED_VALUE"""),"G")</f>
        <v>G</v>
      </c>
      <c r="AH676" s="1">
        <f>IFERROR(__xludf.DUMMYFUNCTION("""COMPUTED_VALUE"""),42)</f>
        <v>42</v>
      </c>
      <c r="AI676" s="1"/>
      <c r="AJ676" s="1"/>
      <c r="AK676" s="1"/>
      <c r="AL676" s="1" t="str">
        <f>IFERROR(__xludf.DUMMYFUNCTION("""COMPUTED_VALUE"""),"G")</f>
        <v>G</v>
      </c>
      <c r="AM676" s="1" t="str">
        <f>IFERROR(__xludf.DUMMYFUNCTION("""COMPUTED_VALUE"""),"G")</f>
        <v>G</v>
      </c>
      <c r="AN676" s="1" t="str">
        <f>IFERROR(__xludf.DUMMYFUNCTION("""COMPUTED_VALUE"""),"G")</f>
        <v>G</v>
      </c>
    </row>
    <row r="677" customHeight="1" spans="1:40">
      <c r="A677" s="1" t="str">
        <f>IFERROR(__xludf.DUMMYFUNCTION("""COMPUTED_VALUE"""),"07° BBM")</f>
        <v>07° BBM</v>
      </c>
      <c r="B677" s="1" t="str">
        <f>IFERROR(__xludf.DUMMYFUNCTION("""COMPUTED_VALUE"""),"Mormaço")</f>
        <v>Mormaço</v>
      </c>
      <c r="C677" s="119" t="str">
        <f>IFERROR(__xludf.DUMMYFUNCTION("""COMPUTED_VALUE"""),"CAB")</f>
        <v>CAB</v>
      </c>
      <c r="D677" s="1" t="str">
        <f>IFERROR(__xludf.DUMMYFUNCTION("""COMPUTED_VALUE"""),"JOSÉ VALMOR FERREIRA PRESTES")</f>
        <v>JOSÉ VALMOR FERREIRA PRESTES</v>
      </c>
      <c r="E677" s="119" t="str">
        <f>IFERROR(__xludf.DUMMYFUNCTION("""COMPUTED_VALUE"""),"")</f>
        <v/>
      </c>
      <c r="F677" s="1" t="str">
        <f>IFERROR(__xludf.DUMMYFUNCTION("""COMPUTED_VALUE"""),"653.971.690-72")</f>
        <v>653.971.690-72</v>
      </c>
      <c r="G677" s="1"/>
      <c r="H677" s="1"/>
      <c r="I677" s="1"/>
      <c r="J677" s="1"/>
      <c r="K677" s="1"/>
      <c r="L677" s="1"/>
      <c r="M677" s="1"/>
      <c r="N677" s="120"/>
      <c r="O677" s="1"/>
      <c r="P677" s="1"/>
      <c r="Q677" s="1"/>
      <c r="R677" s="1" t="str">
        <f>IFERROR(__xludf.DUMMYFUNCTION("""COMPUTED_VALUE"""),"valmorprestes47@gmail.com")</f>
        <v>valmorprestes47@gmail.com</v>
      </c>
      <c r="S677" s="1"/>
      <c r="T677" s="1"/>
      <c r="U677" s="1"/>
      <c r="V677" s="1"/>
      <c r="W677" s="1"/>
      <c r="X677" s="1"/>
      <c r="Y677" s="1"/>
      <c r="Z677" s="1"/>
      <c r="AA677" s="1"/>
      <c r="AB677" s="1"/>
      <c r="AC677" s="1"/>
      <c r="AD677" s="1"/>
      <c r="AE677" s="1"/>
      <c r="AF677" s="1"/>
      <c r="AG677" s="1" t="str">
        <f>IFERROR(__xludf.DUMMYFUNCTION("""COMPUTED_VALUE"""),"G")</f>
        <v>G</v>
      </c>
      <c r="AH677" s="1">
        <f>IFERROR(__xludf.DUMMYFUNCTION("""COMPUTED_VALUE"""),41)</f>
        <v>41</v>
      </c>
      <c r="AI677" s="1"/>
      <c r="AJ677" s="1"/>
      <c r="AK677" s="1"/>
      <c r="AL677" s="1" t="str">
        <f>IFERROR(__xludf.DUMMYFUNCTION("""COMPUTED_VALUE"""),"G")</f>
        <v>G</v>
      </c>
      <c r="AM677" s="1" t="str">
        <f>IFERROR(__xludf.DUMMYFUNCTION("""COMPUTED_VALUE"""),"G")</f>
        <v>G</v>
      </c>
      <c r="AN677" s="1" t="str">
        <f>IFERROR(__xludf.DUMMYFUNCTION("""COMPUTED_VALUE"""),"G")</f>
        <v>G</v>
      </c>
    </row>
    <row r="678" customHeight="1" spans="1:40">
      <c r="A678" s="1" t="str">
        <f>IFERROR(__xludf.DUMMYFUNCTION("""COMPUTED_VALUE"""),"07° BBM")</f>
        <v>07° BBM</v>
      </c>
      <c r="B678" s="1" t="str">
        <f>IFERROR(__xludf.DUMMYFUNCTION("""COMPUTED_VALUE"""),"Faxinalzinho")</f>
        <v>Faxinalzinho</v>
      </c>
      <c r="C678" s="119" t="str">
        <f>IFERROR(__xludf.DUMMYFUNCTION("""COMPUTED_VALUE"""),"CAB")</f>
        <v>CAB</v>
      </c>
      <c r="D678" s="1" t="str">
        <f>IFERROR(__xludf.DUMMYFUNCTION("""COMPUTED_VALUE"""),"JOSIELE SEGAT MOREIRA")</f>
        <v>JOSIELE SEGAT MOREIRA</v>
      </c>
      <c r="E678" s="119" t="str">
        <f>IFERROR(__xludf.DUMMYFUNCTION("""COMPUTED_VALUE"""),"")</f>
        <v/>
      </c>
      <c r="F678" s="1" t="str">
        <f>IFERROR(__xludf.DUMMYFUNCTION("""COMPUTED_VALUE"""),"097.134.819-76")</f>
        <v>097.134.819-76</v>
      </c>
      <c r="G678" s="1" t="str">
        <f>IFERROR(__xludf.DUMMYFUNCTION("""COMPUTED_VALUE"""),"6687208/SSP-SC")</f>
        <v>6687208/SSP-SC</v>
      </c>
      <c r="H678" s="1" t="str">
        <f>IFERROR(__xludf.DUMMYFUNCTION("""COMPUTED_VALUE"""),"Membro")</f>
        <v>Membro</v>
      </c>
      <c r="I678" s="1" t="str">
        <f>IFERROR(__xludf.DUMMYFUNCTION("""COMPUTED_VALUE"""),"Combate a Incendios")</f>
        <v>Combate a Incendios</v>
      </c>
      <c r="J678" s="1"/>
      <c r="K678" s="1" t="str">
        <f>IFERROR(__xludf.DUMMYFUNCTION("""COMPUTED_VALUE"""),"Não")</f>
        <v>Não</v>
      </c>
      <c r="L678" s="1"/>
      <c r="M678" s="1"/>
      <c r="N678" s="120"/>
      <c r="O678" s="1" t="str">
        <f>IFERROR(__xludf.DUMMYFUNCTION("""COMPUTED_VALUE"""),"Feminino")</f>
        <v>Feminino</v>
      </c>
      <c r="P678" s="1"/>
      <c r="Q678" s="1"/>
      <c r="R678" s="1"/>
      <c r="S678" s="1"/>
      <c r="T678" s="1"/>
      <c r="U678" s="1"/>
      <c r="V678" s="1"/>
      <c r="W678" s="1"/>
      <c r="X678" s="1"/>
      <c r="Y678" s="1" t="str">
        <f>IFERROR(__xludf.DUMMYFUNCTION("""COMPUTED_VALUE"""),"Faxinalzinho")</f>
        <v>Faxinalzinho</v>
      </c>
      <c r="Z678" s="1"/>
      <c r="AA678" s="1"/>
      <c r="AB678" s="1"/>
      <c r="AC678" s="1"/>
      <c r="AD678" s="1"/>
      <c r="AE678" s="1"/>
      <c r="AF678" s="1"/>
      <c r="AG678" s="1"/>
      <c r="AH678" s="1"/>
      <c r="AI678" s="1"/>
      <c r="AJ678" s="1"/>
      <c r="AK678" s="1"/>
      <c r="AL678" s="1"/>
      <c r="AM678" s="1"/>
      <c r="AN678" s="1"/>
    </row>
    <row r="679" customHeight="1" spans="1:40">
      <c r="A679" s="1" t="str">
        <f>IFERROR(__xludf.DUMMYFUNCTION("""COMPUTED_VALUE"""),"07° BBM")</f>
        <v>07° BBM</v>
      </c>
      <c r="B679" s="1" t="str">
        <f>IFERROR(__xludf.DUMMYFUNCTION("""COMPUTED_VALUE"""),"GETULIO VARGAS")</f>
        <v>GETULIO VARGAS</v>
      </c>
      <c r="C679" s="119" t="str">
        <f>IFERROR(__xludf.DUMMYFUNCTION("""COMPUTED_VALUE"""),"Comunitário")</f>
        <v>Comunitário</v>
      </c>
      <c r="D679" s="1" t="str">
        <f>IFERROR(__xludf.DUMMYFUNCTION("""COMPUTED_VALUE"""),"JUAREZ DENARDI")</f>
        <v>JUAREZ DENARDI</v>
      </c>
      <c r="E679" s="119" t="str">
        <f>IFERROR(__xludf.DUMMYFUNCTION("""COMPUTED_VALUE"""),"Módulo 1 concluído")</f>
        <v>Módulo 1 concluído</v>
      </c>
      <c r="F679" s="1" t="str">
        <f>IFERROR(__xludf.DUMMYFUNCTION("""COMPUTED_VALUE"""),"389.359.450-72")</f>
        <v>389.359.450-72</v>
      </c>
      <c r="G679" s="1">
        <f>IFERROR(__xludf.DUMMYFUNCTION("""COMPUTED_VALUE"""),5020597431)</f>
        <v>5020597431</v>
      </c>
      <c r="H679" s="1" t="str">
        <f>IFERROR(__xludf.DUMMYFUNCTION("""COMPUTED_VALUE"""),"OP")</f>
        <v>OP</v>
      </c>
      <c r="I679" s="1"/>
      <c r="J679" s="1"/>
      <c r="K679" s="1"/>
      <c r="L679" s="1"/>
      <c r="M679" s="1"/>
      <c r="N679" s="125">
        <f>IFERROR(__xludf.DUMMYFUNCTION("""COMPUTED_VALUE"""),22297)</f>
        <v>22297</v>
      </c>
      <c r="O679" s="1" t="str">
        <f>IFERROR(__xludf.DUMMYFUNCTION("""COMPUTED_VALUE"""),"Masculino")</f>
        <v>Masculino</v>
      </c>
      <c r="P679" s="1"/>
      <c r="Q679" s="1"/>
      <c r="R679" s="1"/>
      <c r="S679" s="1"/>
      <c r="T679" s="1"/>
      <c r="U679" s="1"/>
      <c r="V679" s="1"/>
      <c r="W679" s="1"/>
      <c r="X679" s="1"/>
      <c r="Y679" s="1" t="str">
        <f>IFERROR(__xludf.DUMMYFUNCTION("""COMPUTED_VALUE"""),"Getúlio Vargas")</f>
        <v>Getúlio Vargas</v>
      </c>
      <c r="Z679" s="1"/>
      <c r="AA679" s="1"/>
      <c r="AB679" s="1"/>
      <c r="AC679" s="1"/>
      <c r="AD679" s="1"/>
      <c r="AE679" s="1"/>
      <c r="AF679" s="1"/>
      <c r="AG679" s="1" t="str">
        <f>IFERROR(__xludf.DUMMYFUNCTION("""COMPUTED_VALUE"""),"M")</f>
        <v>M</v>
      </c>
      <c r="AH679" s="1">
        <f>IFERROR(__xludf.DUMMYFUNCTION("""COMPUTED_VALUE"""),39)</f>
        <v>39</v>
      </c>
      <c r="AI679" s="1"/>
      <c r="AJ679" s="1"/>
      <c r="AK679" s="1"/>
      <c r="AL679" s="1" t="str">
        <f>IFERROR(__xludf.DUMMYFUNCTION("""COMPUTED_VALUE"""),"M")</f>
        <v>M</v>
      </c>
      <c r="AM679" s="1" t="str">
        <f>IFERROR(__xludf.DUMMYFUNCTION("""COMPUTED_VALUE"""),"M")</f>
        <v>M</v>
      </c>
      <c r="AN679" s="1" t="str">
        <f>IFERROR(__xludf.DUMMYFUNCTION("""COMPUTED_VALUE"""),"M")</f>
        <v>M</v>
      </c>
    </row>
    <row r="680" customHeight="1" spans="1:40">
      <c r="A680" s="1" t="str">
        <f>IFERROR(__xludf.DUMMYFUNCTION("""COMPUTED_VALUE"""),"07° BBM")</f>
        <v>07° BBM</v>
      </c>
      <c r="B680" s="1" t="str">
        <f>IFERROR(__xludf.DUMMYFUNCTION("""COMPUTED_VALUE"""),"Viadutos")</f>
        <v>Viadutos</v>
      </c>
      <c r="C680" s="119" t="str">
        <f>IFERROR(__xludf.DUMMYFUNCTION("""COMPUTED_VALUE"""),"CAB")</f>
        <v>CAB</v>
      </c>
      <c r="D680" s="1" t="str">
        <f>IFERROR(__xludf.DUMMYFUNCTION("""COMPUTED_VALUE"""),"JUCIELI FÁTIMA CORREIA")</f>
        <v>JUCIELI FÁTIMA CORREIA</v>
      </c>
      <c r="E680" s="119" t="str">
        <f>IFERROR(__xludf.DUMMYFUNCTION("""COMPUTED_VALUE"""),"Módulo 1 concluído")</f>
        <v>Módulo 1 concluído</v>
      </c>
      <c r="F680" s="1" t="str">
        <f>IFERROR(__xludf.DUMMYFUNCTION("""COMPUTED_VALUE"""),"023.808.150-89")</f>
        <v>023.808.150-89</v>
      </c>
      <c r="G680" s="1">
        <f>IFERROR(__xludf.DUMMYFUNCTION("""COMPUTED_VALUE"""),2097504316)</f>
        <v>2097504316</v>
      </c>
      <c r="H680" s="1" t="str">
        <f>IFERROR(__xludf.DUMMYFUNCTION("""COMPUTED_VALUE"""),"COMBATENTE")</f>
        <v>COMBATENTE</v>
      </c>
      <c r="I680" s="1" t="str">
        <f>IFERROR(__xludf.DUMMYFUNCTION("""COMPUTED_VALUE"""),"Atendiimento Suporte Básico de Vida")</f>
        <v>Atendiimento Suporte Básico de Vida</v>
      </c>
      <c r="J680" s="1" t="str">
        <f>IFERROR(__xludf.DUMMYFUNCTION("""COMPUTED_VALUE"""),"Não")</f>
        <v>Não</v>
      </c>
      <c r="K680" s="1" t="str">
        <f>IFERROR(__xludf.DUMMYFUNCTION("""COMPUTED_VALUE"""),"Não")</f>
        <v>Não</v>
      </c>
      <c r="L680" s="1" t="str">
        <f>IFERROR(__xludf.DUMMYFUNCTION("""COMPUTED_VALUE"""),"A+")</f>
        <v>A+</v>
      </c>
      <c r="M680" s="1" t="str">
        <f>IFERROR(__xludf.DUMMYFUNCTION("""COMPUTED_VALUE"""),"JUCIELE")</f>
        <v>JUCIELE</v>
      </c>
      <c r="N680" s="120">
        <f>IFERROR(__xludf.DUMMYFUNCTION("""COMPUTED_VALUE"""),31987)</f>
        <v>31987</v>
      </c>
      <c r="O680" s="1" t="str">
        <f>IFERROR(__xludf.DUMMYFUNCTION("""COMPUTED_VALUE"""),"Feminino")</f>
        <v>Feminino</v>
      </c>
      <c r="P680" s="1" t="str">
        <f>IFERROR(__xludf.DUMMYFUNCTION("""COMPUTED_VALUE"""),"Preta")</f>
        <v>Preta</v>
      </c>
      <c r="Q680" s="1" t="str">
        <f>IFERROR(__xludf.DUMMYFUNCTION("""COMPUTED_VALUE"""),"Ensino Médio")</f>
        <v>Ensino Médio</v>
      </c>
      <c r="R680" s="1" t="str">
        <f>IFERROR(__xludf.DUMMYFUNCTION("""COMPUTED_VALUE"""),"jucicorreia29.jc@gmail.com")</f>
        <v>jucicorreia29.jc@gmail.com</v>
      </c>
      <c r="S680" s="1">
        <f>IFERROR(__xludf.DUMMYFUNCTION("""COMPUTED_VALUE"""),67)</f>
        <v>67</v>
      </c>
      <c r="T680" s="1" t="str">
        <f>IFERROR(__xludf.DUMMYFUNCTION("""COMPUTED_VALUE"""),"Entre 1,56m e 1,60m")</f>
        <v>Entre 1,56m e 1,60m</v>
      </c>
      <c r="U680" s="1"/>
      <c r="V680" s="1" t="str">
        <f>IFERROR(__xludf.DUMMYFUNCTION("""COMPUTED_VALUE"""),"(54) 999304909")</f>
        <v>(54) 999304909</v>
      </c>
      <c r="W680" s="1" t="str">
        <f>IFERROR(__xludf.DUMMYFUNCTION("""COMPUTED_VALUE"""),"(54) 999249531")</f>
        <v>(54) 999249531</v>
      </c>
      <c r="X680" s="1" t="str">
        <f>IFERROR(__xludf.DUMMYFUNCTION("""COMPUTED_VALUE"""),"RS")</f>
        <v>RS</v>
      </c>
      <c r="Y680" s="1" t="str">
        <f>IFERROR(__xludf.DUMMYFUNCTION("""COMPUTED_VALUE"""),"Viadutos")</f>
        <v>Viadutos</v>
      </c>
      <c r="Z680" s="1" t="str">
        <f>IFERROR(__xludf.DUMMYFUNCTION("""COMPUTED_VALUE"""),"99820-000")</f>
        <v>99820-000</v>
      </c>
      <c r="AA680" s="1" t="str">
        <f>IFERROR(__xludf.DUMMYFUNCTION("""COMPUTED_VALUE"""),"Avenida Brasil 43")</f>
        <v>Avenida Brasil 43</v>
      </c>
      <c r="AB680" s="1" t="str">
        <f>IFERROR(__xludf.DUMMYFUNCTION("""COMPUTED_VALUE"""),"Centro")</f>
        <v>Centro</v>
      </c>
      <c r="AC680" s="1" t="str">
        <f>IFERROR(__xludf.DUMMYFUNCTION("""COMPUTED_VALUE"""),"M")</f>
        <v>M</v>
      </c>
      <c r="AD680" s="1" t="str">
        <f>IFERROR(__xludf.DUMMYFUNCTION("""COMPUTED_VALUE"""),"M")</f>
        <v>M</v>
      </c>
      <c r="AE680" s="1" t="str">
        <f>IFERROR(__xludf.DUMMYFUNCTION("""COMPUTED_VALUE"""),"M")</f>
        <v>M</v>
      </c>
      <c r="AF680" s="1" t="str">
        <f>IFERROR(__xludf.DUMMYFUNCTION("""COMPUTED_VALUE"""),"P")</f>
        <v>P</v>
      </c>
      <c r="AG680" s="1" t="str">
        <f>IFERROR(__xludf.DUMMYFUNCTION("""COMPUTED_VALUE"""),"P")</f>
        <v>P</v>
      </c>
      <c r="AH680" s="1">
        <f>IFERROR(__xludf.DUMMYFUNCTION("""COMPUTED_VALUE"""),34)</f>
        <v>34</v>
      </c>
      <c r="AI680" s="1">
        <f>IFERROR(__xludf.DUMMYFUNCTION("""COMPUTED_VALUE"""),34)</f>
        <v>34</v>
      </c>
      <c r="AJ680" s="1">
        <f>IFERROR(__xludf.DUMMYFUNCTION("""COMPUTED_VALUE"""),34)</f>
        <v>34</v>
      </c>
      <c r="AK680" s="1">
        <f>IFERROR(__xludf.DUMMYFUNCTION("""COMPUTED_VALUE"""),33)</f>
        <v>33</v>
      </c>
      <c r="AL680" s="1" t="str">
        <f>IFERROR(__xludf.DUMMYFUNCTION("""COMPUTED_VALUE"""),"P")</f>
        <v>P</v>
      </c>
      <c r="AM680" s="1" t="str">
        <f>IFERROR(__xludf.DUMMYFUNCTION("""COMPUTED_VALUE"""),"M")</f>
        <v>M</v>
      </c>
      <c r="AN680" s="1" t="str">
        <f>IFERROR(__xludf.DUMMYFUNCTION("""COMPUTED_VALUE"""),"P")</f>
        <v>P</v>
      </c>
    </row>
    <row r="681" customHeight="1" spans="1:40">
      <c r="A681" s="1" t="str">
        <f>IFERROR(__xludf.DUMMYFUNCTION("""COMPUTED_VALUE"""),"07° BBM")</f>
        <v>07° BBM</v>
      </c>
      <c r="B681" s="1" t="str">
        <f>IFERROR(__xludf.DUMMYFUNCTION("""COMPUTED_VALUE"""),"Barão de Cotegipe")</f>
        <v>Barão de Cotegipe</v>
      </c>
      <c r="C681" s="119" t="str">
        <f>IFERROR(__xludf.DUMMYFUNCTION("""COMPUTED_VALUE"""),"CAB")</f>
        <v>CAB</v>
      </c>
      <c r="D681" s="1" t="str">
        <f>IFERROR(__xludf.DUMMYFUNCTION("""COMPUTED_VALUE"""),"JULIANA DUTRA")</f>
        <v>JULIANA DUTRA</v>
      </c>
      <c r="E681" s="119" t="str">
        <f>IFERROR(__xludf.DUMMYFUNCTION("""COMPUTED_VALUE"""),"")</f>
        <v/>
      </c>
      <c r="F681" s="1" t="str">
        <f>IFERROR(__xludf.DUMMYFUNCTION("""COMPUTED_VALUE"""),"005.302.480-00")</f>
        <v>005.302.480-00</v>
      </c>
      <c r="G681" s="1">
        <f>IFERROR(__xludf.DUMMYFUNCTION("""COMPUTED_VALUE"""),1090014208)</f>
        <v>1090014208</v>
      </c>
      <c r="H681" s="1" t="str">
        <f>IFERROR(__xludf.DUMMYFUNCTION("""COMPUTED_VALUE"""),"Combatente")</f>
        <v>Combatente</v>
      </c>
      <c r="I681" s="1" t="str">
        <f>IFERROR(__xludf.DUMMYFUNCTION("""COMPUTED_VALUE"""),"BOMBEIRA CIVIL,COUCH,APH")</f>
        <v>BOMBEIRA CIVIL,COUCH,APH</v>
      </c>
      <c r="J681" s="1" t="str">
        <f>IFERROR(__xludf.DUMMYFUNCTION("""COMPUTED_VALUE"""),"Não")</f>
        <v>Não</v>
      </c>
      <c r="K681" s="1" t="str">
        <f>IFERROR(__xludf.DUMMYFUNCTION("""COMPUTED_VALUE"""),"Sim")</f>
        <v>Sim</v>
      </c>
      <c r="L681" s="1" t="str">
        <f>IFERROR(__xludf.DUMMYFUNCTION("""COMPUTED_VALUE"""),"A+")</f>
        <v>A+</v>
      </c>
      <c r="M681" s="1" t="str">
        <f>IFERROR(__xludf.DUMMYFUNCTION("""COMPUTED_VALUE"""),"DUTRA")</f>
        <v>DUTRA</v>
      </c>
      <c r="N681" s="120">
        <f>IFERROR(__xludf.DUMMYFUNCTION("""COMPUTED_VALUE"""),34587)</f>
        <v>34587</v>
      </c>
      <c r="O681" s="1" t="str">
        <f>IFERROR(__xludf.DUMMYFUNCTION("""COMPUTED_VALUE"""),"F")</f>
        <v>F</v>
      </c>
      <c r="P681" s="1" t="str">
        <f>IFERROR(__xludf.DUMMYFUNCTION("""COMPUTED_VALUE"""),"PARDA")</f>
        <v>PARDA</v>
      </c>
      <c r="Q681" s="1" t="str">
        <f>IFERROR(__xludf.DUMMYFUNCTION("""COMPUTED_VALUE"""),"ENSINO MEDIO COMPLETO")</f>
        <v>ENSINO MEDIO COMPLETO</v>
      </c>
      <c r="R681" s="1" t="str">
        <f>IFERROR(__xludf.DUMMYFUNCTION("""COMPUTED_VALUE"""),"jhudutra0@gmail.com@gmail.com")</f>
        <v>jhudutra0@gmail.com@gmail.com</v>
      </c>
      <c r="S681" s="1">
        <f>IFERROR(__xludf.DUMMYFUNCTION("""COMPUTED_VALUE"""),66)</f>
        <v>66</v>
      </c>
      <c r="T681" s="1">
        <f>IFERROR(__xludf.DUMMYFUNCTION("""COMPUTED_VALUE"""),1.71)</f>
        <v>1.71</v>
      </c>
      <c r="U681" s="1" t="str">
        <f>IFERROR(__xludf.DUMMYFUNCTION("""COMPUTED_VALUE"""),"(54) 981289246")</f>
        <v>(54) 981289246</v>
      </c>
      <c r="V681" s="1" t="str">
        <f>IFERROR(__xludf.DUMMYFUNCTION("""COMPUTED_VALUE"""),"(54) 991320432")</f>
        <v>(54) 991320432</v>
      </c>
      <c r="W681" s="1"/>
      <c r="X681" s="1" t="str">
        <f>IFERROR(__xludf.DUMMYFUNCTION("""COMPUTED_VALUE"""),"RS")</f>
        <v>RS</v>
      </c>
      <c r="Y681" s="1" t="str">
        <f>IFERROR(__xludf.DUMMYFUNCTION("""COMPUTED_VALUE"""),"ERECHIM")</f>
        <v>ERECHIM</v>
      </c>
      <c r="Z681" s="1">
        <f>IFERROR(__xludf.DUMMYFUNCTION("""COMPUTED_VALUE"""),99712499)</f>
        <v>99712499</v>
      </c>
      <c r="AA681" s="1" t="str">
        <f>IFERROR(__xludf.DUMMYFUNCTION("""COMPUTED_VALUE"""),"RUA SALVADOR NELSON FOSSATI 19")</f>
        <v>RUA SALVADOR NELSON FOSSATI 19</v>
      </c>
      <c r="AB681" s="1" t="str">
        <f>IFERROR(__xludf.DUMMYFUNCTION("""COMPUTED_VALUE"""),"PAIOL GRANDE")</f>
        <v>PAIOL GRANDE</v>
      </c>
      <c r="AC681" s="1" t="str">
        <f>IFERROR(__xludf.DUMMYFUNCTION("""COMPUTED_VALUE"""),"M")</f>
        <v>M</v>
      </c>
      <c r="AD681" s="1" t="str">
        <f>IFERROR(__xludf.DUMMYFUNCTION("""COMPUTED_VALUE"""),"G")</f>
        <v>G</v>
      </c>
      <c r="AE681" s="1" t="str">
        <f>IFERROR(__xludf.DUMMYFUNCTION("""COMPUTED_VALUE"""),"M")</f>
        <v>M</v>
      </c>
      <c r="AF681" s="1" t="str">
        <f>IFERROR(__xludf.DUMMYFUNCTION("""COMPUTED_VALUE"""),"G")</f>
        <v>G</v>
      </c>
      <c r="AG681" s="1" t="str">
        <f>IFERROR(__xludf.DUMMYFUNCTION("""COMPUTED_VALUE"""),"M")</f>
        <v>M</v>
      </c>
      <c r="AH681" s="1" t="str">
        <f>IFERROR(__xludf.DUMMYFUNCTION("""COMPUTED_VALUE"""),"P")</f>
        <v>P</v>
      </c>
      <c r="AI681" s="1">
        <f>IFERROR(__xludf.DUMMYFUNCTION("""COMPUTED_VALUE"""),36)</f>
        <v>36</v>
      </c>
      <c r="AJ681" s="1">
        <f>IFERROR(__xludf.DUMMYFUNCTION("""COMPUTED_VALUE"""),36)</f>
        <v>36</v>
      </c>
      <c r="AK681" s="1">
        <f>IFERROR(__xludf.DUMMYFUNCTION("""COMPUTED_VALUE"""),36)</f>
        <v>36</v>
      </c>
      <c r="AL681" s="1">
        <f>IFERROR(__xludf.DUMMYFUNCTION("""COMPUTED_VALUE"""),37)</f>
        <v>37</v>
      </c>
      <c r="AM681" s="1" t="str">
        <f>IFERROR(__xludf.DUMMYFUNCTION("""COMPUTED_VALUE"""),"M")</f>
        <v>M</v>
      </c>
      <c r="AN681" s="1">
        <f>IFERROR(__xludf.DUMMYFUNCTION("""COMPUTED_VALUE"""),56)</f>
        <v>56</v>
      </c>
    </row>
    <row r="682" customHeight="1" spans="1:40">
      <c r="A682" s="1" t="str">
        <f>IFERROR(__xludf.DUMMYFUNCTION("""COMPUTED_VALUE"""),"07° BBM")</f>
        <v>07° BBM</v>
      </c>
      <c r="B682" s="1" t="str">
        <f>IFERROR(__xludf.DUMMYFUNCTION("""COMPUTED_VALUE"""),"Erval Grande")</f>
        <v>Erval Grande</v>
      </c>
      <c r="C682" s="119" t="str">
        <f>IFERROR(__xludf.DUMMYFUNCTION("""COMPUTED_VALUE"""),"CAB")</f>
        <v>CAB</v>
      </c>
      <c r="D682" s="1" t="str">
        <f>IFERROR(__xludf.DUMMYFUNCTION("""COMPUTED_VALUE"""),"KAUE VINICIOS SIMONI")</f>
        <v>KAUE VINICIOS SIMONI</v>
      </c>
      <c r="E682" s="119" t="str">
        <f>IFERROR(__xludf.DUMMYFUNCTION("""COMPUTED_VALUE"""),"")</f>
        <v/>
      </c>
      <c r="F682" s="1"/>
      <c r="G682" s="1"/>
      <c r="H682" s="1"/>
      <c r="I682" s="1"/>
      <c r="J682" s="1"/>
      <c r="K682" s="1"/>
      <c r="L682" s="1"/>
      <c r="M682" s="1"/>
      <c r="N682" s="120">
        <f>IFERROR(__xludf.DUMMYFUNCTION("""COMPUTED_VALUE"""),36853)</f>
        <v>36853</v>
      </c>
      <c r="O682" s="1" t="str">
        <f>IFERROR(__xludf.DUMMYFUNCTION("""COMPUTED_VALUE"""),"Masculino")</f>
        <v>Masculino</v>
      </c>
      <c r="P682" s="1"/>
      <c r="Q682" s="1"/>
      <c r="R682" s="1"/>
      <c r="S682" s="1"/>
      <c r="T682" s="1"/>
      <c r="U682" s="1"/>
      <c r="V682" s="1"/>
      <c r="W682" s="1"/>
      <c r="X682" s="1"/>
      <c r="Y682" s="1"/>
      <c r="Z682" s="1"/>
      <c r="AA682" s="1"/>
      <c r="AB682" s="1"/>
      <c r="AC682" s="1"/>
      <c r="AD682" s="1"/>
      <c r="AE682" s="1"/>
      <c r="AF682" s="1"/>
      <c r="AG682" s="1" t="str">
        <f>IFERROR(__xludf.DUMMYFUNCTION("""COMPUTED_VALUE"""),"EXG")</f>
        <v>EXG</v>
      </c>
      <c r="AH682" s="1">
        <f>IFERROR(__xludf.DUMMYFUNCTION("""COMPUTED_VALUE"""),42)</f>
        <v>42</v>
      </c>
      <c r="AI682" s="1"/>
      <c r="AJ682" s="1"/>
      <c r="AK682" s="1"/>
      <c r="AL682" s="1" t="str">
        <f>IFERROR(__xludf.DUMMYFUNCTION("""COMPUTED_VALUE"""),"GG")</f>
        <v>GG</v>
      </c>
      <c r="AM682" s="1" t="str">
        <f>IFERROR(__xludf.DUMMYFUNCTION("""COMPUTED_VALUE"""),"GG")</f>
        <v>GG</v>
      </c>
      <c r="AN682" s="1" t="str">
        <f>IFERROR(__xludf.DUMMYFUNCTION("""COMPUTED_VALUE"""),"GG")</f>
        <v>GG</v>
      </c>
    </row>
    <row r="683" customHeight="1" spans="1:40">
      <c r="A683" s="1" t="str">
        <f>IFERROR(__xludf.DUMMYFUNCTION("""COMPUTED_VALUE"""),"07° BBM")</f>
        <v>07° BBM</v>
      </c>
      <c r="B683" s="1" t="str">
        <f>IFERROR(__xludf.DUMMYFUNCTION("""COMPUTED_VALUE"""),"Serafina Corrêa")</f>
        <v>Serafina Corrêa</v>
      </c>
      <c r="C683" s="119" t="str">
        <f>IFERROR(__xludf.DUMMYFUNCTION("""COMPUTED_VALUE"""),"CAB")</f>
        <v>CAB</v>
      </c>
      <c r="D683" s="1" t="str">
        <f>IFERROR(__xludf.DUMMYFUNCTION("""COMPUTED_VALUE"""),"KEISMILI POLIANA DE SOUZA GOMES")</f>
        <v>KEISMILI POLIANA DE SOUZA GOMES</v>
      </c>
      <c r="E683" s="119" t="str">
        <f>IFERROR(__xludf.DUMMYFUNCTION("""COMPUTED_VALUE"""),"")</f>
        <v/>
      </c>
      <c r="F683" s="1" t="str">
        <f>IFERROR(__xludf.DUMMYFUNCTION("""COMPUTED_VALUE"""),"058.023.300-66")</f>
        <v>058.023.300-66</v>
      </c>
      <c r="G683" s="1">
        <f>IFERROR(__xludf.DUMMYFUNCTION("""COMPUTED_VALUE"""),1140503259)</f>
        <v>1140503259</v>
      </c>
      <c r="H683" s="1" t="str">
        <f>IFERROR(__xludf.DUMMYFUNCTION("""COMPUTED_VALUE"""),"CAB - ALUNO")</f>
        <v>CAB - ALUNO</v>
      </c>
      <c r="I683" s="1" t="str">
        <f>IFERROR(__xludf.DUMMYFUNCTION("""COMPUTED_VALUE"""),"APH / BLS - NR 10 NR 33 NR 35 ")</f>
        <v>APH / BLS - NR 10 NR 33 NR 35 </v>
      </c>
      <c r="J683" s="1" t="str">
        <f>IFERROR(__xludf.DUMMYFUNCTION("""COMPUTED_VALUE"""),"Não")</f>
        <v>Não</v>
      </c>
      <c r="K683" s="1" t="str">
        <f>IFERROR(__xludf.DUMMYFUNCTION("""COMPUTED_VALUE"""),"Não")</f>
        <v>Não</v>
      </c>
      <c r="L683" s="1" t="str">
        <f>IFERROR(__xludf.DUMMYFUNCTION("""COMPUTED_VALUE"""),"A+")</f>
        <v>A+</v>
      </c>
      <c r="M683" s="1" t="str">
        <f>IFERROR(__xludf.DUMMYFUNCTION("""COMPUTED_VALUE"""),"Poliana")</f>
        <v>Poliana</v>
      </c>
      <c r="N683" s="120">
        <f>IFERROR(__xludf.DUMMYFUNCTION("""COMPUTED_VALUE"""),38638)</f>
        <v>38638</v>
      </c>
      <c r="O683" s="1" t="str">
        <f>IFERROR(__xludf.DUMMYFUNCTION("""COMPUTED_VALUE"""),"Feminino")</f>
        <v>Feminino</v>
      </c>
      <c r="P683" s="1" t="str">
        <f>IFERROR(__xludf.DUMMYFUNCTION("""COMPUTED_VALUE"""),"Branca")</f>
        <v>Branca</v>
      </c>
      <c r="Q683" s="1" t="str">
        <f>IFERROR(__xludf.DUMMYFUNCTION("""COMPUTED_VALUE"""),"Ensino Médio")</f>
        <v>Ensino Médio</v>
      </c>
      <c r="R683" s="1" t="str">
        <f>IFERROR(__xludf.DUMMYFUNCTION("""COMPUTED_VALUE"""),"ps950090@gmail.com")</f>
        <v>ps950090@gmail.com</v>
      </c>
      <c r="S683" s="1">
        <f>IFERROR(__xludf.DUMMYFUNCTION("""COMPUTED_VALUE"""),79)</f>
        <v>79</v>
      </c>
      <c r="T683" s="1" t="str">
        <f>IFERROR(__xludf.DUMMYFUNCTION("""COMPUTED_VALUE"""),"Entre 1,61m e 1,65m")</f>
        <v>Entre 1,61m e 1,65m</v>
      </c>
      <c r="U683" s="1"/>
      <c r="V683" s="1" t="str">
        <f>IFERROR(__xludf.DUMMYFUNCTION("""COMPUTED_VALUE"""),"(54)99286 - 5459")</f>
        <v>(54)99286 - 5459</v>
      </c>
      <c r="W683" s="1" t="str">
        <f>IFERROR(__xludf.DUMMYFUNCTION("""COMPUTED_VALUE"""),"(54)99328-4891")</f>
        <v>(54)99328-4891</v>
      </c>
      <c r="X683" s="1" t="str">
        <f>IFERROR(__xludf.DUMMYFUNCTION("""COMPUTED_VALUE"""),"RS")</f>
        <v>RS</v>
      </c>
      <c r="Y683" s="1" t="str">
        <f>IFERROR(__xludf.DUMMYFUNCTION("""COMPUTED_VALUE"""),"Serafina Corrêa")</f>
        <v>Serafina Corrêa</v>
      </c>
      <c r="Z683" s="1" t="str">
        <f>IFERROR(__xludf.DUMMYFUNCTION("""COMPUTED_VALUE"""),"99250-000")</f>
        <v>99250-000</v>
      </c>
      <c r="AA683" s="1" t="str">
        <f>IFERROR(__xludf.DUMMYFUNCTION("""COMPUTED_VALUE"""),"Rua Joao Variani, 256")</f>
        <v>Rua Joao Variani, 256</v>
      </c>
      <c r="AB683" s="1" t="str">
        <f>IFERROR(__xludf.DUMMYFUNCTION("""COMPUTED_VALUE"""),"Santin")</f>
        <v>Santin</v>
      </c>
      <c r="AC683" s="1" t="str">
        <f>IFERROR(__xludf.DUMMYFUNCTION("""COMPUTED_VALUE"""),"G")</f>
        <v>G</v>
      </c>
      <c r="AD683" s="1" t="str">
        <f>IFERROR(__xludf.DUMMYFUNCTION("""COMPUTED_VALUE"""),"G")</f>
        <v>G</v>
      </c>
      <c r="AE683" s="1" t="str">
        <f>IFERROR(__xludf.DUMMYFUNCTION("""COMPUTED_VALUE"""),"M")</f>
        <v>M</v>
      </c>
      <c r="AF683" s="1" t="str">
        <f>IFERROR(__xludf.DUMMYFUNCTION("""COMPUTED_VALUE"""),"G")</f>
        <v>G</v>
      </c>
      <c r="AG683" s="1" t="str">
        <f>IFERROR(__xludf.DUMMYFUNCTION("""COMPUTED_VALUE"""),"M")</f>
        <v>M</v>
      </c>
      <c r="AH683" s="1">
        <f>IFERROR(__xludf.DUMMYFUNCTION("""COMPUTED_VALUE"""),38)</f>
        <v>38</v>
      </c>
      <c r="AI683" s="1">
        <f>IFERROR(__xludf.DUMMYFUNCTION("""COMPUTED_VALUE"""),38)</f>
        <v>38</v>
      </c>
      <c r="AJ683" s="1">
        <f>IFERROR(__xludf.DUMMYFUNCTION("""COMPUTED_VALUE"""),38)</f>
        <v>38</v>
      </c>
      <c r="AK683" s="1">
        <f>IFERROR(__xludf.DUMMYFUNCTION("""COMPUTED_VALUE"""),38)</f>
        <v>38</v>
      </c>
      <c r="AL683" s="1" t="str">
        <f>IFERROR(__xludf.DUMMYFUNCTION("""COMPUTED_VALUE"""),"M")</f>
        <v>M</v>
      </c>
      <c r="AM683" s="1" t="str">
        <f>IFERROR(__xludf.DUMMYFUNCTION("""COMPUTED_VALUE"""),"M")</f>
        <v>M</v>
      </c>
      <c r="AN683" s="1" t="str">
        <f>IFERROR(__xludf.DUMMYFUNCTION("""COMPUTED_VALUE"""),"M")</f>
        <v>M</v>
      </c>
    </row>
    <row r="684" customHeight="1" spans="1:40">
      <c r="A684" s="1" t="str">
        <f>IFERROR(__xludf.DUMMYFUNCTION("""COMPUTED_VALUE"""),"07° BBM")</f>
        <v>07° BBM</v>
      </c>
      <c r="B684" s="1" t="str">
        <f>IFERROR(__xludf.DUMMYFUNCTION("""COMPUTED_VALUE"""),"Viadutos")</f>
        <v>Viadutos</v>
      </c>
      <c r="C684" s="119" t="str">
        <f>IFERROR(__xludf.DUMMYFUNCTION("""COMPUTED_VALUE"""),"CAB")</f>
        <v>CAB</v>
      </c>
      <c r="D684" s="1" t="str">
        <f>IFERROR(__xludf.DUMMYFUNCTION("""COMPUTED_VALUE"""),"LAURA DETOFOL PAINES")</f>
        <v>LAURA DETOFOL PAINES</v>
      </c>
      <c r="E684" s="119" t="str">
        <f>IFERROR(__xludf.DUMMYFUNCTION("""COMPUTED_VALUE"""),"Módulo 1 concluído")</f>
        <v>Módulo 1 concluído</v>
      </c>
      <c r="F684" s="1" t="str">
        <f>IFERROR(__xludf.DUMMYFUNCTION("""COMPUTED_VALUE"""),"042.237.400-83")</f>
        <v>042.237.400-83</v>
      </c>
      <c r="G684" s="1">
        <f>IFERROR(__xludf.DUMMYFUNCTION("""COMPUTED_VALUE"""),2125041513)</f>
        <v>2125041513</v>
      </c>
      <c r="H684" s="1" t="str">
        <f>IFERROR(__xludf.DUMMYFUNCTION("""COMPUTED_VALUE"""),"COMBATENTE")</f>
        <v>COMBATENTE</v>
      </c>
      <c r="I684" s="1" t="str">
        <f>IFERROR(__xludf.DUMMYFUNCTION("""COMPUTED_VALUE"""),"Atendiimento Suporte Básico de Vida")</f>
        <v>Atendiimento Suporte Básico de Vida</v>
      </c>
      <c r="J684" s="1" t="str">
        <f>IFERROR(__xludf.DUMMYFUNCTION("""COMPUTED_VALUE"""),"Não")</f>
        <v>Não</v>
      </c>
      <c r="K684" s="1" t="str">
        <f>IFERROR(__xludf.DUMMYFUNCTION("""COMPUTED_VALUE"""),"Não")</f>
        <v>Não</v>
      </c>
      <c r="L684" s="1" t="str">
        <f>IFERROR(__xludf.DUMMYFUNCTION("""COMPUTED_VALUE"""),"A+")</f>
        <v>A+</v>
      </c>
      <c r="M684" s="1" t="str">
        <f>IFERROR(__xludf.DUMMYFUNCTION("""COMPUTED_VALUE"""),"PAINES")</f>
        <v>PAINES</v>
      </c>
      <c r="N684" s="120">
        <f>IFERROR(__xludf.DUMMYFUNCTION("""COMPUTED_VALUE"""),37293)</f>
        <v>37293</v>
      </c>
      <c r="O684" s="1" t="str">
        <f>IFERROR(__xludf.DUMMYFUNCTION("""COMPUTED_VALUE"""),"Feminino")</f>
        <v>Feminino</v>
      </c>
      <c r="P684" s="1" t="str">
        <f>IFERROR(__xludf.DUMMYFUNCTION("""COMPUTED_VALUE"""),"Branca")</f>
        <v>Branca</v>
      </c>
      <c r="Q684" s="1" t="str">
        <f>IFERROR(__xludf.DUMMYFUNCTION("""COMPUTED_VALUE"""),"Ensino Superior Incompleto")</f>
        <v>Ensino Superior Incompleto</v>
      </c>
      <c r="R684" s="1" t="str">
        <f>IFERROR(__xludf.DUMMYFUNCTION("""COMPUTED_VALUE"""),"lauradetofolpaines123@gmail.com")</f>
        <v>lauradetofolpaines123@gmail.com</v>
      </c>
      <c r="S684" s="1">
        <f>IFERROR(__xludf.DUMMYFUNCTION("""COMPUTED_VALUE"""),67)</f>
        <v>67</v>
      </c>
      <c r="T684" s="1" t="str">
        <f>IFERROR(__xludf.DUMMYFUNCTION("""COMPUTED_VALUE"""),"Entre 1,61m e 1,65m")</f>
        <v>Entre 1,61m e 1,65m</v>
      </c>
      <c r="U684" s="1"/>
      <c r="V684" s="1" t="str">
        <f>IFERROR(__xludf.DUMMYFUNCTION("""COMPUTED_VALUE"""),"(54) 996219909")</f>
        <v>(54) 996219909</v>
      </c>
      <c r="W684" s="1" t="str">
        <f>IFERROR(__xludf.DUMMYFUNCTION("""COMPUTED_VALUE"""),"(54) 999249531")</f>
        <v>(54) 999249531</v>
      </c>
      <c r="X684" s="1" t="str">
        <f>IFERROR(__xludf.DUMMYFUNCTION("""COMPUTED_VALUE"""),"RS")</f>
        <v>RS</v>
      </c>
      <c r="Y684" s="1" t="str">
        <f>IFERROR(__xludf.DUMMYFUNCTION("""COMPUTED_VALUE"""),"Viadutos")</f>
        <v>Viadutos</v>
      </c>
      <c r="Z684" s="1" t="str">
        <f>IFERROR(__xludf.DUMMYFUNCTION("""COMPUTED_VALUE"""),"99820-000")</f>
        <v>99820-000</v>
      </c>
      <c r="AA684" s="1" t="str">
        <f>IFERROR(__xludf.DUMMYFUNCTION("""COMPUTED_VALUE"""),"Rua Padre Henrique Kock S/N")</f>
        <v>Rua Padre Henrique Kock S/N</v>
      </c>
      <c r="AB684" s="1" t="str">
        <f>IFERROR(__xludf.DUMMYFUNCTION("""COMPUTED_VALUE"""),"Centro")</f>
        <v>Centro</v>
      </c>
      <c r="AC684" s="1" t="str">
        <f>IFERROR(__xludf.DUMMYFUNCTION("""COMPUTED_VALUE"""),"GG")</f>
        <v>GG</v>
      </c>
      <c r="AD684" s="1" t="str">
        <f>IFERROR(__xludf.DUMMYFUNCTION("""COMPUTED_VALUE"""),"GG")</f>
        <v>GG</v>
      </c>
      <c r="AE684" s="1" t="str">
        <f>IFERROR(__xludf.DUMMYFUNCTION("""COMPUTED_VALUE"""),"M")</f>
        <v>M</v>
      </c>
      <c r="AF684" s="1" t="str">
        <f>IFERROR(__xludf.DUMMYFUNCTION("""COMPUTED_VALUE"""),"M")</f>
        <v>M</v>
      </c>
      <c r="AG684" s="1" t="str">
        <f>IFERROR(__xludf.DUMMYFUNCTION("""COMPUTED_VALUE"""),"GG")</f>
        <v>GG</v>
      </c>
      <c r="AH684" s="1">
        <f>IFERROR(__xludf.DUMMYFUNCTION("""COMPUTED_VALUE"""),37)</f>
        <v>37</v>
      </c>
      <c r="AI684" s="1">
        <f>IFERROR(__xludf.DUMMYFUNCTION("""COMPUTED_VALUE"""),37)</f>
        <v>37</v>
      </c>
      <c r="AJ684" s="1">
        <f>IFERROR(__xludf.DUMMYFUNCTION("""COMPUTED_VALUE"""),37)</f>
        <v>37</v>
      </c>
      <c r="AK684" s="1">
        <f>IFERROR(__xludf.DUMMYFUNCTION("""COMPUTED_VALUE"""),37)</f>
        <v>37</v>
      </c>
      <c r="AL684" s="1" t="str">
        <f>IFERROR(__xludf.DUMMYFUNCTION("""COMPUTED_VALUE"""),"M")</f>
        <v>M</v>
      </c>
      <c r="AM684" s="1" t="str">
        <f>IFERROR(__xludf.DUMMYFUNCTION("""COMPUTED_VALUE"""),"M")</f>
        <v>M</v>
      </c>
      <c r="AN684" s="1" t="str">
        <f>IFERROR(__xludf.DUMMYFUNCTION("""COMPUTED_VALUE"""),"M")</f>
        <v>M</v>
      </c>
    </row>
    <row r="685" customHeight="1" spans="1:40">
      <c r="A685" s="1" t="str">
        <f>IFERROR(__xludf.DUMMYFUNCTION("""COMPUTED_VALUE"""),"07° BBM")</f>
        <v>07° BBM</v>
      </c>
      <c r="B685" s="1" t="str">
        <f>IFERROR(__xludf.DUMMYFUNCTION("""COMPUTED_VALUE"""),"Áurea")</f>
        <v>Áurea</v>
      </c>
      <c r="C685" s="119" t="str">
        <f>IFERROR(__xludf.DUMMYFUNCTION("""COMPUTED_VALUE"""),"CAB")</f>
        <v>CAB</v>
      </c>
      <c r="D685" s="1" t="str">
        <f>IFERROR(__xludf.DUMMYFUNCTION("""COMPUTED_VALUE"""),"LEISE OLSZEWSKI POMAGERSKI")</f>
        <v>LEISE OLSZEWSKI POMAGERSKI</v>
      </c>
      <c r="E685" s="119" t="str">
        <f>IFERROR(__xludf.DUMMYFUNCTION("""COMPUTED_VALUE"""),"")</f>
        <v/>
      </c>
      <c r="F685" s="1" t="str">
        <f>IFERROR(__xludf.DUMMYFUNCTION("""COMPUTED_VALUE"""),"001.179.060-18")</f>
        <v>001.179.060-18</v>
      </c>
      <c r="G685" s="1">
        <f>IFERROR(__xludf.DUMMYFUNCTION("""COMPUTED_VALUE"""),9077574367)</f>
        <v>9077574367</v>
      </c>
      <c r="H685" s="1" t="str">
        <f>IFERROR(__xludf.DUMMYFUNCTION("""COMPUTED_VALUE"""),"voluntário")</f>
        <v>voluntário</v>
      </c>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row>
    <row r="686" customHeight="1" spans="1:40">
      <c r="A686" s="1" t="str">
        <f>IFERROR(__xludf.DUMMYFUNCTION("""COMPUTED_VALUE"""),"07° BBM")</f>
        <v>07° BBM</v>
      </c>
      <c r="B686" s="1"/>
      <c r="C686" s="119"/>
      <c r="D686" s="1" t="str">
        <f>IFERROR(__xludf.DUMMYFUNCTION("""COMPUTED_VALUE"""),"LEODAIR CORASSA
")</f>
        <v>LEODAIR CORASSA
</v>
      </c>
      <c r="E686" s="119" t="str">
        <f>IFERROR(__xludf.DUMMYFUNCTION("""COMPUTED_VALUE"""),"Módulo 1 concluído")</f>
        <v>Módulo 1 concluído</v>
      </c>
      <c r="F686" s="1" t="str">
        <f>IFERROR(__xludf.DUMMYFUNCTION("""COMPUTED_VALUE"""),"975.497.460-87")</f>
        <v>975.497.460-87</v>
      </c>
      <c r="G686" s="1"/>
      <c r="H686" s="1"/>
      <c r="I686" s="1"/>
      <c r="J686" s="1"/>
      <c r="K686" s="1"/>
      <c r="L686" s="1"/>
      <c r="M686" s="1"/>
      <c r="N686" s="120"/>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row>
    <row r="687" customHeight="1" spans="1:40">
      <c r="A687" s="1" t="str">
        <f>IFERROR(__xludf.DUMMYFUNCTION("""COMPUTED_VALUE"""),"07° BBM")</f>
        <v>07° BBM</v>
      </c>
      <c r="B687" s="1" t="str">
        <f>IFERROR(__xludf.DUMMYFUNCTION("""COMPUTED_VALUE"""),"SARANDI")</f>
        <v>SARANDI</v>
      </c>
      <c r="C687" s="119" t="str">
        <f>IFERROR(__xludf.DUMMYFUNCTION("""COMPUTED_VALUE"""),"Comunitário")</f>
        <v>Comunitário</v>
      </c>
      <c r="D687" s="1" t="str">
        <f>IFERROR(__xludf.DUMMYFUNCTION("""COMPUTED_VALUE"""),"LEOMAR CAMPANHA")</f>
        <v>LEOMAR CAMPANHA</v>
      </c>
      <c r="E687" s="119" t="str">
        <f>IFERROR(__xludf.DUMMYFUNCTION("""COMPUTED_VALUE"""),"Curso CAB operador concluído")</f>
        <v>Curso CAB operador concluído</v>
      </c>
      <c r="F687" s="1" t="str">
        <f>IFERROR(__xludf.DUMMYFUNCTION("""COMPUTED_VALUE"""),"697.643.280-91")</f>
        <v>697.643.280-91</v>
      </c>
      <c r="G687" s="1">
        <f>IFERROR(__xludf.DUMMYFUNCTION("""COMPUTED_VALUE"""),5066242099)</f>
        <v>5066242099</v>
      </c>
      <c r="H687" s="1" t="str">
        <f>IFERROR(__xludf.DUMMYFUNCTION("""COMPUTED_VALUE"""),"OP")</f>
        <v>OP</v>
      </c>
      <c r="I687" s="1"/>
      <c r="J687" s="1"/>
      <c r="K687" s="1"/>
      <c r="L687" s="1"/>
      <c r="M687" s="1"/>
      <c r="N687" s="122">
        <f>IFERROR(__xludf.DUMMYFUNCTION("""COMPUTED_VALUE"""),28088)</f>
        <v>28088</v>
      </c>
      <c r="O687" s="1" t="str">
        <f>IFERROR(__xludf.DUMMYFUNCTION("""COMPUTED_VALUE"""),"Masculino")</f>
        <v>Masculino</v>
      </c>
      <c r="P687" s="1"/>
      <c r="Q687" s="1"/>
      <c r="R687" s="1"/>
      <c r="S687" s="1"/>
      <c r="T687" s="1"/>
      <c r="U687" s="1"/>
      <c r="V687" s="1"/>
      <c r="W687" s="1"/>
      <c r="X687" s="1"/>
      <c r="Y687" s="1" t="str">
        <f>IFERROR(__xludf.DUMMYFUNCTION("""COMPUTED_VALUE"""),"Sarandi")</f>
        <v>Sarandi</v>
      </c>
      <c r="Z687" s="1"/>
      <c r="AA687" s="1"/>
      <c r="AB687" s="1"/>
      <c r="AC687" s="1"/>
      <c r="AD687" s="1"/>
      <c r="AE687" s="1"/>
      <c r="AF687" s="1"/>
      <c r="AG687" s="1" t="str">
        <f>IFERROR(__xludf.DUMMYFUNCTION("""COMPUTED_VALUE"""),"GG")</f>
        <v>GG</v>
      </c>
      <c r="AH687" s="1">
        <f>IFERROR(__xludf.DUMMYFUNCTION("""COMPUTED_VALUE"""),42)</f>
        <v>42</v>
      </c>
      <c r="AI687" s="1"/>
      <c r="AJ687" s="1"/>
      <c r="AK687" s="1"/>
      <c r="AL687" s="1" t="str">
        <f>IFERROR(__xludf.DUMMYFUNCTION("""COMPUTED_VALUE"""),"GG")</f>
        <v>GG</v>
      </c>
      <c r="AM687" s="1" t="str">
        <f>IFERROR(__xludf.DUMMYFUNCTION("""COMPUTED_VALUE"""),"GG")</f>
        <v>GG</v>
      </c>
      <c r="AN687" s="1" t="str">
        <f>IFERROR(__xludf.DUMMYFUNCTION("""COMPUTED_VALUE"""),"GG")</f>
        <v>GG</v>
      </c>
    </row>
    <row r="688" customHeight="1" spans="1:40">
      <c r="A688" s="1" t="str">
        <f>IFERROR(__xludf.DUMMYFUNCTION("""COMPUTED_VALUE"""),"07° BBM")</f>
        <v>07° BBM</v>
      </c>
      <c r="B688" s="1" t="str">
        <f>IFERROR(__xludf.DUMMYFUNCTION("""COMPUTED_VALUE"""),"Faxinalzinho")</f>
        <v>Faxinalzinho</v>
      </c>
      <c r="C688" s="119" t="str">
        <f>IFERROR(__xludf.DUMMYFUNCTION("""COMPUTED_VALUE"""),"CAB")</f>
        <v>CAB</v>
      </c>
      <c r="D688" s="1" t="str">
        <f>IFERROR(__xludf.DUMMYFUNCTION("""COMPUTED_VALUE"""),"LEOMAR CORRÊA")</f>
        <v>LEOMAR CORRÊA</v>
      </c>
      <c r="E688" s="119" t="str">
        <f>IFERROR(__xludf.DUMMYFUNCTION("""COMPUTED_VALUE"""),"")</f>
        <v/>
      </c>
      <c r="F688" s="1" t="str">
        <f>IFERROR(__xludf.DUMMYFUNCTION("""COMPUTED_VALUE"""),"927.698.370-87")</f>
        <v>927.698.370-87</v>
      </c>
      <c r="G688" s="1">
        <f>IFERROR(__xludf.DUMMYFUNCTION("""COMPUTED_VALUE"""),4057924625)</f>
        <v>4057924625</v>
      </c>
      <c r="H688" s="1" t="str">
        <f>IFERROR(__xludf.DUMMYFUNCTION("""COMPUTED_VALUE"""),"Conselho Fiscal - Combatente")</f>
        <v>Conselho Fiscal - Combatente</v>
      </c>
      <c r="I688" s="1" t="str">
        <f>IFERROR(__xludf.DUMMYFUNCTION("""COMPUTED_VALUE"""),"Combate a Incendio")</f>
        <v>Combate a Incendio</v>
      </c>
      <c r="J688" s="1" t="str">
        <f>IFERROR(__xludf.DUMMYFUNCTION("""COMPUTED_VALUE"""),"Sim")</f>
        <v>Sim</v>
      </c>
      <c r="K688" s="1" t="str">
        <f>IFERROR(__xludf.DUMMYFUNCTION("""COMPUTED_VALUE"""),"Não")</f>
        <v>Não</v>
      </c>
      <c r="L688" s="1" t="str">
        <f>IFERROR(__xludf.DUMMYFUNCTION("""COMPUTED_VALUE"""),"O+")</f>
        <v>O+</v>
      </c>
      <c r="M688" s="1" t="str">
        <f>IFERROR(__xludf.DUMMYFUNCTION("""COMPUTED_VALUE"""),"LEOMAR CORRÊA")</f>
        <v>LEOMAR CORRÊA</v>
      </c>
      <c r="N688" s="120">
        <f>IFERROR(__xludf.DUMMYFUNCTION("""COMPUTED_VALUE"""),26861)</f>
        <v>26861</v>
      </c>
      <c r="O688" s="1" t="str">
        <f>IFERROR(__xludf.DUMMYFUNCTION("""COMPUTED_VALUE"""),"Masculino")</f>
        <v>Masculino</v>
      </c>
      <c r="P688" s="1" t="str">
        <f>IFERROR(__xludf.DUMMYFUNCTION("""COMPUTED_VALUE"""),"Branca")</f>
        <v>Branca</v>
      </c>
      <c r="Q688" s="1" t="str">
        <f>IFERROR(__xludf.DUMMYFUNCTION("""COMPUTED_VALUE"""),"Ensino Médio")</f>
        <v>Ensino Médio</v>
      </c>
      <c r="R688" s="1" t="str">
        <f>IFERROR(__xludf.DUMMYFUNCTION("""COMPUTED_VALUE"""),"Leomarcorrea2017@gmail.com")</f>
        <v>Leomarcorrea2017@gmail.com</v>
      </c>
      <c r="S688" s="1">
        <f>IFERROR(__xludf.DUMMYFUNCTION("""COMPUTED_VALUE"""),92)</f>
        <v>92</v>
      </c>
      <c r="T688" s="1" t="str">
        <f>IFERROR(__xludf.DUMMYFUNCTION("""COMPUTED_VALUE"""),"Entre 1,86m e 1,90m")</f>
        <v>Entre 1,86m e 1,90m</v>
      </c>
      <c r="U688" s="1">
        <f>IFERROR(__xludf.DUMMYFUNCTION("""COMPUTED_VALUE"""),5431110)</f>
        <v>5431110</v>
      </c>
      <c r="V688" s="1" t="str">
        <f>IFERROR(__xludf.DUMMYFUNCTION("""COMPUTED_VALUE"""),"(54) 99936-6869")</f>
        <v>(54) 99936-6869</v>
      </c>
      <c r="W688" s="1">
        <f>IFERROR(__xludf.DUMMYFUNCTION("""COMPUTED_VALUE"""),5454531011)</f>
        <v>5454531011</v>
      </c>
      <c r="X688" s="1" t="str">
        <f>IFERROR(__xludf.DUMMYFUNCTION("""COMPUTED_VALUE"""),"RIO GRANDE DO SUL")</f>
        <v>RIO GRANDE DO SUL</v>
      </c>
      <c r="Y688" s="1" t="str">
        <f>IFERROR(__xludf.DUMMYFUNCTION("""COMPUTED_VALUE"""),"Faxinalzinho")</f>
        <v>Faxinalzinho</v>
      </c>
      <c r="Z688" s="1" t="str">
        <f>IFERROR(__xludf.DUMMYFUNCTION("""COMPUTED_VALUE"""),"99655-000")</f>
        <v>99655-000</v>
      </c>
      <c r="AA688" s="1" t="str">
        <f>IFERROR(__xludf.DUMMYFUNCTION("""COMPUTED_VALUE"""),"Rua Getúlio vargas")</f>
        <v>Rua Getúlio vargas</v>
      </c>
      <c r="AB688" s="1" t="str">
        <f>IFERROR(__xludf.DUMMYFUNCTION("""COMPUTED_VALUE"""),"Centro")</f>
        <v>Centro</v>
      </c>
      <c r="AC688" s="1" t="str">
        <f>IFERROR(__xludf.DUMMYFUNCTION("""COMPUTED_VALUE"""),"G")</f>
        <v>G</v>
      </c>
      <c r="AD688" s="1" t="str">
        <f>IFERROR(__xludf.DUMMYFUNCTION("""COMPUTED_VALUE"""),"G")</f>
        <v>G</v>
      </c>
      <c r="AE688" s="1" t="str">
        <f>IFERROR(__xludf.DUMMYFUNCTION("""COMPUTED_VALUE"""),"G")</f>
        <v>G</v>
      </c>
      <c r="AF688" s="1" t="str">
        <f>IFERROR(__xludf.DUMMYFUNCTION("""COMPUTED_VALUE"""),"G")</f>
        <v>G</v>
      </c>
      <c r="AG688" s="1" t="str">
        <f>IFERROR(__xludf.DUMMYFUNCTION("""COMPUTED_VALUE"""),"G")</f>
        <v>G</v>
      </c>
      <c r="AH688" s="1">
        <f>IFERROR(__xludf.DUMMYFUNCTION("""COMPUTED_VALUE"""),42)</f>
        <v>42</v>
      </c>
      <c r="AI688" s="1">
        <f>IFERROR(__xludf.DUMMYFUNCTION("""COMPUTED_VALUE"""),42)</f>
        <v>42</v>
      </c>
      <c r="AJ688" s="1">
        <f>IFERROR(__xludf.DUMMYFUNCTION("""COMPUTED_VALUE"""),42)</f>
        <v>42</v>
      </c>
      <c r="AK688" s="1">
        <f>IFERROR(__xludf.DUMMYFUNCTION("""COMPUTED_VALUE"""),42)</f>
        <v>42</v>
      </c>
      <c r="AL688" s="1" t="str">
        <f>IFERROR(__xludf.DUMMYFUNCTION("""COMPUTED_VALUE"""),"G")</f>
        <v>G</v>
      </c>
      <c r="AM688" s="1" t="str">
        <f>IFERROR(__xludf.DUMMYFUNCTION("""COMPUTED_VALUE"""),"G")</f>
        <v>G</v>
      </c>
      <c r="AN688" s="1" t="str">
        <f>IFERROR(__xludf.DUMMYFUNCTION("""COMPUTED_VALUE"""),"G")</f>
        <v>G</v>
      </c>
    </row>
    <row r="689" customHeight="1" spans="1:40">
      <c r="A689" s="1" t="str">
        <f>IFERROR(__xludf.DUMMYFUNCTION("""COMPUTED_VALUE"""),"07° BBM")</f>
        <v>07° BBM</v>
      </c>
      <c r="B689" s="1" t="str">
        <f>IFERROR(__xludf.DUMMYFUNCTION("""COMPUTED_VALUE"""),"Não-Me-Toque")</f>
        <v>Não-Me-Toque</v>
      </c>
      <c r="C689" s="119" t="str">
        <f>IFERROR(__xludf.DUMMYFUNCTION("""COMPUTED_VALUE"""),"CAB")</f>
        <v>CAB</v>
      </c>
      <c r="D689" s="1" t="str">
        <f>IFERROR(__xludf.DUMMYFUNCTION("""COMPUTED_VALUE"""),"LEONARDO AUGUSTO DILLENBURG")</f>
        <v>LEONARDO AUGUSTO DILLENBURG</v>
      </c>
      <c r="E689" s="119" t="str">
        <f>IFERROR(__xludf.DUMMYFUNCTION("""COMPUTED_VALUE"""),"")</f>
        <v/>
      </c>
      <c r="F689" s="1" t="str">
        <f>IFERROR(__xludf.DUMMYFUNCTION("""COMPUTED_VALUE"""),"035.912.660-00")</f>
        <v>035.912.660-00</v>
      </c>
      <c r="G689" s="1">
        <f>IFERROR(__xludf.DUMMYFUNCTION("""COMPUTED_VALUE"""),1119397022)</f>
        <v>1119397022</v>
      </c>
      <c r="H689" s="1" t="str">
        <f>IFERROR(__xludf.DUMMYFUNCTION("""COMPUTED_VALUE"""),"BOMBEIRO - AFASTADO")</f>
        <v>BOMBEIRO - AFASTADO</v>
      </c>
      <c r="I689" s="1" t="str">
        <f>IFERROR(__xludf.DUMMYFUNCTION("""COMPUTED_VALUE"""),"Brigada de Incêndio/Nivelamento Operacional BV/EPI's e EPRA")</f>
        <v>Brigada de Incêndio/Nivelamento Operacional BV/EPI's e EPRA</v>
      </c>
      <c r="J689" s="1" t="str">
        <f>IFERROR(__xludf.DUMMYFUNCTION("""COMPUTED_VALUE"""),"Não")</f>
        <v>Não</v>
      </c>
      <c r="K689" s="1" t="str">
        <f>IFERROR(__xludf.DUMMYFUNCTION("""COMPUTED_VALUE"""),"Não")</f>
        <v>Não</v>
      </c>
      <c r="L689" s="1"/>
      <c r="M689" s="1"/>
      <c r="N689" s="1"/>
      <c r="O689" s="1"/>
      <c r="P689" s="1"/>
      <c r="Q689" s="1"/>
      <c r="R689" s="1"/>
      <c r="S689" s="1"/>
      <c r="T689" s="1"/>
      <c r="U689" s="1"/>
      <c r="V689" s="1"/>
      <c r="W689" s="1"/>
      <c r="X689" s="1" t="str">
        <f>IFERROR(__xludf.DUMMYFUNCTION("""COMPUTED_VALUE"""),"RS")</f>
        <v>RS</v>
      </c>
      <c r="Y689" s="1" t="str">
        <f>IFERROR(__xludf.DUMMYFUNCTION("""COMPUTED_VALUE"""),"Não-Me-Toque")</f>
        <v>Não-Me-Toque</v>
      </c>
      <c r="Z689" s="1" t="str">
        <f>IFERROR(__xludf.DUMMYFUNCTION("""COMPUTED_VALUE"""),"99470-000")</f>
        <v>99470-000</v>
      </c>
      <c r="AA689" s="1"/>
      <c r="AB689" s="1"/>
      <c r="AC689" s="1"/>
      <c r="AD689" s="1"/>
      <c r="AE689" s="1"/>
      <c r="AF689" s="1"/>
      <c r="AG689" s="1"/>
      <c r="AH689" s="1"/>
      <c r="AI689" s="1"/>
      <c r="AJ689" s="1"/>
      <c r="AK689" s="1"/>
      <c r="AL689" s="1"/>
      <c r="AM689" s="1"/>
      <c r="AN689" s="1"/>
    </row>
    <row r="690" customHeight="1" spans="1:40">
      <c r="A690" s="1" t="str">
        <f>IFERROR(__xludf.DUMMYFUNCTION("""COMPUTED_VALUE"""),"07° BBM")</f>
        <v>07° BBM</v>
      </c>
      <c r="B690" s="1" t="str">
        <f>IFERROR(__xludf.DUMMYFUNCTION("""COMPUTED_VALUE"""),"Serafina Corrêa")</f>
        <v>Serafina Corrêa</v>
      </c>
      <c r="C690" s="119" t="str">
        <f>IFERROR(__xludf.DUMMYFUNCTION("""COMPUTED_VALUE"""),"CAB")</f>
        <v>CAB</v>
      </c>
      <c r="D690" s="1" t="str">
        <f>IFERROR(__xludf.DUMMYFUNCTION("""COMPUTED_VALUE"""),"LEONARDO DIAS CABRAL")</f>
        <v>LEONARDO DIAS CABRAL</v>
      </c>
      <c r="E690" s="119" t="str">
        <f>IFERROR(__xludf.DUMMYFUNCTION("""COMPUTED_VALUE"""),"")</f>
        <v/>
      </c>
      <c r="F690" s="1" t="str">
        <f>IFERROR(__xludf.DUMMYFUNCTION("""COMPUTED_VALUE"""),"038.225.490-29")</f>
        <v>038.225.490-29</v>
      </c>
      <c r="G690" s="1">
        <f>IFERROR(__xludf.DUMMYFUNCTION("""COMPUTED_VALUE"""),2124513851)</f>
        <v>2124513851</v>
      </c>
      <c r="H690" s="1" t="str">
        <f>IFERROR(__xludf.DUMMYFUNCTION("""COMPUTED_VALUE"""),"CAB - ALUNO")</f>
        <v>CAB - ALUNO</v>
      </c>
      <c r="I690" s="1" t="str">
        <f>IFERROR(__xludf.DUMMYFUNCTION("""COMPUTED_VALUE"""),"APH / BLS - NR 10 NR 33 NR 35 ")</f>
        <v>APH / BLS - NR 10 NR 33 NR 35 </v>
      </c>
      <c r="J690" s="1" t="str">
        <f>IFERROR(__xludf.DUMMYFUNCTION("""COMPUTED_VALUE"""),"Não")</f>
        <v>Não</v>
      </c>
      <c r="K690" s="1" t="str">
        <f>IFERROR(__xludf.DUMMYFUNCTION("""COMPUTED_VALUE"""),"Não")</f>
        <v>Não</v>
      </c>
      <c r="L690" s="1" t="str">
        <f>IFERROR(__xludf.DUMMYFUNCTION("""COMPUTED_VALUE"""),"A+")</f>
        <v>A+</v>
      </c>
      <c r="M690" s="1" t="str">
        <f>IFERROR(__xludf.DUMMYFUNCTION("""COMPUTED_VALUE"""),"Cabral")</f>
        <v>Cabral</v>
      </c>
      <c r="N690" s="120">
        <f>IFERROR(__xludf.DUMMYFUNCTION("""COMPUTED_VALUE"""),36668)</f>
        <v>36668</v>
      </c>
      <c r="O690" s="1" t="str">
        <f>IFERROR(__xludf.DUMMYFUNCTION("""COMPUTED_VALUE"""),"Masculino")</f>
        <v>Masculino</v>
      </c>
      <c r="P690" s="1" t="str">
        <f>IFERROR(__xludf.DUMMYFUNCTION("""COMPUTED_VALUE"""),"Branca")</f>
        <v>Branca</v>
      </c>
      <c r="Q690" s="1" t="str">
        <f>IFERROR(__xludf.DUMMYFUNCTION("""COMPUTED_VALUE"""),"Ensino Superior Completo")</f>
        <v>Ensino Superior Completo</v>
      </c>
      <c r="R690" s="1" t="str">
        <f>IFERROR(__xludf.DUMMYFUNCTION("""COMPUTED_VALUE"""),"leodiascafe12@gmail.com")</f>
        <v>leodiascafe12@gmail.com</v>
      </c>
      <c r="S690" s="1">
        <f>IFERROR(__xludf.DUMMYFUNCTION("""COMPUTED_VALUE"""),63)</f>
        <v>63</v>
      </c>
      <c r="T690" s="1" t="str">
        <f>IFERROR(__xludf.DUMMYFUNCTION("""COMPUTED_VALUE"""),"Entre 1,66m e 1,70m")</f>
        <v>Entre 1,66m e 1,70m</v>
      </c>
      <c r="U690" s="1"/>
      <c r="V690" s="1" t="str">
        <f>IFERROR(__xludf.DUMMYFUNCTION("""COMPUTED_VALUE"""),"(54)98167 - 6746")</f>
        <v>(54)98167 - 6746</v>
      </c>
      <c r="W690" s="1" t="str">
        <f>IFERROR(__xludf.DUMMYFUNCTION("""COMPUTED_VALUE"""),"(54)98114 - 8087")</f>
        <v>(54)98114 - 8087</v>
      </c>
      <c r="X690" s="1" t="str">
        <f>IFERROR(__xludf.DUMMYFUNCTION("""COMPUTED_VALUE"""),"RS")</f>
        <v>RS</v>
      </c>
      <c r="Y690" s="1" t="str">
        <f>IFERROR(__xludf.DUMMYFUNCTION("""COMPUTED_VALUE"""),"Serafina Corrêa")</f>
        <v>Serafina Corrêa</v>
      </c>
      <c r="Z690" s="1" t="str">
        <f>IFERROR(__xludf.DUMMYFUNCTION("""COMPUTED_VALUE"""),"99250-000")</f>
        <v>99250-000</v>
      </c>
      <c r="AA690" s="1" t="str">
        <f>IFERROR(__xludf.DUMMYFUNCTION("""COMPUTED_VALUE"""),"Rua Orestes Assoni, 347")</f>
        <v>Rua Orestes Assoni, 347</v>
      </c>
      <c r="AB690" s="1" t="str">
        <f>IFERROR(__xludf.DUMMYFUNCTION("""COMPUTED_VALUE"""),"Centro")</f>
        <v>Centro</v>
      </c>
      <c r="AC690" s="1" t="str">
        <f>IFERROR(__xludf.DUMMYFUNCTION("""COMPUTED_VALUE"""),"M")</f>
        <v>M</v>
      </c>
      <c r="AD690" s="1" t="str">
        <f>IFERROR(__xludf.DUMMYFUNCTION("""COMPUTED_VALUE"""),"M")</f>
        <v>M</v>
      </c>
      <c r="AE690" s="1" t="str">
        <f>IFERROR(__xludf.DUMMYFUNCTION("""COMPUTED_VALUE"""),"M")</f>
        <v>M</v>
      </c>
      <c r="AF690" s="1" t="str">
        <f>IFERROR(__xludf.DUMMYFUNCTION("""COMPUTED_VALUE"""),"M")</f>
        <v>M</v>
      </c>
      <c r="AG690" s="1" t="str">
        <f>IFERROR(__xludf.DUMMYFUNCTION("""COMPUTED_VALUE"""),"M")</f>
        <v>M</v>
      </c>
      <c r="AH690" s="1">
        <f>IFERROR(__xludf.DUMMYFUNCTION("""COMPUTED_VALUE"""),38)</f>
        <v>38</v>
      </c>
      <c r="AI690" s="1">
        <f>IFERROR(__xludf.DUMMYFUNCTION("""COMPUTED_VALUE"""),38)</f>
        <v>38</v>
      </c>
      <c r="AJ690" s="1">
        <f>IFERROR(__xludf.DUMMYFUNCTION("""COMPUTED_VALUE"""),38)</f>
        <v>38</v>
      </c>
      <c r="AK690" s="1">
        <f>IFERROR(__xludf.DUMMYFUNCTION("""COMPUTED_VALUE"""),38)</f>
        <v>38</v>
      </c>
      <c r="AL690" s="1" t="str">
        <f>IFERROR(__xludf.DUMMYFUNCTION("""COMPUTED_VALUE"""),"M")</f>
        <v>M</v>
      </c>
      <c r="AM690" s="1" t="str">
        <f>IFERROR(__xludf.DUMMYFUNCTION("""COMPUTED_VALUE"""),"M")</f>
        <v>M</v>
      </c>
      <c r="AN690" s="1" t="str">
        <f>IFERROR(__xludf.DUMMYFUNCTION("""COMPUTED_VALUE"""),"M")</f>
        <v>M</v>
      </c>
    </row>
    <row r="691" customHeight="1" spans="1:40">
      <c r="A691" s="1" t="str">
        <f>IFERROR(__xludf.DUMMYFUNCTION("""COMPUTED_VALUE"""),"07° BBM")</f>
        <v>07° BBM</v>
      </c>
      <c r="B691" s="1" t="str">
        <f>IFERROR(__xludf.DUMMYFUNCTION("""COMPUTED_VALUE"""),"Erval Grande")</f>
        <v>Erval Grande</v>
      </c>
      <c r="C691" s="119" t="str">
        <f>IFERROR(__xludf.DUMMYFUNCTION("""COMPUTED_VALUE"""),"CAB")</f>
        <v>CAB</v>
      </c>
      <c r="D691" s="1" t="str">
        <f>IFERROR(__xludf.DUMMYFUNCTION("""COMPUTED_VALUE"""),"LEOPOLDO GIL SCHINAIDER COSTA")</f>
        <v>LEOPOLDO GIL SCHINAIDER COSTA</v>
      </c>
      <c r="E691" s="119" t="str">
        <f>IFERROR(__xludf.DUMMYFUNCTION("""COMPUTED_VALUE"""),"")</f>
        <v/>
      </c>
      <c r="F691" s="1"/>
      <c r="G691" s="1"/>
      <c r="H691" s="1"/>
      <c r="I691" s="1"/>
      <c r="J691" s="1"/>
      <c r="K691" s="1"/>
      <c r="L691" s="1"/>
      <c r="M691" s="1"/>
      <c r="N691" s="120">
        <f>IFERROR(__xludf.DUMMYFUNCTION("""COMPUTED_VALUE"""),29559)</f>
        <v>29559</v>
      </c>
      <c r="O691" s="1" t="str">
        <f>IFERROR(__xludf.DUMMYFUNCTION("""COMPUTED_VALUE"""),"Masculino")</f>
        <v>Masculino</v>
      </c>
      <c r="P691" s="1"/>
      <c r="Q691" s="1"/>
      <c r="R691" s="1"/>
      <c r="S691" s="1"/>
      <c r="T691" s="1"/>
      <c r="U691" s="1"/>
      <c r="V691" s="1"/>
      <c r="W691" s="1"/>
      <c r="X691" s="1"/>
      <c r="Y691" s="1"/>
      <c r="Z691" s="1"/>
      <c r="AA691" s="1"/>
      <c r="AB691" s="1"/>
      <c r="AC691" s="1"/>
      <c r="AD691" s="1"/>
      <c r="AE691" s="1"/>
      <c r="AF691" s="1"/>
      <c r="AG691" s="1" t="str">
        <f>IFERROR(__xludf.DUMMYFUNCTION("""COMPUTED_VALUE"""),"GG")</f>
        <v>GG</v>
      </c>
      <c r="AH691" s="1">
        <f>IFERROR(__xludf.DUMMYFUNCTION("""COMPUTED_VALUE"""),41)</f>
        <v>41</v>
      </c>
      <c r="AI691" s="1"/>
      <c r="AJ691" s="1"/>
      <c r="AK691" s="1"/>
      <c r="AL691" s="1" t="str">
        <f>IFERROR(__xludf.DUMMYFUNCTION("""COMPUTED_VALUE"""),"GG")</f>
        <v>GG</v>
      </c>
      <c r="AM691" s="1" t="str">
        <f>IFERROR(__xludf.DUMMYFUNCTION("""COMPUTED_VALUE"""),"GG")</f>
        <v>GG</v>
      </c>
      <c r="AN691" s="1" t="str">
        <f>IFERROR(__xludf.DUMMYFUNCTION("""COMPUTED_VALUE"""),"GG")</f>
        <v>GG</v>
      </c>
    </row>
    <row r="692" customHeight="1" spans="1:40">
      <c r="A692" s="1" t="str">
        <f>IFERROR(__xludf.DUMMYFUNCTION("""COMPUTED_VALUE"""),"07° BBM")</f>
        <v>07° BBM</v>
      </c>
      <c r="B692" s="1" t="str">
        <f>IFERROR(__xludf.DUMMYFUNCTION("""COMPUTED_VALUE"""),"Erval Grande")</f>
        <v>Erval Grande</v>
      </c>
      <c r="C692" s="119" t="str">
        <f>IFERROR(__xludf.DUMMYFUNCTION("""COMPUTED_VALUE"""),"CAB")</f>
        <v>CAB</v>
      </c>
      <c r="D692" s="1" t="str">
        <f>IFERROR(__xludf.DUMMYFUNCTION("""COMPUTED_VALUE"""),"LILIANE MARA NISTOR")</f>
        <v>LILIANE MARA NISTOR</v>
      </c>
      <c r="E692" s="119" t="str">
        <f>IFERROR(__xludf.DUMMYFUNCTION("""COMPUTED_VALUE"""),"Módulo 1 concluído")</f>
        <v>Módulo 1 concluído</v>
      </c>
      <c r="F692" s="1"/>
      <c r="G692" s="1"/>
      <c r="H692" s="1"/>
      <c r="I692" s="1"/>
      <c r="J692" s="1"/>
      <c r="K692" s="1"/>
      <c r="L692" s="1"/>
      <c r="M692" s="1"/>
      <c r="N692" s="120">
        <f>IFERROR(__xludf.DUMMYFUNCTION("""COMPUTED_VALUE"""),33691)</f>
        <v>33691</v>
      </c>
      <c r="O692" s="1" t="str">
        <f>IFERROR(__xludf.DUMMYFUNCTION("""COMPUTED_VALUE"""),"Feminino")</f>
        <v>Feminino</v>
      </c>
      <c r="P692" s="1"/>
      <c r="Q692" s="1"/>
      <c r="R692" s="1"/>
      <c r="S692" s="1"/>
      <c r="T692" s="1"/>
      <c r="U692" s="1"/>
      <c r="V692" s="1"/>
      <c r="W692" s="1"/>
      <c r="X692" s="1"/>
      <c r="Y692" s="1"/>
      <c r="Z692" s="1"/>
      <c r="AA692" s="1"/>
      <c r="AB692" s="1"/>
      <c r="AC692" s="1"/>
      <c r="AD692" s="1"/>
      <c r="AE692" s="1"/>
      <c r="AF692" s="1"/>
      <c r="AG692" s="1" t="str">
        <f>IFERROR(__xludf.DUMMYFUNCTION("""COMPUTED_VALUE"""),"P")</f>
        <v>P</v>
      </c>
      <c r="AH692" s="1">
        <f>IFERROR(__xludf.DUMMYFUNCTION("""COMPUTED_VALUE"""),37)</f>
        <v>37</v>
      </c>
      <c r="AI692" s="1"/>
      <c r="AJ692" s="1"/>
      <c r="AK692" s="1"/>
      <c r="AL692" s="1" t="str">
        <f>IFERROR(__xludf.DUMMYFUNCTION("""COMPUTED_VALUE"""),"M")</f>
        <v>M</v>
      </c>
      <c r="AM692" s="1" t="str">
        <f>IFERROR(__xludf.DUMMYFUNCTION("""COMPUTED_VALUE"""),"M")</f>
        <v>M</v>
      </c>
      <c r="AN692" s="1" t="str">
        <f>IFERROR(__xludf.DUMMYFUNCTION("""COMPUTED_VALUE"""),"M")</f>
        <v>M</v>
      </c>
    </row>
    <row r="693" customHeight="1" spans="1:40">
      <c r="A693" s="1" t="str">
        <f>IFERROR(__xludf.DUMMYFUNCTION("""COMPUTED_VALUE"""),"07° BBM")</f>
        <v>07° BBM</v>
      </c>
      <c r="B693" s="1" t="str">
        <f>IFERROR(__xludf.DUMMYFUNCTION("""COMPUTED_VALUE"""),"Barão de Cotegipe")</f>
        <v>Barão de Cotegipe</v>
      </c>
      <c r="C693" s="119" t="str">
        <f>IFERROR(__xludf.DUMMYFUNCTION("""COMPUTED_VALUE"""),"CAB")</f>
        <v>CAB</v>
      </c>
      <c r="D693" s="1" t="str">
        <f>IFERROR(__xludf.DUMMYFUNCTION("""COMPUTED_VALUE"""),"LUANA PACHECO")</f>
        <v>LUANA PACHECO</v>
      </c>
      <c r="E693" s="119" t="str">
        <f>IFERROR(__xludf.DUMMYFUNCTION("""COMPUTED_VALUE"""),"")</f>
        <v/>
      </c>
      <c r="F693" s="1" t="str">
        <f>IFERROR(__xludf.DUMMYFUNCTION("""COMPUTED_VALUE"""),"043.492.990-50")</f>
        <v>043.492.990-50</v>
      </c>
      <c r="G693" s="1">
        <f>IFERROR(__xludf.DUMMYFUNCTION("""COMPUTED_VALUE"""),5113518988)</f>
        <v>5113518988</v>
      </c>
      <c r="H693" s="1" t="str">
        <f>IFERROR(__xludf.DUMMYFUNCTION("""COMPUTED_VALUE"""),"VOLUNTARIO")</f>
        <v>VOLUNTARIO</v>
      </c>
      <c r="I693" s="1" t="str">
        <f>IFERROR(__xludf.DUMMYFUNCTION("""COMPUTED_VALUE"""),"NR35,NR10,APH.")</f>
        <v>NR35,NR10,APH.</v>
      </c>
      <c r="J693" s="1"/>
      <c r="K693" s="1"/>
      <c r="L693" s="1"/>
      <c r="M693" s="1"/>
      <c r="N693" s="129"/>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row>
    <row r="694" customHeight="1" spans="1:40">
      <c r="A694" s="1" t="str">
        <f>IFERROR(__xludf.DUMMYFUNCTION("""COMPUTED_VALUE"""),"07° BBM")</f>
        <v>07° BBM</v>
      </c>
      <c r="B694" s="1" t="str">
        <f>IFERROR(__xludf.DUMMYFUNCTION("""COMPUTED_VALUE"""),"Serafina Corrêa")</f>
        <v>Serafina Corrêa</v>
      </c>
      <c r="C694" s="119" t="str">
        <f>IFERROR(__xludf.DUMMYFUNCTION("""COMPUTED_VALUE"""),"CAB")</f>
        <v>CAB</v>
      </c>
      <c r="D694" s="1" t="str">
        <f>IFERROR(__xludf.DUMMYFUNCTION("""COMPUTED_VALUE"""),"LUCAS DE LIMA")</f>
        <v>LUCAS DE LIMA</v>
      </c>
      <c r="E694" s="119" t="str">
        <f>IFERROR(__xludf.DUMMYFUNCTION("""COMPUTED_VALUE"""),"")</f>
        <v/>
      </c>
      <c r="F694" s="1" t="str">
        <f>IFERROR(__xludf.DUMMYFUNCTION("""COMPUTED_VALUE"""),"032.317.260-18")</f>
        <v>032.317.260-18</v>
      </c>
      <c r="G694" s="1">
        <f>IFERROR(__xludf.DUMMYFUNCTION("""COMPUTED_VALUE"""),7116264933)</f>
        <v>7116264933</v>
      </c>
      <c r="H694" s="1" t="str">
        <f>IFERROR(__xludf.DUMMYFUNCTION("""COMPUTED_VALUE"""),"CAB - ALUNO")</f>
        <v>CAB - ALUNO</v>
      </c>
      <c r="I694" s="1" t="str">
        <f>IFERROR(__xludf.DUMMYFUNCTION("""COMPUTED_VALUE"""),"APH / BLS - NR 10 NR 33 NR 35 ")</f>
        <v>APH / BLS - NR 10 NR 33 NR 35 </v>
      </c>
      <c r="J694" s="1" t="str">
        <f>IFERROR(__xludf.DUMMYFUNCTION("""COMPUTED_VALUE"""),"Não")</f>
        <v>Não</v>
      </c>
      <c r="K694" s="1" t="str">
        <f>IFERROR(__xludf.DUMMYFUNCTION("""COMPUTED_VALUE"""),"Não")</f>
        <v>Não</v>
      </c>
      <c r="L694" s="1" t="str">
        <f>IFERROR(__xludf.DUMMYFUNCTION("""COMPUTED_VALUE"""),"A+")</f>
        <v>A+</v>
      </c>
      <c r="M694" s="1" t="str">
        <f>IFERROR(__xludf.DUMMYFUNCTION("""COMPUTED_VALUE"""),"De Lima")</f>
        <v>De Lima</v>
      </c>
      <c r="N694" s="120">
        <f>IFERROR(__xludf.DUMMYFUNCTION("""COMPUTED_VALUE"""),34572)</f>
        <v>34572</v>
      </c>
      <c r="O694" s="1" t="str">
        <f>IFERROR(__xludf.DUMMYFUNCTION("""COMPUTED_VALUE"""),"Masculino")</f>
        <v>Masculino</v>
      </c>
      <c r="P694" s="1" t="str">
        <f>IFERROR(__xludf.DUMMYFUNCTION("""COMPUTED_VALUE"""),"Branca")</f>
        <v>Branca</v>
      </c>
      <c r="Q694" s="1" t="str">
        <f>IFERROR(__xludf.DUMMYFUNCTION("""COMPUTED_VALUE"""),"Ensino Médio")</f>
        <v>Ensino Médio</v>
      </c>
      <c r="R694" s="1" t="str">
        <f>IFERROR(__xludf.DUMMYFUNCTION("""COMPUTED_VALUE"""),"Lucasdeima91@gmail.com")</f>
        <v>Lucasdeima91@gmail.com</v>
      </c>
      <c r="S694" s="1">
        <f>IFERROR(__xludf.DUMMYFUNCTION("""COMPUTED_VALUE"""),105)</f>
        <v>105</v>
      </c>
      <c r="T694" s="1" t="str">
        <f>IFERROR(__xludf.DUMMYFUNCTION("""COMPUTED_VALUE"""),"Entre 1,76m e 1,80m")</f>
        <v>Entre 1,76m e 1,80m</v>
      </c>
      <c r="U694" s="1"/>
      <c r="V694" s="1" t="str">
        <f>IFERROR(__xludf.DUMMYFUNCTION("""COMPUTED_VALUE"""),"(54)996163308")</f>
        <v>(54)996163308</v>
      </c>
      <c r="W694" s="1"/>
      <c r="X694" s="1" t="str">
        <f>IFERROR(__xludf.DUMMYFUNCTION("""COMPUTED_VALUE"""),"RS")</f>
        <v>RS</v>
      </c>
      <c r="Y694" s="1" t="str">
        <f>IFERROR(__xludf.DUMMYFUNCTION("""COMPUTED_VALUE"""),"Serafina Corrêa")</f>
        <v>Serafina Corrêa</v>
      </c>
      <c r="Z694" s="1" t="str">
        <f>IFERROR(__xludf.DUMMYFUNCTION("""COMPUTED_VALUE"""),"99250-000")</f>
        <v>99250-000</v>
      </c>
      <c r="AA694" s="1" t="str">
        <f>IFERROR(__xludf.DUMMYFUNCTION("""COMPUTED_VALUE"""),"Rua Castro Alves, 75")</f>
        <v>Rua Castro Alves, 75</v>
      </c>
      <c r="AB694" s="1" t="str">
        <f>IFERROR(__xludf.DUMMYFUNCTION("""COMPUTED_VALUE"""),"Gramadinho ")</f>
        <v>Gramadinho </v>
      </c>
      <c r="AC694" s="1" t="str">
        <f>IFERROR(__xludf.DUMMYFUNCTION("""COMPUTED_VALUE"""),"GG")</f>
        <v>GG</v>
      </c>
      <c r="AD694" s="1" t="str">
        <f>IFERROR(__xludf.DUMMYFUNCTION("""COMPUTED_VALUE"""),"GG")</f>
        <v>GG</v>
      </c>
      <c r="AE694" s="1" t="str">
        <f>IFERROR(__xludf.DUMMYFUNCTION("""COMPUTED_VALUE"""),"GG")</f>
        <v>GG</v>
      </c>
      <c r="AF694" s="1" t="str">
        <f>IFERROR(__xludf.DUMMYFUNCTION("""COMPUTED_VALUE"""),"GG")</f>
        <v>GG</v>
      </c>
      <c r="AG694" s="1" t="str">
        <f>IFERROR(__xludf.DUMMYFUNCTION("""COMPUTED_VALUE"""),"GG")</f>
        <v>GG</v>
      </c>
      <c r="AH694" s="1">
        <f>IFERROR(__xludf.DUMMYFUNCTION("""COMPUTED_VALUE"""),42)</f>
        <v>42</v>
      </c>
      <c r="AI694" s="1">
        <f>IFERROR(__xludf.DUMMYFUNCTION("""COMPUTED_VALUE"""),42)</f>
        <v>42</v>
      </c>
      <c r="AJ694" s="1">
        <f>IFERROR(__xludf.DUMMYFUNCTION("""COMPUTED_VALUE"""),42)</f>
        <v>42</v>
      </c>
      <c r="AK694" s="1">
        <f>IFERROR(__xludf.DUMMYFUNCTION("""COMPUTED_VALUE"""),42)</f>
        <v>42</v>
      </c>
      <c r="AL694" s="1" t="str">
        <f>IFERROR(__xludf.DUMMYFUNCTION("""COMPUTED_VALUE"""),"GG")</f>
        <v>GG</v>
      </c>
      <c r="AM694" s="1" t="str">
        <f>IFERROR(__xludf.DUMMYFUNCTION("""COMPUTED_VALUE"""),"GG")</f>
        <v>GG</v>
      </c>
      <c r="AN694" s="1" t="str">
        <f>IFERROR(__xludf.DUMMYFUNCTION("""COMPUTED_VALUE"""),"GG")</f>
        <v>GG</v>
      </c>
    </row>
    <row r="695" customHeight="1" spans="1:40">
      <c r="A695" s="1" t="str">
        <f>IFERROR(__xludf.DUMMYFUNCTION("""COMPUTED_VALUE"""),"07° BBM")</f>
        <v>07° BBM</v>
      </c>
      <c r="B695" s="1" t="str">
        <f>IFERROR(__xludf.DUMMYFUNCTION("""COMPUTED_VALUE"""),"Serafina Corrêa")</f>
        <v>Serafina Corrêa</v>
      </c>
      <c r="C695" s="119" t="str">
        <f>IFERROR(__xludf.DUMMYFUNCTION("""COMPUTED_VALUE"""),"CAB")</f>
        <v>CAB</v>
      </c>
      <c r="D695" s="1" t="str">
        <f>IFERROR(__xludf.DUMMYFUNCTION("""COMPUTED_VALUE"""),"LUCAS GABRIEL DA SILVA BASTOS")</f>
        <v>LUCAS GABRIEL DA SILVA BASTOS</v>
      </c>
      <c r="E695" s="119" t="str">
        <f>IFERROR(__xludf.DUMMYFUNCTION("""COMPUTED_VALUE"""),"Módulo 1 concluído")</f>
        <v>Módulo 1 concluído</v>
      </c>
      <c r="F695" s="1" t="str">
        <f>IFERROR(__xludf.DUMMYFUNCTION("""COMPUTED_VALUE"""),"863.547.705-73")</f>
        <v>863.547.705-73</v>
      </c>
      <c r="G695" s="1">
        <f>IFERROR(__xludf.DUMMYFUNCTION("""COMPUTED_VALUE"""),656545240)</f>
        <v>656545240</v>
      </c>
      <c r="H695" s="1" t="str">
        <f>IFERROR(__xludf.DUMMYFUNCTION("""COMPUTED_VALUE"""),"CAB - ALUNO")</f>
        <v>CAB - ALUNO</v>
      </c>
      <c r="I695" s="1" t="str">
        <f>IFERROR(__xludf.DUMMYFUNCTION("""COMPUTED_VALUE"""),"APH / BLS - NR 10 NR 33 NR 35 ")</f>
        <v>APH / BLS - NR 10 NR 33 NR 35 </v>
      </c>
      <c r="J695" s="1" t="str">
        <f>IFERROR(__xludf.DUMMYFUNCTION("""COMPUTED_VALUE"""),"Não")</f>
        <v>Não</v>
      </c>
      <c r="K695" s="1" t="str">
        <f>IFERROR(__xludf.DUMMYFUNCTION("""COMPUTED_VALUE"""),"Não")</f>
        <v>Não</v>
      </c>
      <c r="L695" s="1" t="str">
        <f>IFERROR(__xludf.DUMMYFUNCTION("""COMPUTED_VALUE"""),"O+")</f>
        <v>O+</v>
      </c>
      <c r="M695" s="1" t="str">
        <f>IFERROR(__xludf.DUMMYFUNCTION("""COMPUTED_VALUE"""),"Bastos")</f>
        <v>Bastos</v>
      </c>
      <c r="N695" s="120">
        <f>IFERROR(__xludf.DUMMYFUNCTION("""COMPUTED_VALUE"""),36510)</f>
        <v>36510</v>
      </c>
      <c r="O695" s="1" t="str">
        <f>IFERROR(__xludf.DUMMYFUNCTION("""COMPUTED_VALUE"""),"Masculino")</f>
        <v>Masculino</v>
      </c>
      <c r="P695" s="1" t="str">
        <f>IFERROR(__xludf.DUMMYFUNCTION("""COMPUTED_VALUE"""),"Branca")</f>
        <v>Branca</v>
      </c>
      <c r="Q695" s="1" t="str">
        <f>IFERROR(__xludf.DUMMYFUNCTION("""COMPUTED_VALUE"""),"Ensino Superior Incompleto")</f>
        <v>Ensino Superior Incompleto</v>
      </c>
      <c r="R695" s="1" t="str">
        <f>IFERROR(__xludf.DUMMYFUNCTION("""COMPUTED_VALUE"""),"Bastos_silvagabriel@hotmail.com")</f>
        <v>Bastos_silvagabriel@hotmail.com</v>
      </c>
      <c r="S695" s="1">
        <f>IFERROR(__xludf.DUMMYFUNCTION("""COMPUTED_VALUE"""),112)</f>
        <v>112</v>
      </c>
      <c r="T695" s="1" t="str">
        <f>IFERROR(__xludf.DUMMYFUNCTION("""COMPUTED_VALUE"""),"Entre 1,76m e 1,80m")</f>
        <v>Entre 1,76m e 1,80m</v>
      </c>
      <c r="U695" s="1"/>
      <c r="V695" s="1" t="str">
        <f>IFERROR(__xludf.DUMMYFUNCTION("""COMPUTED_VALUE"""),"(54)99175 - 0759")</f>
        <v>(54)99175 - 0759</v>
      </c>
      <c r="W695" s="1" t="str">
        <f>IFERROR(__xludf.DUMMYFUNCTION("""COMPUTED_VALUE"""),"(54)99969 - 0955")</f>
        <v>(54)99969 - 0955</v>
      </c>
      <c r="X695" s="1" t="str">
        <f>IFERROR(__xludf.DUMMYFUNCTION("""COMPUTED_VALUE"""),"RS")</f>
        <v>RS</v>
      </c>
      <c r="Y695" s="1" t="str">
        <f>IFERROR(__xludf.DUMMYFUNCTION("""COMPUTED_VALUE"""),"Guaporé")</f>
        <v>Guaporé</v>
      </c>
      <c r="Z695" s="1" t="str">
        <f>IFERROR(__xludf.DUMMYFUNCTION("""COMPUTED_VALUE"""),"99200-000")</f>
        <v>99200-000</v>
      </c>
      <c r="AA695" s="1" t="str">
        <f>IFERROR(__xludf.DUMMYFUNCTION("""COMPUTED_VALUE"""),"Rua Euclides da cunha, 1550")</f>
        <v>Rua Euclides da cunha, 1550</v>
      </c>
      <c r="AB695" s="1" t="str">
        <f>IFERROR(__xludf.DUMMYFUNCTION("""COMPUTED_VALUE"""),"Nossa senhora saude")</f>
        <v>Nossa senhora saude</v>
      </c>
      <c r="AC695" s="1" t="str">
        <f>IFERROR(__xludf.DUMMYFUNCTION("""COMPUTED_VALUE"""),"GG")</f>
        <v>GG</v>
      </c>
      <c r="AD695" s="1" t="str">
        <f>IFERROR(__xludf.DUMMYFUNCTION("""COMPUTED_VALUE"""),"GG")</f>
        <v>GG</v>
      </c>
      <c r="AE695" s="1" t="str">
        <f>IFERROR(__xludf.DUMMYFUNCTION("""COMPUTED_VALUE"""),"GG")</f>
        <v>GG</v>
      </c>
      <c r="AF695" s="1" t="str">
        <f>IFERROR(__xludf.DUMMYFUNCTION("""COMPUTED_VALUE"""),"GG")</f>
        <v>GG</v>
      </c>
      <c r="AG695" s="1" t="str">
        <f>IFERROR(__xludf.DUMMYFUNCTION("""COMPUTED_VALUE"""),"GG")</f>
        <v>GG</v>
      </c>
      <c r="AH695" s="1">
        <f>IFERROR(__xludf.DUMMYFUNCTION("""COMPUTED_VALUE"""),42)</f>
        <v>42</v>
      </c>
      <c r="AI695" s="1">
        <f>IFERROR(__xludf.DUMMYFUNCTION("""COMPUTED_VALUE"""),42)</f>
        <v>42</v>
      </c>
      <c r="AJ695" s="1">
        <f>IFERROR(__xludf.DUMMYFUNCTION("""COMPUTED_VALUE"""),42)</f>
        <v>42</v>
      </c>
      <c r="AK695" s="1">
        <f>IFERROR(__xludf.DUMMYFUNCTION("""COMPUTED_VALUE"""),42)</f>
        <v>42</v>
      </c>
      <c r="AL695" s="1" t="str">
        <f>IFERROR(__xludf.DUMMYFUNCTION("""COMPUTED_VALUE"""),"GG")</f>
        <v>GG</v>
      </c>
      <c r="AM695" s="1" t="str">
        <f>IFERROR(__xludf.DUMMYFUNCTION("""COMPUTED_VALUE"""),"GG")</f>
        <v>GG</v>
      </c>
      <c r="AN695" s="1" t="str">
        <f>IFERROR(__xludf.DUMMYFUNCTION("""COMPUTED_VALUE"""),"GG")</f>
        <v>GG</v>
      </c>
    </row>
    <row r="696" customHeight="1" spans="1:40">
      <c r="A696" s="1" t="str">
        <f>IFERROR(__xludf.DUMMYFUNCTION("""COMPUTED_VALUE"""),"07° BBM")</f>
        <v>07° BBM</v>
      </c>
      <c r="B696" s="1" t="str">
        <f>IFERROR(__xludf.DUMMYFUNCTION("""COMPUTED_VALUE"""),"Não-Me-Toque")</f>
        <v>Não-Me-Toque</v>
      </c>
      <c r="C696" s="119" t="str">
        <f>IFERROR(__xludf.DUMMYFUNCTION("""COMPUTED_VALUE"""),"CAB")</f>
        <v>CAB</v>
      </c>
      <c r="D696" s="1" t="str">
        <f>IFERROR(__xludf.DUMMYFUNCTION("""COMPUTED_VALUE"""),"LUCIANA NEULS")</f>
        <v>LUCIANA NEULS</v>
      </c>
      <c r="E696" s="119" t="str">
        <f>IFERROR(__xludf.DUMMYFUNCTION("""COMPUTED_VALUE"""),"")</f>
        <v/>
      </c>
      <c r="F696" s="1" t="str">
        <f>IFERROR(__xludf.DUMMYFUNCTION("""COMPUTED_VALUE"""),"987.861.990-72")</f>
        <v>987.861.990-72</v>
      </c>
      <c r="G696" s="1">
        <f>IFERROR(__xludf.DUMMYFUNCTION("""COMPUTED_VALUE"""),5064638314)</f>
        <v>5064638314</v>
      </c>
      <c r="H696" s="1" t="str">
        <f>IFERROR(__xludf.DUMMYFUNCTION("""COMPUTED_VALUE"""),"BOMBEIRA")</f>
        <v>BOMBEIRA</v>
      </c>
      <c r="I696" s="1" t="str">
        <f>IFERROR(__xludf.DUMMYFUNCTION("""COMPUTED_VALUE"""),"Enfermeira/APH/BLS/Brigada de Incêndio/Nivelamento Operacional BV/Nivelamento Operacional CBMRS")</f>
        <v>Enfermeira/APH/BLS/Brigada de Incêndio/Nivelamento Operacional BV/Nivelamento Operacional CBMRS</v>
      </c>
      <c r="J696" s="1" t="str">
        <f>IFERROR(__xludf.DUMMYFUNCTION("""COMPUTED_VALUE"""),"Não")</f>
        <v>Não</v>
      </c>
      <c r="K696" s="1" t="str">
        <f>IFERROR(__xludf.DUMMYFUNCTION("""COMPUTED_VALUE"""),"Não")</f>
        <v>Não</v>
      </c>
      <c r="L696" s="1"/>
      <c r="M696" s="1"/>
      <c r="N696" s="1"/>
      <c r="O696" s="1"/>
      <c r="P696" s="1"/>
      <c r="Q696" s="1"/>
      <c r="R696" s="1"/>
      <c r="S696" s="1"/>
      <c r="T696" s="1"/>
      <c r="U696" s="1"/>
      <c r="V696" s="1"/>
      <c r="W696" s="1"/>
      <c r="X696" s="1" t="str">
        <f>IFERROR(__xludf.DUMMYFUNCTION("""COMPUTED_VALUE"""),"RS")</f>
        <v>RS</v>
      </c>
      <c r="Y696" s="1" t="str">
        <f>IFERROR(__xludf.DUMMYFUNCTION("""COMPUTED_VALUE"""),"Não-Me-Toque")</f>
        <v>Não-Me-Toque</v>
      </c>
      <c r="Z696" s="1" t="str">
        <f>IFERROR(__xludf.DUMMYFUNCTION("""COMPUTED_VALUE"""),"99470-000")</f>
        <v>99470-000</v>
      </c>
      <c r="AA696" s="1"/>
      <c r="AB696" s="1"/>
      <c r="AC696" s="1"/>
      <c r="AD696" s="1"/>
      <c r="AE696" s="1"/>
      <c r="AF696" s="1"/>
      <c r="AG696" s="1"/>
      <c r="AH696" s="1"/>
      <c r="AI696" s="1"/>
      <c r="AJ696" s="1"/>
      <c r="AK696" s="1"/>
      <c r="AL696" s="1"/>
      <c r="AM696" s="1"/>
      <c r="AN696" s="1"/>
    </row>
    <row r="697" customHeight="1" spans="1:40">
      <c r="A697" s="1" t="str">
        <f>IFERROR(__xludf.DUMMYFUNCTION("""COMPUTED_VALUE"""),"07° BBM")</f>
        <v>07° BBM</v>
      </c>
      <c r="B697" s="1" t="str">
        <f>IFERROR(__xludf.DUMMYFUNCTION("""COMPUTED_VALUE"""),"GETULIO VARGAS")</f>
        <v>GETULIO VARGAS</v>
      </c>
      <c r="C697" s="119" t="str">
        <f>IFERROR(__xludf.DUMMYFUNCTION("""COMPUTED_VALUE"""),"Comunitário")</f>
        <v>Comunitário</v>
      </c>
      <c r="D697" s="1" t="str">
        <f>IFERROR(__xludf.DUMMYFUNCTION("""COMPUTED_VALUE"""),"LUIZ CARLOS BRUSTOLIN")</f>
        <v>LUIZ CARLOS BRUSTOLIN</v>
      </c>
      <c r="E697" s="119" t="str">
        <f>IFERROR(__xludf.DUMMYFUNCTION("""COMPUTED_VALUE"""),"Módulo 1 concluído")</f>
        <v>Módulo 1 concluído</v>
      </c>
      <c r="F697" s="1" t="str">
        <f>IFERROR(__xludf.DUMMYFUNCTION("""COMPUTED_VALUE"""),"943.180.420-49")</f>
        <v>943.180.420-49</v>
      </c>
      <c r="G697" s="1">
        <f>IFERROR(__xludf.DUMMYFUNCTION("""COMPUTED_VALUE"""),1055658601)</f>
        <v>1055658601</v>
      </c>
      <c r="H697" s="1" t="str">
        <f>IFERROR(__xludf.DUMMYFUNCTION("""COMPUTED_VALUE"""),"OP")</f>
        <v>OP</v>
      </c>
      <c r="I697" s="1"/>
      <c r="J697" s="1"/>
      <c r="K697" s="1"/>
      <c r="L697" s="1"/>
      <c r="M697" s="1"/>
      <c r="N697" s="122">
        <f>IFERROR(__xludf.DUMMYFUNCTION("""COMPUTED_VALUE"""),28425)</f>
        <v>28425</v>
      </c>
      <c r="O697" s="1" t="str">
        <f>IFERROR(__xludf.DUMMYFUNCTION("""COMPUTED_VALUE"""),"Masculino")</f>
        <v>Masculino</v>
      </c>
      <c r="P697" s="1"/>
      <c r="Q697" s="1"/>
      <c r="R697" s="1"/>
      <c r="S697" s="1"/>
      <c r="T697" s="1"/>
      <c r="U697" s="1"/>
      <c r="V697" s="1"/>
      <c r="W697" s="1"/>
      <c r="X697" s="1"/>
      <c r="Y697" s="1" t="str">
        <f>IFERROR(__xludf.DUMMYFUNCTION("""COMPUTED_VALUE"""),"Getúlio Vargas")</f>
        <v>Getúlio Vargas</v>
      </c>
      <c r="Z697" s="1"/>
      <c r="AA697" s="1"/>
      <c r="AB697" s="1"/>
      <c r="AC697" s="1"/>
      <c r="AD697" s="1"/>
      <c r="AE697" s="1"/>
      <c r="AF697" s="1"/>
      <c r="AG697" s="1" t="str">
        <f>IFERROR(__xludf.DUMMYFUNCTION("""COMPUTED_VALUE"""),"M")</f>
        <v>M</v>
      </c>
      <c r="AH697" s="1">
        <f>IFERROR(__xludf.DUMMYFUNCTION("""COMPUTED_VALUE"""),40)</f>
        <v>40</v>
      </c>
      <c r="AI697" s="1"/>
      <c r="AJ697" s="1"/>
      <c r="AK697" s="1"/>
      <c r="AL697" s="1" t="str">
        <f>IFERROR(__xludf.DUMMYFUNCTION("""COMPUTED_VALUE"""),"M")</f>
        <v>M</v>
      </c>
      <c r="AM697" s="1" t="str">
        <f>IFERROR(__xludf.DUMMYFUNCTION("""COMPUTED_VALUE"""),"M")</f>
        <v>M</v>
      </c>
      <c r="AN697" s="1" t="str">
        <f>IFERROR(__xludf.DUMMYFUNCTION("""COMPUTED_VALUE"""),"M")</f>
        <v>M</v>
      </c>
    </row>
    <row r="698" customHeight="1" spans="1:40">
      <c r="A698" s="1" t="str">
        <f>IFERROR(__xludf.DUMMYFUNCTION("""COMPUTED_VALUE"""),"07° BBM")</f>
        <v>07° BBM</v>
      </c>
      <c r="B698" s="1" t="str">
        <f>IFERROR(__xludf.DUMMYFUNCTION("""COMPUTED_VALUE"""),"Não-Me-Toque")</f>
        <v>Não-Me-Toque</v>
      </c>
      <c r="C698" s="119" t="str">
        <f>IFERROR(__xludf.DUMMYFUNCTION("""COMPUTED_VALUE"""),"CAB")</f>
        <v>CAB</v>
      </c>
      <c r="D698" s="1" t="str">
        <f>IFERROR(__xludf.DUMMYFUNCTION("""COMPUTED_VALUE"""),"LUIZ CARLOS SCHERER")</f>
        <v>LUIZ CARLOS SCHERER</v>
      </c>
      <c r="E698" s="119"/>
      <c r="F698" s="1" t="str">
        <f>IFERROR(__xludf.DUMMYFUNCTION("""COMPUTED_VALUE"""),"937.393.380-91")</f>
        <v>937.393.380-91</v>
      </c>
      <c r="G698" s="1">
        <f>IFERROR(__xludf.DUMMYFUNCTION("""COMPUTED_VALUE"""),4063861092)</f>
        <v>4063861092</v>
      </c>
      <c r="H698" s="1" t="str">
        <f>IFERROR(__xludf.DUMMYFUNCTION("""COMPUTED_VALUE"""),"BOMBEIRO")</f>
        <v>BOMBEIRO</v>
      </c>
      <c r="I698" s="1" t="str">
        <f>IFERROR(__xludf.DUMMYFUNCTION("""COMPUTED_VALUE"""),"Brigada de Incêndio/Nivelamento Operacional BV/Nivelamento Operacional CBMRS")</f>
        <v>Brigada de Incêndio/Nivelamento Operacional BV/Nivelamento Operacional CBMRS</v>
      </c>
      <c r="J698" s="1" t="str">
        <f>IFERROR(__xludf.DUMMYFUNCTION("""COMPUTED_VALUE"""),"Não")</f>
        <v>Não</v>
      </c>
      <c r="K698" s="1" t="str">
        <f>IFERROR(__xludf.DUMMYFUNCTION("""COMPUTED_VALUE"""),"Não")</f>
        <v>Não</v>
      </c>
      <c r="L698" s="1"/>
      <c r="M698" s="1"/>
      <c r="N698" s="1"/>
      <c r="O698" s="1"/>
      <c r="P698" s="1"/>
      <c r="Q698" s="1"/>
      <c r="R698" s="1"/>
      <c r="S698" s="1"/>
      <c r="T698" s="1"/>
      <c r="U698" s="1"/>
      <c r="V698" s="1"/>
      <c r="W698" s="1"/>
      <c r="X698" s="1" t="str">
        <f>IFERROR(__xludf.DUMMYFUNCTION("""COMPUTED_VALUE"""),"RS")</f>
        <v>RS</v>
      </c>
      <c r="Y698" s="1" t="str">
        <f>IFERROR(__xludf.DUMMYFUNCTION("""COMPUTED_VALUE"""),"Não-Me-Toque")</f>
        <v>Não-Me-Toque</v>
      </c>
      <c r="Z698" s="1" t="str">
        <f>IFERROR(__xludf.DUMMYFUNCTION("""COMPUTED_VALUE"""),"99470-000")</f>
        <v>99470-000</v>
      </c>
      <c r="AA698" s="1"/>
      <c r="AB698" s="1"/>
      <c r="AC698" s="1"/>
      <c r="AD698" s="1"/>
      <c r="AE698" s="1"/>
      <c r="AF698" s="1"/>
      <c r="AG698" s="1" t="str">
        <f>IFERROR(__xludf.DUMMYFUNCTION("""COMPUTED_VALUE"""),"M")</f>
        <v>M</v>
      </c>
      <c r="AH698" s="1">
        <f>IFERROR(__xludf.DUMMYFUNCTION("""COMPUTED_VALUE"""),40)</f>
        <v>40</v>
      </c>
      <c r="AI698" s="1"/>
      <c r="AJ698" s="1"/>
      <c r="AK698" s="1"/>
      <c r="AL698" s="1" t="str">
        <f>IFERROR(__xludf.DUMMYFUNCTION("""COMPUTED_VALUE"""),"M")</f>
        <v>M</v>
      </c>
      <c r="AM698" s="1" t="str">
        <f>IFERROR(__xludf.DUMMYFUNCTION("""COMPUTED_VALUE"""),"M")</f>
        <v>M</v>
      </c>
      <c r="AN698" s="1" t="str">
        <f>IFERROR(__xludf.DUMMYFUNCTION("""COMPUTED_VALUE"""),"M")</f>
        <v>M</v>
      </c>
    </row>
    <row r="699" customHeight="1" spans="1:40">
      <c r="A699" s="1" t="str">
        <f>IFERROR(__xludf.DUMMYFUNCTION("""COMPUTED_VALUE"""),"07° BBM")</f>
        <v>07° BBM</v>
      </c>
      <c r="B699" s="1" t="str">
        <f>IFERROR(__xludf.DUMMYFUNCTION("""COMPUTED_VALUE"""),"SOLEDADE")</f>
        <v>SOLEDADE</v>
      </c>
      <c r="C699" s="119" t="str">
        <f>IFERROR(__xludf.DUMMYFUNCTION("""COMPUTED_VALUE"""),"Comunitário")</f>
        <v>Comunitário</v>
      </c>
      <c r="D699" s="1" t="str">
        <f>IFERROR(__xludf.DUMMYFUNCTION("""COMPUTED_VALUE"""),"LUIZ FERNANDO DA SILVA LUPATINI")</f>
        <v>LUIZ FERNANDO DA SILVA LUPATINI</v>
      </c>
      <c r="E699" s="119" t="str">
        <f>IFERROR(__xludf.DUMMYFUNCTION("""COMPUTED_VALUE"""),"Curso CAB operador concluído")</f>
        <v>Curso CAB operador concluído</v>
      </c>
      <c r="F699" s="1" t="str">
        <f>IFERROR(__xludf.DUMMYFUNCTION("""COMPUTED_VALUE"""),"025.590.280-85")</f>
        <v>025.590.280-85</v>
      </c>
      <c r="G699" s="1">
        <f>IFERROR(__xludf.DUMMYFUNCTION("""COMPUTED_VALUE"""),1104338759)</f>
        <v>1104338759</v>
      </c>
      <c r="H699" s="1" t="str">
        <f>IFERROR(__xludf.DUMMYFUNCTION("""COMPUTED_VALUE"""),"OP")</f>
        <v>OP</v>
      </c>
      <c r="I699" s="1"/>
      <c r="J699" s="1"/>
      <c r="K699" s="1"/>
      <c r="L699" s="1"/>
      <c r="M699" s="1"/>
      <c r="N699" s="122">
        <f>IFERROR(__xludf.DUMMYFUNCTION("""COMPUTED_VALUE"""),32802)</f>
        <v>32802</v>
      </c>
      <c r="O699" s="1" t="str">
        <f>IFERROR(__xludf.DUMMYFUNCTION("""COMPUTED_VALUE"""),"Masculino")</f>
        <v>Masculino</v>
      </c>
      <c r="P699" s="1"/>
      <c r="Q699" s="1"/>
      <c r="R699" s="1"/>
      <c r="S699" s="1"/>
      <c r="T699" s="1"/>
      <c r="U699" s="1"/>
      <c r="V699" s="1"/>
      <c r="W699" s="1"/>
      <c r="X699" s="1"/>
      <c r="Y699" s="1" t="str">
        <f>IFERROR(__xludf.DUMMYFUNCTION("""COMPUTED_VALUE"""),"Soledade")</f>
        <v>Soledade</v>
      </c>
      <c r="Z699" s="1"/>
      <c r="AA699" s="1"/>
      <c r="AB699" s="1"/>
      <c r="AC699" s="1"/>
      <c r="AD699" s="1"/>
      <c r="AE699" s="1"/>
      <c r="AF699" s="1"/>
      <c r="AG699" s="1" t="str">
        <f>IFERROR(__xludf.DUMMYFUNCTION("""COMPUTED_VALUE"""),"GG")</f>
        <v>GG</v>
      </c>
      <c r="AH699" s="1">
        <f>IFERROR(__xludf.DUMMYFUNCTION("""COMPUTED_VALUE"""),42)</f>
        <v>42</v>
      </c>
      <c r="AI699" s="1"/>
      <c r="AJ699" s="1"/>
      <c r="AK699" s="1"/>
      <c r="AL699" s="1" t="str">
        <f>IFERROR(__xludf.DUMMYFUNCTION("""COMPUTED_VALUE"""),"GG")</f>
        <v>GG</v>
      </c>
      <c r="AM699" s="1" t="str">
        <f>IFERROR(__xludf.DUMMYFUNCTION("""COMPUTED_VALUE"""),"GG")</f>
        <v>GG</v>
      </c>
      <c r="AN699" s="1" t="str">
        <f>IFERROR(__xludf.DUMMYFUNCTION("""COMPUTED_VALUE"""),"GG")</f>
        <v>GG</v>
      </c>
    </row>
    <row r="700" customHeight="1" spans="1:40">
      <c r="A700" s="1" t="str">
        <f>IFERROR(__xludf.DUMMYFUNCTION("""COMPUTED_VALUE"""),"07° BBM")</f>
        <v>07° BBM</v>
      </c>
      <c r="B700" s="1" t="str">
        <f>IFERROR(__xludf.DUMMYFUNCTION("""COMPUTED_VALUE"""),"NONOAI")</f>
        <v>NONOAI</v>
      </c>
      <c r="C700" s="119" t="str">
        <f>IFERROR(__xludf.DUMMYFUNCTION("""COMPUTED_VALUE"""),"Comunitário")</f>
        <v>Comunitário</v>
      </c>
      <c r="D700" s="1" t="str">
        <f>IFERROR(__xludf.DUMMYFUNCTION("""COMPUTED_VALUE"""),"LUIZ FERNANDO DE OLIVEIRA")</f>
        <v>LUIZ FERNANDO DE OLIVEIRA</v>
      </c>
      <c r="E700" s="119" t="str">
        <f>IFERROR(__xludf.DUMMYFUNCTION("""COMPUTED_VALUE"""),"Módulo 1 concluído")</f>
        <v>Módulo 1 concluído</v>
      </c>
      <c r="F700" s="1" t="str">
        <f>IFERROR(__xludf.DUMMYFUNCTION("""COMPUTED_VALUE"""),"003.579.230-22")</f>
        <v>003.579.230-22</v>
      </c>
      <c r="G700" s="1">
        <f>IFERROR(__xludf.DUMMYFUNCTION("""COMPUTED_VALUE"""),1073466672)</f>
        <v>1073466672</v>
      </c>
      <c r="H700" s="1" t="str">
        <f>IFERROR(__xludf.DUMMYFUNCTION("""COMPUTED_VALUE"""),"OP")</f>
        <v>OP</v>
      </c>
      <c r="I700" s="1"/>
      <c r="J700" s="1"/>
      <c r="K700" s="1"/>
      <c r="L700" s="1"/>
      <c r="M700" s="1"/>
      <c r="N700" s="121">
        <f>IFERROR(__xludf.DUMMYFUNCTION("""COMPUTED_VALUE"""),30043)</f>
        <v>30043</v>
      </c>
      <c r="O700" s="1" t="str">
        <f>IFERROR(__xludf.DUMMYFUNCTION("""COMPUTED_VALUE"""),"Masculino")</f>
        <v>Masculino</v>
      </c>
      <c r="P700" s="1"/>
      <c r="Q700" s="1"/>
      <c r="R700" s="1"/>
      <c r="S700" s="1"/>
      <c r="T700" s="1"/>
      <c r="U700" s="1"/>
      <c r="V700" s="1"/>
      <c r="W700" s="1"/>
      <c r="X700" s="1"/>
      <c r="Y700" s="1" t="str">
        <f>IFERROR(__xludf.DUMMYFUNCTION("""COMPUTED_VALUE"""),"Nonoai")</f>
        <v>Nonoai</v>
      </c>
      <c r="Z700" s="1"/>
      <c r="AA700" s="1"/>
      <c r="AB700" s="1"/>
      <c r="AC700" s="1"/>
      <c r="AD700" s="1"/>
      <c r="AE700" s="1"/>
      <c r="AF700" s="1"/>
      <c r="AG700" s="1" t="str">
        <f>IFERROR(__xludf.DUMMYFUNCTION("""COMPUTED_VALUE"""),"M")</f>
        <v>M</v>
      </c>
      <c r="AH700" s="1">
        <f>IFERROR(__xludf.DUMMYFUNCTION("""COMPUTED_VALUE"""),39)</f>
        <v>39</v>
      </c>
      <c r="AI700" s="1"/>
      <c r="AJ700" s="1"/>
      <c r="AK700" s="1"/>
      <c r="AL700" s="1" t="str">
        <f>IFERROR(__xludf.DUMMYFUNCTION("""COMPUTED_VALUE"""),"GG")</f>
        <v>GG</v>
      </c>
      <c r="AM700" s="1" t="str">
        <f>IFERROR(__xludf.DUMMYFUNCTION("""COMPUTED_VALUE"""),"GG")</f>
        <v>GG</v>
      </c>
      <c r="AN700" s="1" t="str">
        <f>IFERROR(__xludf.DUMMYFUNCTION("""COMPUTED_VALUE"""),"GG")</f>
        <v>GG</v>
      </c>
    </row>
    <row r="701" customHeight="1" spans="1:40">
      <c r="A701" s="1" t="str">
        <f>IFERROR(__xludf.DUMMYFUNCTION("""COMPUTED_VALUE"""),"07° BBM")</f>
        <v>07° BBM</v>
      </c>
      <c r="B701" s="1" t="str">
        <f>IFERROR(__xludf.DUMMYFUNCTION("""COMPUTED_VALUE"""),"Não-Me-Toque")</f>
        <v>Não-Me-Toque</v>
      </c>
      <c r="C701" s="119" t="str">
        <f>IFERROR(__xludf.DUMMYFUNCTION("""COMPUTED_VALUE"""),"CAB")</f>
        <v>CAB</v>
      </c>
      <c r="D701" s="1" t="str">
        <f>IFERROR(__xludf.DUMMYFUNCTION("""COMPUTED_VALUE"""),"MAGNÓLIA MALLMANN")</f>
        <v>MAGNÓLIA MALLMANN</v>
      </c>
      <c r="E701" s="119" t="str">
        <f>IFERROR(__xludf.DUMMYFUNCTION("""COMPUTED_VALUE"""),"Módulo 1 concluído")</f>
        <v>Módulo 1 concluído</v>
      </c>
      <c r="F701" s="1" t="str">
        <f>IFERROR(__xludf.DUMMYFUNCTION("""COMPUTED_VALUE"""),"937.393.380-91")</f>
        <v>937.393.380-91</v>
      </c>
      <c r="G701" s="1">
        <f>IFERROR(__xludf.DUMMYFUNCTION("""COMPUTED_VALUE"""),4063861092)</f>
        <v>4063861092</v>
      </c>
      <c r="H701" s="1" t="str">
        <f>IFERROR(__xludf.DUMMYFUNCTION("""COMPUTED_VALUE"""),"BOMBEIRA - AFASTADA")</f>
        <v>BOMBEIRA - AFASTADA</v>
      </c>
      <c r="I701" s="1" t="str">
        <f>IFERROR(__xludf.DUMMYFUNCTION("""COMPUTED_VALUE"""),"Brigada de Incêndio/Nivelamento Operacional BV/EPI's e EPRA/Nivelamento Operacional CBMRS")</f>
        <v>Brigada de Incêndio/Nivelamento Operacional BV/EPI's e EPRA/Nivelamento Operacional CBMRS</v>
      </c>
      <c r="J701" s="1" t="str">
        <f>IFERROR(__xludf.DUMMYFUNCTION("""COMPUTED_VALUE"""),"Não")</f>
        <v>Não</v>
      </c>
      <c r="K701" s="1" t="str">
        <f>IFERROR(__xludf.DUMMYFUNCTION("""COMPUTED_VALUE"""),"Não")</f>
        <v>Não</v>
      </c>
      <c r="L701" s="1"/>
      <c r="M701" s="1"/>
      <c r="N701" s="1"/>
      <c r="O701" s="1"/>
      <c r="P701" s="1"/>
      <c r="Q701" s="1"/>
      <c r="R701" s="1"/>
      <c r="S701" s="1"/>
      <c r="T701" s="1"/>
      <c r="U701" s="1"/>
      <c r="V701" s="1"/>
      <c r="W701" s="1"/>
      <c r="X701" s="1" t="str">
        <f>IFERROR(__xludf.DUMMYFUNCTION("""COMPUTED_VALUE"""),"RS")</f>
        <v>RS</v>
      </c>
      <c r="Y701" s="1" t="str">
        <f>IFERROR(__xludf.DUMMYFUNCTION("""COMPUTED_VALUE"""),"Não-Me-Toque")</f>
        <v>Não-Me-Toque</v>
      </c>
      <c r="Z701" s="1" t="str">
        <f>IFERROR(__xludf.DUMMYFUNCTION("""COMPUTED_VALUE"""),"99470-000")</f>
        <v>99470-000</v>
      </c>
      <c r="AA701" s="1"/>
      <c r="AB701" s="1"/>
      <c r="AC701" s="1"/>
      <c r="AD701" s="1"/>
      <c r="AE701" s="1"/>
      <c r="AF701" s="1"/>
      <c r="AG701" s="1" t="str">
        <f>IFERROR(__xludf.DUMMYFUNCTION("""COMPUTED_VALUE"""),"G")</f>
        <v>G</v>
      </c>
      <c r="AH701" s="1">
        <f>IFERROR(__xludf.DUMMYFUNCTION("""COMPUTED_VALUE"""),35)</f>
        <v>35</v>
      </c>
      <c r="AI701" s="1"/>
      <c r="AJ701" s="1"/>
      <c r="AK701" s="1"/>
      <c r="AL701" s="1" t="str">
        <f>IFERROR(__xludf.DUMMYFUNCTION("""COMPUTED_VALUE"""),"G")</f>
        <v>G</v>
      </c>
      <c r="AM701" s="1" t="str">
        <f>IFERROR(__xludf.DUMMYFUNCTION("""COMPUTED_VALUE"""),"G")</f>
        <v>G</v>
      </c>
      <c r="AN701" s="1" t="str">
        <f>IFERROR(__xludf.DUMMYFUNCTION("""COMPUTED_VALUE"""),"M")</f>
        <v>M</v>
      </c>
    </row>
    <row r="702" customHeight="1" spans="1:40">
      <c r="A702" s="1" t="str">
        <f>IFERROR(__xludf.DUMMYFUNCTION("""COMPUTED_VALUE"""),"07° BBM")</f>
        <v>07° BBM</v>
      </c>
      <c r="B702" s="1" t="str">
        <f>IFERROR(__xludf.DUMMYFUNCTION("""COMPUTED_VALUE"""),"Serafina Corrêa")</f>
        <v>Serafina Corrêa</v>
      </c>
      <c r="C702" s="119" t="str">
        <f>IFERROR(__xludf.DUMMYFUNCTION("""COMPUTED_VALUE"""),"CAB")</f>
        <v>CAB</v>
      </c>
      <c r="D702" s="1" t="str">
        <f>IFERROR(__xludf.DUMMYFUNCTION("""COMPUTED_VALUE"""),"MAIARA TRUCOLO")</f>
        <v>MAIARA TRUCOLO</v>
      </c>
      <c r="E702" s="119" t="str">
        <f>IFERROR(__xludf.DUMMYFUNCTION("""COMPUTED_VALUE"""),"Módulo 1 concluído")</f>
        <v>Módulo 1 concluído</v>
      </c>
      <c r="F702" s="1" t="str">
        <f>IFERROR(__xludf.DUMMYFUNCTION("""COMPUTED_VALUE"""),"044.936.200-05")</f>
        <v>044.936.200-05</v>
      </c>
      <c r="G702" s="1">
        <f>IFERROR(__xludf.DUMMYFUNCTION("""COMPUTED_VALUE"""),8126945719)</f>
        <v>8126945719</v>
      </c>
      <c r="H702" s="1" t="str">
        <f>IFERROR(__xludf.DUMMYFUNCTION("""COMPUTED_VALUE"""),"CAB - ALUNO")</f>
        <v>CAB - ALUNO</v>
      </c>
      <c r="I702" s="1" t="str">
        <f>IFERROR(__xludf.DUMMYFUNCTION("""COMPUTED_VALUE"""),"APH / BLS - NR 10 NR 33 NR 35 ")</f>
        <v>APH / BLS - NR 10 NR 33 NR 35 </v>
      </c>
      <c r="J702" s="1" t="str">
        <f>IFERROR(__xludf.DUMMYFUNCTION("""COMPUTED_VALUE"""),"Não")</f>
        <v>Não</v>
      </c>
      <c r="K702" s="1" t="str">
        <f>IFERROR(__xludf.DUMMYFUNCTION("""COMPUTED_VALUE"""),"Não")</f>
        <v>Não</v>
      </c>
      <c r="L702" s="1" t="str">
        <f>IFERROR(__xludf.DUMMYFUNCTION("""COMPUTED_VALUE"""),"O+")</f>
        <v>O+</v>
      </c>
      <c r="M702" s="1" t="str">
        <f>IFERROR(__xludf.DUMMYFUNCTION("""COMPUTED_VALUE"""),"Trucolo")</f>
        <v>Trucolo</v>
      </c>
      <c r="N702" s="120">
        <f>IFERROR(__xludf.DUMMYFUNCTION("""COMPUTED_VALUE"""),34519)</f>
        <v>34519</v>
      </c>
      <c r="O702" s="1" t="str">
        <f>IFERROR(__xludf.DUMMYFUNCTION("""COMPUTED_VALUE"""),"Feminino")</f>
        <v>Feminino</v>
      </c>
      <c r="P702" s="1" t="str">
        <f>IFERROR(__xludf.DUMMYFUNCTION("""COMPUTED_VALUE"""),"Branca")</f>
        <v>Branca</v>
      </c>
      <c r="Q702" s="1" t="str">
        <f>IFERROR(__xludf.DUMMYFUNCTION("""COMPUTED_VALUE"""),"Ensino Superior Completo")</f>
        <v>Ensino Superior Completo</v>
      </c>
      <c r="R702" s="1" t="str">
        <f>IFERROR(__xludf.DUMMYFUNCTION("""COMPUTED_VALUE"""),"maiatrucolo4@gmail.com")</f>
        <v>maiatrucolo4@gmail.com</v>
      </c>
      <c r="S702" s="1">
        <f>IFERROR(__xludf.DUMMYFUNCTION("""COMPUTED_VALUE"""),60)</f>
        <v>60</v>
      </c>
      <c r="T702" s="1" t="str">
        <f>IFERROR(__xludf.DUMMYFUNCTION("""COMPUTED_VALUE"""),"Entre 1,71m e 1,75m")</f>
        <v>Entre 1,71m e 1,75m</v>
      </c>
      <c r="U702" s="1"/>
      <c r="V702" s="1" t="str">
        <f>IFERROR(__xludf.DUMMYFUNCTION("""COMPUTED_VALUE"""),"(54)98153-9294")</f>
        <v>(54)98153-9294</v>
      </c>
      <c r="W702" s="1" t="str">
        <f>IFERROR(__xludf.DUMMYFUNCTION("""COMPUTED_VALUE"""),"(54)3444-1403")</f>
        <v>(54)3444-1403</v>
      </c>
      <c r="X702" s="1" t="str">
        <f>IFERROR(__xludf.DUMMYFUNCTION("""COMPUTED_VALUE"""),"RS")</f>
        <v>RS</v>
      </c>
      <c r="Y702" s="1" t="str">
        <f>IFERROR(__xludf.DUMMYFUNCTION("""COMPUTED_VALUE"""),"Serafina Corrêa")</f>
        <v>Serafina Corrêa</v>
      </c>
      <c r="Z702" s="1" t="str">
        <f>IFERROR(__xludf.DUMMYFUNCTION("""COMPUTED_VALUE"""),"99250-000")</f>
        <v>99250-000</v>
      </c>
      <c r="AA702" s="1" t="str">
        <f>IFERROR(__xludf.DUMMYFUNCTION("""COMPUTED_VALUE"""),"Rua Salete, 1490")</f>
        <v>Rua Salete, 1490</v>
      </c>
      <c r="AB702" s="1" t="str">
        <f>IFERROR(__xludf.DUMMYFUNCTION("""COMPUTED_VALUE"""),"Salete")</f>
        <v>Salete</v>
      </c>
      <c r="AC702" s="1" t="str">
        <f>IFERROR(__xludf.DUMMYFUNCTION("""COMPUTED_VALUE"""),"M")</f>
        <v>M</v>
      </c>
      <c r="AD702" s="1" t="str">
        <f>IFERROR(__xludf.DUMMYFUNCTION("""COMPUTED_VALUE"""),"P")</f>
        <v>P</v>
      </c>
      <c r="AE702" s="1" t="str">
        <f>IFERROR(__xludf.DUMMYFUNCTION("""COMPUTED_VALUE"""),"M")</f>
        <v>M</v>
      </c>
      <c r="AF702" s="1" t="str">
        <f>IFERROR(__xludf.DUMMYFUNCTION("""COMPUTED_VALUE"""),"P")</f>
        <v>P</v>
      </c>
      <c r="AG702" s="1" t="str">
        <f>IFERROR(__xludf.DUMMYFUNCTION("""COMPUTED_VALUE"""),"P")</f>
        <v>P</v>
      </c>
      <c r="AH702" s="1">
        <f>IFERROR(__xludf.DUMMYFUNCTION("""COMPUTED_VALUE"""),39)</f>
        <v>39</v>
      </c>
      <c r="AI702" s="1">
        <f>IFERROR(__xludf.DUMMYFUNCTION("""COMPUTED_VALUE"""),39)</f>
        <v>39</v>
      </c>
      <c r="AJ702" s="1">
        <f>IFERROR(__xludf.DUMMYFUNCTION("""COMPUTED_VALUE"""),39)</f>
        <v>39</v>
      </c>
      <c r="AK702" s="1">
        <f>IFERROR(__xludf.DUMMYFUNCTION("""COMPUTED_VALUE"""),39)</f>
        <v>39</v>
      </c>
      <c r="AL702" s="1" t="str">
        <f>IFERROR(__xludf.DUMMYFUNCTION("""COMPUTED_VALUE"""),"P")</f>
        <v>P</v>
      </c>
      <c r="AM702" s="1" t="str">
        <f>IFERROR(__xludf.DUMMYFUNCTION("""COMPUTED_VALUE"""),"P")</f>
        <v>P</v>
      </c>
      <c r="AN702" s="1" t="str">
        <f>IFERROR(__xludf.DUMMYFUNCTION("""COMPUTED_VALUE"""),"M")</f>
        <v>M</v>
      </c>
    </row>
    <row r="703" customHeight="1" spans="1:40">
      <c r="A703" s="1" t="str">
        <f>IFERROR(__xludf.DUMMYFUNCTION("""COMPUTED_VALUE"""),"07° BBM")</f>
        <v>07° BBM</v>
      </c>
      <c r="B703" s="1" t="str">
        <f>IFERROR(__xludf.DUMMYFUNCTION("""COMPUTED_VALUE"""),"Erval Grande")</f>
        <v>Erval Grande</v>
      </c>
      <c r="C703" s="119" t="str">
        <f>IFERROR(__xludf.DUMMYFUNCTION("""COMPUTED_VALUE"""),"CAB")</f>
        <v>CAB</v>
      </c>
      <c r="D703" s="1" t="str">
        <f>IFERROR(__xludf.DUMMYFUNCTION("""COMPUTED_VALUE"""),"MAICO DE OLIVEIRA")</f>
        <v>MAICO DE OLIVEIRA</v>
      </c>
      <c r="E703" s="119" t="str">
        <f>IFERROR(__xludf.DUMMYFUNCTION("""COMPUTED_VALUE"""),"")</f>
        <v/>
      </c>
      <c r="F703" s="1"/>
      <c r="G703" s="1"/>
      <c r="H703" s="1"/>
      <c r="I703" s="1"/>
      <c r="J703" s="1"/>
      <c r="K703" s="1"/>
      <c r="L703" s="1"/>
      <c r="M703" s="1"/>
      <c r="N703" s="120">
        <f>IFERROR(__xludf.DUMMYFUNCTION("""COMPUTED_VALUE"""),31943)</f>
        <v>31943</v>
      </c>
      <c r="O703" s="1" t="str">
        <f>IFERROR(__xludf.DUMMYFUNCTION("""COMPUTED_VALUE"""),"Masculino")</f>
        <v>Masculino</v>
      </c>
      <c r="P703" s="1"/>
      <c r="Q703" s="1"/>
      <c r="R703" s="1"/>
      <c r="S703" s="1"/>
      <c r="T703" s="1"/>
      <c r="U703" s="1"/>
      <c r="V703" s="1"/>
      <c r="W703" s="1"/>
      <c r="X703" s="1"/>
      <c r="Y703" s="1"/>
      <c r="Z703" s="1"/>
      <c r="AA703" s="1"/>
      <c r="AB703" s="1"/>
      <c r="AC703" s="1"/>
      <c r="AD703" s="1"/>
      <c r="AE703" s="1"/>
      <c r="AF703" s="1"/>
      <c r="AG703" s="1" t="str">
        <f>IFERROR(__xludf.DUMMYFUNCTION("""COMPUTED_VALUE"""),"M")</f>
        <v>M</v>
      </c>
      <c r="AH703" s="1">
        <f>IFERROR(__xludf.DUMMYFUNCTION("""COMPUTED_VALUE"""),41)</f>
        <v>41</v>
      </c>
      <c r="AI703" s="1"/>
      <c r="AJ703" s="1"/>
      <c r="AK703" s="1"/>
      <c r="AL703" s="1" t="str">
        <f>IFERROR(__xludf.DUMMYFUNCTION("""COMPUTED_VALUE"""),"G")</f>
        <v>G</v>
      </c>
      <c r="AM703" s="1" t="str">
        <f>IFERROR(__xludf.DUMMYFUNCTION("""COMPUTED_VALUE"""),"G")</f>
        <v>G</v>
      </c>
      <c r="AN703" s="1" t="str">
        <f>IFERROR(__xludf.DUMMYFUNCTION("""COMPUTED_VALUE"""),"G")</f>
        <v>G</v>
      </c>
    </row>
    <row r="704" customHeight="1" spans="1:40">
      <c r="A704" s="1" t="str">
        <f>IFERROR(__xludf.DUMMYFUNCTION("""COMPUTED_VALUE"""),"07° BBM")</f>
        <v>07° BBM</v>
      </c>
      <c r="B704" s="1" t="str">
        <f>IFERROR(__xludf.DUMMYFUNCTION("""COMPUTED_VALUE"""),"Barão de Cotegipe")</f>
        <v>Barão de Cotegipe</v>
      </c>
      <c r="C704" s="119" t="str">
        <f>IFERROR(__xludf.DUMMYFUNCTION("""COMPUTED_VALUE"""),"CAB")</f>
        <v>CAB</v>
      </c>
      <c r="D704" s="1" t="str">
        <f>IFERROR(__xludf.DUMMYFUNCTION("""COMPUTED_VALUE"""),"MARCELO DE OLIVEIRA")</f>
        <v>MARCELO DE OLIVEIRA</v>
      </c>
      <c r="E704" s="119" t="str">
        <f>IFERROR(__xludf.DUMMYFUNCTION("""COMPUTED_VALUE"""),"Módulo 1 concluído")</f>
        <v>Módulo 1 concluído</v>
      </c>
      <c r="F704" s="1" t="str">
        <f>IFERROR(__xludf.DUMMYFUNCTION("""COMPUTED_VALUE"""),"102.936.598-93")</f>
        <v>102.936.598-93</v>
      </c>
      <c r="G704" s="1">
        <f>IFERROR(__xludf.DUMMYFUNCTION("""COMPUTED_VALUE"""),7133492186)</f>
        <v>7133492186</v>
      </c>
      <c r="H704" s="1" t="str">
        <f>IFERROR(__xludf.DUMMYFUNCTION("""COMPUTED_VALUE"""),"Combatente")</f>
        <v>Combatente</v>
      </c>
      <c r="I704" s="1" t="str">
        <f>IFERROR(__xludf.DUMMYFUNCTION("""COMPUTED_VALUE"""),"APH/BLS.RCP/DEA NIVEL2 ,N35,NR33,TREINAMENTO APH CBM.")</f>
        <v>APH/BLS.RCP/DEA NIVEL2 ,N35,NR33,TREINAMENTO APH CBM.</v>
      </c>
      <c r="J704" s="1" t="str">
        <f>IFERROR(__xludf.DUMMYFUNCTION("""COMPUTED_VALUE"""),"Sim")</f>
        <v>Sim</v>
      </c>
      <c r="K704" s="1" t="str">
        <f>IFERROR(__xludf.DUMMYFUNCTION("""COMPUTED_VALUE"""),"Sim")</f>
        <v>Sim</v>
      </c>
      <c r="L704" s="1" t="str">
        <f>IFERROR(__xludf.DUMMYFUNCTION("""COMPUTED_VALUE"""),"A+")</f>
        <v>A+</v>
      </c>
      <c r="M704" s="1" t="str">
        <f>IFERROR(__xludf.DUMMYFUNCTION("""COMPUTED_VALUE"""),"MARCELO")</f>
        <v>MARCELO</v>
      </c>
      <c r="N704" s="121">
        <f>IFERROR(__xludf.DUMMYFUNCTION("""COMPUTED_VALUE"""),35384)</f>
        <v>35384</v>
      </c>
      <c r="O704" s="1" t="str">
        <f>IFERROR(__xludf.DUMMYFUNCTION("""COMPUTED_VALUE"""),"M")</f>
        <v>M</v>
      </c>
      <c r="P704" s="1" t="str">
        <f>IFERROR(__xludf.DUMMYFUNCTION("""COMPUTED_VALUE"""),"BRANCO")</f>
        <v>BRANCO</v>
      </c>
      <c r="Q704" s="1" t="str">
        <f>IFERROR(__xludf.DUMMYFUNCTION("""COMPUTED_VALUE"""),"ENSINO MEDIO COMPLETO")</f>
        <v>ENSINO MEDIO COMPLETO</v>
      </c>
      <c r="R704" s="1" t="str">
        <f>IFERROR(__xludf.DUMMYFUNCTION("""COMPUTED_VALUE"""),"marcelomiercoles133@gmail")</f>
        <v>marcelomiercoles133@gmail</v>
      </c>
      <c r="S704" s="1">
        <f>IFERROR(__xludf.DUMMYFUNCTION("""COMPUTED_VALUE"""),87)</f>
        <v>87</v>
      </c>
      <c r="T704" s="1">
        <f>IFERROR(__xludf.DUMMYFUNCTION("""COMPUTED_VALUE"""),1.82)</f>
        <v>1.82</v>
      </c>
      <c r="U704" s="1"/>
      <c r="V704" s="1" t="str">
        <f>IFERROR(__xludf.DUMMYFUNCTION("""COMPUTED_VALUE"""),"(54) 991253197")</f>
        <v>(54) 991253197</v>
      </c>
      <c r="W704" s="1" t="str">
        <f>IFERROR(__xludf.DUMMYFUNCTION("""COMPUTED_VALUE"""),"(54) 991075461")</f>
        <v>(54) 991075461</v>
      </c>
      <c r="X704" s="1" t="str">
        <f>IFERROR(__xludf.DUMMYFUNCTION("""COMPUTED_VALUE"""),"RS")</f>
        <v>RS</v>
      </c>
      <c r="Y704" s="1" t="str">
        <f>IFERROR(__xludf.DUMMYFUNCTION("""COMPUTED_VALUE"""),"ERECHIM")</f>
        <v>ERECHIM</v>
      </c>
      <c r="Z704" s="1" t="str">
        <f>IFERROR(__xludf.DUMMYFUNCTION("""COMPUTED_VALUE"""),"99700-220")</f>
        <v>99700-220</v>
      </c>
      <c r="AA704" s="1" t="str">
        <f>IFERROR(__xludf.DUMMYFUNCTION("""COMPUTED_VALUE"""),"RUA JÃO PESSOA 81/77")</f>
        <v>RUA JÃO PESSOA 81/77</v>
      </c>
      <c r="AB704" s="1" t="str">
        <f>IFERROR(__xludf.DUMMYFUNCTION("""COMPUTED_VALUE"""),"CENTRO")</f>
        <v>CENTRO</v>
      </c>
      <c r="AC704" s="1" t="str">
        <f>IFERROR(__xludf.DUMMYFUNCTION("""COMPUTED_VALUE"""),"GG")</f>
        <v>GG</v>
      </c>
      <c r="AD704" s="1" t="str">
        <f>IFERROR(__xludf.DUMMYFUNCTION("""COMPUTED_VALUE"""),"G")</f>
        <v>G</v>
      </c>
      <c r="AE704" s="1" t="str">
        <f>IFERROR(__xludf.DUMMYFUNCTION("""COMPUTED_VALUE"""),"G")</f>
        <v>G</v>
      </c>
      <c r="AF704" s="1" t="str">
        <f>IFERROR(__xludf.DUMMYFUNCTION("""COMPUTED_VALUE"""),"G")</f>
        <v>G</v>
      </c>
      <c r="AG704" s="1" t="str">
        <f>IFERROR(__xludf.DUMMYFUNCTION("""COMPUTED_VALUE"""),"G")</f>
        <v>G</v>
      </c>
      <c r="AH704" s="1" t="str">
        <f>IFERROR(__xludf.DUMMYFUNCTION("""COMPUTED_VALUE"""),"GG")</f>
        <v>GG</v>
      </c>
      <c r="AI704" s="1">
        <f>IFERROR(__xludf.DUMMYFUNCTION("""COMPUTED_VALUE"""),41)</f>
        <v>41</v>
      </c>
      <c r="AJ704" s="1">
        <f>IFERROR(__xludf.DUMMYFUNCTION("""COMPUTED_VALUE"""),41)</f>
        <v>41</v>
      </c>
      <c r="AK704" s="1">
        <f>IFERROR(__xludf.DUMMYFUNCTION("""COMPUTED_VALUE"""),41)</f>
        <v>41</v>
      </c>
      <c r="AL704" s="1">
        <f>IFERROR(__xludf.DUMMYFUNCTION("""COMPUTED_VALUE"""),41)</f>
        <v>41</v>
      </c>
      <c r="AM704" s="1" t="str">
        <f>IFERROR(__xludf.DUMMYFUNCTION("""COMPUTED_VALUE"""),"G")</f>
        <v>G</v>
      </c>
      <c r="AN704" s="1">
        <f>IFERROR(__xludf.DUMMYFUNCTION("""COMPUTED_VALUE"""),54)</f>
        <v>54</v>
      </c>
    </row>
    <row r="705" customHeight="1" spans="1:40">
      <c r="A705" s="1" t="str">
        <f>IFERROR(__xludf.DUMMYFUNCTION("""COMPUTED_VALUE"""),"07° BBM")</f>
        <v>07° BBM</v>
      </c>
      <c r="B705" s="1" t="str">
        <f>IFERROR(__xludf.DUMMYFUNCTION("""COMPUTED_VALUE"""),"Erval Grande")</f>
        <v>Erval Grande</v>
      </c>
      <c r="C705" s="119" t="str">
        <f>IFERROR(__xludf.DUMMYFUNCTION("""COMPUTED_VALUE"""),"CAB")</f>
        <v>CAB</v>
      </c>
      <c r="D705" s="1" t="str">
        <f>IFERROR(__xludf.DUMMYFUNCTION("""COMPUTED_VALUE"""),"MARCELO ELIAS ROMANOSKI")</f>
        <v>MARCELO ELIAS ROMANOSKI</v>
      </c>
      <c r="E705" s="119" t="str">
        <f>IFERROR(__xludf.DUMMYFUNCTION("""COMPUTED_VALUE"""),"")</f>
        <v/>
      </c>
      <c r="F705" s="1"/>
      <c r="G705" s="1"/>
      <c r="H705" s="1"/>
      <c r="I705" s="1"/>
      <c r="J705" s="1"/>
      <c r="K705" s="1"/>
      <c r="L705" s="1"/>
      <c r="M705" s="1"/>
      <c r="N705" s="120">
        <f>IFERROR(__xludf.DUMMYFUNCTION("""COMPUTED_VALUE"""),35216)</f>
        <v>35216</v>
      </c>
      <c r="O705" s="1" t="str">
        <f>IFERROR(__xludf.DUMMYFUNCTION("""COMPUTED_VALUE"""),"Masculino")</f>
        <v>Masculino</v>
      </c>
      <c r="P705" s="1"/>
      <c r="Q705" s="1"/>
      <c r="R705" s="1"/>
      <c r="S705" s="1"/>
      <c r="T705" s="1"/>
      <c r="U705" s="1"/>
      <c r="V705" s="1"/>
      <c r="W705" s="1"/>
      <c r="X705" s="1"/>
      <c r="Y705" s="1"/>
      <c r="Z705" s="1"/>
      <c r="AA705" s="1"/>
      <c r="AB705" s="1"/>
      <c r="AC705" s="1"/>
      <c r="AD705" s="1"/>
      <c r="AE705" s="1"/>
      <c r="AF705" s="1"/>
      <c r="AG705" s="1" t="str">
        <f>IFERROR(__xludf.DUMMYFUNCTION("""COMPUTED_VALUE"""),"M")</f>
        <v>M</v>
      </c>
      <c r="AH705" s="1">
        <f>IFERROR(__xludf.DUMMYFUNCTION("""COMPUTED_VALUE"""),40)</f>
        <v>40</v>
      </c>
      <c r="AI705" s="1"/>
      <c r="AJ705" s="1"/>
      <c r="AK705" s="1"/>
      <c r="AL705" s="1" t="str">
        <f>IFERROR(__xludf.DUMMYFUNCTION("""COMPUTED_VALUE"""),"M")</f>
        <v>M</v>
      </c>
      <c r="AM705" s="1" t="str">
        <f>IFERROR(__xludf.DUMMYFUNCTION("""COMPUTED_VALUE"""),"M")</f>
        <v>M</v>
      </c>
      <c r="AN705" s="1" t="str">
        <f>IFERROR(__xludf.DUMMYFUNCTION("""COMPUTED_VALUE"""),"M")</f>
        <v>M</v>
      </c>
    </row>
    <row r="706" customHeight="1" spans="1:40">
      <c r="A706" s="1" t="str">
        <f>IFERROR(__xludf.DUMMYFUNCTION("""COMPUTED_VALUE"""),"07° BBM")</f>
        <v>07° BBM</v>
      </c>
      <c r="B706" s="1" t="str">
        <f>IFERROR(__xludf.DUMMYFUNCTION("""COMPUTED_VALUE"""),"Serafina Corrêa")</f>
        <v>Serafina Corrêa</v>
      </c>
      <c r="C706" s="119" t="str">
        <f>IFERROR(__xludf.DUMMYFUNCTION("""COMPUTED_VALUE"""),"CAB")</f>
        <v>CAB</v>
      </c>
      <c r="D706" s="1" t="str">
        <f>IFERROR(__xludf.DUMMYFUNCTION("""COMPUTED_VALUE"""),"MARCELO PALOSCHI")</f>
        <v>MARCELO PALOSCHI</v>
      </c>
      <c r="E706" s="119" t="str">
        <f>IFERROR(__xludf.DUMMYFUNCTION("""COMPUTED_VALUE"""),"Módulo 1 concluído")</f>
        <v>Módulo 1 concluído</v>
      </c>
      <c r="F706" s="1" t="str">
        <f>IFERROR(__xludf.DUMMYFUNCTION("""COMPUTED_VALUE"""),"687.953.860-68")</f>
        <v>687.953.860-68</v>
      </c>
      <c r="G706" s="1">
        <f>IFERROR(__xludf.DUMMYFUNCTION("""COMPUTED_VALUE"""),5043174423)</f>
        <v>5043174423</v>
      </c>
      <c r="H706" s="1" t="str">
        <f>IFERROR(__xludf.DUMMYFUNCTION("""COMPUTED_VALUE"""),"CAB - ALUNO")</f>
        <v>CAB - ALUNO</v>
      </c>
      <c r="I706" s="1" t="str">
        <f>IFERROR(__xludf.DUMMYFUNCTION("""COMPUTED_VALUE"""),"APH / BLS - NR 10 NR 33 NR 35 ")</f>
        <v>APH / BLS - NR 10 NR 33 NR 35 </v>
      </c>
      <c r="J706" s="1" t="str">
        <f>IFERROR(__xludf.DUMMYFUNCTION("""COMPUTED_VALUE"""),"Não")</f>
        <v>Não</v>
      </c>
      <c r="K706" s="1" t="str">
        <f>IFERROR(__xludf.DUMMYFUNCTION("""COMPUTED_VALUE"""),"Não")</f>
        <v>Não</v>
      </c>
      <c r="L706" s="1" t="str">
        <f>IFERROR(__xludf.DUMMYFUNCTION("""COMPUTED_VALUE"""),"A-")</f>
        <v>A-</v>
      </c>
      <c r="M706" s="1" t="str">
        <f>IFERROR(__xludf.DUMMYFUNCTION("""COMPUTED_VALUE"""),"Paloschi")</f>
        <v>Paloschi</v>
      </c>
      <c r="N706" s="120">
        <f>IFERROR(__xludf.DUMMYFUNCTION("""COMPUTED_VALUE"""),28131)</f>
        <v>28131</v>
      </c>
      <c r="O706" s="1" t="str">
        <f>IFERROR(__xludf.DUMMYFUNCTION("""COMPUTED_VALUE"""),"Masculino")</f>
        <v>Masculino</v>
      </c>
      <c r="P706" s="1" t="str">
        <f>IFERROR(__xludf.DUMMYFUNCTION("""COMPUTED_VALUE"""),"Branca")</f>
        <v>Branca</v>
      </c>
      <c r="Q706" s="1" t="str">
        <f>IFERROR(__xludf.DUMMYFUNCTION("""COMPUTED_VALUE"""),"Ensino Superior Completo")</f>
        <v>Ensino Superior Completo</v>
      </c>
      <c r="R706" s="1" t="str">
        <f>IFERROR(__xludf.DUMMYFUNCTION("""COMPUTED_VALUE"""),"marcelopaloschi9@yahoo.com.br")</f>
        <v>marcelopaloschi9@yahoo.com.br</v>
      </c>
      <c r="S706" s="1">
        <f>IFERROR(__xludf.DUMMYFUNCTION("""COMPUTED_VALUE"""),86)</f>
        <v>86</v>
      </c>
      <c r="T706" s="1" t="str">
        <f>IFERROR(__xludf.DUMMYFUNCTION("""COMPUTED_VALUE"""),"Entre 1,81m e 1,85m")</f>
        <v>Entre 1,81m e 1,85m</v>
      </c>
      <c r="U706" s="1"/>
      <c r="V706" s="1" t="str">
        <f>IFERROR(__xludf.DUMMYFUNCTION("""COMPUTED_VALUE"""),"(54)99674-3155")</f>
        <v>(54)99674-3155</v>
      </c>
      <c r="W706" s="1" t="str">
        <f>IFERROR(__xludf.DUMMYFUNCTION("""COMPUTED_VALUE"""),"(54)99951-0435")</f>
        <v>(54)99951-0435</v>
      </c>
      <c r="X706" s="1" t="str">
        <f>IFERROR(__xludf.DUMMYFUNCTION("""COMPUTED_VALUE"""),"RS")</f>
        <v>RS</v>
      </c>
      <c r="Y706" s="1" t="str">
        <f>IFERROR(__xludf.DUMMYFUNCTION("""COMPUTED_VALUE"""),"Serafina Corrêa")</f>
        <v>Serafina Corrêa</v>
      </c>
      <c r="Z706" s="1" t="str">
        <f>IFERROR(__xludf.DUMMYFUNCTION("""COMPUTED_VALUE"""),"99250-000")</f>
        <v>99250-000</v>
      </c>
      <c r="AA706" s="1" t="str">
        <f>IFERROR(__xludf.DUMMYFUNCTION("""COMPUTED_VALUE"""),"Rua Montauri , 132")</f>
        <v>Rua Montauri , 132</v>
      </c>
      <c r="AB706" s="1" t="str">
        <f>IFERROR(__xludf.DUMMYFUNCTION("""COMPUTED_VALUE"""),"Gramadinho")</f>
        <v>Gramadinho</v>
      </c>
      <c r="AC706" s="1" t="str">
        <f>IFERROR(__xludf.DUMMYFUNCTION("""COMPUTED_VALUE"""),"G")</f>
        <v>G</v>
      </c>
      <c r="AD706" s="1" t="str">
        <f>IFERROR(__xludf.DUMMYFUNCTION("""COMPUTED_VALUE"""),"G")</f>
        <v>G</v>
      </c>
      <c r="AE706" s="1" t="str">
        <f>IFERROR(__xludf.DUMMYFUNCTION("""COMPUTED_VALUE"""),"G")</f>
        <v>G</v>
      </c>
      <c r="AF706" s="1" t="str">
        <f>IFERROR(__xludf.DUMMYFUNCTION("""COMPUTED_VALUE"""),"G")</f>
        <v>G</v>
      </c>
      <c r="AG706" s="1" t="str">
        <f>IFERROR(__xludf.DUMMYFUNCTION("""COMPUTED_VALUE"""),"G")</f>
        <v>G</v>
      </c>
      <c r="AH706" s="1">
        <f>IFERROR(__xludf.DUMMYFUNCTION("""COMPUTED_VALUE"""),42)</f>
        <v>42</v>
      </c>
      <c r="AI706" s="1">
        <f>IFERROR(__xludf.DUMMYFUNCTION("""COMPUTED_VALUE"""),42)</f>
        <v>42</v>
      </c>
      <c r="AJ706" s="1">
        <f>IFERROR(__xludf.DUMMYFUNCTION("""COMPUTED_VALUE"""),42)</f>
        <v>42</v>
      </c>
      <c r="AK706" s="1">
        <f>IFERROR(__xludf.DUMMYFUNCTION("""COMPUTED_VALUE"""),42)</f>
        <v>42</v>
      </c>
      <c r="AL706" s="1" t="str">
        <f>IFERROR(__xludf.DUMMYFUNCTION("""COMPUTED_VALUE"""),"G")</f>
        <v>G</v>
      </c>
      <c r="AM706" s="1" t="str">
        <f>IFERROR(__xludf.DUMMYFUNCTION("""COMPUTED_VALUE"""),"G")</f>
        <v>G</v>
      </c>
      <c r="AN706" s="1" t="str">
        <f>IFERROR(__xludf.DUMMYFUNCTION("""COMPUTED_VALUE"""),"G")</f>
        <v>G</v>
      </c>
    </row>
    <row r="707" customHeight="1" spans="1:40">
      <c r="A707" s="1" t="str">
        <f>IFERROR(__xludf.DUMMYFUNCTION("""COMPUTED_VALUE"""),"07° BBM")</f>
        <v>07° BBM</v>
      </c>
      <c r="B707" s="1" t="str">
        <f>IFERROR(__xludf.DUMMYFUNCTION("""COMPUTED_VALUE"""),"TAPERA")</f>
        <v>TAPERA</v>
      </c>
      <c r="C707" s="119" t="str">
        <f>IFERROR(__xludf.DUMMYFUNCTION("""COMPUTED_VALUE"""),"Comunitário")</f>
        <v>Comunitário</v>
      </c>
      <c r="D707" s="1" t="str">
        <f>IFERROR(__xludf.DUMMYFUNCTION("""COMPUTED_VALUE"""),"MARCELO SARAIVA DO NASCIMENTO")</f>
        <v>MARCELO SARAIVA DO NASCIMENTO</v>
      </c>
      <c r="E707" s="119" t="str">
        <f>IFERROR(__xludf.DUMMYFUNCTION("""COMPUTED_VALUE"""),"")</f>
        <v/>
      </c>
      <c r="F707" s="1">
        <f>IFERROR(__xludf.DUMMYFUNCTION("""COMPUTED_VALUE"""),99005492015)</f>
        <v>99005492015</v>
      </c>
      <c r="G707" s="1">
        <f>IFERROR(__xludf.DUMMYFUNCTION("""COMPUTED_VALUE"""),4078913839)</f>
        <v>4078913839</v>
      </c>
      <c r="H707" s="1" t="str">
        <f>IFERROR(__xludf.DUMMYFUNCTION("""COMPUTED_VALUE"""),"OP")</f>
        <v>OP</v>
      </c>
      <c r="I707" s="1"/>
      <c r="J707" s="1"/>
      <c r="K707" s="1"/>
      <c r="L707" s="1"/>
      <c r="M707" s="1"/>
      <c r="N707" s="121">
        <f>IFERROR(__xludf.DUMMYFUNCTION("""COMPUTED_VALUE"""),30168)</f>
        <v>30168</v>
      </c>
      <c r="O707" s="1" t="str">
        <f>IFERROR(__xludf.DUMMYFUNCTION("""COMPUTED_VALUE"""),"Masculino")</f>
        <v>Masculino</v>
      </c>
      <c r="P707" s="1"/>
      <c r="Q707" s="1"/>
      <c r="R707" s="1"/>
      <c r="S707" s="1"/>
      <c r="T707" s="1"/>
      <c r="U707" s="1"/>
      <c r="V707" s="1"/>
      <c r="W707" s="1"/>
      <c r="X707" s="1"/>
      <c r="Y707" s="1" t="str">
        <f>IFERROR(__xludf.DUMMYFUNCTION("""COMPUTED_VALUE"""),"Tapera")</f>
        <v>Tapera</v>
      </c>
      <c r="Z707" s="1"/>
      <c r="AA707" s="1"/>
      <c r="AB707" s="1"/>
      <c r="AC707" s="1"/>
      <c r="AD707" s="1"/>
      <c r="AE707" s="1"/>
      <c r="AF707" s="1"/>
      <c r="AG707" s="1" t="str">
        <f>IFERROR(__xludf.DUMMYFUNCTION("""COMPUTED_VALUE"""),"GG")</f>
        <v>GG</v>
      </c>
      <c r="AH707" s="1">
        <f>IFERROR(__xludf.DUMMYFUNCTION("""COMPUTED_VALUE"""),43)</f>
        <v>43</v>
      </c>
      <c r="AI707" s="1"/>
      <c r="AJ707" s="1"/>
      <c r="AK707" s="1"/>
      <c r="AL707" s="1" t="str">
        <f>IFERROR(__xludf.DUMMYFUNCTION("""COMPUTED_VALUE"""),"GG")</f>
        <v>GG</v>
      </c>
      <c r="AM707" s="1" t="str">
        <f>IFERROR(__xludf.DUMMYFUNCTION("""COMPUTED_VALUE"""),"GG")</f>
        <v>GG</v>
      </c>
      <c r="AN707" s="1" t="str">
        <f>IFERROR(__xludf.DUMMYFUNCTION("""COMPUTED_VALUE"""),"GG")</f>
        <v>GG</v>
      </c>
    </row>
    <row r="708" customHeight="1" spans="1:40">
      <c r="A708" s="1" t="str">
        <f>IFERROR(__xludf.DUMMYFUNCTION("""COMPUTED_VALUE"""),"07° BBM")</f>
        <v>07° BBM</v>
      </c>
      <c r="B708" s="1" t="str">
        <f>IFERROR(__xludf.DUMMYFUNCTION("""COMPUTED_VALUE"""),"TAPERA")</f>
        <v>TAPERA</v>
      </c>
      <c r="C708" s="119" t="str">
        <f>IFERROR(__xludf.DUMMYFUNCTION("""COMPUTED_VALUE"""),"Comunitário")</f>
        <v>Comunitário</v>
      </c>
      <c r="D708" s="1" t="str">
        <f>IFERROR(__xludf.DUMMYFUNCTION("""COMPUTED_VALUE"""),"MARCIA CRISTINA DE ANDRADE")</f>
        <v>MARCIA CRISTINA DE ANDRADE</v>
      </c>
      <c r="E708" s="119" t="str">
        <f>IFERROR(__xludf.DUMMYFUNCTION("""COMPUTED_VALUE"""),"")</f>
        <v/>
      </c>
      <c r="F708" s="1">
        <f>IFERROR(__xludf.DUMMYFUNCTION("""COMPUTED_VALUE"""),2985832080)</f>
        <v>2985832080</v>
      </c>
      <c r="G708" s="1">
        <f>IFERROR(__xludf.DUMMYFUNCTION("""COMPUTED_VALUE"""),8105958741)</f>
        <v>8105958741</v>
      </c>
      <c r="H708" s="1" t="str">
        <f>IFERROR(__xludf.DUMMYFUNCTION("""COMPUTED_VALUE"""),"OP")</f>
        <v>OP</v>
      </c>
      <c r="I708" s="1"/>
      <c r="J708" s="1"/>
      <c r="K708" s="1"/>
      <c r="L708" s="1"/>
      <c r="M708" s="1"/>
      <c r="N708" s="121">
        <f>IFERROR(__xludf.DUMMYFUNCTION("""COMPUTED_VALUE"""),34069)</f>
        <v>34069</v>
      </c>
      <c r="O708" s="1" t="str">
        <f>IFERROR(__xludf.DUMMYFUNCTION("""COMPUTED_VALUE"""),"Feminino")</f>
        <v>Feminino</v>
      </c>
      <c r="P708" s="1"/>
      <c r="Q708" s="1"/>
      <c r="R708" s="1"/>
      <c r="S708" s="1"/>
      <c r="T708" s="1"/>
      <c r="U708" s="1"/>
      <c r="V708" s="1"/>
      <c r="W708" s="1"/>
      <c r="X708" s="1"/>
      <c r="Y708" s="1" t="str">
        <f>IFERROR(__xludf.DUMMYFUNCTION("""COMPUTED_VALUE"""),"Tapera")</f>
        <v>Tapera</v>
      </c>
      <c r="Z708" s="1"/>
      <c r="AA708" s="1"/>
      <c r="AB708" s="1"/>
      <c r="AC708" s="1"/>
      <c r="AD708" s="1"/>
      <c r="AE708" s="1"/>
      <c r="AF708" s="1"/>
      <c r="AG708" s="1" t="str">
        <f>IFERROR(__xludf.DUMMYFUNCTION("""COMPUTED_VALUE"""),"M")</f>
        <v>M</v>
      </c>
      <c r="AH708" s="1">
        <f>IFERROR(__xludf.DUMMYFUNCTION("""COMPUTED_VALUE"""),38)</f>
        <v>38</v>
      </c>
      <c r="AI708" s="1"/>
      <c r="AJ708" s="1"/>
      <c r="AK708" s="1"/>
      <c r="AL708" s="1" t="str">
        <f>IFERROR(__xludf.DUMMYFUNCTION("""COMPUTED_VALUE"""),"M")</f>
        <v>M</v>
      </c>
      <c r="AM708" s="1" t="str">
        <f>IFERROR(__xludf.DUMMYFUNCTION("""COMPUTED_VALUE"""),"M")</f>
        <v>M</v>
      </c>
      <c r="AN708" s="1" t="str">
        <f>IFERROR(__xludf.DUMMYFUNCTION("""COMPUTED_VALUE"""),"M")</f>
        <v>M</v>
      </c>
    </row>
    <row r="709" customHeight="1" spans="1:40">
      <c r="A709" s="1" t="str">
        <f>IFERROR(__xludf.DUMMYFUNCTION("""COMPUTED_VALUE"""),"07° BBM")</f>
        <v>07° BBM</v>
      </c>
      <c r="B709" s="1" t="str">
        <f>IFERROR(__xludf.DUMMYFUNCTION("""COMPUTED_VALUE"""),"Mormaço")</f>
        <v>Mormaço</v>
      </c>
      <c r="C709" s="119" t="str">
        <f>IFERROR(__xludf.DUMMYFUNCTION("""COMPUTED_VALUE"""),"CAB")</f>
        <v>CAB</v>
      </c>
      <c r="D709" s="1" t="str">
        <f>IFERROR(__xludf.DUMMYFUNCTION("""COMPUTED_VALUE"""),"MARCOS BOHRER")</f>
        <v>MARCOS BOHRER</v>
      </c>
      <c r="E709" s="119" t="str">
        <f>IFERROR(__xludf.DUMMYFUNCTION("""COMPUTED_VALUE"""),"Módulo 1 concluído")</f>
        <v>Módulo 1 concluído</v>
      </c>
      <c r="F709" s="1" t="str">
        <f>IFERROR(__xludf.DUMMYFUNCTION("""COMPUTED_VALUE"""),"000.501.880.38")</f>
        <v>000.501.880.38</v>
      </c>
      <c r="G709" s="1"/>
      <c r="H709" s="1"/>
      <c r="I709" s="1"/>
      <c r="J709" s="1"/>
      <c r="K709" s="1"/>
      <c r="L709" s="1"/>
      <c r="M709" s="1"/>
      <c r="N709" s="120"/>
      <c r="O709" s="1"/>
      <c r="P709" s="1"/>
      <c r="Q709" s="1"/>
      <c r="R709" s="1" t="str">
        <f>IFERROR(__xludf.DUMMYFUNCTION("""COMPUTED_VALUE"""),"marcosb.2025@gmail.com")</f>
        <v>marcosb.2025@gmail.com</v>
      </c>
      <c r="S709" s="1"/>
      <c r="T709" s="1"/>
      <c r="U709" s="1"/>
      <c r="V709" s="1"/>
      <c r="W709" s="1"/>
      <c r="X709" s="1"/>
      <c r="Y709" s="1"/>
      <c r="Z709" s="1"/>
      <c r="AA709" s="1"/>
      <c r="AB709" s="1"/>
      <c r="AC709" s="1"/>
      <c r="AD709" s="1"/>
      <c r="AE709" s="1"/>
      <c r="AF709" s="1"/>
      <c r="AG709" s="1" t="str">
        <f>IFERROR(__xludf.DUMMYFUNCTION("""COMPUTED_VALUE"""),"M")</f>
        <v>M</v>
      </c>
      <c r="AH709" s="1">
        <f>IFERROR(__xludf.DUMMYFUNCTION("""COMPUTED_VALUE"""),41)</f>
        <v>41</v>
      </c>
      <c r="AI709" s="1"/>
      <c r="AJ709" s="1"/>
      <c r="AK709" s="1"/>
      <c r="AL709" s="1" t="str">
        <f>IFERROR(__xludf.DUMMYFUNCTION("""COMPUTED_VALUE"""),"M")</f>
        <v>M</v>
      </c>
      <c r="AM709" s="1" t="str">
        <f>IFERROR(__xludf.DUMMYFUNCTION("""COMPUTED_VALUE"""),"M")</f>
        <v>M</v>
      </c>
      <c r="AN709" s="1" t="str">
        <f>IFERROR(__xludf.DUMMYFUNCTION("""COMPUTED_VALUE"""),"M")</f>
        <v>M</v>
      </c>
    </row>
    <row r="710" customHeight="1" spans="1:40">
      <c r="A710" s="1" t="str">
        <f>IFERROR(__xludf.DUMMYFUNCTION("""COMPUTED_VALUE"""),"07° BBM")</f>
        <v>07° BBM</v>
      </c>
      <c r="B710" s="1" t="str">
        <f>IFERROR(__xludf.DUMMYFUNCTION("""COMPUTED_VALUE"""),"Serafina Corrêa")</f>
        <v>Serafina Corrêa</v>
      </c>
      <c r="C710" s="119" t="str">
        <f>IFERROR(__xludf.DUMMYFUNCTION("""COMPUTED_VALUE"""),"CAB")</f>
        <v>CAB</v>
      </c>
      <c r="D710" s="1" t="str">
        <f>IFERROR(__xludf.DUMMYFUNCTION("""COMPUTED_VALUE"""),"MARCOS LENO LORENA")</f>
        <v>MARCOS LENO LORENA</v>
      </c>
      <c r="E710" s="119" t="str">
        <f>IFERROR(__xludf.DUMMYFUNCTION("""COMPUTED_VALUE"""),"Módulo 1 concluído")</f>
        <v>Módulo 1 concluído</v>
      </c>
      <c r="F710" s="1" t="str">
        <f>IFERROR(__xludf.DUMMYFUNCTION("""COMPUTED_VALUE"""),"654.297.610-87")</f>
        <v>654.297.610-87</v>
      </c>
      <c r="G710" s="1">
        <f>IFERROR(__xludf.DUMMYFUNCTION("""COMPUTED_VALUE"""),7043172472)</f>
        <v>7043172472</v>
      </c>
      <c r="H710" s="1" t="str">
        <f>IFERROR(__xludf.DUMMYFUNCTION("""COMPUTED_VALUE"""),"CAB CHEFE DE SOCORRO")</f>
        <v>CAB CHEFE DE SOCORRO</v>
      </c>
      <c r="I710" s="1" t="str">
        <f>IFERROR(__xludf.DUMMYFUNCTION("""COMPUTED_VALUE"""),"Bombeiro Civil Classe I - 306 HORAS CEVTE - Condutor de veiculo de emergencia - SEST/SENAT APH / BLS Primeira resposta em produtos perigosos - HAZMAT NR 10 NR 33 NR 35 Resgate de Passageiros Em Elevadores - Tyssen Kroup")</f>
        <v>Bombeiro Civil Classe I - 306 HORAS CEVTE - Condutor de veiculo de emergencia - SEST/SENAT APH / BLS Primeira resposta em produtos perigosos - HAZMAT NR 10 NR 33 NR 35 Resgate de Passageiros Em Elevadores - Tyssen Kroup</v>
      </c>
      <c r="J710" s="1" t="str">
        <f>IFERROR(__xludf.DUMMYFUNCTION("""COMPUTED_VALUE"""),"Não")</f>
        <v>Não</v>
      </c>
      <c r="K710" s="1" t="str">
        <f>IFERROR(__xludf.DUMMYFUNCTION("""COMPUTED_VALUE"""),"Não")</f>
        <v>Não</v>
      </c>
      <c r="L710" s="1" t="str">
        <f>IFERROR(__xludf.DUMMYFUNCTION("""COMPUTED_VALUE"""),"O+")</f>
        <v>O+</v>
      </c>
      <c r="M710" s="1" t="str">
        <f>IFERROR(__xludf.DUMMYFUNCTION("""COMPUTED_VALUE"""),"Leno")</f>
        <v>Leno</v>
      </c>
      <c r="N710" s="120">
        <f>IFERROR(__xludf.DUMMYFUNCTION("""COMPUTED_VALUE"""),27777)</f>
        <v>27777</v>
      </c>
      <c r="O710" s="1" t="str">
        <f>IFERROR(__xludf.DUMMYFUNCTION("""COMPUTED_VALUE"""),"Masculino")</f>
        <v>Masculino</v>
      </c>
      <c r="P710" s="1" t="str">
        <f>IFERROR(__xludf.DUMMYFUNCTION("""COMPUTED_VALUE"""),"Branca")</f>
        <v>Branca</v>
      </c>
      <c r="Q710" s="1" t="str">
        <f>IFERROR(__xludf.DUMMYFUNCTION("""COMPUTED_VALUE"""),"Ensino Médio")</f>
        <v>Ensino Médio</v>
      </c>
      <c r="R710" s="1" t="str">
        <f>IFERROR(__xludf.DUMMYFUNCTION("""COMPUTED_VALUE"""),"lenolorena@gmail.com")</f>
        <v>lenolorena@gmail.com</v>
      </c>
      <c r="S710" s="1">
        <f>IFERROR(__xludf.DUMMYFUNCTION("""COMPUTED_VALUE"""),79)</f>
        <v>79</v>
      </c>
      <c r="T710" s="1" t="str">
        <f>IFERROR(__xludf.DUMMYFUNCTION("""COMPUTED_VALUE"""),"Entre 1,71m e 1,75m")</f>
        <v>Entre 1,71m e 1,75m</v>
      </c>
      <c r="U710" s="1"/>
      <c r="V710" s="1" t="str">
        <f>IFERROR(__xludf.DUMMYFUNCTION("""COMPUTED_VALUE"""),"(54)9997-3204")</f>
        <v>(54)9997-3204</v>
      </c>
      <c r="W710" s="1" t="str">
        <f>IFERROR(__xludf.DUMMYFUNCTION("""COMPUTED_VALUE"""),"(54)3444-1629")</f>
        <v>(54)3444-1629</v>
      </c>
      <c r="X710" s="1" t="str">
        <f>IFERROR(__xludf.DUMMYFUNCTION("""COMPUTED_VALUE"""),"RS")</f>
        <v>RS</v>
      </c>
      <c r="Y710" s="1" t="str">
        <f>IFERROR(__xludf.DUMMYFUNCTION("""COMPUTED_VALUE"""),"Serafina Corrêa")</f>
        <v>Serafina Corrêa</v>
      </c>
      <c r="Z710" s="1" t="str">
        <f>IFERROR(__xludf.DUMMYFUNCTION("""COMPUTED_VALUE"""),"99250-000")</f>
        <v>99250-000</v>
      </c>
      <c r="AA710" s="1" t="str">
        <f>IFERROR(__xludf.DUMMYFUNCTION("""COMPUTED_VALUE"""),"Rua Otavio Rocha, 2559")</f>
        <v>Rua Otavio Rocha, 2559</v>
      </c>
      <c r="AB710" s="1" t="str">
        <f>IFERROR(__xludf.DUMMYFUNCTION("""COMPUTED_VALUE"""),"Centro")</f>
        <v>Centro</v>
      </c>
      <c r="AC710" s="1" t="str">
        <f>IFERROR(__xludf.DUMMYFUNCTION("""COMPUTED_VALUE"""),"G")</f>
        <v>G</v>
      </c>
      <c r="AD710" s="1" t="str">
        <f>IFERROR(__xludf.DUMMYFUNCTION("""COMPUTED_VALUE"""),"G")</f>
        <v>G</v>
      </c>
      <c r="AE710" s="1" t="str">
        <f>IFERROR(__xludf.DUMMYFUNCTION("""COMPUTED_VALUE"""),"G")</f>
        <v>G</v>
      </c>
      <c r="AF710" s="1" t="str">
        <f>IFERROR(__xludf.DUMMYFUNCTION("""COMPUTED_VALUE"""),"G")</f>
        <v>G</v>
      </c>
      <c r="AG710" s="1" t="str">
        <f>IFERROR(__xludf.DUMMYFUNCTION("""COMPUTED_VALUE"""),"G")</f>
        <v>G</v>
      </c>
      <c r="AH710" s="1">
        <f>IFERROR(__xludf.DUMMYFUNCTION("""COMPUTED_VALUE"""),44)</f>
        <v>44</v>
      </c>
      <c r="AI710" s="1">
        <f>IFERROR(__xludf.DUMMYFUNCTION("""COMPUTED_VALUE"""),44)</f>
        <v>44</v>
      </c>
      <c r="AJ710" s="1">
        <f>IFERROR(__xludf.DUMMYFUNCTION("""COMPUTED_VALUE"""),39)</f>
        <v>39</v>
      </c>
      <c r="AK710" s="1">
        <f>IFERROR(__xludf.DUMMYFUNCTION("""COMPUTED_VALUE"""),39)</f>
        <v>39</v>
      </c>
      <c r="AL710" s="1" t="str">
        <f>IFERROR(__xludf.DUMMYFUNCTION("""COMPUTED_VALUE"""),"G")</f>
        <v>G</v>
      </c>
      <c r="AM710" s="1" t="str">
        <f>IFERROR(__xludf.DUMMYFUNCTION("""COMPUTED_VALUE"""),"G")</f>
        <v>G</v>
      </c>
      <c r="AN710" s="1" t="str">
        <f>IFERROR(__xludf.DUMMYFUNCTION("""COMPUTED_VALUE"""),"G")</f>
        <v>G</v>
      </c>
    </row>
    <row r="711" customHeight="1" spans="1:40">
      <c r="A711" s="1" t="str">
        <f>IFERROR(__xludf.DUMMYFUNCTION("""COMPUTED_VALUE"""),"07° BBM")</f>
        <v>07° BBM</v>
      </c>
      <c r="B711" s="1" t="str">
        <f>IFERROR(__xludf.DUMMYFUNCTION("""COMPUTED_VALUE"""),"SARANDI")</f>
        <v>SARANDI</v>
      </c>
      <c r="C711" s="119" t="str">
        <f>IFERROR(__xludf.DUMMYFUNCTION("""COMPUTED_VALUE"""),"Comunitário")</f>
        <v>Comunitário</v>
      </c>
      <c r="D711" s="1" t="str">
        <f>IFERROR(__xludf.DUMMYFUNCTION("""COMPUTED_VALUE"""),"MARCOS ROBERTO CANTON")</f>
        <v>MARCOS ROBERTO CANTON</v>
      </c>
      <c r="E711" s="119" t="str">
        <f>IFERROR(__xludf.DUMMYFUNCTION("""COMPUTED_VALUE"""),"Módulo 2 e 3 concluído")</f>
        <v>Módulo 2 e 3 concluído</v>
      </c>
      <c r="F711" s="1" t="str">
        <f>IFERROR(__xludf.DUMMYFUNCTION("""COMPUTED_VALUE"""),"007.488.860-95")</f>
        <v>007.488.860-95</v>
      </c>
      <c r="G711" s="1">
        <f>IFERROR(__xludf.DUMMYFUNCTION("""COMPUTED_VALUE"""),1061607238)</f>
        <v>1061607238</v>
      </c>
      <c r="H711" s="1" t="str">
        <f>IFERROR(__xludf.DUMMYFUNCTION("""COMPUTED_VALUE"""),"OP")</f>
        <v>OP</v>
      </c>
      <c r="I711" s="1"/>
      <c r="J711" s="1"/>
      <c r="K711" s="1"/>
      <c r="L711" s="1"/>
      <c r="M711" s="1"/>
      <c r="N711" s="125">
        <f>IFERROR(__xludf.DUMMYFUNCTION("""COMPUTED_VALUE"""),31156)</f>
        <v>31156</v>
      </c>
      <c r="O711" s="1" t="str">
        <f>IFERROR(__xludf.DUMMYFUNCTION("""COMPUTED_VALUE"""),"Masculino")</f>
        <v>Masculino</v>
      </c>
      <c r="P711" s="1"/>
      <c r="Q711" s="1"/>
      <c r="R711" s="1"/>
      <c r="S711" s="1"/>
      <c r="T711" s="1"/>
      <c r="U711" s="1"/>
      <c r="V711" s="1"/>
      <c r="W711" s="1"/>
      <c r="X711" s="1"/>
      <c r="Y711" s="1" t="str">
        <f>IFERROR(__xludf.DUMMYFUNCTION("""COMPUTED_VALUE"""),"Sarandi")</f>
        <v>Sarandi</v>
      </c>
      <c r="Z711" s="1"/>
      <c r="AA711" s="1"/>
      <c r="AB711" s="1"/>
      <c r="AC711" s="1"/>
      <c r="AD711" s="1"/>
      <c r="AE711" s="1"/>
      <c r="AF711" s="1"/>
      <c r="AG711" s="1" t="str">
        <f>IFERROR(__xludf.DUMMYFUNCTION("""COMPUTED_VALUE"""),"EXG")</f>
        <v>EXG</v>
      </c>
      <c r="AH711" s="1">
        <f>IFERROR(__xludf.DUMMYFUNCTION("""COMPUTED_VALUE"""),42)</f>
        <v>42</v>
      </c>
      <c r="AI711" s="1"/>
      <c r="AJ711" s="1"/>
      <c r="AK711" s="1"/>
      <c r="AL711" s="1" t="str">
        <f>IFERROR(__xludf.DUMMYFUNCTION("""COMPUTED_VALUE"""),"G")</f>
        <v>G</v>
      </c>
      <c r="AM711" s="1" t="str">
        <f>IFERROR(__xludf.DUMMYFUNCTION("""COMPUTED_VALUE"""),"G")</f>
        <v>G</v>
      </c>
      <c r="AN711" s="1" t="str">
        <f>IFERROR(__xludf.DUMMYFUNCTION("""COMPUTED_VALUE"""),"G")</f>
        <v>G</v>
      </c>
    </row>
    <row r="712" customHeight="1" spans="1:40">
      <c r="A712" s="1" t="str">
        <f>IFERROR(__xludf.DUMMYFUNCTION("""COMPUTED_VALUE"""),"07° BBM")</f>
        <v>07° BBM</v>
      </c>
      <c r="B712" s="1" t="str">
        <f>IFERROR(__xludf.DUMMYFUNCTION("""COMPUTED_VALUE"""),"Jacutinga")</f>
        <v>Jacutinga</v>
      </c>
      <c r="C712" s="119" t="str">
        <f>IFERROR(__xludf.DUMMYFUNCTION("""COMPUTED_VALUE"""),"CAB")</f>
        <v>CAB</v>
      </c>
      <c r="D712" s="1" t="str">
        <f>IFERROR(__xludf.DUMMYFUNCTION("""COMPUTED_VALUE"""),"MARCOS TAILOR CAPPELLETTO")</f>
        <v>MARCOS TAILOR CAPPELLETTO</v>
      </c>
      <c r="E712" s="119" t="str">
        <f>IFERROR(__xludf.DUMMYFUNCTION("""COMPUTED_VALUE"""),"")</f>
        <v/>
      </c>
      <c r="F712" s="1" t="str">
        <f>IFERROR(__xludf.DUMMYFUNCTION("""COMPUTED_VALUE"""),"026.244.760-67")</f>
        <v>026.244.760-67</v>
      </c>
      <c r="G712" s="1">
        <f>IFERROR(__xludf.DUMMYFUNCTION("""COMPUTED_VALUE"""),5127809852)</f>
        <v>5127809852</v>
      </c>
      <c r="H712" s="1" t="str">
        <f>IFERROR(__xludf.DUMMYFUNCTION("""COMPUTED_VALUE"""),"Integrante")</f>
        <v>Integrante</v>
      </c>
      <c r="I712" s="1" t="str">
        <f>IFERROR(__xludf.DUMMYFUNCTION("""COMPUTED_VALUE"""),"TREINAMENTOS EM APH, RESGATE VEICULAR E PREVENÇÃO E COMBATE A INCÊNDIOS - CURSO DE RECONHECIMENTO E CAPATURA DE ANIMAIS VENENOSOS E PEÇONHENTOS")</f>
        <v>TREINAMENTOS EM APH, RESGATE VEICULAR E PREVENÇÃO E COMBATE A INCÊNDIOS - CURSO DE RECONHECIMENTO E CAPATURA DE ANIMAIS VENENOSOS E PEÇONHENTOS</v>
      </c>
      <c r="J712" s="1" t="str">
        <f>IFERROR(__xludf.DUMMYFUNCTION("""COMPUTED_VALUE"""),"Não")</f>
        <v>Não</v>
      </c>
      <c r="K712" s="1" t="str">
        <f>IFERROR(__xludf.DUMMYFUNCTION("""COMPUTED_VALUE"""),"Não")</f>
        <v>Não</v>
      </c>
      <c r="L712" s="1" t="str">
        <f>IFERROR(__xludf.DUMMYFUNCTION("""COMPUTED_VALUE"""),"O-")</f>
        <v>O-</v>
      </c>
      <c r="M712" s="1" t="str">
        <f>IFERROR(__xludf.DUMMYFUNCTION("""COMPUTED_VALUE"""),"Teylor")</f>
        <v>Teylor</v>
      </c>
      <c r="N712" s="120">
        <f>IFERROR(__xludf.DUMMYFUNCTION("""COMPUTED_VALUE"""),35798)</f>
        <v>35798</v>
      </c>
      <c r="O712" s="1" t="str">
        <f>IFERROR(__xludf.DUMMYFUNCTION("""COMPUTED_VALUE"""),"Masculino")</f>
        <v>Masculino</v>
      </c>
      <c r="P712" s="1" t="str">
        <f>IFERROR(__xludf.DUMMYFUNCTION("""COMPUTED_VALUE"""),"Branca")</f>
        <v>Branca</v>
      </c>
      <c r="Q712" s="1" t="str">
        <f>IFERROR(__xludf.DUMMYFUNCTION("""COMPUTED_VALUE"""),"Ensino Médio")</f>
        <v>Ensino Médio</v>
      </c>
      <c r="R712" s="1"/>
      <c r="S712" s="1">
        <f>IFERROR(__xludf.DUMMYFUNCTION("""COMPUTED_VALUE"""),93)</f>
        <v>93</v>
      </c>
      <c r="T712" s="1" t="str">
        <f>IFERROR(__xludf.DUMMYFUNCTION("""COMPUTED_VALUE"""),"Entre 1,76m e 1,80m")</f>
        <v>Entre 1,76m e 1,80m</v>
      </c>
      <c r="U712" s="1"/>
      <c r="V712" s="1" t="str">
        <f>IFERROR(__xludf.DUMMYFUNCTION("""COMPUTED_VALUE"""),"(54)992416624")</f>
        <v>(54)992416624</v>
      </c>
      <c r="W712" s="1"/>
      <c r="X712" s="1" t="str">
        <f>IFERROR(__xludf.DUMMYFUNCTION("""COMPUTED_VALUE"""),"RS")</f>
        <v>RS</v>
      </c>
      <c r="Y712" s="1" t="str">
        <f>IFERROR(__xludf.DUMMYFUNCTION("""COMPUTED_VALUE"""),"Jacutinga")</f>
        <v>Jacutinga</v>
      </c>
      <c r="Z712" s="1" t="str">
        <f>IFERROR(__xludf.DUMMYFUNCTION("""COMPUTED_VALUE"""),"99730-000")</f>
        <v>99730-000</v>
      </c>
      <c r="AA712" s="1" t="str">
        <f>IFERROR(__xludf.DUMMYFUNCTION("""COMPUTED_VALUE"""),"Rua João Tortelli")</f>
        <v>Rua João Tortelli</v>
      </c>
      <c r="AB712" s="1" t="str">
        <f>IFERROR(__xludf.DUMMYFUNCTION("""COMPUTED_VALUE"""),"Centro")</f>
        <v>Centro</v>
      </c>
      <c r="AC712" s="1" t="str">
        <f>IFERROR(__xludf.DUMMYFUNCTION("""COMPUTED_VALUE"""),"G")</f>
        <v>G</v>
      </c>
      <c r="AD712" s="1" t="str">
        <f>IFERROR(__xludf.DUMMYFUNCTION("""COMPUTED_VALUE"""),"G")</f>
        <v>G</v>
      </c>
      <c r="AE712" s="1" t="str">
        <f>IFERROR(__xludf.DUMMYFUNCTION("""COMPUTED_VALUE"""),"G")</f>
        <v>G</v>
      </c>
      <c r="AF712" s="1" t="str">
        <f>IFERROR(__xludf.DUMMYFUNCTION("""COMPUTED_VALUE"""),"G")</f>
        <v>G</v>
      </c>
      <c r="AG712" s="1" t="str">
        <f>IFERROR(__xludf.DUMMYFUNCTION("""COMPUTED_VALUE"""),"G")</f>
        <v>G</v>
      </c>
      <c r="AH712" s="1">
        <f>IFERROR(__xludf.DUMMYFUNCTION("""COMPUTED_VALUE"""),41)</f>
        <v>41</v>
      </c>
      <c r="AI712" s="1">
        <f>IFERROR(__xludf.DUMMYFUNCTION("""COMPUTED_VALUE"""),41)</f>
        <v>41</v>
      </c>
      <c r="AJ712" s="1">
        <f>IFERROR(__xludf.DUMMYFUNCTION("""COMPUTED_VALUE"""),41)</f>
        <v>41</v>
      </c>
      <c r="AK712" s="1">
        <f>IFERROR(__xludf.DUMMYFUNCTION("""COMPUTED_VALUE"""),41)</f>
        <v>41</v>
      </c>
      <c r="AL712" s="1" t="str">
        <f>IFERROR(__xludf.DUMMYFUNCTION("""COMPUTED_VALUE"""),"G")</f>
        <v>G</v>
      </c>
      <c r="AM712" s="1" t="str">
        <f>IFERROR(__xludf.DUMMYFUNCTION("""COMPUTED_VALUE"""),"G")</f>
        <v>G</v>
      </c>
      <c r="AN712" s="1" t="str">
        <f>IFERROR(__xludf.DUMMYFUNCTION("""COMPUTED_VALUE"""),"G")</f>
        <v>G</v>
      </c>
    </row>
    <row r="713" customHeight="1" spans="1:40">
      <c r="A713" s="1" t="str">
        <f>IFERROR(__xludf.DUMMYFUNCTION("""COMPUTED_VALUE"""),"07° BBM")</f>
        <v>07° BBM</v>
      </c>
      <c r="B713" s="1" t="str">
        <f>IFERROR(__xludf.DUMMYFUNCTION("""COMPUTED_VALUE"""),"Faxinalzinho")</f>
        <v>Faxinalzinho</v>
      </c>
      <c r="C713" s="119" t="str">
        <f>IFERROR(__xludf.DUMMYFUNCTION("""COMPUTED_VALUE"""),"CAB")</f>
        <v>CAB</v>
      </c>
      <c r="D713" s="1" t="str">
        <f>IFERROR(__xludf.DUMMYFUNCTION("""COMPUTED_VALUE"""),"MARINEZ IRACEMA SONDA")</f>
        <v>MARINEZ IRACEMA SONDA</v>
      </c>
      <c r="E713" s="119" t="str">
        <f>IFERROR(__xludf.DUMMYFUNCTION("""COMPUTED_VALUE"""),"")</f>
        <v/>
      </c>
      <c r="F713" s="1" t="str">
        <f>IFERROR(__xludf.DUMMYFUNCTION("""COMPUTED_VALUE"""),"698.989.870-49")</f>
        <v>698.989.870-49</v>
      </c>
      <c r="G713" s="1">
        <f>IFERROR(__xludf.DUMMYFUNCTION("""COMPUTED_VALUE"""),7057916764)</f>
        <v>7057916764</v>
      </c>
      <c r="H713" s="1" t="str">
        <f>IFERROR(__xludf.DUMMYFUNCTION("""COMPUTED_VALUE"""),"Conselho Fiscal - Combatente")</f>
        <v>Conselho Fiscal - Combatente</v>
      </c>
      <c r="I713" s="1" t="str">
        <f>IFERROR(__xludf.DUMMYFUNCTION("""COMPUTED_VALUE"""),"Combate a incêndio")</f>
        <v>Combate a incêndio</v>
      </c>
      <c r="J713" s="1" t="str">
        <f>IFERROR(__xludf.DUMMYFUNCTION("""COMPUTED_VALUE"""),"Sim")</f>
        <v>Sim</v>
      </c>
      <c r="K713" s="1" t="str">
        <f>IFERROR(__xludf.DUMMYFUNCTION("""COMPUTED_VALUE"""),"Sim")</f>
        <v>Sim</v>
      </c>
      <c r="L713" s="1" t="str">
        <f>IFERROR(__xludf.DUMMYFUNCTION("""COMPUTED_VALUE"""),"A+")</f>
        <v>A+</v>
      </c>
      <c r="M713" s="1" t="str">
        <f>IFERROR(__xludf.DUMMYFUNCTION("""COMPUTED_VALUE"""),"MARINEZ A+")</f>
        <v>MARINEZ A+</v>
      </c>
      <c r="N713" s="120">
        <f>IFERROR(__xludf.DUMMYFUNCTION("""COMPUTED_VALUE"""),26795)</f>
        <v>26795</v>
      </c>
      <c r="O713" s="1" t="str">
        <f>IFERROR(__xludf.DUMMYFUNCTION("""COMPUTED_VALUE"""),"Feminino")</f>
        <v>Feminino</v>
      </c>
      <c r="P713" s="1" t="str">
        <f>IFERROR(__xludf.DUMMYFUNCTION("""COMPUTED_VALUE"""),"Branca")</f>
        <v>Branca</v>
      </c>
      <c r="Q713" s="1" t="str">
        <f>IFERROR(__xludf.DUMMYFUNCTION("""COMPUTED_VALUE"""),"Ensino Médio")</f>
        <v>Ensino Médio</v>
      </c>
      <c r="R713" s="1" t="str">
        <f>IFERROR(__xludf.DUMMYFUNCTION("""COMPUTED_VALUE"""),"marinessonda076@gmail.com")</f>
        <v>marinessonda076@gmail.com</v>
      </c>
      <c r="S713" s="1">
        <f>IFERROR(__xludf.DUMMYFUNCTION("""COMPUTED_VALUE"""),70)</f>
        <v>70</v>
      </c>
      <c r="T713" s="1" t="str">
        <f>IFERROR(__xludf.DUMMYFUNCTION("""COMPUTED_VALUE"""),"Entre 1,61m e 1,65m")</f>
        <v>Entre 1,61m e 1,65m</v>
      </c>
      <c r="U713" s="1" t="str">
        <f>IFERROR(__xludf.DUMMYFUNCTION("""COMPUTED_VALUE"""),"54 996362731")</f>
        <v>54 996362731</v>
      </c>
      <c r="V713" s="1" t="str">
        <f>IFERROR(__xludf.DUMMYFUNCTION("""COMPUTED_VALUE"""),"(54) 996362731")</f>
        <v>(54) 996362731</v>
      </c>
      <c r="W713" s="1" t="str">
        <f>IFERROR(__xludf.DUMMYFUNCTION("""COMPUTED_VALUE"""),"54 999854155")</f>
        <v>54 999854155</v>
      </c>
      <c r="X713" s="1" t="str">
        <f>IFERROR(__xludf.DUMMYFUNCTION("""COMPUTED_VALUE"""),"RIO GRANDE DO SUL")</f>
        <v>RIO GRANDE DO SUL</v>
      </c>
      <c r="Y713" s="1" t="str">
        <f>IFERROR(__xludf.DUMMYFUNCTION("""COMPUTED_VALUE"""),"Faxinalzinho")</f>
        <v>Faxinalzinho</v>
      </c>
      <c r="Z713" s="1" t="str">
        <f>IFERROR(__xludf.DUMMYFUNCTION("""COMPUTED_VALUE"""),"99655-000")</f>
        <v>99655-000</v>
      </c>
      <c r="AA713" s="1" t="str">
        <f>IFERROR(__xludf.DUMMYFUNCTION("""COMPUTED_VALUE"""),"Casa")</f>
        <v>Casa</v>
      </c>
      <c r="AB713" s="1" t="str">
        <f>IFERROR(__xludf.DUMMYFUNCTION("""COMPUTED_VALUE"""),"Centro")</f>
        <v>Centro</v>
      </c>
      <c r="AC713" s="1" t="str">
        <f>IFERROR(__xludf.DUMMYFUNCTION("""COMPUTED_VALUE"""),"M")</f>
        <v>M</v>
      </c>
      <c r="AD713" s="1" t="str">
        <f>IFERROR(__xludf.DUMMYFUNCTION("""COMPUTED_VALUE"""),"M")</f>
        <v>M</v>
      </c>
      <c r="AE713" s="1" t="str">
        <f>IFERROR(__xludf.DUMMYFUNCTION("""COMPUTED_VALUE"""),"M")</f>
        <v>M</v>
      </c>
      <c r="AF713" s="1" t="str">
        <f>IFERROR(__xludf.DUMMYFUNCTION("""COMPUTED_VALUE"""),"M")</f>
        <v>M</v>
      </c>
      <c r="AG713" s="1" t="str">
        <f>IFERROR(__xludf.DUMMYFUNCTION("""COMPUTED_VALUE"""),"M")</f>
        <v>M</v>
      </c>
      <c r="AH713" s="1">
        <f>IFERROR(__xludf.DUMMYFUNCTION("""COMPUTED_VALUE"""),38)</f>
        <v>38</v>
      </c>
      <c r="AI713" s="1">
        <f>IFERROR(__xludf.DUMMYFUNCTION("""COMPUTED_VALUE"""),38)</f>
        <v>38</v>
      </c>
      <c r="AJ713" s="1">
        <f>IFERROR(__xludf.DUMMYFUNCTION("""COMPUTED_VALUE"""),38)</f>
        <v>38</v>
      </c>
      <c r="AK713" s="1">
        <f>IFERROR(__xludf.DUMMYFUNCTION("""COMPUTED_VALUE"""),39)</f>
        <v>39</v>
      </c>
      <c r="AL713" s="1" t="str">
        <f>IFERROR(__xludf.DUMMYFUNCTION("""COMPUTED_VALUE"""),"M")</f>
        <v>M</v>
      </c>
      <c r="AM713" s="1" t="str">
        <f>IFERROR(__xludf.DUMMYFUNCTION("""COMPUTED_VALUE"""),"M")</f>
        <v>M</v>
      </c>
      <c r="AN713" s="1" t="str">
        <f>IFERROR(__xludf.DUMMYFUNCTION("""COMPUTED_VALUE"""),"M")</f>
        <v>M</v>
      </c>
    </row>
    <row r="714" customHeight="1" spans="1:40">
      <c r="A714" s="1" t="str">
        <f>IFERROR(__xludf.DUMMYFUNCTION("""COMPUTED_VALUE"""),"07° BBM")</f>
        <v>07° BBM</v>
      </c>
      <c r="B714" s="1" t="str">
        <f>IFERROR(__xludf.DUMMYFUNCTION("""COMPUTED_VALUE"""),"Faxinalzinho")</f>
        <v>Faxinalzinho</v>
      </c>
      <c r="C714" s="119" t="str">
        <f>IFERROR(__xludf.DUMMYFUNCTION("""COMPUTED_VALUE"""),"CAB")</f>
        <v>CAB</v>
      </c>
      <c r="D714" s="1" t="str">
        <f>IFERROR(__xludf.DUMMYFUNCTION("""COMPUTED_VALUE"""),"MARISA BORBA CORREA")</f>
        <v>MARISA BORBA CORREA</v>
      </c>
      <c r="E714" s="119" t="str">
        <f>IFERROR(__xludf.DUMMYFUNCTION("""COMPUTED_VALUE"""),"")</f>
        <v/>
      </c>
      <c r="F714" s="1"/>
      <c r="G714" s="1"/>
      <c r="H714" s="1"/>
      <c r="I714" s="1"/>
      <c r="J714" s="1"/>
      <c r="K714" s="1"/>
      <c r="L714" s="1"/>
      <c r="M714" s="1"/>
      <c r="N714" s="120">
        <f>IFERROR(__xludf.DUMMYFUNCTION("""COMPUTED_VALUE"""),38140)</f>
        <v>38140</v>
      </c>
      <c r="O714" s="1" t="str">
        <f>IFERROR(__xludf.DUMMYFUNCTION("""COMPUTED_VALUE"""),"Feminino")</f>
        <v>Feminino</v>
      </c>
      <c r="P714" s="1"/>
      <c r="Q714" s="1"/>
      <c r="R714" s="1"/>
      <c r="S714" s="1"/>
      <c r="T714" s="1"/>
      <c r="U714" s="1"/>
      <c r="V714" s="1"/>
      <c r="W714" s="1"/>
      <c r="X714" s="1"/>
      <c r="Y714" s="1" t="str">
        <f>IFERROR(__xludf.DUMMYFUNCTION("""COMPUTED_VALUE"""),"Faxinalzinho")</f>
        <v>Faxinalzinho</v>
      </c>
      <c r="Z714" s="1"/>
      <c r="AA714" s="1"/>
      <c r="AB714" s="1"/>
      <c r="AC714" s="1"/>
      <c r="AD714" s="1"/>
      <c r="AE714" s="1"/>
      <c r="AF714" s="1"/>
      <c r="AG714" s="1" t="str">
        <f>IFERROR(__xludf.DUMMYFUNCTION("""COMPUTED_VALUE"""),"G")</f>
        <v>G</v>
      </c>
      <c r="AH714" s="1">
        <f>IFERROR(__xludf.DUMMYFUNCTION("""COMPUTED_VALUE"""),38)</f>
        <v>38</v>
      </c>
      <c r="AI714" s="1"/>
      <c r="AJ714" s="1"/>
      <c r="AK714" s="1"/>
      <c r="AL714" s="1" t="str">
        <f>IFERROR(__xludf.DUMMYFUNCTION("""COMPUTED_VALUE"""),"G")</f>
        <v>G</v>
      </c>
      <c r="AM714" s="1" t="str">
        <f>IFERROR(__xludf.DUMMYFUNCTION("""COMPUTED_VALUE"""),"G")</f>
        <v>G</v>
      </c>
      <c r="AN714" s="1" t="str">
        <f>IFERROR(__xludf.DUMMYFUNCTION("""COMPUTED_VALUE"""),"G")</f>
        <v>G</v>
      </c>
    </row>
    <row r="715" customHeight="1" spans="1:40">
      <c r="A715" s="1" t="str">
        <f>IFERROR(__xludf.DUMMYFUNCTION("""COMPUTED_VALUE"""),"07° BBM")</f>
        <v>07° BBM</v>
      </c>
      <c r="B715" s="1" t="str">
        <f>IFERROR(__xludf.DUMMYFUNCTION("""COMPUTED_VALUE"""),"Faxinalzinho")</f>
        <v>Faxinalzinho</v>
      </c>
      <c r="C715" s="119" t="str">
        <f>IFERROR(__xludf.DUMMYFUNCTION("""COMPUTED_VALUE"""),"CAB")</f>
        <v>CAB</v>
      </c>
      <c r="D715" s="1" t="str">
        <f>IFERROR(__xludf.DUMMYFUNCTION("""COMPUTED_VALUE"""),"MARLI RITA MEZOMO GOLFETTO")</f>
        <v>MARLI RITA MEZOMO GOLFETTO</v>
      </c>
      <c r="E715" s="119" t="str">
        <f>IFERROR(__xludf.DUMMYFUNCTION("""COMPUTED_VALUE"""),"")</f>
        <v/>
      </c>
      <c r="F715" s="1"/>
      <c r="G715" s="1"/>
      <c r="H715" s="1"/>
      <c r="I715" s="1"/>
      <c r="J715" s="1"/>
      <c r="K715" s="1"/>
      <c r="L715" s="1"/>
      <c r="M715" s="1"/>
      <c r="N715" s="120">
        <f>IFERROR(__xludf.DUMMYFUNCTION("""COMPUTED_VALUE"""),26625)</f>
        <v>26625</v>
      </c>
      <c r="O715" s="1" t="str">
        <f>IFERROR(__xludf.DUMMYFUNCTION("""COMPUTED_VALUE"""),"Feminino")</f>
        <v>Feminino</v>
      </c>
      <c r="P715" s="1"/>
      <c r="Q715" s="1"/>
      <c r="R715" s="1"/>
      <c r="S715" s="1"/>
      <c r="T715" s="1"/>
      <c r="U715" s="1"/>
      <c r="V715" s="1"/>
      <c r="W715" s="1"/>
      <c r="X715" s="1"/>
      <c r="Y715" s="1" t="str">
        <f>IFERROR(__xludf.DUMMYFUNCTION("""COMPUTED_VALUE"""),"Faxinalzinho")</f>
        <v>Faxinalzinho</v>
      </c>
      <c r="Z715" s="1"/>
      <c r="AA715" s="1"/>
      <c r="AB715" s="1"/>
      <c r="AC715" s="1"/>
      <c r="AD715" s="1"/>
      <c r="AE715" s="1"/>
      <c r="AF715" s="1"/>
      <c r="AG715" s="1" t="str">
        <f>IFERROR(__xludf.DUMMYFUNCTION("""COMPUTED_VALUE"""),"M")</f>
        <v>M</v>
      </c>
      <c r="AH715" s="1">
        <f>IFERROR(__xludf.DUMMYFUNCTION("""COMPUTED_VALUE"""),36)</f>
        <v>36</v>
      </c>
      <c r="AI715" s="1"/>
      <c r="AJ715" s="1"/>
      <c r="AK715" s="1"/>
      <c r="AL715" s="1" t="str">
        <f>IFERROR(__xludf.DUMMYFUNCTION("""COMPUTED_VALUE"""),"M")</f>
        <v>M</v>
      </c>
      <c r="AM715" s="1" t="str">
        <f>IFERROR(__xludf.DUMMYFUNCTION("""COMPUTED_VALUE"""),"M")</f>
        <v>M</v>
      </c>
      <c r="AN715" s="1" t="str">
        <f>IFERROR(__xludf.DUMMYFUNCTION("""COMPUTED_VALUE"""),"M")</f>
        <v>M</v>
      </c>
    </row>
    <row r="716" customHeight="1" spans="1:40">
      <c r="A716" s="1" t="str">
        <f>IFERROR(__xludf.DUMMYFUNCTION("""COMPUTED_VALUE"""),"07° BBM")</f>
        <v>07° BBM</v>
      </c>
      <c r="B716" s="1" t="str">
        <f>IFERROR(__xludf.DUMMYFUNCTION("""COMPUTED_VALUE"""),"GETULIO VARGAS")</f>
        <v>GETULIO VARGAS</v>
      </c>
      <c r="C716" s="119" t="str">
        <f>IFERROR(__xludf.DUMMYFUNCTION("""COMPUTED_VALUE"""),"Comunitário")</f>
        <v>Comunitário</v>
      </c>
      <c r="D716" s="1" t="str">
        <f>IFERROR(__xludf.DUMMYFUNCTION("""COMPUTED_VALUE"""),"MARLON WILIAN CASANOVA")</f>
        <v>MARLON WILIAN CASANOVA</v>
      </c>
      <c r="E716" s="119" t="str">
        <f>IFERROR(__xludf.DUMMYFUNCTION("""COMPUTED_VALUE"""),"Módulo 1 concluído")</f>
        <v>Módulo 1 concluído</v>
      </c>
      <c r="F716" s="1" t="str">
        <f>IFERROR(__xludf.DUMMYFUNCTION("""COMPUTED_VALUE"""),"008.905.870.-43")</f>
        <v>008.905.870.-43</v>
      </c>
      <c r="G716" s="1">
        <f>IFERROR(__xludf.DUMMYFUNCTION("""COMPUTED_VALUE"""),6060479174)</f>
        <v>6060479174</v>
      </c>
      <c r="H716" s="1" t="str">
        <f>IFERROR(__xludf.DUMMYFUNCTION("""COMPUTED_VALUE"""),"OP")</f>
        <v>OP</v>
      </c>
      <c r="I716" s="1"/>
      <c r="J716" s="1"/>
      <c r="K716" s="1"/>
      <c r="L716" s="1"/>
      <c r="M716" s="1"/>
      <c r="N716" s="125">
        <f>IFERROR(__xludf.DUMMYFUNCTION("""COMPUTED_VALUE"""),31547)</f>
        <v>31547</v>
      </c>
      <c r="O716" s="1" t="str">
        <f>IFERROR(__xludf.DUMMYFUNCTION("""COMPUTED_VALUE"""),"Masculino")</f>
        <v>Masculino</v>
      </c>
      <c r="P716" s="1"/>
      <c r="Q716" s="1"/>
      <c r="R716" s="1"/>
      <c r="S716" s="1"/>
      <c r="T716" s="1"/>
      <c r="U716" s="1"/>
      <c r="V716" s="1"/>
      <c r="W716" s="1"/>
      <c r="X716" s="1"/>
      <c r="Y716" s="1" t="str">
        <f>IFERROR(__xludf.DUMMYFUNCTION("""COMPUTED_VALUE"""),"Getúlio Vargas")</f>
        <v>Getúlio Vargas</v>
      </c>
      <c r="Z716" s="1"/>
      <c r="AA716" s="1"/>
      <c r="AB716" s="1"/>
      <c r="AC716" s="1"/>
      <c r="AD716" s="1"/>
      <c r="AE716" s="1"/>
      <c r="AF716" s="1"/>
      <c r="AG716" s="1" t="str">
        <f>IFERROR(__xludf.DUMMYFUNCTION("""COMPUTED_VALUE"""),"G")</f>
        <v>G</v>
      </c>
      <c r="AH716" s="1">
        <f>IFERROR(__xludf.DUMMYFUNCTION("""COMPUTED_VALUE"""),41)</f>
        <v>41</v>
      </c>
      <c r="AI716" s="1"/>
      <c r="AJ716" s="1"/>
      <c r="AK716" s="1"/>
      <c r="AL716" s="1" t="str">
        <f>IFERROR(__xludf.DUMMYFUNCTION("""COMPUTED_VALUE"""),"G")</f>
        <v>G</v>
      </c>
      <c r="AM716" s="1" t="str">
        <f>IFERROR(__xludf.DUMMYFUNCTION("""COMPUTED_VALUE"""),"G")</f>
        <v>G</v>
      </c>
      <c r="AN716" s="1" t="str">
        <f>IFERROR(__xludf.DUMMYFUNCTION("""COMPUTED_VALUE"""),"G")</f>
        <v>G</v>
      </c>
    </row>
    <row r="717" customHeight="1" spans="1:40">
      <c r="A717" s="1"/>
      <c r="B717" s="1"/>
      <c r="C717" s="119"/>
      <c r="D717" s="1" t="str">
        <f>IFERROR(__xludf.DUMMYFUNCTION("""COMPUTED_VALUE"""),"MARTA SLONGO DA SILVA")</f>
        <v>MARTA SLONGO DA SILVA</v>
      </c>
      <c r="E717" s="1" t="str">
        <f>IFERROR(__xludf.DUMMYFUNCTION("""COMPUTED_VALUE"""),"Módulo 1 concluído")</f>
        <v>Módulo 1 concluído</v>
      </c>
      <c r="F717" s="1" t="str">
        <f>IFERROR(__xludf.DUMMYFUNCTION("""COMPUTED_VALUE"""),"001.209.030-16")</f>
        <v>001.209.030-16</v>
      </c>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row>
    <row r="718" customHeight="1" spans="1:40">
      <c r="A718" s="1" t="str">
        <f>IFERROR(__xludf.DUMMYFUNCTION("""COMPUTED_VALUE"""),"07° BBM")</f>
        <v>07° BBM</v>
      </c>
      <c r="B718" s="1" t="str">
        <f>IFERROR(__xludf.DUMMYFUNCTION("""COMPUTED_VALUE"""),"Serafina Corrêa")</f>
        <v>Serafina Corrêa</v>
      </c>
      <c r="C718" s="119" t="str">
        <f>IFERROR(__xludf.DUMMYFUNCTION("""COMPUTED_VALUE"""),"CAB")</f>
        <v>CAB</v>
      </c>
      <c r="D718" s="1" t="str">
        <f>IFERROR(__xludf.DUMMYFUNCTION("""COMPUTED_VALUE"""),"MATEUS ERNESTO DALL AGNOL")</f>
        <v>MATEUS ERNESTO DALL AGNOL</v>
      </c>
      <c r="E718" s="119" t="str">
        <f>IFERROR(__xludf.DUMMYFUNCTION("""COMPUTED_VALUE"""),"Módulo 1 concluído")</f>
        <v>Módulo 1 concluído</v>
      </c>
      <c r="F718" s="1" t="str">
        <f>IFERROR(__xludf.DUMMYFUNCTION("""COMPUTED_VALUE"""),"830.294.860-87")</f>
        <v>830.294.860-87</v>
      </c>
      <c r="G718" s="1">
        <f>IFERROR(__xludf.DUMMYFUNCTION("""COMPUTED_VALUE"""),1084383551)</f>
        <v>1084383551</v>
      </c>
      <c r="H718" s="1" t="str">
        <f>IFERROR(__xludf.DUMMYFUNCTION("""COMPUTED_VALUE"""),"CAB CHEFE DE SOCORRO")</f>
        <v>CAB CHEFE DE SOCORRO</v>
      </c>
      <c r="I718" s="1" t="str">
        <f>IFERROR(__xludf.DUMMYFUNCTION("""COMPUTED_VALUE"""),"Bombeiro Civil Classe I - 306 HORAS CEVTE - Condutor de veiculo de emergencia - SEST/SENAT APH / BLS Primeira resposta em produtos perigosos - HAZMAT NR 10 NR 33 NR 35 Resgate de Passageiros Em Elevadores - Tyssen Kroup R.I.T - Rapid Intervencion Team Cur"&amp;"so Resgatista CBMRS 3º Ediçao (cursando)")</f>
        <v>Bombeiro Civil Classe I - 306 HORAS CEVTE - Condutor de veiculo de emergencia - SEST/SENAT APH / BLS Primeira resposta em produtos perigosos - HAZMAT NR 10 NR 33 NR 35 Resgate de Passageiros Em Elevadores - Tyssen Kroup R.I.T - Rapid Intervencion Team Curso Resgatista CBMRS 3º Ediçao (cursando)</v>
      </c>
      <c r="J718" s="1" t="str">
        <f>IFERROR(__xludf.DUMMYFUNCTION("""COMPUTED_VALUE"""),"Sim")</f>
        <v>Sim</v>
      </c>
      <c r="K718" s="1" t="str">
        <f>IFERROR(__xludf.DUMMYFUNCTION("""COMPUTED_VALUE"""),"Sim")</f>
        <v>Sim</v>
      </c>
      <c r="L718" s="1" t="str">
        <f>IFERROR(__xludf.DUMMYFUNCTION("""COMPUTED_VALUE"""),"O+")</f>
        <v>O+</v>
      </c>
      <c r="M718" s="1" t="str">
        <f>IFERROR(__xludf.DUMMYFUNCTION("""COMPUTED_VALUE"""),"Dallagnol")</f>
        <v>Dallagnol</v>
      </c>
      <c r="N718" s="121">
        <f>IFERROR(__xludf.DUMMYFUNCTION("""COMPUTED_VALUE"""),31338)</f>
        <v>31338</v>
      </c>
      <c r="O718" s="1" t="str">
        <f>IFERROR(__xludf.DUMMYFUNCTION("""COMPUTED_VALUE"""),"Masculino")</f>
        <v>Masculino</v>
      </c>
      <c r="P718" s="1" t="str">
        <f>IFERROR(__xludf.DUMMYFUNCTION("""COMPUTED_VALUE"""),"Branca")</f>
        <v>Branca</v>
      </c>
      <c r="Q718" s="1" t="str">
        <f>IFERROR(__xludf.DUMMYFUNCTION("""COMPUTED_VALUE"""),"Ensino Médio")</f>
        <v>Ensino Médio</v>
      </c>
      <c r="R718" s="1" t="str">
        <f>IFERROR(__xludf.DUMMYFUNCTION("""COMPUTED_VALUE"""),"clarencio.represenacores@gmail.com")</f>
        <v>clarencio.represenacores@gmail.com</v>
      </c>
      <c r="S718" s="1">
        <f>IFERROR(__xludf.DUMMYFUNCTION("""COMPUTED_VALUE"""),115)</f>
        <v>115</v>
      </c>
      <c r="T718" s="1" t="str">
        <f>IFERROR(__xludf.DUMMYFUNCTION("""COMPUTED_VALUE"""),"Entre 1,86m e 1,90m")</f>
        <v>Entre 1,86m e 1,90m</v>
      </c>
      <c r="U718" s="1"/>
      <c r="V718" s="1" t="str">
        <f>IFERROR(__xludf.DUMMYFUNCTION("""COMPUTED_VALUE"""),"(54)98428-3001")</f>
        <v>(54)98428-3001</v>
      </c>
      <c r="W718" s="1" t="str">
        <f>IFERROR(__xludf.DUMMYFUNCTION("""COMPUTED_VALUE"""),"(54)98427-3002")</f>
        <v>(54)98427-3002</v>
      </c>
      <c r="X718" s="1" t="str">
        <f>IFERROR(__xludf.DUMMYFUNCTION("""COMPUTED_VALUE"""),"RS")</f>
        <v>RS</v>
      </c>
      <c r="Y718" s="1" t="str">
        <f>IFERROR(__xludf.DUMMYFUNCTION("""COMPUTED_VALUE"""),"Guaporé")</f>
        <v>Guaporé</v>
      </c>
      <c r="Z718" s="1" t="str">
        <f>IFERROR(__xludf.DUMMYFUNCTION("""COMPUTED_VALUE"""),"99200-000")</f>
        <v>99200-000</v>
      </c>
      <c r="AA718" s="1" t="str">
        <f>IFERROR(__xludf.DUMMYFUNCTION("""COMPUTED_VALUE"""),"Av.Senador Alberto Pasqualini, 395")</f>
        <v>Av.Senador Alberto Pasqualini, 395</v>
      </c>
      <c r="AB718" s="1" t="str">
        <f>IFERROR(__xludf.DUMMYFUNCTION("""COMPUTED_VALUE"""),"Centro")</f>
        <v>Centro</v>
      </c>
      <c r="AC718" s="1" t="str">
        <f>IFERROR(__xludf.DUMMYFUNCTION("""COMPUTED_VALUE"""),"EXG")</f>
        <v>EXG</v>
      </c>
      <c r="AD718" s="1" t="str">
        <f>IFERROR(__xludf.DUMMYFUNCTION("""COMPUTED_VALUE"""),"EXG")</f>
        <v>EXG</v>
      </c>
      <c r="AE718" s="1" t="str">
        <f>IFERROR(__xludf.DUMMYFUNCTION("""COMPUTED_VALUE"""),"EXG")</f>
        <v>EXG</v>
      </c>
      <c r="AF718" s="1" t="str">
        <f>IFERROR(__xludf.DUMMYFUNCTION("""COMPUTED_VALUE"""),"EXG")</f>
        <v>EXG</v>
      </c>
      <c r="AG718" s="1" t="str">
        <f>IFERROR(__xludf.DUMMYFUNCTION("""COMPUTED_VALUE"""),"GG")</f>
        <v>GG</v>
      </c>
      <c r="AH718" s="1">
        <f>IFERROR(__xludf.DUMMYFUNCTION("""COMPUTED_VALUE"""),43)</f>
        <v>43</v>
      </c>
      <c r="AI718" s="1">
        <f>IFERROR(__xludf.DUMMYFUNCTION("""COMPUTED_VALUE"""),43)</f>
        <v>43</v>
      </c>
      <c r="AJ718" s="1">
        <f>IFERROR(__xludf.DUMMYFUNCTION("""COMPUTED_VALUE"""),43)</f>
        <v>43</v>
      </c>
      <c r="AK718" s="1">
        <f>IFERROR(__xludf.DUMMYFUNCTION("""COMPUTED_VALUE"""),43)</f>
        <v>43</v>
      </c>
      <c r="AL718" s="1" t="str">
        <f>IFERROR(__xludf.DUMMYFUNCTION("""COMPUTED_VALUE"""),"EXG")</f>
        <v>EXG</v>
      </c>
      <c r="AM718" s="1" t="str">
        <f>IFERROR(__xludf.DUMMYFUNCTION("""COMPUTED_VALUE"""),"EXG")</f>
        <v>EXG</v>
      </c>
      <c r="AN718" s="1" t="str">
        <f>IFERROR(__xludf.DUMMYFUNCTION("""COMPUTED_VALUE"""),"G")</f>
        <v>G</v>
      </c>
    </row>
    <row r="719" customHeight="1" spans="1:40">
      <c r="A719" s="1" t="str">
        <f>IFERROR(__xludf.DUMMYFUNCTION("""COMPUTED_VALUE"""),"07° BBM")</f>
        <v>07° BBM</v>
      </c>
      <c r="B719" s="1"/>
      <c r="C719" s="119"/>
      <c r="D719" s="1" t="str">
        <f>IFERROR(__xludf.DUMMYFUNCTION("""COMPUTED_VALUE"""),"MATHEUS KUNZ NOLL")</f>
        <v>MATHEUS KUNZ NOLL</v>
      </c>
      <c r="E719" s="119" t="str">
        <f>IFERROR(__xludf.DUMMYFUNCTION("""COMPUTED_VALUE"""),"Módulo 1 concluído")</f>
        <v>Módulo 1 concluído</v>
      </c>
      <c r="F719" s="1" t="str">
        <f>IFERROR(__xludf.DUMMYFUNCTION("""COMPUTED_VALUE"""),"829.856.260-72")</f>
        <v>829.856.260-72</v>
      </c>
      <c r="G719" s="1"/>
      <c r="H719" s="1"/>
      <c r="I719" s="1"/>
      <c r="J719" s="1"/>
      <c r="K719" s="1"/>
      <c r="L719" s="1"/>
      <c r="M719" s="1"/>
      <c r="N719" s="120"/>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row>
    <row r="720" customHeight="1" spans="1:40">
      <c r="A720" s="1" t="str">
        <f>IFERROR(__xludf.DUMMYFUNCTION("""COMPUTED_VALUE"""),"07° BBM")</f>
        <v>07° BBM</v>
      </c>
      <c r="B720" s="1" t="str">
        <f>IFERROR(__xludf.DUMMYFUNCTION("""COMPUTED_VALUE"""),"Faxinalzinho")</f>
        <v>Faxinalzinho</v>
      </c>
      <c r="C720" s="119" t="str">
        <f>IFERROR(__xludf.DUMMYFUNCTION("""COMPUTED_VALUE"""),"CAB")</f>
        <v>CAB</v>
      </c>
      <c r="D720" s="1" t="str">
        <f>IFERROR(__xludf.DUMMYFUNCTION("""COMPUTED_VALUE"""),"MATHEUS OLTRAMARI")</f>
        <v>MATHEUS OLTRAMARI</v>
      </c>
      <c r="E720" s="119" t="str">
        <f>IFERROR(__xludf.DUMMYFUNCTION("""COMPUTED_VALUE"""),"")</f>
        <v/>
      </c>
      <c r="F720" s="1" t="str">
        <f>IFERROR(__xludf.DUMMYFUNCTION("""COMPUTED_VALUE"""),"023.655.600-24")</f>
        <v>023.655.600-24</v>
      </c>
      <c r="G720" s="1">
        <f>IFERROR(__xludf.DUMMYFUNCTION("""COMPUTED_VALUE"""),2093571905)</f>
        <v>2093571905</v>
      </c>
      <c r="H720" s="1" t="str">
        <f>IFERROR(__xludf.DUMMYFUNCTION("""COMPUTED_VALUE"""),"Combatente")</f>
        <v>Combatente</v>
      </c>
      <c r="I720" s="1" t="str">
        <f>IFERROR(__xludf.DUMMYFUNCTION("""COMPUTED_VALUE"""),"Não possuo")</f>
        <v>Não possuo</v>
      </c>
      <c r="J720" s="1" t="str">
        <f>IFERROR(__xludf.DUMMYFUNCTION("""COMPUTED_VALUE"""),"Não")</f>
        <v>Não</v>
      </c>
      <c r="K720" s="1" t="str">
        <f>IFERROR(__xludf.DUMMYFUNCTION("""COMPUTED_VALUE"""),"Sim")</f>
        <v>Sim</v>
      </c>
      <c r="L720" s="1" t="str">
        <f>IFERROR(__xludf.DUMMYFUNCTION("""COMPUTED_VALUE"""),"O+")</f>
        <v>O+</v>
      </c>
      <c r="M720" s="120" t="str">
        <f>IFERROR(__xludf.DUMMYFUNCTION("""COMPUTED_VALUE"""),"OLTRAMARI")</f>
        <v>OLTRAMARI</v>
      </c>
      <c r="N720" s="120">
        <f>IFERROR(__xludf.DUMMYFUNCTION("""COMPUTED_VALUE"""),33388)</f>
        <v>33388</v>
      </c>
      <c r="O720" s="1" t="str">
        <f>IFERROR(__xludf.DUMMYFUNCTION("""COMPUTED_VALUE"""),"Masculino")</f>
        <v>Masculino</v>
      </c>
      <c r="P720" s="1" t="str">
        <f>IFERROR(__xludf.DUMMYFUNCTION("""COMPUTED_VALUE"""),"Branca")</f>
        <v>Branca</v>
      </c>
      <c r="Q720" s="1" t="str">
        <f>IFERROR(__xludf.DUMMYFUNCTION("""COMPUTED_VALUE"""),"Ensino Superior Completo")</f>
        <v>Ensino Superior Completo</v>
      </c>
      <c r="R720" s="1" t="str">
        <f>IFERROR(__xludf.DUMMYFUNCTION("""COMPUTED_VALUE"""),"mateus_oltramari@hotmail.com")</f>
        <v>mateus_oltramari@hotmail.com</v>
      </c>
      <c r="S720" s="1">
        <f>IFERROR(__xludf.DUMMYFUNCTION("""COMPUTED_VALUE"""),100)</f>
        <v>100</v>
      </c>
      <c r="T720" s="1" t="str">
        <f>IFERROR(__xludf.DUMMYFUNCTION("""COMPUTED_VALUE"""),"Entre 1,81m e 1,85m")</f>
        <v>Entre 1,81m e 1,85m</v>
      </c>
      <c r="U720" s="1" t="str">
        <f>IFERROR(__xludf.DUMMYFUNCTION("""COMPUTED_VALUE"""),"Não possuo")</f>
        <v>Não possuo</v>
      </c>
      <c r="V720" s="1" t="str">
        <f>IFERROR(__xludf.DUMMYFUNCTION("""COMPUTED_VALUE"""),"(54) 999506403")</f>
        <v>(54) 999506403</v>
      </c>
      <c r="W720" s="1">
        <f>IFERROR(__xludf.DUMMYFUNCTION("""COMPUTED_VALUE"""),54999506403)</f>
        <v>54999506403</v>
      </c>
      <c r="X720" s="1" t="str">
        <f>IFERROR(__xludf.DUMMYFUNCTION("""COMPUTED_VALUE"""),"RIO GRANDE DO SUL")</f>
        <v>RIO GRANDE DO SUL</v>
      </c>
      <c r="Y720" s="1" t="str">
        <f>IFERROR(__xludf.DUMMYFUNCTION("""COMPUTED_VALUE"""),"Faxinalzinho")</f>
        <v>Faxinalzinho</v>
      </c>
      <c r="Z720" s="1" t="str">
        <f>IFERROR(__xludf.DUMMYFUNCTION("""COMPUTED_VALUE"""),"99655-000")</f>
        <v>99655-000</v>
      </c>
      <c r="AA720" s="1" t="str">
        <f>IFERROR(__xludf.DUMMYFUNCTION("""COMPUTED_VALUE"""),"Rua Alfredo Cazzuni")</f>
        <v>Rua Alfredo Cazzuni</v>
      </c>
      <c r="AB720" s="1" t="str">
        <f>IFERROR(__xludf.DUMMYFUNCTION("""COMPUTED_VALUE"""),"Centro")</f>
        <v>Centro</v>
      </c>
      <c r="AC720" s="1" t="str">
        <f>IFERROR(__xludf.DUMMYFUNCTION("""COMPUTED_VALUE"""),"EXG")</f>
        <v>EXG</v>
      </c>
      <c r="AD720" s="1" t="str">
        <f>IFERROR(__xludf.DUMMYFUNCTION("""COMPUTED_VALUE"""),"EXG")</f>
        <v>EXG</v>
      </c>
      <c r="AE720" s="1" t="str">
        <f>IFERROR(__xludf.DUMMYFUNCTION("""COMPUTED_VALUE"""),"EXG")</f>
        <v>EXG</v>
      </c>
      <c r="AF720" s="1" t="str">
        <f>IFERROR(__xludf.DUMMYFUNCTION("""COMPUTED_VALUE"""),"EXG")</f>
        <v>EXG</v>
      </c>
      <c r="AG720" s="1" t="str">
        <f>IFERROR(__xludf.DUMMYFUNCTION("""COMPUTED_VALUE"""),"GG")</f>
        <v>GG</v>
      </c>
      <c r="AH720" s="1">
        <f>IFERROR(__xludf.DUMMYFUNCTION("""COMPUTED_VALUE"""),41)</f>
        <v>41</v>
      </c>
      <c r="AI720" s="1">
        <f>IFERROR(__xludf.DUMMYFUNCTION("""COMPUTED_VALUE"""),41)</f>
        <v>41</v>
      </c>
      <c r="AJ720" s="1">
        <f>IFERROR(__xludf.DUMMYFUNCTION("""COMPUTED_VALUE"""),41)</f>
        <v>41</v>
      </c>
      <c r="AK720" s="1">
        <f>IFERROR(__xludf.DUMMYFUNCTION("""COMPUTED_VALUE"""),41)</f>
        <v>41</v>
      </c>
      <c r="AL720" s="1" t="str">
        <f>IFERROR(__xludf.DUMMYFUNCTION("""COMPUTED_VALUE"""),"EXG")</f>
        <v>EXG</v>
      </c>
      <c r="AM720" s="1" t="str">
        <f>IFERROR(__xludf.DUMMYFUNCTION("""COMPUTED_VALUE"""),"EXG")</f>
        <v>EXG</v>
      </c>
      <c r="AN720" s="1" t="str">
        <f>IFERROR(__xludf.DUMMYFUNCTION("""COMPUTED_VALUE"""),"GG")</f>
        <v>GG</v>
      </c>
    </row>
    <row r="721" customHeight="1" spans="1:40">
      <c r="A721" s="1" t="str">
        <f>IFERROR(__xludf.DUMMYFUNCTION("""COMPUTED_VALUE"""),"07° BBM")</f>
        <v>07° BBM</v>
      </c>
      <c r="B721" s="1" t="str">
        <f>IFERROR(__xludf.DUMMYFUNCTION("""COMPUTED_VALUE"""),"Jacutinga")</f>
        <v>Jacutinga</v>
      </c>
      <c r="C721" s="119" t="str">
        <f>IFERROR(__xludf.DUMMYFUNCTION("""COMPUTED_VALUE"""),"CAB")</f>
        <v>CAB</v>
      </c>
      <c r="D721" s="1" t="str">
        <f>IFERROR(__xludf.DUMMYFUNCTION("""COMPUTED_VALUE"""),"MAURI SANGALLI")</f>
        <v>MAURI SANGALLI</v>
      </c>
      <c r="E721" s="119" t="str">
        <f>IFERROR(__xludf.DUMMYFUNCTION("""COMPUTED_VALUE"""),"Módulo 1 concluído")</f>
        <v>Módulo 1 concluído</v>
      </c>
      <c r="F721" s="1" t="str">
        <f>IFERROR(__xludf.DUMMYFUNCTION("""COMPUTED_VALUE"""),"892.955.520-91")</f>
        <v>892.955.520-91</v>
      </c>
      <c r="G721" s="1">
        <f>IFERROR(__xludf.DUMMYFUNCTION("""COMPUTED_VALUE"""),1068372935)</f>
        <v>1068372935</v>
      </c>
      <c r="H721" s="1" t="str">
        <f>IFERROR(__xludf.DUMMYFUNCTION("""COMPUTED_VALUE"""),"Tesoureiro")</f>
        <v>Tesoureiro</v>
      </c>
      <c r="I721" s="1" t="str">
        <f>IFERROR(__xludf.DUMMYFUNCTION("""COMPUTED_VALUE"""),"TREINAMENTO EM APH E RESGATE VEICULAR JUNTO AO CBM/RS")</f>
        <v>TREINAMENTO EM APH E RESGATE VEICULAR JUNTO AO CBM/RS</v>
      </c>
      <c r="J721" s="1" t="str">
        <f>IFERROR(__xludf.DUMMYFUNCTION("""COMPUTED_VALUE"""),"Sim")</f>
        <v>Sim</v>
      </c>
      <c r="K721" s="1" t="str">
        <f>IFERROR(__xludf.DUMMYFUNCTION("""COMPUTED_VALUE"""),"Não")</f>
        <v>Não</v>
      </c>
      <c r="L721" s="1" t="str">
        <f>IFERROR(__xludf.DUMMYFUNCTION("""COMPUTED_VALUE"""),"O+")</f>
        <v>O+</v>
      </c>
      <c r="M721" s="1" t="str">
        <f>IFERROR(__xludf.DUMMYFUNCTION("""COMPUTED_VALUE"""),"Sangalli")</f>
        <v>Sangalli</v>
      </c>
      <c r="N721" s="120">
        <f>IFERROR(__xludf.DUMMYFUNCTION("""COMPUTED_VALUE"""),28024)</f>
        <v>28024</v>
      </c>
      <c r="O721" s="1" t="str">
        <f>IFERROR(__xludf.DUMMYFUNCTION("""COMPUTED_VALUE"""),"Masculino")</f>
        <v>Masculino</v>
      </c>
      <c r="P721" s="1" t="str">
        <f>IFERROR(__xludf.DUMMYFUNCTION("""COMPUTED_VALUE"""),"Branca")</f>
        <v>Branca</v>
      </c>
      <c r="Q721" s="1" t="str">
        <f>IFERROR(__xludf.DUMMYFUNCTION("""COMPUTED_VALUE"""),"Ensino Médio")</f>
        <v>Ensino Médio</v>
      </c>
      <c r="R721" s="1" t="str">
        <f>IFERROR(__xludf.DUMMYFUNCTION("""COMPUTED_VALUE"""),"maninhosanagalli@hotmail.com")</f>
        <v>maninhosanagalli@hotmail.com</v>
      </c>
      <c r="S721" s="1">
        <f>IFERROR(__xludf.DUMMYFUNCTION("""COMPUTED_VALUE"""),71)</f>
        <v>71</v>
      </c>
      <c r="T721" s="1" t="str">
        <f>IFERROR(__xludf.DUMMYFUNCTION("""COMPUTED_VALUE"""),"Entre 1,66m e 1,70m")</f>
        <v>Entre 1,66m e 1,70m</v>
      </c>
      <c r="U721" s="1"/>
      <c r="V721" s="1" t="str">
        <f>IFERROR(__xludf.DUMMYFUNCTION("""COMPUTED_VALUE"""),"(54)991500852")</f>
        <v>(54)991500852</v>
      </c>
      <c r="W721" s="1" t="str">
        <f>IFERROR(__xludf.DUMMYFUNCTION("""COMPUTED_VALUE"""),"(54)991237383")</f>
        <v>(54)991237383</v>
      </c>
      <c r="X721" s="1" t="str">
        <f>IFERROR(__xludf.DUMMYFUNCTION("""COMPUTED_VALUE"""),"RS")</f>
        <v>RS</v>
      </c>
      <c r="Y721" s="1" t="str">
        <f>IFERROR(__xludf.DUMMYFUNCTION("""COMPUTED_VALUE"""),"Jacutinga")</f>
        <v>Jacutinga</v>
      </c>
      <c r="Z721" s="1" t="str">
        <f>IFERROR(__xludf.DUMMYFUNCTION("""COMPUTED_VALUE"""),"99730-000")</f>
        <v>99730-000</v>
      </c>
      <c r="AA721" s="1" t="str">
        <f>IFERROR(__xludf.DUMMYFUNCTION("""COMPUTED_VALUE"""),"Rua João Tortelli, 738")</f>
        <v>Rua João Tortelli, 738</v>
      </c>
      <c r="AB721" s="1" t="str">
        <f>IFERROR(__xludf.DUMMYFUNCTION("""COMPUTED_VALUE"""),"Centro")</f>
        <v>Centro</v>
      </c>
      <c r="AC721" s="1" t="str">
        <f>IFERROR(__xludf.DUMMYFUNCTION("""COMPUTED_VALUE"""),"M")</f>
        <v>M</v>
      </c>
      <c r="AD721" s="1" t="str">
        <f>IFERROR(__xludf.DUMMYFUNCTION("""COMPUTED_VALUE"""),"M")</f>
        <v>M</v>
      </c>
      <c r="AE721" s="1" t="str">
        <f>IFERROR(__xludf.DUMMYFUNCTION("""COMPUTED_VALUE"""),"M")</f>
        <v>M</v>
      </c>
      <c r="AF721" s="1" t="str">
        <f>IFERROR(__xludf.DUMMYFUNCTION("""COMPUTED_VALUE"""),"M")</f>
        <v>M</v>
      </c>
      <c r="AG721" s="1" t="str">
        <f>IFERROR(__xludf.DUMMYFUNCTION("""COMPUTED_VALUE"""),"M")</f>
        <v>M</v>
      </c>
      <c r="AH721" s="1">
        <f>IFERROR(__xludf.DUMMYFUNCTION("""COMPUTED_VALUE"""),37)</f>
        <v>37</v>
      </c>
      <c r="AI721" s="1">
        <f>IFERROR(__xludf.DUMMYFUNCTION("""COMPUTED_VALUE"""),37)</f>
        <v>37</v>
      </c>
      <c r="AJ721" s="1">
        <f>IFERROR(__xludf.DUMMYFUNCTION("""COMPUTED_VALUE"""),37)</f>
        <v>37</v>
      </c>
      <c r="AK721" s="1">
        <f>IFERROR(__xludf.DUMMYFUNCTION("""COMPUTED_VALUE"""),37)</f>
        <v>37</v>
      </c>
      <c r="AL721" s="1" t="str">
        <f>IFERROR(__xludf.DUMMYFUNCTION("""COMPUTED_VALUE"""),"M")</f>
        <v>M</v>
      </c>
      <c r="AM721" s="1" t="str">
        <f>IFERROR(__xludf.DUMMYFUNCTION("""COMPUTED_VALUE"""),"M")</f>
        <v>M</v>
      </c>
      <c r="AN721" s="1" t="str">
        <f>IFERROR(__xludf.DUMMYFUNCTION("""COMPUTED_VALUE"""),"M")</f>
        <v>M</v>
      </c>
    </row>
    <row r="722" customHeight="1" spans="1:40">
      <c r="A722" s="1" t="str">
        <f>IFERROR(__xludf.DUMMYFUNCTION("""COMPUTED_VALUE"""),"07° BBM")</f>
        <v>07° BBM</v>
      </c>
      <c r="B722" s="1" t="str">
        <f>IFERROR(__xludf.DUMMYFUNCTION("""COMPUTED_VALUE"""),"NONOAI")</f>
        <v>NONOAI</v>
      </c>
      <c r="C722" s="119" t="str">
        <f>IFERROR(__xludf.DUMMYFUNCTION("""COMPUTED_VALUE"""),"Comunitário")</f>
        <v>Comunitário</v>
      </c>
      <c r="D722" s="1" t="str">
        <f>IFERROR(__xludf.DUMMYFUNCTION("""COMPUTED_VALUE"""),"MAURÍCIO AUGUSTO MATTIELLO DE SÁ")</f>
        <v>MAURÍCIO AUGUSTO MATTIELLO DE SÁ</v>
      </c>
      <c r="E722" s="119" t="str">
        <f>IFERROR(__xludf.DUMMYFUNCTION("""COMPUTED_VALUE"""),"Módulo 1 concluído")</f>
        <v>Módulo 1 concluído</v>
      </c>
      <c r="F722" s="1" t="str">
        <f>IFERROR(__xludf.DUMMYFUNCTION("""COMPUTED_VALUE"""),"011.958.660-62")</f>
        <v>011.958.660-62</v>
      </c>
      <c r="G722" s="1">
        <f>IFERROR(__xludf.DUMMYFUNCTION("""COMPUTED_VALUE"""),1082078443)</f>
        <v>1082078443</v>
      </c>
      <c r="H722" s="1" t="str">
        <f>IFERROR(__xludf.DUMMYFUNCTION("""COMPUTED_VALUE"""),"OP")</f>
        <v>OP</v>
      </c>
      <c r="I722" s="1"/>
      <c r="J722" s="1"/>
      <c r="K722" s="1"/>
      <c r="L722" s="1"/>
      <c r="M722" s="1"/>
      <c r="N722" s="121">
        <f>IFERROR(__xludf.DUMMYFUNCTION("""COMPUTED_VALUE"""),31968)</f>
        <v>31968</v>
      </c>
      <c r="O722" s="1" t="str">
        <f>IFERROR(__xludf.DUMMYFUNCTION("""COMPUTED_VALUE"""),"Masculino")</f>
        <v>Masculino</v>
      </c>
      <c r="P722" s="1"/>
      <c r="Q722" s="1"/>
      <c r="R722" s="1"/>
      <c r="S722" s="1"/>
      <c r="T722" s="1"/>
      <c r="U722" s="1"/>
      <c r="V722" s="1"/>
      <c r="W722" s="1"/>
      <c r="X722" s="1"/>
      <c r="Y722" s="1" t="str">
        <f>IFERROR(__xludf.DUMMYFUNCTION("""COMPUTED_VALUE"""),"Nonoai")</f>
        <v>Nonoai</v>
      </c>
      <c r="Z722" s="1"/>
      <c r="AA722" s="1"/>
      <c r="AB722" s="1"/>
      <c r="AC722" s="1"/>
      <c r="AD722" s="1"/>
      <c r="AE722" s="1"/>
      <c r="AF722" s="1"/>
      <c r="AG722" s="1" t="str">
        <f>IFERROR(__xludf.DUMMYFUNCTION("""COMPUTED_VALUE"""),"M")</f>
        <v>M</v>
      </c>
      <c r="AH722" s="1">
        <f>IFERROR(__xludf.DUMMYFUNCTION("""COMPUTED_VALUE"""),41)</f>
        <v>41</v>
      </c>
      <c r="AI722" s="1"/>
      <c r="AJ722" s="1"/>
      <c r="AK722" s="1"/>
      <c r="AL722" s="1" t="str">
        <f>IFERROR(__xludf.DUMMYFUNCTION("""COMPUTED_VALUE"""),"M")</f>
        <v>M</v>
      </c>
      <c r="AM722" s="1" t="str">
        <f>IFERROR(__xludf.DUMMYFUNCTION("""COMPUTED_VALUE"""),"M")</f>
        <v>M</v>
      </c>
      <c r="AN722" s="1" t="str">
        <f>IFERROR(__xludf.DUMMYFUNCTION("""COMPUTED_VALUE"""),"M")</f>
        <v>M</v>
      </c>
    </row>
    <row r="723" customHeight="1" spans="1:40">
      <c r="A723" s="1" t="str">
        <f>IFERROR(__xludf.DUMMYFUNCTION("""COMPUTED_VALUE"""),"07° BBM")</f>
        <v>07° BBM</v>
      </c>
      <c r="B723" s="1" t="str">
        <f>IFERROR(__xludf.DUMMYFUNCTION("""COMPUTED_VALUE"""),"Faxinalzinho")</f>
        <v>Faxinalzinho</v>
      </c>
      <c r="C723" s="119" t="str">
        <f>IFERROR(__xludf.DUMMYFUNCTION("""COMPUTED_VALUE"""),"CAB")</f>
        <v>CAB</v>
      </c>
      <c r="D723" s="1" t="str">
        <f>IFERROR(__xludf.DUMMYFUNCTION("""COMPUTED_VALUE"""),"MAURÍCIO MENEGHETTI")</f>
        <v>MAURÍCIO MENEGHETTI</v>
      </c>
      <c r="E723" s="119" t="str">
        <f>IFERROR(__xludf.DUMMYFUNCTION("""COMPUTED_VALUE"""),"")</f>
        <v/>
      </c>
      <c r="F723" s="1"/>
      <c r="G723" s="1"/>
      <c r="H723" s="1"/>
      <c r="I723" s="1"/>
      <c r="J723" s="1"/>
      <c r="K723" s="1"/>
      <c r="L723" s="1"/>
      <c r="M723" s="1"/>
      <c r="N723" s="120">
        <f>IFERROR(__xludf.DUMMYFUNCTION("""COMPUTED_VALUE"""),33172)</f>
        <v>33172</v>
      </c>
      <c r="O723" s="1" t="str">
        <f>IFERROR(__xludf.DUMMYFUNCTION("""COMPUTED_VALUE"""),"Masculino")</f>
        <v>Masculino</v>
      </c>
      <c r="P723" s="1"/>
      <c r="Q723" s="1"/>
      <c r="R723" s="1"/>
      <c r="S723" s="1"/>
      <c r="T723" s="1"/>
      <c r="U723" s="1"/>
      <c r="V723" s="1"/>
      <c r="W723" s="1"/>
      <c r="X723" s="1"/>
      <c r="Y723" s="1" t="str">
        <f>IFERROR(__xludf.DUMMYFUNCTION("""COMPUTED_VALUE"""),"Faxinalzinho")</f>
        <v>Faxinalzinho</v>
      </c>
      <c r="Z723" s="1"/>
      <c r="AA723" s="1"/>
      <c r="AB723" s="1"/>
      <c r="AC723" s="1"/>
      <c r="AD723" s="1"/>
      <c r="AE723" s="1"/>
      <c r="AF723" s="1"/>
      <c r="AG723" s="1" t="str">
        <f>IFERROR(__xludf.DUMMYFUNCTION("""COMPUTED_VALUE"""),"M")</f>
        <v>M</v>
      </c>
      <c r="AH723" s="1">
        <f>IFERROR(__xludf.DUMMYFUNCTION("""COMPUTED_VALUE"""),41)</f>
        <v>41</v>
      </c>
      <c r="AI723" s="1"/>
      <c r="AJ723" s="1"/>
      <c r="AK723" s="1"/>
      <c r="AL723" s="1" t="str">
        <f>IFERROR(__xludf.DUMMYFUNCTION("""COMPUTED_VALUE"""),"M")</f>
        <v>M</v>
      </c>
      <c r="AM723" s="1" t="str">
        <f>IFERROR(__xludf.DUMMYFUNCTION("""COMPUTED_VALUE"""),"M")</f>
        <v>M</v>
      </c>
      <c r="AN723" s="1" t="str">
        <f>IFERROR(__xludf.DUMMYFUNCTION("""COMPUTED_VALUE"""),"M")</f>
        <v>M</v>
      </c>
    </row>
    <row r="724" customHeight="1" spans="1:40">
      <c r="A724" s="1" t="str">
        <f>IFERROR(__xludf.DUMMYFUNCTION("""COMPUTED_VALUE"""),"07° BBM")</f>
        <v>07° BBM</v>
      </c>
      <c r="B724" s="1" t="str">
        <f>IFERROR(__xludf.DUMMYFUNCTION("""COMPUTED_VALUE"""),"Faxinalzinho")</f>
        <v>Faxinalzinho</v>
      </c>
      <c r="C724" s="119" t="str">
        <f>IFERROR(__xludf.DUMMYFUNCTION("""COMPUTED_VALUE"""),"CAB")</f>
        <v>CAB</v>
      </c>
      <c r="D724" s="1" t="str">
        <f>IFERROR(__xludf.DUMMYFUNCTION("""COMPUTED_VALUE"""),"MAURÍCIO VIEIRA")</f>
        <v>MAURÍCIO VIEIRA</v>
      </c>
      <c r="E724" s="119" t="str">
        <f>IFERROR(__xludf.DUMMYFUNCTION("""COMPUTED_VALUE"""),"")</f>
        <v/>
      </c>
      <c r="F724" s="1" t="str">
        <f>IFERROR(__xludf.DUMMYFUNCTION("""COMPUTED_VALUE"""),"010.385.090-25")</f>
        <v>010.385.090-25</v>
      </c>
      <c r="G724" s="1">
        <f>IFERROR(__xludf.DUMMYFUNCTION("""COMPUTED_VALUE"""),1081233544)</f>
        <v>1081233544</v>
      </c>
      <c r="H724" s="1" t="str">
        <f>IFERROR(__xludf.DUMMYFUNCTION("""COMPUTED_VALUE"""),"Combatente")</f>
        <v>Combatente</v>
      </c>
      <c r="I724" s="1" t="str">
        <f>IFERROR(__xludf.DUMMYFUNCTION("""COMPUTED_VALUE"""),"Não")</f>
        <v>Não</v>
      </c>
      <c r="J724" s="1" t="str">
        <f>IFERROR(__xludf.DUMMYFUNCTION("""COMPUTED_VALUE"""),"Não")</f>
        <v>Não</v>
      </c>
      <c r="K724" s="1" t="str">
        <f>IFERROR(__xludf.DUMMYFUNCTION("""COMPUTED_VALUE"""),"Não")</f>
        <v>Não</v>
      </c>
      <c r="L724" s="1" t="str">
        <f>IFERROR(__xludf.DUMMYFUNCTION("""COMPUTED_VALUE"""),"A+")</f>
        <v>A+</v>
      </c>
      <c r="M724" s="1" t="str">
        <f>IFERROR(__xludf.DUMMYFUNCTION("""COMPUTED_VALUE"""),"MAURICIO")</f>
        <v>MAURICIO</v>
      </c>
      <c r="N724" s="120">
        <f>IFERROR(__xludf.DUMMYFUNCTION("""COMPUTED_VALUE"""),31935)</f>
        <v>31935</v>
      </c>
      <c r="O724" s="1" t="str">
        <f>IFERROR(__xludf.DUMMYFUNCTION("""COMPUTED_VALUE"""),"Masculino")</f>
        <v>Masculino</v>
      </c>
      <c r="P724" s="1" t="str">
        <f>IFERROR(__xludf.DUMMYFUNCTION("""COMPUTED_VALUE"""),"Branca")</f>
        <v>Branca</v>
      </c>
      <c r="Q724" s="1" t="str">
        <f>IFERROR(__xludf.DUMMYFUNCTION("""COMPUTED_VALUE"""),"Ensino Superior Completo")</f>
        <v>Ensino Superior Completo</v>
      </c>
      <c r="R724" s="1" t="str">
        <f>IFERROR(__xludf.DUMMYFUNCTION("""COMPUTED_VALUE"""),"Mauríciovieira0706@gmail.com")</f>
        <v>Mauríciovieira0706@gmail.com</v>
      </c>
      <c r="S724" s="1">
        <f>IFERROR(__xludf.DUMMYFUNCTION("""COMPUTED_VALUE"""),90)</f>
        <v>90</v>
      </c>
      <c r="T724" s="1" t="str">
        <f>IFERROR(__xludf.DUMMYFUNCTION("""COMPUTED_VALUE"""),"Entre 1,76m e 1,80m")</f>
        <v>Entre 1,76m e 1,80m</v>
      </c>
      <c r="U724" s="1" t="str">
        <f>IFERROR(__xludf.DUMMYFUNCTION("""COMPUTED_VALUE"""),"Nao")</f>
        <v>Nao</v>
      </c>
      <c r="V724" s="1" t="str">
        <f>IFERROR(__xludf.DUMMYFUNCTION("""COMPUTED_VALUE"""),"(54) 999900591")</f>
        <v>(54) 999900591</v>
      </c>
      <c r="W724" s="1" t="str">
        <f>IFERROR(__xludf.DUMMYFUNCTION("""COMPUTED_VALUE"""),"Não")</f>
        <v>Não</v>
      </c>
      <c r="X724" s="1" t="str">
        <f>IFERROR(__xludf.DUMMYFUNCTION("""COMPUTED_VALUE"""),"RIO GRANDE DO SUL")</f>
        <v>RIO GRANDE DO SUL</v>
      </c>
      <c r="Y724" s="1" t="str">
        <f>IFERROR(__xludf.DUMMYFUNCTION("""COMPUTED_VALUE"""),"Faxinalzinho")</f>
        <v>Faxinalzinho</v>
      </c>
      <c r="Z724" s="1" t="str">
        <f>IFERROR(__xludf.DUMMYFUNCTION("""COMPUTED_VALUE"""),"99655-009")</f>
        <v>99655-009</v>
      </c>
      <c r="AA724" s="1" t="str">
        <f>IFERROR(__xludf.DUMMYFUNCTION("""COMPUTED_VALUE"""),"Rua Jose Pelin")</f>
        <v>Rua Jose Pelin</v>
      </c>
      <c r="AB724" s="1" t="str">
        <f>IFERROR(__xludf.DUMMYFUNCTION("""COMPUTED_VALUE"""),"Centro")</f>
        <v>Centro</v>
      </c>
      <c r="AC724" s="1" t="str">
        <f>IFERROR(__xludf.DUMMYFUNCTION("""COMPUTED_VALUE"""),"G")</f>
        <v>G</v>
      </c>
      <c r="AD724" s="1" t="str">
        <f>IFERROR(__xludf.DUMMYFUNCTION("""COMPUTED_VALUE"""),"G")</f>
        <v>G</v>
      </c>
      <c r="AE724" s="1" t="str">
        <f>IFERROR(__xludf.DUMMYFUNCTION("""COMPUTED_VALUE"""),"G")</f>
        <v>G</v>
      </c>
      <c r="AF724" s="1" t="str">
        <f>IFERROR(__xludf.DUMMYFUNCTION("""COMPUTED_VALUE"""),"G")</f>
        <v>G</v>
      </c>
      <c r="AG724" s="1" t="str">
        <f>IFERROR(__xludf.DUMMYFUNCTION("""COMPUTED_VALUE"""),"G")</f>
        <v>G</v>
      </c>
      <c r="AH724" s="1">
        <f>IFERROR(__xludf.DUMMYFUNCTION("""COMPUTED_VALUE"""),41)</f>
        <v>41</v>
      </c>
      <c r="AI724" s="1">
        <f>IFERROR(__xludf.DUMMYFUNCTION("""COMPUTED_VALUE"""),41)</f>
        <v>41</v>
      </c>
      <c r="AJ724" s="1">
        <f>IFERROR(__xludf.DUMMYFUNCTION("""COMPUTED_VALUE"""),41)</f>
        <v>41</v>
      </c>
      <c r="AK724" s="1">
        <f>IFERROR(__xludf.DUMMYFUNCTION("""COMPUTED_VALUE"""),42)</f>
        <v>42</v>
      </c>
      <c r="AL724" s="1" t="str">
        <f>IFERROR(__xludf.DUMMYFUNCTION("""COMPUTED_VALUE"""),"G")</f>
        <v>G</v>
      </c>
      <c r="AM724" s="1" t="str">
        <f>IFERROR(__xludf.DUMMYFUNCTION("""COMPUTED_VALUE"""),"G")</f>
        <v>G</v>
      </c>
      <c r="AN724" s="1" t="str">
        <f>IFERROR(__xludf.DUMMYFUNCTION("""COMPUTED_VALUE"""),"G")</f>
        <v>G</v>
      </c>
    </row>
    <row r="725" customHeight="1" spans="1:40">
      <c r="A725" s="1" t="str">
        <f>IFERROR(__xludf.DUMMYFUNCTION("""COMPUTED_VALUE"""),"07° BBM")</f>
        <v>07° BBM</v>
      </c>
      <c r="B725" s="1" t="str">
        <f>IFERROR(__xludf.DUMMYFUNCTION("""COMPUTED_VALUE"""),"Erval Grande")</f>
        <v>Erval Grande</v>
      </c>
      <c r="C725" s="119" t="str">
        <f>IFERROR(__xludf.DUMMYFUNCTION("""COMPUTED_VALUE"""),"CAB")</f>
        <v>CAB</v>
      </c>
      <c r="D725" s="1" t="str">
        <f>IFERROR(__xludf.DUMMYFUNCTION("""COMPUTED_VALUE"""),"MAURO CHAGAS DA COSTA")</f>
        <v>MAURO CHAGAS DA COSTA</v>
      </c>
      <c r="E725" s="119" t="str">
        <f>IFERROR(__xludf.DUMMYFUNCTION("""COMPUTED_VALUE"""),"")</f>
        <v/>
      </c>
      <c r="F725" s="1"/>
      <c r="G725" s="1"/>
      <c r="H725" s="1"/>
      <c r="I725" s="1"/>
      <c r="J725" s="1"/>
      <c r="K725" s="1"/>
      <c r="L725" s="1"/>
      <c r="M725" s="1"/>
      <c r="N725" s="120">
        <f>IFERROR(__xludf.DUMMYFUNCTION("""COMPUTED_VALUE"""),30170)</f>
        <v>30170</v>
      </c>
      <c r="O725" s="1" t="str">
        <f>IFERROR(__xludf.DUMMYFUNCTION("""COMPUTED_VALUE"""),"Masculino")</f>
        <v>Masculino</v>
      </c>
      <c r="P725" s="1"/>
      <c r="Q725" s="1"/>
      <c r="R725" s="1"/>
      <c r="S725" s="1"/>
      <c r="T725" s="1"/>
      <c r="U725" s="1"/>
      <c r="V725" s="1"/>
      <c r="W725" s="1"/>
      <c r="X725" s="1"/>
      <c r="Y725" s="1"/>
      <c r="Z725" s="1"/>
      <c r="AA725" s="1"/>
      <c r="AB725" s="1"/>
      <c r="AC725" s="1"/>
      <c r="AD725" s="1"/>
      <c r="AE725" s="1"/>
      <c r="AF725" s="1"/>
      <c r="AG725" s="1" t="str">
        <f>IFERROR(__xludf.DUMMYFUNCTION("""COMPUTED_VALUE"""),"GG")</f>
        <v>GG</v>
      </c>
      <c r="AH725" s="1">
        <f>IFERROR(__xludf.DUMMYFUNCTION("""COMPUTED_VALUE"""),43)</f>
        <v>43</v>
      </c>
      <c r="AI725" s="1"/>
      <c r="AJ725" s="1"/>
      <c r="AK725" s="1"/>
      <c r="AL725" s="1" t="str">
        <f>IFERROR(__xludf.DUMMYFUNCTION("""COMPUTED_VALUE"""),"XG")</f>
        <v>XG</v>
      </c>
      <c r="AM725" s="1" t="str">
        <f>IFERROR(__xludf.DUMMYFUNCTION("""COMPUTED_VALUE"""),"XG")</f>
        <v>XG</v>
      </c>
      <c r="AN725" s="1" t="str">
        <f>IFERROR(__xludf.DUMMYFUNCTION("""COMPUTED_VALUE"""),"XG")</f>
        <v>XG</v>
      </c>
    </row>
    <row r="726" customHeight="1" spans="1:40">
      <c r="A726" s="1" t="str">
        <f>IFERROR(__xludf.DUMMYFUNCTION("""COMPUTED_VALUE"""),"07° BBM")</f>
        <v>07° BBM</v>
      </c>
      <c r="B726" s="1" t="str">
        <f>IFERROR(__xludf.DUMMYFUNCTION("""COMPUTED_VALUE"""),"Faxinalzinho")</f>
        <v>Faxinalzinho</v>
      </c>
      <c r="C726" s="119" t="str">
        <f>IFERROR(__xludf.DUMMYFUNCTION("""COMPUTED_VALUE"""),"CAB")</f>
        <v>CAB</v>
      </c>
      <c r="D726" s="1" t="str">
        <f>IFERROR(__xludf.DUMMYFUNCTION("""COMPUTED_VALUE"""),"MICHEL PELLIN")</f>
        <v>MICHEL PELLIN</v>
      </c>
      <c r="E726" s="119" t="str">
        <f>IFERROR(__xludf.DUMMYFUNCTION("""COMPUTED_VALUE"""),"")</f>
        <v/>
      </c>
      <c r="F726" s="1" t="str">
        <f>IFERROR(__xludf.DUMMYFUNCTION("""COMPUTED_VALUE"""),"016.374.610-97")</f>
        <v>016.374.610-97</v>
      </c>
      <c r="G726" s="1">
        <f>IFERROR(__xludf.DUMMYFUNCTION("""COMPUTED_VALUE"""),1097600132)</f>
        <v>1097600132</v>
      </c>
      <c r="H726" s="1" t="str">
        <f>IFERROR(__xludf.DUMMYFUNCTION("""COMPUTED_VALUE"""),"Jurídico - Combatente")</f>
        <v>Jurídico - Combatente</v>
      </c>
      <c r="I726" s="1" t="str">
        <f>IFERROR(__xludf.DUMMYFUNCTION("""COMPUTED_VALUE"""),"Combate a incêndio,  manuseio de extintores")</f>
        <v>Combate a incêndio,  manuseio de extintores</v>
      </c>
      <c r="J726" s="1" t="str">
        <f>IFERROR(__xludf.DUMMYFUNCTION("""COMPUTED_VALUE"""),"Sim")</f>
        <v>Sim</v>
      </c>
      <c r="K726" s="1" t="str">
        <f>IFERROR(__xludf.DUMMYFUNCTION("""COMPUTED_VALUE"""),"Não")</f>
        <v>Não</v>
      </c>
      <c r="L726" s="1" t="str">
        <f>IFERROR(__xludf.DUMMYFUNCTION("""COMPUTED_VALUE"""),"A+")</f>
        <v>A+</v>
      </c>
      <c r="M726" s="1" t="str">
        <f>IFERROR(__xludf.DUMMYFUNCTION("""COMPUTED_VALUE"""),"MICHEL")</f>
        <v>MICHEL</v>
      </c>
      <c r="N726" s="120">
        <f>IFERROR(__xludf.DUMMYFUNCTION("""COMPUTED_VALUE"""),32693)</f>
        <v>32693</v>
      </c>
      <c r="O726" s="1" t="str">
        <f>IFERROR(__xludf.DUMMYFUNCTION("""COMPUTED_VALUE"""),"Masculino")</f>
        <v>Masculino</v>
      </c>
      <c r="P726" s="1" t="str">
        <f>IFERROR(__xludf.DUMMYFUNCTION("""COMPUTED_VALUE"""),"Branca")</f>
        <v>Branca</v>
      </c>
      <c r="Q726" s="1" t="str">
        <f>IFERROR(__xludf.DUMMYFUNCTION("""COMPUTED_VALUE"""),"Ensino Superior Completo")</f>
        <v>Ensino Superior Completo</v>
      </c>
      <c r="R726" s="1" t="str">
        <f>IFERROR(__xludf.DUMMYFUNCTION("""COMPUTED_VALUE"""),"michelpelin.oab@yahoo.com")</f>
        <v>michelpelin.oab@yahoo.com</v>
      </c>
      <c r="S726" s="1">
        <f>IFERROR(__xludf.DUMMYFUNCTION("""COMPUTED_VALUE"""),89)</f>
        <v>89</v>
      </c>
      <c r="T726" s="1" t="str">
        <f>IFERROR(__xludf.DUMMYFUNCTION("""COMPUTED_VALUE"""),"Entre 1,76m e 1,80m")</f>
        <v>Entre 1,76m e 1,80m</v>
      </c>
      <c r="U726" s="1">
        <f>IFERROR(__xludf.DUMMYFUNCTION("""COMPUTED_VALUE"""),54999301754)</f>
        <v>54999301754</v>
      </c>
      <c r="V726" s="1" t="str">
        <f>IFERROR(__xludf.DUMMYFUNCTION("""COMPUTED_VALUE"""),"(54) 999301754")</f>
        <v>(54) 999301754</v>
      </c>
      <c r="W726" s="1" t="str">
        <f>IFERROR(__xludf.DUMMYFUNCTION("""COMPUTED_VALUE"""),"54 999903888")</f>
        <v>54 999903888</v>
      </c>
      <c r="X726" s="1" t="str">
        <f>IFERROR(__xludf.DUMMYFUNCTION("""COMPUTED_VALUE"""),"RIO GRANDE DO SUL")</f>
        <v>RIO GRANDE DO SUL</v>
      </c>
      <c r="Y726" s="1" t="str">
        <f>IFERROR(__xludf.DUMMYFUNCTION("""COMPUTED_VALUE"""),"Faxinalzinho")</f>
        <v>Faxinalzinho</v>
      </c>
      <c r="Z726" s="1" t="str">
        <f>IFERROR(__xludf.DUMMYFUNCTION("""COMPUTED_VALUE"""),"99655-000")</f>
        <v>99655-000</v>
      </c>
      <c r="AA726" s="1" t="str">
        <f>IFERROR(__xludf.DUMMYFUNCTION("""COMPUTED_VALUE"""),"Avenida Lido A Oltramari, 1117")</f>
        <v>Avenida Lido A Oltramari, 1117</v>
      </c>
      <c r="AB726" s="1" t="str">
        <f>IFERROR(__xludf.DUMMYFUNCTION("""COMPUTED_VALUE"""),"Centro")</f>
        <v>Centro</v>
      </c>
      <c r="AC726" s="1" t="str">
        <f>IFERROR(__xludf.DUMMYFUNCTION("""COMPUTED_VALUE"""),"M")</f>
        <v>M</v>
      </c>
      <c r="AD726" s="1" t="str">
        <f>IFERROR(__xludf.DUMMYFUNCTION("""COMPUTED_VALUE"""),"G")</f>
        <v>G</v>
      </c>
      <c r="AE726" s="1" t="str">
        <f>IFERROR(__xludf.DUMMYFUNCTION("""COMPUTED_VALUE"""),"G")</f>
        <v>G</v>
      </c>
      <c r="AF726" s="1" t="str">
        <f>IFERROR(__xludf.DUMMYFUNCTION("""COMPUTED_VALUE"""),"G")</f>
        <v>G</v>
      </c>
      <c r="AG726" s="1" t="str">
        <f>IFERROR(__xludf.DUMMYFUNCTION("""COMPUTED_VALUE"""),"G")</f>
        <v>G</v>
      </c>
      <c r="AH726" s="1">
        <f>IFERROR(__xludf.DUMMYFUNCTION("""COMPUTED_VALUE"""),41)</f>
        <v>41</v>
      </c>
      <c r="AI726" s="1">
        <f>IFERROR(__xludf.DUMMYFUNCTION("""COMPUTED_VALUE"""),41)</f>
        <v>41</v>
      </c>
      <c r="AJ726" s="1">
        <f>IFERROR(__xludf.DUMMYFUNCTION("""COMPUTED_VALUE"""),41)</f>
        <v>41</v>
      </c>
      <c r="AK726" s="1">
        <f>IFERROR(__xludf.DUMMYFUNCTION("""COMPUTED_VALUE"""),41)</f>
        <v>41</v>
      </c>
      <c r="AL726" s="1" t="str">
        <f>IFERROR(__xludf.DUMMYFUNCTION("""COMPUTED_VALUE"""),"M")</f>
        <v>M</v>
      </c>
      <c r="AM726" s="1" t="str">
        <f>IFERROR(__xludf.DUMMYFUNCTION("""COMPUTED_VALUE"""),"M")</f>
        <v>M</v>
      </c>
      <c r="AN726" s="1" t="str">
        <f>IFERROR(__xludf.DUMMYFUNCTION("""COMPUTED_VALUE"""),"G")</f>
        <v>G</v>
      </c>
    </row>
    <row r="727" customHeight="1" spans="1:40">
      <c r="A727" s="1" t="str">
        <f>IFERROR(__xludf.DUMMYFUNCTION("""COMPUTED_VALUE"""),"07° BBM")</f>
        <v>07° BBM</v>
      </c>
      <c r="B727" s="1" t="str">
        <f>IFERROR(__xludf.DUMMYFUNCTION("""COMPUTED_VALUE"""),"Áurea")</f>
        <v>Áurea</v>
      </c>
      <c r="C727" s="119" t="str">
        <f>IFERROR(__xludf.DUMMYFUNCTION("""COMPUTED_VALUE"""),"CAB")</f>
        <v>CAB</v>
      </c>
      <c r="D727" s="1" t="str">
        <f>IFERROR(__xludf.DUMMYFUNCTION("""COMPUTED_VALUE"""),"MILTON OMIZOLO")</f>
        <v>MILTON OMIZOLO</v>
      </c>
      <c r="E727" s="119" t="str">
        <f>IFERROR(__xludf.DUMMYFUNCTION("""COMPUTED_VALUE"""),"")</f>
        <v/>
      </c>
      <c r="F727" s="1" t="str">
        <f>IFERROR(__xludf.DUMMYFUNCTION("""COMPUTED_VALUE"""),"760.368.710-15")</f>
        <v>760.368.710-15</v>
      </c>
      <c r="G727" s="1">
        <f>IFERROR(__xludf.DUMMYFUNCTION("""COMPUTED_VALUE"""),7043360739)</f>
        <v>7043360739</v>
      </c>
      <c r="H727" s="1" t="str">
        <f>IFERROR(__xludf.DUMMYFUNCTION("""COMPUTED_VALUE"""),"voluntário")</f>
        <v>voluntário</v>
      </c>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row>
    <row r="728" customHeight="1" spans="1:40">
      <c r="A728" s="1" t="str">
        <f>IFERROR(__xludf.DUMMYFUNCTION("""COMPUTED_VALUE"""),"07° BBM")</f>
        <v>07° BBM</v>
      </c>
      <c r="B728" s="1" t="str">
        <f>IFERROR(__xludf.DUMMYFUNCTION("""COMPUTED_VALUE"""),"Aratiba")</f>
        <v>Aratiba</v>
      </c>
      <c r="C728" s="119" t="str">
        <f>IFERROR(__xludf.DUMMYFUNCTION("""COMPUTED_VALUE"""),"CAB")</f>
        <v>CAB</v>
      </c>
      <c r="D728" s="1" t="str">
        <f>IFERROR(__xludf.DUMMYFUNCTION("""COMPUTED_VALUE"""),"MOISÉS DA SILVA")</f>
        <v>MOISÉS DA SILVA</v>
      </c>
      <c r="E728" s="119" t="str">
        <f>IFERROR(__xludf.DUMMYFUNCTION("""COMPUTED_VALUE"""),"Módulo 1 concluído")</f>
        <v>Módulo 1 concluído</v>
      </c>
      <c r="F728" s="1" t="str">
        <f>IFERROR(__xludf.DUMMYFUNCTION("""COMPUTED_VALUE"""),"722.973.790-72")</f>
        <v>722.973.790-72</v>
      </c>
      <c r="G728" s="1" t="str">
        <f>IFERROR(__xludf.DUMMYFUNCTION("""COMPUTED_VALUE"""),"143851925/SP")</f>
        <v>143851925/SP</v>
      </c>
      <c r="H728" s="1" t="str">
        <f>IFERROR(__xludf.DUMMYFUNCTION("""COMPUTED_VALUE"""),"Bombeiro Voluntario")</f>
        <v>Bombeiro Voluntario</v>
      </c>
      <c r="I728" s="1" t="str">
        <f>IFERROR(__xludf.DUMMYFUNCTION("""COMPUTED_VALUE"""),"Curso de APH")</f>
        <v>Curso de APH</v>
      </c>
      <c r="J728" s="1" t="str">
        <f>IFERROR(__xludf.DUMMYFUNCTION("""COMPUTED_VALUE"""),"Não")</f>
        <v>Não</v>
      </c>
      <c r="K728" s="1" t="str">
        <f>IFERROR(__xludf.DUMMYFUNCTION("""COMPUTED_VALUE"""),"Não")</f>
        <v>Não</v>
      </c>
      <c r="L728" s="1" t="str">
        <f>IFERROR(__xludf.DUMMYFUNCTION("""COMPUTED_VALUE"""),"O-")</f>
        <v>O-</v>
      </c>
      <c r="M728" s="1" t="str">
        <f>IFERROR(__xludf.DUMMYFUNCTION("""COMPUTED_VALUE"""),"MOISÉS")</f>
        <v>MOISÉS</v>
      </c>
      <c r="N728" s="120">
        <f>IFERROR(__xludf.DUMMYFUNCTION("""COMPUTED_VALUE"""),22451)</f>
        <v>22451</v>
      </c>
      <c r="O728" s="1" t="str">
        <f>IFERROR(__xludf.DUMMYFUNCTION("""COMPUTED_VALUE"""),"Masculino")</f>
        <v>Masculino</v>
      </c>
      <c r="P728" s="1" t="str">
        <f>IFERROR(__xludf.DUMMYFUNCTION("""COMPUTED_VALUE"""),"Preta")</f>
        <v>Preta</v>
      </c>
      <c r="Q728" s="1" t="str">
        <f>IFERROR(__xludf.DUMMYFUNCTION("""COMPUTED_VALUE"""),"Ensino Médio")</f>
        <v>Ensino Médio</v>
      </c>
      <c r="R728" s="1" t="str">
        <f>IFERROR(__xludf.DUMMYFUNCTION("""COMPUTED_VALUE"""),"dasilvamoises336@gmail.com")</f>
        <v>dasilvamoises336@gmail.com</v>
      </c>
      <c r="S728" s="1">
        <f>IFERROR(__xludf.DUMMYFUNCTION("""COMPUTED_VALUE"""),92)</f>
        <v>92</v>
      </c>
      <c r="T728" s="1" t="str">
        <f>IFERROR(__xludf.DUMMYFUNCTION("""COMPUTED_VALUE"""),"Entre 1,71m e 1,75m")</f>
        <v>Entre 1,71m e 1,75m</v>
      </c>
      <c r="U728" s="1"/>
      <c r="V728" s="1" t="str">
        <f>IFERROR(__xludf.DUMMYFUNCTION("""COMPUTED_VALUE"""),"(54)999938898")</f>
        <v>(54)999938898</v>
      </c>
      <c r="W728" s="1" t="str">
        <f>IFERROR(__xludf.DUMMYFUNCTION("""COMPUTED_VALUE"""),"(54)999938898")</f>
        <v>(54)999938898</v>
      </c>
      <c r="X728" s="1" t="str">
        <f>IFERROR(__xludf.DUMMYFUNCTION("""COMPUTED_VALUE"""),"RS")</f>
        <v>RS</v>
      </c>
      <c r="Y728" s="1" t="str">
        <f>IFERROR(__xludf.DUMMYFUNCTION("""COMPUTED_VALUE"""),"Aratiba")</f>
        <v>Aratiba</v>
      </c>
      <c r="Z728" s="1">
        <f>IFERROR(__xludf.DUMMYFUNCTION("""COMPUTED_VALUE"""),99770000)</f>
        <v>99770000</v>
      </c>
      <c r="AA728" s="1" t="str">
        <f>IFERROR(__xludf.DUMMYFUNCTION("""COMPUTED_VALUE"""),"Rua 15 de Novembro, 63")</f>
        <v>Rua 15 de Novembro, 63</v>
      </c>
      <c r="AB728" s="1" t="str">
        <f>IFERROR(__xludf.DUMMYFUNCTION("""COMPUTED_VALUE"""),"Centro")</f>
        <v>Centro</v>
      </c>
      <c r="AC728" s="1" t="str">
        <f>IFERROR(__xludf.DUMMYFUNCTION("""COMPUTED_VALUE"""),"G")</f>
        <v>G</v>
      </c>
      <c r="AD728" s="1" t="str">
        <f>IFERROR(__xludf.DUMMYFUNCTION("""COMPUTED_VALUE"""),"G")</f>
        <v>G</v>
      </c>
      <c r="AE728" s="1" t="str">
        <f>IFERROR(__xludf.DUMMYFUNCTION("""COMPUTED_VALUE"""),"G")</f>
        <v>G</v>
      </c>
      <c r="AF728" s="1" t="str">
        <f>IFERROR(__xludf.DUMMYFUNCTION("""COMPUTED_VALUE"""),"G")</f>
        <v>G</v>
      </c>
      <c r="AG728" s="1" t="str">
        <f>IFERROR(__xludf.DUMMYFUNCTION("""COMPUTED_VALUE"""),"G")</f>
        <v>G</v>
      </c>
      <c r="AH728" s="1">
        <f>IFERROR(__xludf.DUMMYFUNCTION("""COMPUTED_VALUE"""),42)</f>
        <v>42</v>
      </c>
      <c r="AI728" s="1">
        <f>IFERROR(__xludf.DUMMYFUNCTION("""COMPUTED_VALUE"""),42)</f>
        <v>42</v>
      </c>
      <c r="AJ728" s="1">
        <f>IFERROR(__xludf.DUMMYFUNCTION("""COMPUTED_VALUE"""),42)</f>
        <v>42</v>
      </c>
      <c r="AK728" s="1">
        <f>IFERROR(__xludf.DUMMYFUNCTION("""COMPUTED_VALUE"""),42)</f>
        <v>42</v>
      </c>
      <c r="AL728" s="1" t="str">
        <f>IFERROR(__xludf.DUMMYFUNCTION("""COMPUTED_VALUE"""),"G")</f>
        <v>G</v>
      </c>
      <c r="AM728" s="1" t="str">
        <f>IFERROR(__xludf.DUMMYFUNCTION("""COMPUTED_VALUE"""),"G")</f>
        <v>G</v>
      </c>
      <c r="AN728" s="1" t="str">
        <f>IFERROR(__xludf.DUMMYFUNCTION("""COMPUTED_VALUE"""),"G")</f>
        <v>G</v>
      </c>
    </row>
    <row r="729" customHeight="1" spans="1:40">
      <c r="A729" s="1" t="str">
        <f>IFERROR(__xludf.DUMMYFUNCTION("""COMPUTED_VALUE"""),"07° BBM")</f>
        <v>07° BBM</v>
      </c>
      <c r="B729" s="1" t="str">
        <f>IFERROR(__xludf.DUMMYFUNCTION("""COMPUTED_VALUE"""),"Serafina Corrêa")</f>
        <v>Serafina Corrêa</v>
      </c>
      <c r="C729" s="119" t="str">
        <f>IFERROR(__xludf.DUMMYFUNCTION("""COMPUTED_VALUE"""),"CAB")</f>
        <v>CAB</v>
      </c>
      <c r="D729" s="1" t="str">
        <f>IFERROR(__xludf.DUMMYFUNCTION("""COMPUTED_VALUE"""),"NADIA TEREZINHA KAZMIRSKI")</f>
        <v>NADIA TEREZINHA KAZMIRSKI</v>
      </c>
      <c r="E729" s="119" t="str">
        <f>IFERROR(__xludf.DUMMYFUNCTION("""COMPUTED_VALUE"""),"Módulo 1 concluído")</f>
        <v>Módulo 1 concluído</v>
      </c>
      <c r="F729" s="1" t="str">
        <f>IFERROR(__xludf.DUMMYFUNCTION("""COMPUTED_VALUE"""),"987.992.820-20")</f>
        <v>987.992.820-20</v>
      </c>
      <c r="G729" s="1">
        <f>IFERROR(__xludf.DUMMYFUNCTION("""COMPUTED_VALUE"""),8060439034)</f>
        <v>8060439034</v>
      </c>
      <c r="H729" s="1" t="str">
        <f>IFERROR(__xludf.DUMMYFUNCTION("""COMPUTED_VALUE"""),"CAB")</f>
        <v>CAB</v>
      </c>
      <c r="I729" s="1" t="str">
        <f>IFERROR(__xludf.DUMMYFUNCTION("""COMPUTED_VALUE"""),"Bombeiro Civil Classe I - 306 HORAS CEVTE - Condutor de veiculo de emergencia - SEST/SENAT APH / BLS Primeira resposta em produtos perigosos - HAZMAT NR 10 NR 33 NR 35 Resgate de Passageiros Em Elevadores - Tyssen Kroup")</f>
        <v>Bombeiro Civil Classe I - 306 HORAS CEVTE - Condutor de veiculo de emergencia - SEST/SENAT APH / BLS Primeira resposta em produtos perigosos - HAZMAT NR 10 NR 33 NR 35 Resgate de Passageiros Em Elevadores - Tyssen Kroup</v>
      </c>
      <c r="J729" s="1" t="str">
        <f>IFERROR(__xludf.DUMMYFUNCTION("""COMPUTED_VALUE"""),"Não")</f>
        <v>Não</v>
      </c>
      <c r="K729" s="1" t="str">
        <f>IFERROR(__xludf.DUMMYFUNCTION("""COMPUTED_VALUE"""),"Não")</f>
        <v>Não</v>
      </c>
      <c r="L729" s="1" t="str">
        <f>IFERROR(__xludf.DUMMYFUNCTION("""COMPUTED_VALUE"""),"O+")</f>
        <v>O+</v>
      </c>
      <c r="M729" s="1" t="str">
        <f>IFERROR(__xludf.DUMMYFUNCTION("""COMPUTED_VALUE"""),"Nadia")</f>
        <v>Nadia</v>
      </c>
      <c r="N729" s="120">
        <f>IFERROR(__xludf.DUMMYFUNCTION("""COMPUTED_VALUE"""),29667)</f>
        <v>29667</v>
      </c>
      <c r="O729" s="1" t="str">
        <f>IFERROR(__xludf.DUMMYFUNCTION("""COMPUTED_VALUE"""),"Feminino")</f>
        <v>Feminino</v>
      </c>
      <c r="P729" s="1" t="str">
        <f>IFERROR(__xludf.DUMMYFUNCTION("""COMPUTED_VALUE"""),"Branca")</f>
        <v>Branca</v>
      </c>
      <c r="Q729" s="1" t="str">
        <f>IFERROR(__xludf.DUMMYFUNCTION("""COMPUTED_VALUE"""),"Ensino Médio")</f>
        <v>Ensino Médio</v>
      </c>
      <c r="R729" s="1" t="str">
        <f>IFERROR(__xludf.DUMMYFUNCTION("""COMPUTED_VALUE"""),"nadiakazmirski@yahoo.com.br")</f>
        <v>nadiakazmirski@yahoo.com.br</v>
      </c>
      <c r="S729" s="1">
        <f>IFERROR(__xludf.DUMMYFUNCTION("""COMPUTED_VALUE"""),73)</f>
        <v>73</v>
      </c>
      <c r="T729" s="1" t="str">
        <f>IFERROR(__xludf.DUMMYFUNCTION("""COMPUTED_VALUE"""),"Entre 1,66m e 1,70m")</f>
        <v>Entre 1,66m e 1,70m</v>
      </c>
      <c r="U729" s="1"/>
      <c r="V729" s="1" t="str">
        <f>IFERROR(__xludf.DUMMYFUNCTION("""COMPUTED_VALUE"""),"(54)99816-7661")</f>
        <v>(54)99816-7661</v>
      </c>
      <c r="W729" s="1" t="str">
        <f>IFERROR(__xludf.DUMMYFUNCTION("""COMPUTED_VALUE"""),"(54)99702-8650")</f>
        <v>(54)99702-8650</v>
      </c>
      <c r="X729" s="1" t="str">
        <f>IFERROR(__xludf.DUMMYFUNCTION("""COMPUTED_VALUE"""),"RS")</f>
        <v>RS</v>
      </c>
      <c r="Y729" s="1" t="str">
        <f>IFERROR(__xludf.DUMMYFUNCTION("""COMPUTED_VALUE"""),"Casca")</f>
        <v>Casca</v>
      </c>
      <c r="Z729" s="1" t="str">
        <f>IFERROR(__xludf.DUMMYFUNCTION("""COMPUTED_VALUE"""),"99260-000")</f>
        <v>99260-000</v>
      </c>
      <c r="AA729" s="1" t="str">
        <f>IFERROR(__xludf.DUMMYFUNCTION("""COMPUTED_VALUE"""),"Rua Fernando Ferrari, 213")</f>
        <v>Rua Fernando Ferrari, 213</v>
      </c>
      <c r="AB729" s="1" t="str">
        <f>IFERROR(__xludf.DUMMYFUNCTION("""COMPUTED_VALUE"""),"Bella vista")</f>
        <v>Bella vista</v>
      </c>
      <c r="AC729" s="1" t="str">
        <f>IFERROR(__xludf.DUMMYFUNCTION("""COMPUTED_VALUE"""),"G")</f>
        <v>G</v>
      </c>
      <c r="AD729" s="1" t="str">
        <f>IFERROR(__xludf.DUMMYFUNCTION("""COMPUTED_VALUE"""),"G")</f>
        <v>G</v>
      </c>
      <c r="AE729" s="1" t="str">
        <f>IFERROR(__xludf.DUMMYFUNCTION("""COMPUTED_VALUE"""),"G")</f>
        <v>G</v>
      </c>
      <c r="AF729" s="1" t="str">
        <f>IFERROR(__xludf.DUMMYFUNCTION("""COMPUTED_VALUE"""),"G")</f>
        <v>G</v>
      </c>
      <c r="AG729" s="1" t="str">
        <f>IFERROR(__xludf.DUMMYFUNCTION("""COMPUTED_VALUE"""),"G")</f>
        <v>G</v>
      </c>
      <c r="AH729" s="1">
        <f>IFERROR(__xludf.DUMMYFUNCTION("""COMPUTED_VALUE"""),39)</f>
        <v>39</v>
      </c>
      <c r="AI729" s="1">
        <f>IFERROR(__xludf.DUMMYFUNCTION("""COMPUTED_VALUE"""),39)</f>
        <v>39</v>
      </c>
      <c r="AJ729" s="1">
        <f>IFERROR(__xludf.DUMMYFUNCTION("""COMPUTED_VALUE"""),39)</f>
        <v>39</v>
      </c>
      <c r="AK729" s="1">
        <f>IFERROR(__xludf.DUMMYFUNCTION("""COMPUTED_VALUE"""),39)</f>
        <v>39</v>
      </c>
      <c r="AL729" s="1" t="str">
        <f>IFERROR(__xludf.DUMMYFUNCTION("""COMPUTED_VALUE"""),"G")</f>
        <v>G</v>
      </c>
      <c r="AM729" s="1" t="str">
        <f>IFERROR(__xludf.DUMMYFUNCTION("""COMPUTED_VALUE"""),"G")</f>
        <v>G</v>
      </c>
      <c r="AN729" s="1" t="str">
        <f>IFERROR(__xludf.DUMMYFUNCTION("""COMPUTED_VALUE"""),"G")</f>
        <v>G</v>
      </c>
    </row>
    <row r="730" customHeight="1" spans="1:40">
      <c r="A730" s="1" t="str">
        <f>IFERROR(__xludf.DUMMYFUNCTION("""COMPUTED_VALUE"""),"07° BBM")</f>
        <v>07° BBM</v>
      </c>
      <c r="B730" s="1" t="str">
        <f>IFERROR(__xludf.DUMMYFUNCTION("""COMPUTED_VALUE"""),"Faxinalzinho")</f>
        <v>Faxinalzinho</v>
      </c>
      <c r="C730" s="119" t="str">
        <f>IFERROR(__xludf.DUMMYFUNCTION("""COMPUTED_VALUE"""),"CAB")</f>
        <v>CAB</v>
      </c>
      <c r="D730" s="1" t="str">
        <f>IFERROR(__xludf.DUMMYFUNCTION("""COMPUTED_VALUE"""),"NADYA CRISTINA LEIRIA DA SILVA")</f>
        <v>NADYA CRISTINA LEIRIA DA SILVA</v>
      </c>
      <c r="E730" s="119" t="str">
        <f>IFERROR(__xludf.DUMMYFUNCTION("""COMPUTED_VALUE"""),"")</f>
        <v/>
      </c>
      <c r="F730" s="1">
        <f>IFERROR(__xludf.DUMMYFUNCTION("""COMPUTED_VALUE"""),578170060)</f>
        <v>578170060</v>
      </c>
      <c r="G730" s="1">
        <f>IFERROR(__xludf.DUMMYFUNCTION("""COMPUTED_VALUE"""),1073998807)</f>
        <v>1073998807</v>
      </c>
      <c r="H730" s="1" t="str">
        <f>IFERROR(__xludf.DUMMYFUNCTION("""COMPUTED_VALUE"""),"Combatente")</f>
        <v>Combatente</v>
      </c>
      <c r="I730" s="1" t="str">
        <f>IFERROR(__xludf.DUMMYFUNCTION("""COMPUTED_VALUE"""),"Técnica de enfermagem, curso de bombeiro civil, curso socorrista, APH, combate incêndio")</f>
        <v>Técnica de enfermagem, curso de bombeiro civil, curso socorrista, APH, combate incêndio</v>
      </c>
      <c r="J730" s="1" t="str">
        <f>IFERROR(__xludf.DUMMYFUNCTION("""COMPUTED_VALUE"""),"Não")</f>
        <v>Não</v>
      </c>
      <c r="K730" s="1" t="str">
        <f>IFERROR(__xludf.DUMMYFUNCTION("""COMPUTED_VALUE"""),"Não")</f>
        <v>Não</v>
      </c>
      <c r="L730" s="1" t="str">
        <f>IFERROR(__xludf.DUMMYFUNCTION("""COMPUTED_VALUE"""),"A+")</f>
        <v>A+</v>
      </c>
      <c r="M730" s="1" t="str">
        <f>IFERROR(__xludf.DUMMYFUNCTION("""COMPUTED_VALUE"""),"NADYA")</f>
        <v>NADYA</v>
      </c>
      <c r="N730" s="121">
        <f>IFERROR(__xludf.DUMMYFUNCTION("""COMPUTED_VALUE"""),30965)</f>
        <v>30965</v>
      </c>
      <c r="O730" s="1" t="str">
        <f>IFERROR(__xludf.DUMMYFUNCTION("""COMPUTED_VALUE"""),"Feminino")</f>
        <v>Feminino</v>
      </c>
      <c r="P730" s="1" t="str">
        <f>IFERROR(__xludf.DUMMYFUNCTION("""COMPUTED_VALUE"""),"Parda")</f>
        <v>Parda</v>
      </c>
      <c r="Q730" s="1" t="str">
        <f>IFERROR(__xludf.DUMMYFUNCTION("""COMPUTED_VALUE"""),"Ensino Médio")</f>
        <v>Ensino Médio</v>
      </c>
      <c r="R730" s="1" t="str">
        <f>IFERROR(__xludf.DUMMYFUNCTION("""COMPUTED_VALUE"""),"nadya.silva1102@gmail.com")</f>
        <v>nadya.silva1102@gmail.com</v>
      </c>
      <c r="S730" s="1">
        <f>IFERROR(__xludf.DUMMYFUNCTION("""COMPUTED_VALUE"""),60)</f>
        <v>60</v>
      </c>
      <c r="T730" s="1" t="str">
        <f>IFERROR(__xludf.DUMMYFUNCTION("""COMPUTED_VALUE"""),"Entre 1,66m e 1,70m")</f>
        <v>Entre 1,66m e 1,70m</v>
      </c>
      <c r="U730" s="1" t="str">
        <f>IFERROR(__xludf.DUMMYFUNCTION("""COMPUTED_VALUE"""),"(54)336132211")</f>
        <v>(54)336132211</v>
      </c>
      <c r="V730" s="1" t="str">
        <f>IFERROR(__xludf.DUMMYFUNCTION("""COMPUTED_VALUE"""),"(54)999227250")</f>
        <v>(54)999227250</v>
      </c>
      <c r="W730" s="1" t="str">
        <f>IFERROR(__xludf.DUMMYFUNCTION("""COMPUTED_VALUE"""),"(54)999227250")</f>
        <v>(54)999227250</v>
      </c>
      <c r="X730" s="1" t="str">
        <f>IFERROR(__xludf.DUMMYFUNCTION("""COMPUTED_VALUE"""),"RIO GRANDE DO SUL")</f>
        <v>RIO GRANDE DO SUL</v>
      </c>
      <c r="Y730" s="1" t="str">
        <f>IFERROR(__xludf.DUMMYFUNCTION("""COMPUTED_VALUE"""),"Faxinalzinho")</f>
        <v>Faxinalzinho</v>
      </c>
      <c r="Z730" s="1" t="str">
        <f>IFERROR(__xludf.DUMMYFUNCTION("""COMPUTED_VALUE"""),"99655-000")</f>
        <v>99655-000</v>
      </c>
      <c r="AA730" s="1" t="str">
        <f>IFERROR(__xludf.DUMMYFUNCTION("""COMPUTED_VALUE"""),"Casa")</f>
        <v>Casa</v>
      </c>
      <c r="AB730" s="1" t="str">
        <f>IFERROR(__xludf.DUMMYFUNCTION("""COMPUTED_VALUE"""),"Centro")</f>
        <v>Centro</v>
      </c>
      <c r="AC730" s="1" t="str">
        <f>IFERROR(__xludf.DUMMYFUNCTION("""COMPUTED_VALUE"""),"M")</f>
        <v>M</v>
      </c>
      <c r="AD730" s="1" t="str">
        <f>IFERROR(__xludf.DUMMYFUNCTION("""COMPUTED_VALUE"""),"M")</f>
        <v>M</v>
      </c>
      <c r="AE730" s="1" t="str">
        <f>IFERROR(__xludf.DUMMYFUNCTION("""COMPUTED_VALUE"""),"M")</f>
        <v>M</v>
      </c>
      <c r="AF730" s="1" t="str">
        <f>IFERROR(__xludf.DUMMYFUNCTION("""COMPUTED_VALUE"""),"M")</f>
        <v>M</v>
      </c>
      <c r="AG730" s="1" t="str">
        <f>IFERROR(__xludf.DUMMYFUNCTION("""COMPUTED_VALUE"""),"P")</f>
        <v>P</v>
      </c>
      <c r="AH730" s="1">
        <f>IFERROR(__xludf.DUMMYFUNCTION("""COMPUTED_VALUE"""),37)</f>
        <v>37</v>
      </c>
      <c r="AI730" s="1">
        <f>IFERROR(__xludf.DUMMYFUNCTION("""COMPUTED_VALUE"""),37)</f>
        <v>37</v>
      </c>
      <c r="AJ730" s="1">
        <f>IFERROR(__xludf.DUMMYFUNCTION("""COMPUTED_VALUE"""),37)</f>
        <v>37</v>
      </c>
      <c r="AK730" s="1">
        <f>IFERROR(__xludf.DUMMYFUNCTION("""COMPUTED_VALUE"""),37)</f>
        <v>37</v>
      </c>
      <c r="AL730" s="1" t="str">
        <f>IFERROR(__xludf.DUMMYFUNCTION("""COMPUTED_VALUE"""),"M")</f>
        <v>M</v>
      </c>
      <c r="AM730" s="1" t="str">
        <f>IFERROR(__xludf.DUMMYFUNCTION("""COMPUTED_VALUE"""),"M")</f>
        <v>M</v>
      </c>
      <c r="AN730" s="1" t="str">
        <f>IFERROR(__xludf.DUMMYFUNCTION("""COMPUTED_VALUE"""),"M")</f>
        <v>M</v>
      </c>
    </row>
    <row r="731" customHeight="1" spans="1:40">
      <c r="A731" s="1" t="str">
        <f>IFERROR(__xludf.DUMMYFUNCTION("""COMPUTED_VALUE"""),"07° BBM")</f>
        <v>07° BBM</v>
      </c>
      <c r="B731" s="1" t="str">
        <f>IFERROR(__xludf.DUMMYFUNCTION("""COMPUTED_VALUE"""),"Gaurama")</f>
        <v>Gaurama</v>
      </c>
      <c r="C731" s="119" t="str">
        <f>IFERROR(__xludf.DUMMYFUNCTION("""COMPUTED_VALUE"""),"CAB")</f>
        <v>CAB</v>
      </c>
      <c r="D731" s="1" t="str">
        <f>IFERROR(__xludf.DUMMYFUNCTION("""COMPUTED_VALUE"""),"NATAL MIOR")</f>
        <v>NATAL MIOR</v>
      </c>
      <c r="E731" s="119" t="str">
        <f>IFERROR(__xludf.DUMMYFUNCTION("""COMPUTED_VALUE"""),"")</f>
        <v/>
      </c>
      <c r="F731" s="1" t="str">
        <f>IFERROR(__xludf.DUMMYFUNCTION("""COMPUTED_VALUE"""),"942.163.980-49")</f>
        <v>942.163.980-49</v>
      </c>
      <c r="G731" s="1">
        <f>IFERROR(__xludf.DUMMYFUNCTION("""COMPUTED_VALUE"""),9070619839)</f>
        <v>9070619839</v>
      </c>
      <c r="H731" s="1" t="str">
        <f>IFERROR(__xludf.DUMMYFUNCTION("""COMPUTED_VALUE"""),"Combatente")</f>
        <v>Combatente</v>
      </c>
      <c r="I731" s="1" t="str">
        <f>IFERROR(__xludf.DUMMYFUNCTION("""COMPUTED_VALUE"""),"Atendimento Suporte Básico de Vida/ Brigada de Incendio")</f>
        <v>Atendimento Suporte Básico de Vida/ Brigada de Incendio</v>
      </c>
      <c r="J731" s="1" t="str">
        <f>IFERROR(__xludf.DUMMYFUNCTION("""COMPUTED_VALUE"""),"Não")</f>
        <v>Não</v>
      </c>
      <c r="K731" s="1" t="str">
        <f>IFERROR(__xludf.DUMMYFUNCTION("""COMPUTED_VALUE"""),"Não")</f>
        <v>Não</v>
      </c>
      <c r="L731" s="1" t="str">
        <f>IFERROR(__xludf.DUMMYFUNCTION("""COMPUTED_VALUE"""),"O+")</f>
        <v>O+</v>
      </c>
      <c r="M731" s="1" t="str">
        <f>IFERROR(__xludf.DUMMYFUNCTION("""COMPUTED_VALUE"""),"MIOR")</f>
        <v>MIOR</v>
      </c>
      <c r="N731" s="120">
        <f>IFERROR(__xludf.DUMMYFUNCTION("""COMPUTED_VALUE"""),27792)</f>
        <v>27792</v>
      </c>
      <c r="O731" s="1" t="str">
        <f>IFERROR(__xludf.DUMMYFUNCTION("""COMPUTED_VALUE"""),"Masculino")</f>
        <v>Masculino</v>
      </c>
      <c r="P731" s="1" t="str">
        <f>IFERROR(__xludf.DUMMYFUNCTION("""COMPUTED_VALUE"""),"Morena")</f>
        <v>Morena</v>
      </c>
      <c r="Q731" s="1" t="str">
        <f>IFERROR(__xludf.DUMMYFUNCTION("""COMPUTED_VALUE"""),"Ensino Médio")</f>
        <v>Ensino Médio</v>
      </c>
      <c r="R731" s="1" t="str">
        <f>IFERROR(__xludf.DUMMYFUNCTION("""COMPUTED_VALUE"""),"natalmior79@gmail.com")</f>
        <v>natalmior79@gmail.com</v>
      </c>
      <c r="S731" s="1">
        <f>IFERROR(__xludf.DUMMYFUNCTION("""COMPUTED_VALUE"""),79)</f>
        <v>79</v>
      </c>
      <c r="T731" s="1" t="str">
        <f>IFERROR(__xludf.DUMMYFUNCTION("""COMPUTED_VALUE"""),"Entre 1,71m e 1,75m")</f>
        <v>Entre 1,71m e 1,75m</v>
      </c>
      <c r="U731" s="1"/>
      <c r="V731" s="1" t="str">
        <f>IFERROR(__xludf.DUMMYFUNCTION("""COMPUTED_VALUE"""),"(54)991272617")</f>
        <v>(54)991272617</v>
      </c>
      <c r="W731" s="1"/>
      <c r="X731" s="1" t="str">
        <f>IFERROR(__xludf.DUMMYFUNCTION("""COMPUTED_VALUE"""),"RS")</f>
        <v>RS</v>
      </c>
      <c r="Y731" s="1" t="str">
        <f>IFERROR(__xludf.DUMMYFUNCTION("""COMPUTED_VALUE"""),"Gaurama")</f>
        <v>Gaurama</v>
      </c>
      <c r="Z731" s="1">
        <f>IFERROR(__xludf.DUMMYFUNCTION("""COMPUTED_VALUE"""),99830000)</f>
        <v>99830000</v>
      </c>
      <c r="AA731" s="1" t="str">
        <f>IFERROR(__xludf.DUMMYFUNCTION("""COMPUTED_VALUE"""),"recinto feroviario")</f>
        <v>recinto feroviario</v>
      </c>
      <c r="AB731" s="1" t="str">
        <f>IFERROR(__xludf.DUMMYFUNCTION("""COMPUTED_VALUE"""),"centro")</f>
        <v>centro</v>
      </c>
      <c r="AC731" s="1" t="str">
        <f>IFERROR(__xludf.DUMMYFUNCTION("""COMPUTED_VALUE"""),"G")</f>
        <v>G</v>
      </c>
      <c r="AD731" s="1" t="str">
        <f>IFERROR(__xludf.DUMMYFUNCTION("""COMPUTED_VALUE"""),"G")</f>
        <v>G</v>
      </c>
      <c r="AE731" s="1" t="str">
        <f>IFERROR(__xludf.DUMMYFUNCTION("""COMPUTED_VALUE"""),"G")</f>
        <v>G</v>
      </c>
      <c r="AF731" s="1" t="str">
        <f>IFERROR(__xludf.DUMMYFUNCTION("""COMPUTED_VALUE"""),"G")</f>
        <v>G</v>
      </c>
      <c r="AG731" s="1" t="str">
        <f>IFERROR(__xludf.DUMMYFUNCTION("""COMPUTED_VALUE"""),"G")</f>
        <v>G</v>
      </c>
      <c r="AH731" s="1">
        <f>IFERROR(__xludf.DUMMYFUNCTION("""COMPUTED_VALUE"""),40)</f>
        <v>40</v>
      </c>
      <c r="AI731" s="1">
        <f>IFERROR(__xludf.DUMMYFUNCTION("""COMPUTED_VALUE"""),40)</f>
        <v>40</v>
      </c>
      <c r="AJ731" s="1">
        <f>IFERROR(__xludf.DUMMYFUNCTION("""COMPUTED_VALUE"""),40)</f>
        <v>40</v>
      </c>
      <c r="AK731" s="1">
        <f>IFERROR(__xludf.DUMMYFUNCTION("""COMPUTED_VALUE"""),40)</f>
        <v>40</v>
      </c>
      <c r="AL731" s="1" t="str">
        <f>IFERROR(__xludf.DUMMYFUNCTION("""COMPUTED_VALUE"""),"G")</f>
        <v>G</v>
      </c>
      <c r="AM731" s="1" t="str">
        <f>IFERROR(__xludf.DUMMYFUNCTION("""COMPUTED_VALUE"""),"G")</f>
        <v>G</v>
      </c>
      <c r="AN731" s="1" t="str">
        <f>IFERROR(__xludf.DUMMYFUNCTION("""COMPUTED_VALUE"""),"M")</f>
        <v>M</v>
      </c>
    </row>
    <row r="732" customHeight="1" spans="1:40">
      <c r="A732" s="1" t="str">
        <f>IFERROR(__xludf.DUMMYFUNCTION("""COMPUTED_VALUE"""),"07° BBM")</f>
        <v>07° BBM</v>
      </c>
      <c r="B732" s="1" t="str">
        <f>IFERROR(__xludf.DUMMYFUNCTION("""COMPUTED_VALUE"""),"Não-Me-Toque")</f>
        <v>Não-Me-Toque</v>
      </c>
      <c r="C732" s="119" t="str">
        <f>IFERROR(__xludf.DUMMYFUNCTION("""COMPUTED_VALUE"""),"CAB")</f>
        <v>CAB</v>
      </c>
      <c r="D732" s="1" t="str">
        <f>IFERROR(__xludf.DUMMYFUNCTION("""COMPUTED_VALUE"""),"NEIMAR RASCHE")</f>
        <v>NEIMAR RASCHE</v>
      </c>
      <c r="E732" s="119" t="str">
        <f>IFERROR(__xludf.DUMMYFUNCTION("""COMPUTED_VALUE"""),"")</f>
        <v/>
      </c>
      <c r="F732" s="1" t="str">
        <f>IFERROR(__xludf.DUMMYFUNCTION("""COMPUTED_VALUE"""),"003.341.410-60")</f>
        <v>003.341.410-60</v>
      </c>
      <c r="G732" s="1">
        <f>IFERROR(__xludf.DUMMYFUNCTION("""COMPUTED_VALUE"""),7083258603)</f>
        <v>7083258603</v>
      </c>
      <c r="H732" s="1" t="str">
        <f>IFERROR(__xludf.DUMMYFUNCTION("""COMPUTED_VALUE"""),"BOMBEIRO")</f>
        <v>BOMBEIRO</v>
      </c>
      <c r="I732" s="1" t="str">
        <f>IFERROR(__xludf.DUMMYFUNCTION("""COMPUTED_VALUE"""),"Brigada de Incêndio/Nivelamento Operacional BV/EPI's e EPRA/Nivelamento Operacional CBMRS")</f>
        <v>Brigada de Incêndio/Nivelamento Operacional BV/EPI's e EPRA/Nivelamento Operacional CBMRS</v>
      </c>
      <c r="J732" s="1" t="str">
        <f>IFERROR(__xludf.DUMMYFUNCTION("""COMPUTED_VALUE"""),"Não")</f>
        <v>Não</v>
      </c>
      <c r="K732" s="1" t="str">
        <f>IFERROR(__xludf.DUMMYFUNCTION("""COMPUTED_VALUE"""),"Não")</f>
        <v>Não</v>
      </c>
      <c r="L732" s="1" t="str">
        <f>IFERROR(__xludf.DUMMYFUNCTION("""COMPUTED_VALUE"""),"A+")</f>
        <v>A+</v>
      </c>
      <c r="M732" s="1" t="str">
        <f>IFERROR(__xludf.DUMMYFUNCTION("""COMPUTED_VALUE"""),"NEI")</f>
        <v>NEI</v>
      </c>
      <c r="N732" s="120">
        <f>IFERROR(__xludf.DUMMYFUNCTION("""COMPUTED_VALUE"""),30055)</f>
        <v>30055</v>
      </c>
      <c r="O732" s="1" t="str">
        <f>IFERROR(__xludf.DUMMYFUNCTION("""COMPUTED_VALUE"""),"Masculino")</f>
        <v>Masculino</v>
      </c>
      <c r="P732" s="1" t="str">
        <f>IFERROR(__xludf.DUMMYFUNCTION("""COMPUTED_VALUE"""),"Branca")</f>
        <v>Branca</v>
      </c>
      <c r="Q732" s="1" t="str">
        <f>IFERROR(__xludf.DUMMYFUNCTION("""COMPUTED_VALUE"""),"Ensino Médio")</f>
        <v>Ensino Médio</v>
      </c>
      <c r="R732" s="1" t="str">
        <f>IFERROR(__xludf.DUMMYFUNCTION("""COMPUTED_VALUE"""),"neimar.rasche21@gmail.com")</f>
        <v>neimar.rasche21@gmail.com</v>
      </c>
      <c r="S732" s="1">
        <f>IFERROR(__xludf.DUMMYFUNCTION("""COMPUTED_VALUE"""),67)</f>
        <v>67</v>
      </c>
      <c r="T732" s="1" t="str">
        <f>IFERROR(__xludf.DUMMYFUNCTION("""COMPUTED_VALUE"""),"Entre 1,71m e 1,75m")</f>
        <v>Entre 1,71m e 1,75m</v>
      </c>
      <c r="U732" s="1"/>
      <c r="V732" s="1" t="str">
        <f>IFERROR(__xludf.DUMMYFUNCTION("""COMPUTED_VALUE"""),"(54)991821076")</f>
        <v>(54)991821076</v>
      </c>
      <c r="W732" s="1"/>
      <c r="X732" s="1" t="str">
        <f>IFERROR(__xludf.DUMMYFUNCTION("""COMPUTED_VALUE"""),"RS")</f>
        <v>RS</v>
      </c>
      <c r="Y732" s="1" t="str">
        <f>IFERROR(__xludf.DUMMYFUNCTION("""COMPUTED_VALUE"""),"Não-Me-Toque")</f>
        <v>Não-Me-Toque</v>
      </c>
      <c r="Z732" s="1" t="str">
        <f>IFERROR(__xludf.DUMMYFUNCTION("""COMPUTED_VALUE"""),"99470-000")</f>
        <v>99470-000</v>
      </c>
      <c r="AA732" s="1" t="str">
        <f>IFERROR(__xludf.DUMMYFUNCTION("""COMPUTED_VALUE"""),"Rua Adão da Rosa, 22")</f>
        <v>Rua Adão da Rosa, 22</v>
      </c>
      <c r="AB732" s="1" t="str">
        <f>IFERROR(__xludf.DUMMYFUNCTION("""COMPUTED_VALUE"""),"Arlindo Hermes")</f>
        <v>Arlindo Hermes</v>
      </c>
      <c r="AC732" s="1" t="str">
        <f>IFERROR(__xludf.DUMMYFUNCTION("""COMPUTED_VALUE"""),"G")</f>
        <v>G</v>
      </c>
      <c r="AD732" s="1" t="str">
        <f>IFERROR(__xludf.DUMMYFUNCTION("""COMPUTED_VALUE"""),"G")</f>
        <v>G</v>
      </c>
      <c r="AE732" s="1" t="str">
        <f>IFERROR(__xludf.DUMMYFUNCTION("""COMPUTED_VALUE"""),"M")</f>
        <v>M</v>
      </c>
      <c r="AF732" s="1" t="str">
        <f>IFERROR(__xludf.DUMMYFUNCTION("""COMPUTED_VALUE"""),"G")</f>
        <v>G</v>
      </c>
      <c r="AG732" s="1" t="str">
        <f>IFERROR(__xludf.DUMMYFUNCTION("""COMPUTED_VALUE"""),"G")</f>
        <v>G</v>
      </c>
      <c r="AH732" s="1">
        <f>IFERROR(__xludf.DUMMYFUNCTION("""COMPUTED_VALUE"""),40)</f>
        <v>40</v>
      </c>
      <c r="AI732" s="1">
        <f>IFERROR(__xludf.DUMMYFUNCTION("""COMPUTED_VALUE"""),40)</f>
        <v>40</v>
      </c>
      <c r="AJ732" s="1">
        <f>IFERROR(__xludf.DUMMYFUNCTION("""COMPUTED_VALUE"""),40)</f>
        <v>40</v>
      </c>
      <c r="AK732" s="1">
        <f>IFERROR(__xludf.DUMMYFUNCTION("""COMPUTED_VALUE"""),40)</f>
        <v>40</v>
      </c>
      <c r="AL732" s="1" t="str">
        <f>IFERROR(__xludf.DUMMYFUNCTION("""COMPUTED_VALUE"""),"M")</f>
        <v>M</v>
      </c>
      <c r="AM732" s="1" t="str">
        <f>IFERROR(__xludf.DUMMYFUNCTION("""COMPUTED_VALUE"""),"M")</f>
        <v>M</v>
      </c>
      <c r="AN732" s="1" t="str">
        <f>IFERROR(__xludf.DUMMYFUNCTION("""COMPUTED_VALUE"""),"M")</f>
        <v>M</v>
      </c>
    </row>
    <row r="733" customHeight="1" spans="1:40">
      <c r="A733" s="1" t="str">
        <f>IFERROR(__xludf.DUMMYFUNCTION("""COMPUTED_VALUE"""),"07° BBM")</f>
        <v>07° BBM</v>
      </c>
      <c r="B733" s="1" t="str">
        <f>IFERROR(__xludf.DUMMYFUNCTION("""COMPUTED_VALUE"""),"Não-Me-Toque")</f>
        <v>Não-Me-Toque</v>
      </c>
      <c r="C733" s="119" t="str">
        <f>IFERROR(__xludf.DUMMYFUNCTION("""COMPUTED_VALUE"""),"CAB")</f>
        <v>CAB</v>
      </c>
      <c r="D733" s="1" t="str">
        <f>IFERROR(__xludf.DUMMYFUNCTION("""COMPUTED_VALUE"""),"NELIR MARCONDES DE QUADROS BREANCINI")</f>
        <v>NELIR MARCONDES DE QUADROS BREANCINI</v>
      </c>
      <c r="E733" s="119" t="str">
        <f>IFERROR(__xludf.DUMMYFUNCTION("""COMPUTED_VALUE"""),"")</f>
        <v/>
      </c>
      <c r="F733" s="1" t="str">
        <f>IFERROR(__xludf.DUMMYFUNCTION("""COMPUTED_VALUE"""),"687.057.510-04")</f>
        <v>687.057.510-04</v>
      </c>
      <c r="G733" s="1">
        <f>IFERROR(__xludf.DUMMYFUNCTION("""COMPUTED_VALUE"""),7087395278)</f>
        <v>7087395278</v>
      </c>
      <c r="H733" s="1" t="str">
        <f>IFERROR(__xludf.DUMMYFUNCTION("""COMPUTED_VALUE"""),"BOMBEIRA")</f>
        <v>BOMBEIRA</v>
      </c>
      <c r="I733" s="1" t="str">
        <f>IFERROR(__xludf.DUMMYFUNCTION("""COMPUTED_VALUE"""),"Brigada de Incêndio/Nivelamento Operacional BV/Nivelamento Operacional CBMRS")</f>
        <v>Brigada de Incêndio/Nivelamento Operacional BV/Nivelamento Operacional CBMRS</v>
      </c>
      <c r="J733" s="1" t="str">
        <f>IFERROR(__xludf.DUMMYFUNCTION("""COMPUTED_VALUE"""),"Não")</f>
        <v>Não</v>
      </c>
      <c r="K733" s="1" t="str">
        <f>IFERROR(__xludf.DUMMYFUNCTION("""COMPUTED_VALUE"""),"Não")</f>
        <v>Não</v>
      </c>
      <c r="L733" s="1"/>
      <c r="M733" s="1"/>
      <c r="N733" s="1"/>
      <c r="O733" s="1"/>
      <c r="P733" s="1"/>
      <c r="Q733" s="1"/>
      <c r="R733" s="1"/>
      <c r="S733" s="1"/>
      <c r="T733" s="1"/>
      <c r="U733" s="1"/>
      <c r="V733" s="1"/>
      <c r="W733" s="1"/>
      <c r="X733" s="1" t="str">
        <f>IFERROR(__xludf.DUMMYFUNCTION("""COMPUTED_VALUE"""),"RS")</f>
        <v>RS</v>
      </c>
      <c r="Y733" s="1" t="str">
        <f>IFERROR(__xludf.DUMMYFUNCTION("""COMPUTED_VALUE"""),"Não-Me-Toque")</f>
        <v>Não-Me-Toque</v>
      </c>
      <c r="Z733" s="1" t="str">
        <f>IFERROR(__xludf.DUMMYFUNCTION("""COMPUTED_VALUE"""),"99470-000")</f>
        <v>99470-000</v>
      </c>
      <c r="AA733" s="1"/>
      <c r="AB733" s="1"/>
      <c r="AC733" s="1"/>
      <c r="AD733" s="1"/>
      <c r="AE733" s="1"/>
      <c r="AF733" s="1"/>
      <c r="AG733" s="1" t="str">
        <f>IFERROR(__xludf.DUMMYFUNCTION("""COMPUTED_VALUE"""),"M")</f>
        <v>M</v>
      </c>
      <c r="AH733" s="1">
        <f>IFERROR(__xludf.DUMMYFUNCTION("""COMPUTED_VALUE"""),35)</f>
        <v>35</v>
      </c>
      <c r="AI733" s="1"/>
      <c r="AJ733" s="1"/>
      <c r="AK733" s="1"/>
      <c r="AL733" s="1" t="str">
        <f>IFERROR(__xludf.DUMMYFUNCTION("""COMPUTED_VALUE"""),"M")</f>
        <v>M</v>
      </c>
      <c r="AM733" s="1" t="str">
        <f>IFERROR(__xludf.DUMMYFUNCTION("""COMPUTED_VALUE"""),"M")</f>
        <v>M</v>
      </c>
      <c r="AN733" s="1" t="str">
        <f>IFERROR(__xludf.DUMMYFUNCTION("""COMPUTED_VALUE"""),"M")</f>
        <v>M</v>
      </c>
    </row>
    <row r="734" customHeight="1" spans="1:40">
      <c r="A734" s="1" t="str">
        <f>IFERROR(__xludf.DUMMYFUNCTION("""COMPUTED_VALUE"""),"07° BBM")</f>
        <v>07° BBM</v>
      </c>
      <c r="B734" s="1" t="str">
        <f>IFERROR(__xludf.DUMMYFUNCTION("""COMPUTED_VALUE"""),"Aratiba")</f>
        <v>Aratiba</v>
      </c>
      <c r="C734" s="119" t="str">
        <f>IFERROR(__xludf.DUMMYFUNCTION("""COMPUTED_VALUE"""),"CAB")</f>
        <v>CAB</v>
      </c>
      <c r="D734" s="1" t="str">
        <f>IFERROR(__xludf.DUMMYFUNCTION("""COMPUTED_VALUE"""),"NEUDIR SCHMIDT DALAGNOL")</f>
        <v>NEUDIR SCHMIDT DALAGNOL</v>
      </c>
      <c r="E734" s="119" t="str">
        <f>IFERROR(__xludf.DUMMYFUNCTION("""COMPUTED_VALUE"""),"Módulo 1 concluído")</f>
        <v>Módulo 1 concluído</v>
      </c>
      <c r="F734" s="1" t="str">
        <f>IFERROR(__xludf.DUMMYFUNCTION("""COMPUTED_VALUE"""),"983.461.999-53")</f>
        <v>983.461.999-53</v>
      </c>
      <c r="G734" s="1">
        <f>IFERROR(__xludf.DUMMYFUNCTION("""COMPUTED_VALUE"""),1132932755)</f>
        <v>1132932755</v>
      </c>
      <c r="H734" s="1" t="str">
        <f>IFERROR(__xludf.DUMMYFUNCTION("""COMPUTED_VALUE"""),"Bombeiro Voluntario")</f>
        <v>Bombeiro Voluntario</v>
      </c>
      <c r="I734" s="1" t="str">
        <f>IFERROR(__xludf.DUMMYFUNCTION("""COMPUTED_VALUE"""),"Curso de APH, CEVTE")</f>
        <v>Curso de APH, CEVTE</v>
      </c>
      <c r="J734" s="1" t="str">
        <f>IFERROR(__xludf.DUMMYFUNCTION("""COMPUTED_VALUE"""),"Não")</f>
        <v>Não</v>
      </c>
      <c r="K734" s="1" t="str">
        <f>IFERROR(__xludf.DUMMYFUNCTION("""COMPUTED_VALUE"""),"Não")</f>
        <v>Não</v>
      </c>
      <c r="L734" s="1" t="str">
        <f>IFERROR(__xludf.DUMMYFUNCTION("""COMPUTED_VALUE"""),"O+")</f>
        <v>O+</v>
      </c>
      <c r="M734" s="1" t="str">
        <f>IFERROR(__xludf.DUMMYFUNCTION("""COMPUTED_VALUE"""),"SCHIMIDT")</f>
        <v>SCHIMIDT</v>
      </c>
      <c r="N734" s="120">
        <f>IFERROR(__xludf.DUMMYFUNCTION("""COMPUTED_VALUE"""),27548)</f>
        <v>27548</v>
      </c>
      <c r="O734" s="1" t="str">
        <f>IFERROR(__xludf.DUMMYFUNCTION("""COMPUTED_VALUE"""),"Masculino")</f>
        <v>Masculino</v>
      </c>
      <c r="P734" s="1" t="str">
        <f>IFERROR(__xludf.DUMMYFUNCTION("""COMPUTED_VALUE"""),"Branca")</f>
        <v>Branca</v>
      </c>
      <c r="Q734" s="1" t="str">
        <f>IFERROR(__xludf.DUMMYFUNCTION("""COMPUTED_VALUE"""),"Ensino Médio")</f>
        <v>Ensino Médio</v>
      </c>
      <c r="R734" s="1" t="str">
        <f>IFERROR(__xludf.DUMMYFUNCTION("""COMPUTED_VALUE"""),"dalagnolneudir@gmail.com")</f>
        <v>dalagnolneudir@gmail.com</v>
      </c>
      <c r="S734" s="1">
        <f>IFERROR(__xludf.DUMMYFUNCTION("""COMPUTED_VALUE"""),75)</f>
        <v>75</v>
      </c>
      <c r="T734" s="1" t="str">
        <f>IFERROR(__xludf.DUMMYFUNCTION("""COMPUTED_VALUE"""),"Entre 1,66m e 1,70m")</f>
        <v>Entre 1,66m e 1,70m</v>
      </c>
      <c r="U734" s="1"/>
      <c r="V734" s="1" t="str">
        <f>IFERROR(__xludf.DUMMYFUNCTION("""COMPUTED_VALUE"""),"(54)999771993")</f>
        <v>(54)999771993</v>
      </c>
      <c r="W734" s="1" t="str">
        <f>IFERROR(__xludf.DUMMYFUNCTION("""COMPUTED_VALUE"""),"(54)999771993")</f>
        <v>(54)999771993</v>
      </c>
      <c r="X734" s="1" t="str">
        <f>IFERROR(__xludf.DUMMYFUNCTION("""COMPUTED_VALUE"""),"RS")</f>
        <v>RS</v>
      </c>
      <c r="Y734" s="1" t="str">
        <f>IFERROR(__xludf.DUMMYFUNCTION("""COMPUTED_VALUE"""),"Aratiba")</f>
        <v>Aratiba</v>
      </c>
      <c r="Z734" s="1">
        <f>IFERROR(__xludf.DUMMYFUNCTION("""COMPUTED_VALUE"""),99770000)</f>
        <v>99770000</v>
      </c>
      <c r="AA734" s="1" t="str">
        <f>IFERROR(__xludf.DUMMYFUNCTION("""COMPUTED_VALUE"""),"Rua Angelo Basso, 33")</f>
        <v>Rua Angelo Basso, 33</v>
      </c>
      <c r="AB734" s="1" t="str">
        <f>IFERROR(__xludf.DUMMYFUNCTION("""COMPUTED_VALUE"""),"Bairro Parque Dourado")</f>
        <v>Bairro Parque Dourado</v>
      </c>
      <c r="AC734" s="1" t="str">
        <f>IFERROR(__xludf.DUMMYFUNCTION("""COMPUTED_VALUE"""),"G")</f>
        <v>G</v>
      </c>
      <c r="AD734" s="1" t="str">
        <f>IFERROR(__xludf.DUMMYFUNCTION("""COMPUTED_VALUE"""),"G")</f>
        <v>G</v>
      </c>
      <c r="AE734" s="1" t="str">
        <f>IFERROR(__xludf.DUMMYFUNCTION("""COMPUTED_VALUE"""),"G")</f>
        <v>G</v>
      </c>
      <c r="AF734" s="1" t="str">
        <f>IFERROR(__xludf.DUMMYFUNCTION("""COMPUTED_VALUE"""),"G")</f>
        <v>G</v>
      </c>
      <c r="AG734" s="1" t="str">
        <f>IFERROR(__xludf.DUMMYFUNCTION("""COMPUTED_VALUE"""),"G")</f>
        <v>G</v>
      </c>
      <c r="AH734" s="1">
        <f>IFERROR(__xludf.DUMMYFUNCTION("""COMPUTED_VALUE"""),40)</f>
        <v>40</v>
      </c>
      <c r="AI734" s="1">
        <f>IFERROR(__xludf.DUMMYFUNCTION("""COMPUTED_VALUE"""),40)</f>
        <v>40</v>
      </c>
      <c r="AJ734" s="1">
        <f>IFERROR(__xludf.DUMMYFUNCTION("""COMPUTED_VALUE"""),40)</f>
        <v>40</v>
      </c>
      <c r="AK734" s="1">
        <f>IFERROR(__xludf.DUMMYFUNCTION("""COMPUTED_VALUE"""),40)</f>
        <v>40</v>
      </c>
      <c r="AL734" s="1" t="str">
        <f>IFERROR(__xludf.DUMMYFUNCTION("""COMPUTED_VALUE"""),"G")</f>
        <v>G</v>
      </c>
      <c r="AM734" s="1" t="str">
        <f>IFERROR(__xludf.DUMMYFUNCTION("""COMPUTED_VALUE"""),"G")</f>
        <v>G</v>
      </c>
      <c r="AN734" s="1" t="str">
        <f>IFERROR(__xludf.DUMMYFUNCTION("""COMPUTED_VALUE"""),"G")</f>
        <v>G</v>
      </c>
    </row>
    <row r="735" customHeight="1" spans="1:40">
      <c r="A735" s="1" t="str">
        <f>IFERROR(__xludf.DUMMYFUNCTION("""COMPUTED_VALUE"""),"07° BBM")</f>
        <v>07° BBM</v>
      </c>
      <c r="B735" s="1" t="str">
        <f>IFERROR(__xludf.DUMMYFUNCTION("""COMPUTED_VALUE"""),"Aratiba")</f>
        <v>Aratiba</v>
      </c>
      <c r="C735" s="119" t="str">
        <f>IFERROR(__xludf.DUMMYFUNCTION("""COMPUTED_VALUE"""),"CAB")</f>
        <v>CAB</v>
      </c>
      <c r="D735" s="1" t="str">
        <f>IFERROR(__xludf.DUMMYFUNCTION("""COMPUTED_VALUE"""),"NEUMIR CARLOS PIVA")</f>
        <v>NEUMIR CARLOS PIVA</v>
      </c>
      <c r="E735" s="119" t="str">
        <f>IFERROR(__xludf.DUMMYFUNCTION("""COMPUTED_VALUE"""),"Módulo 1 concluído")</f>
        <v>Módulo 1 concluído</v>
      </c>
      <c r="F735" s="1" t="str">
        <f>IFERROR(__xludf.DUMMYFUNCTION("""COMPUTED_VALUE"""),"502.637.140-04")</f>
        <v>502.637.140-04</v>
      </c>
      <c r="G735" s="1">
        <f>IFERROR(__xludf.DUMMYFUNCTION("""COMPUTED_VALUE"""),9017891921)</f>
        <v>9017891921</v>
      </c>
      <c r="H735" s="1" t="str">
        <f>IFERROR(__xludf.DUMMYFUNCTION("""COMPUTED_VALUE"""),"Coordenador")</f>
        <v>Coordenador</v>
      </c>
      <c r="I735" s="1" t="str">
        <f>IFERROR(__xludf.DUMMYFUNCTION("""COMPUTED_VALUE"""),"Curso de APH, CEVTE - Condutor de veiculo de emergência")</f>
        <v>Curso de APH, CEVTE - Condutor de veiculo de emergência</v>
      </c>
      <c r="J735" s="1" t="str">
        <f>IFERROR(__xludf.DUMMYFUNCTION("""COMPUTED_VALUE"""),"Sim")</f>
        <v>Sim</v>
      </c>
      <c r="K735" s="1" t="str">
        <f>IFERROR(__xludf.DUMMYFUNCTION("""COMPUTED_VALUE"""),"Sim")</f>
        <v>Sim</v>
      </c>
      <c r="L735" s="1" t="str">
        <f>IFERROR(__xludf.DUMMYFUNCTION("""COMPUTED_VALUE"""),"O+")</f>
        <v>O+</v>
      </c>
      <c r="M735" s="1" t="str">
        <f>IFERROR(__xludf.DUMMYFUNCTION("""COMPUTED_VALUE"""),"PIVA")</f>
        <v>PIVA</v>
      </c>
      <c r="N735" s="120">
        <f>IFERROR(__xludf.DUMMYFUNCTION("""COMPUTED_VALUE"""),24521)</f>
        <v>24521</v>
      </c>
      <c r="O735" s="1" t="str">
        <f>IFERROR(__xludf.DUMMYFUNCTION("""COMPUTED_VALUE"""),"Masculino")</f>
        <v>Masculino</v>
      </c>
      <c r="P735" s="1" t="str">
        <f>IFERROR(__xludf.DUMMYFUNCTION("""COMPUTED_VALUE"""),"Branca")</f>
        <v>Branca</v>
      </c>
      <c r="Q735" s="1" t="str">
        <f>IFERROR(__xludf.DUMMYFUNCTION("""COMPUTED_VALUE"""),"Ensino Superior Completo")</f>
        <v>Ensino Superior Completo</v>
      </c>
      <c r="R735" s="1" t="str">
        <f>IFERROR(__xludf.DUMMYFUNCTION("""COMPUTED_VALUE"""),"neumircpiva@yahoo.com.b")</f>
        <v>neumircpiva@yahoo.com.b</v>
      </c>
      <c r="S735" s="1">
        <f>IFERROR(__xludf.DUMMYFUNCTION("""COMPUTED_VALUE"""),83)</f>
        <v>83</v>
      </c>
      <c r="T735" s="1" t="str">
        <f>IFERROR(__xludf.DUMMYFUNCTION("""COMPUTED_VALUE"""),"Entre 1,76m e 1,80m")</f>
        <v>Entre 1,76m e 1,80m</v>
      </c>
      <c r="U735" s="1"/>
      <c r="V735" s="1" t="str">
        <f>IFERROR(__xludf.DUMMYFUNCTION("""COMPUTED_VALUE"""),"(54)999771223")</f>
        <v>(54)999771223</v>
      </c>
      <c r="W735" s="1" t="str">
        <f>IFERROR(__xludf.DUMMYFUNCTION("""COMPUTED_VALUE"""),"(54)999771223")</f>
        <v>(54)999771223</v>
      </c>
      <c r="X735" s="1" t="str">
        <f>IFERROR(__xludf.DUMMYFUNCTION("""COMPUTED_VALUE"""),"RS")</f>
        <v>RS</v>
      </c>
      <c r="Y735" s="1" t="str">
        <f>IFERROR(__xludf.DUMMYFUNCTION("""COMPUTED_VALUE"""),"Aratiba")</f>
        <v>Aratiba</v>
      </c>
      <c r="Z735" s="1">
        <f>IFERROR(__xludf.DUMMYFUNCTION("""COMPUTED_VALUE"""),99770000)</f>
        <v>99770000</v>
      </c>
      <c r="AA735" s="1" t="str">
        <f>IFERROR(__xludf.DUMMYFUNCTION("""COMPUTED_VALUE"""),"Rua Frei Leonardo Stock, 44")</f>
        <v>Rua Frei Leonardo Stock, 44</v>
      </c>
      <c r="AB735" s="1" t="str">
        <f>IFERROR(__xludf.DUMMYFUNCTION("""COMPUTED_VALUE"""),"Centro")</f>
        <v>Centro</v>
      </c>
      <c r="AC735" s="1" t="str">
        <f>IFERROR(__xludf.DUMMYFUNCTION("""COMPUTED_VALUE"""),"G")</f>
        <v>G</v>
      </c>
      <c r="AD735" s="1" t="str">
        <f>IFERROR(__xludf.DUMMYFUNCTION("""COMPUTED_VALUE"""),"G")</f>
        <v>G</v>
      </c>
      <c r="AE735" s="1" t="str">
        <f>IFERROR(__xludf.DUMMYFUNCTION("""COMPUTED_VALUE"""),"G")</f>
        <v>G</v>
      </c>
      <c r="AF735" s="1" t="str">
        <f>IFERROR(__xludf.DUMMYFUNCTION("""COMPUTED_VALUE"""),"G")</f>
        <v>G</v>
      </c>
      <c r="AG735" s="1" t="str">
        <f>IFERROR(__xludf.DUMMYFUNCTION("""COMPUTED_VALUE"""),"G")</f>
        <v>G</v>
      </c>
      <c r="AH735" s="1">
        <f>IFERROR(__xludf.DUMMYFUNCTION("""COMPUTED_VALUE"""),43)</f>
        <v>43</v>
      </c>
      <c r="AI735" s="1">
        <f>IFERROR(__xludf.DUMMYFUNCTION("""COMPUTED_VALUE"""),43)</f>
        <v>43</v>
      </c>
      <c r="AJ735" s="1">
        <f>IFERROR(__xludf.DUMMYFUNCTION("""COMPUTED_VALUE"""),43)</f>
        <v>43</v>
      </c>
      <c r="AK735" s="1">
        <f>IFERROR(__xludf.DUMMYFUNCTION("""COMPUTED_VALUE"""),43)</f>
        <v>43</v>
      </c>
      <c r="AL735" s="1" t="str">
        <f>IFERROR(__xludf.DUMMYFUNCTION("""COMPUTED_VALUE"""),"G")</f>
        <v>G</v>
      </c>
      <c r="AM735" s="1" t="str">
        <f>IFERROR(__xludf.DUMMYFUNCTION("""COMPUTED_VALUE"""),"G")</f>
        <v>G</v>
      </c>
      <c r="AN735" s="1" t="str">
        <f>IFERROR(__xludf.DUMMYFUNCTION("""COMPUTED_VALUE"""),"G")</f>
        <v>G</v>
      </c>
    </row>
    <row r="736" customHeight="1" spans="1:40">
      <c r="A736" s="1" t="str">
        <f>IFERROR(__xludf.DUMMYFUNCTION("""COMPUTED_VALUE"""),"07° BBM")</f>
        <v>07° BBM</v>
      </c>
      <c r="B736" s="1" t="str">
        <f>IFERROR(__xludf.DUMMYFUNCTION("""COMPUTED_VALUE"""),"Não-Me-Toque")</f>
        <v>Não-Me-Toque</v>
      </c>
      <c r="C736" s="119" t="str">
        <f>IFERROR(__xludf.DUMMYFUNCTION("""COMPUTED_VALUE"""),"CAB")</f>
        <v>CAB</v>
      </c>
      <c r="D736" s="1" t="str">
        <f>IFERROR(__xludf.DUMMYFUNCTION("""COMPUTED_VALUE"""),"NILTON ANDERSON SCALCO")</f>
        <v>NILTON ANDERSON SCALCO</v>
      </c>
      <c r="E736" s="119" t="str">
        <f>IFERROR(__xludf.DUMMYFUNCTION("""COMPUTED_VALUE"""),"Módulo 1 concluído")</f>
        <v>Módulo 1 concluído</v>
      </c>
      <c r="F736" s="1" t="str">
        <f>IFERROR(__xludf.DUMMYFUNCTION("""COMPUTED_VALUE"""),"969.516.560-53")</f>
        <v>969.516.560-53</v>
      </c>
      <c r="G736" s="1">
        <f>IFERROR(__xludf.DUMMYFUNCTION("""COMPUTED_VALUE"""),6078758023)</f>
        <v>6078758023</v>
      </c>
      <c r="H736" s="1" t="str">
        <f>IFERROR(__xludf.DUMMYFUNCTION("""COMPUTED_VALUE"""),"COMANDANTE")</f>
        <v>COMANDANTE</v>
      </c>
      <c r="I736" s="1" t="str">
        <f>IFERROR(__xludf.DUMMYFUNCTION("""COMPUTED_VALUE"""),"Eng. De Segurança do Trabalho/RIT/Resgate em Altura/APH/BLS/Operação de Motosserra/Brigada de Incêndio/Nivelamento Operacional BV/EPI's e EPRA/Nivelamento Operacional CBMRS/Especialista em ancoragens/Profissional de Acesso por Cordas N2 IRATA/Arborista")</f>
        <v>Eng. De Segurança do Trabalho/RIT/Resgate em Altura/APH/BLS/Operação de Motosserra/Brigada de Incêndio/Nivelamento Operacional BV/EPI's e EPRA/Nivelamento Operacional CBMRS/Especialista em ancoragens/Profissional de Acesso por Cordas N2 IRATA/Arborista</v>
      </c>
      <c r="J736" s="1" t="str">
        <f>IFERROR(__xludf.DUMMYFUNCTION("""COMPUTED_VALUE"""),"Não")</f>
        <v>Não</v>
      </c>
      <c r="K736" s="1" t="str">
        <f>IFERROR(__xludf.DUMMYFUNCTION("""COMPUTED_VALUE"""),"Não")</f>
        <v>Não</v>
      </c>
      <c r="L736" s="1" t="str">
        <f>IFERROR(__xludf.DUMMYFUNCTION("""COMPUTED_VALUE"""),"B+")</f>
        <v>B+</v>
      </c>
      <c r="M736" s="1" t="str">
        <f>IFERROR(__xludf.DUMMYFUNCTION("""COMPUTED_VALUE"""),"SCALCO")</f>
        <v>SCALCO</v>
      </c>
      <c r="N736" s="120">
        <f>IFERROR(__xludf.DUMMYFUNCTION("""COMPUTED_VALUE"""),30214)</f>
        <v>30214</v>
      </c>
      <c r="O736" s="1" t="str">
        <f>IFERROR(__xludf.DUMMYFUNCTION("""COMPUTED_VALUE"""),"Masculino")</f>
        <v>Masculino</v>
      </c>
      <c r="P736" s="1" t="str">
        <f>IFERROR(__xludf.DUMMYFUNCTION("""COMPUTED_VALUE"""),"Branca")</f>
        <v>Branca</v>
      </c>
      <c r="Q736" s="1" t="str">
        <f>IFERROR(__xludf.DUMMYFUNCTION("""COMPUTED_VALUE"""),"Mestrado")</f>
        <v>Mestrado</v>
      </c>
      <c r="R736" s="1" t="str">
        <f>IFERROR(__xludf.DUMMYFUNCTION("""COMPUTED_VALUE"""),"nas.scalco@gmail.com")</f>
        <v>nas.scalco@gmail.com</v>
      </c>
      <c r="S736" s="1">
        <f>IFERROR(__xludf.DUMMYFUNCTION("""COMPUTED_VALUE"""),87)</f>
        <v>87</v>
      </c>
      <c r="T736" s="1" t="str">
        <f>IFERROR(__xludf.DUMMYFUNCTION("""COMPUTED_VALUE"""),"Entre 1,61m e 1,65m")</f>
        <v>Entre 1,61m e 1,65m</v>
      </c>
      <c r="U736" s="1" t="str">
        <f>IFERROR(__xludf.DUMMYFUNCTION("""COMPUTED_VALUE"""),"54 31910061")</f>
        <v>54 31910061</v>
      </c>
      <c r="V736" s="1" t="str">
        <f>IFERROR(__xludf.DUMMYFUNCTION("""COMPUTED_VALUE"""),"(54)996055507")</f>
        <v>(54)996055507</v>
      </c>
      <c r="W736" s="1" t="str">
        <f>IFERROR(__xludf.DUMMYFUNCTION("""COMPUTED_VALUE"""),"(54)996050881")</f>
        <v>(54)996050881</v>
      </c>
      <c r="X736" s="1" t="str">
        <f>IFERROR(__xludf.DUMMYFUNCTION("""COMPUTED_VALUE"""),"RS")</f>
        <v>RS</v>
      </c>
      <c r="Y736" s="1" t="str">
        <f>IFERROR(__xludf.DUMMYFUNCTION("""COMPUTED_VALUE"""),"Não-Me-Toque")</f>
        <v>Não-Me-Toque</v>
      </c>
      <c r="Z736" s="1" t="str">
        <f>IFERROR(__xludf.DUMMYFUNCTION("""COMPUTED_VALUE"""),"99470-000")</f>
        <v>99470-000</v>
      </c>
      <c r="AA736" s="1" t="str">
        <f>IFERROR(__xludf.DUMMYFUNCTION("""COMPUTED_VALUE"""),"Rua Flamboyant, 228")</f>
        <v>Rua Flamboyant, 228</v>
      </c>
      <c r="AB736" s="1" t="str">
        <f>IFERROR(__xludf.DUMMYFUNCTION("""COMPUTED_VALUE"""),"Jardim")</f>
        <v>Jardim</v>
      </c>
      <c r="AC736" s="1" t="str">
        <f>IFERROR(__xludf.DUMMYFUNCTION("""COMPUTED_VALUE"""),"G")</f>
        <v>G</v>
      </c>
      <c r="AD736" s="1" t="str">
        <f>IFERROR(__xludf.DUMMYFUNCTION("""COMPUTED_VALUE"""),"G")</f>
        <v>G</v>
      </c>
      <c r="AE736" s="1" t="str">
        <f>IFERROR(__xludf.DUMMYFUNCTION("""COMPUTED_VALUE"""),"G")</f>
        <v>G</v>
      </c>
      <c r="AF736" s="1" t="str">
        <f>IFERROR(__xludf.DUMMYFUNCTION("""COMPUTED_VALUE"""),"G")</f>
        <v>G</v>
      </c>
      <c r="AG736" s="1" t="str">
        <f>IFERROR(__xludf.DUMMYFUNCTION("""COMPUTED_VALUE"""),"G")</f>
        <v>G</v>
      </c>
      <c r="AH736" s="1">
        <f>IFERROR(__xludf.DUMMYFUNCTION("""COMPUTED_VALUE"""),39)</f>
        <v>39</v>
      </c>
      <c r="AI736" s="1">
        <f>IFERROR(__xludf.DUMMYFUNCTION("""COMPUTED_VALUE"""),39)</f>
        <v>39</v>
      </c>
      <c r="AJ736" s="1">
        <f>IFERROR(__xludf.DUMMYFUNCTION("""COMPUTED_VALUE"""),39)</f>
        <v>39</v>
      </c>
      <c r="AK736" s="1">
        <f>IFERROR(__xludf.DUMMYFUNCTION("""COMPUTED_VALUE"""),39)</f>
        <v>39</v>
      </c>
      <c r="AL736" s="1" t="str">
        <f>IFERROR(__xludf.DUMMYFUNCTION("""COMPUTED_VALUE"""),"G")</f>
        <v>G</v>
      </c>
      <c r="AM736" s="1" t="str">
        <f>IFERROR(__xludf.DUMMYFUNCTION("""COMPUTED_VALUE"""),"G")</f>
        <v>G</v>
      </c>
      <c r="AN736" s="1" t="str">
        <f>IFERROR(__xludf.DUMMYFUNCTION("""COMPUTED_VALUE"""),"G")</f>
        <v>G</v>
      </c>
    </row>
    <row r="737" customHeight="1" spans="1:40">
      <c r="A737" s="1" t="str">
        <f>IFERROR(__xludf.DUMMYFUNCTION("""COMPUTED_VALUE"""),"07° BBM")</f>
        <v>07° BBM</v>
      </c>
      <c r="B737" s="1" t="str">
        <f>IFERROR(__xludf.DUMMYFUNCTION("""COMPUTED_VALUE"""),"Aratiba")</f>
        <v>Aratiba</v>
      </c>
      <c r="C737" s="119" t="str">
        <f>IFERROR(__xludf.DUMMYFUNCTION("""COMPUTED_VALUE"""),"CAB")</f>
        <v>CAB</v>
      </c>
      <c r="D737" s="1" t="str">
        <f>IFERROR(__xludf.DUMMYFUNCTION("""COMPUTED_VALUE"""),"NILTON ANTÔNIO MOCELLIN")</f>
        <v>NILTON ANTÔNIO MOCELLIN</v>
      </c>
      <c r="E737" s="119" t="str">
        <f>IFERROR(__xludf.DUMMYFUNCTION("""COMPUTED_VALUE"""),"")</f>
        <v/>
      </c>
      <c r="F737" s="1" t="str">
        <f>IFERROR(__xludf.DUMMYFUNCTION("""COMPUTED_VALUE"""),"549.226.150-91")</f>
        <v>549.226.150-91</v>
      </c>
      <c r="G737" s="1">
        <f>IFERROR(__xludf.DUMMYFUNCTION("""COMPUTED_VALUE"""),1109744423)</f>
        <v>1109744423</v>
      </c>
      <c r="H737" s="1" t="str">
        <f>IFERROR(__xludf.DUMMYFUNCTION("""COMPUTED_VALUE"""),"Bombeiro Voluntario")</f>
        <v>Bombeiro Voluntario</v>
      </c>
      <c r="I737" s="1" t="str">
        <f>IFERROR(__xludf.DUMMYFUNCTION("""COMPUTED_VALUE"""),"Curso de APH")</f>
        <v>Curso de APH</v>
      </c>
      <c r="J737" s="1" t="str">
        <f>IFERROR(__xludf.DUMMYFUNCTION("""COMPUTED_VALUE"""),"Não")</f>
        <v>Não</v>
      </c>
      <c r="K737" s="1" t="str">
        <f>IFERROR(__xludf.DUMMYFUNCTION("""COMPUTED_VALUE"""),"Não")</f>
        <v>Não</v>
      </c>
      <c r="L737" s="1" t="str">
        <f>IFERROR(__xludf.DUMMYFUNCTION("""COMPUTED_VALUE"""),"O+")</f>
        <v>O+</v>
      </c>
      <c r="M737" s="1" t="str">
        <f>IFERROR(__xludf.DUMMYFUNCTION("""COMPUTED_VALUE"""),"NILTON")</f>
        <v>NILTON</v>
      </c>
      <c r="N737" s="120">
        <f>IFERROR(__xludf.DUMMYFUNCTION("""COMPUTED_VALUE"""),24542)</f>
        <v>24542</v>
      </c>
      <c r="O737" s="1" t="str">
        <f>IFERROR(__xludf.DUMMYFUNCTION("""COMPUTED_VALUE"""),"Masculino")</f>
        <v>Masculino</v>
      </c>
      <c r="P737" s="1" t="str">
        <f>IFERROR(__xludf.DUMMYFUNCTION("""COMPUTED_VALUE"""),"Branca")</f>
        <v>Branca</v>
      </c>
      <c r="Q737" s="1" t="str">
        <f>IFERROR(__xludf.DUMMYFUNCTION("""COMPUTED_VALUE"""),"Ensino Superior Completo")</f>
        <v>Ensino Superior Completo</v>
      </c>
      <c r="R737" s="1" t="str">
        <f>IFERROR(__xludf.DUMMYFUNCTION("""COMPUTED_VALUE"""),"rpps@pmaratiba.rs.gov.br")</f>
        <v>rpps@pmaratiba.rs.gov.br</v>
      </c>
      <c r="S737" s="1">
        <f>IFERROR(__xludf.DUMMYFUNCTION("""COMPUTED_VALUE"""),108)</f>
        <v>108</v>
      </c>
      <c r="T737" s="1" t="str">
        <f>IFERROR(__xludf.DUMMYFUNCTION("""COMPUTED_VALUE"""),"Entre 1,86m e 1,90m")</f>
        <v>Entre 1,86m e 1,90m</v>
      </c>
      <c r="U737" s="1"/>
      <c r="V737" s="1" t="str">
        <f>IFERROR(__xludf.DUMMYFUNCTION("""COMPUTED_VALUE"""),"(54)996374520")</f>
        <v>(54)996374520</v>
      </c>
      <c r="W737" s="1" t="str">
        <f>IFERROR(__xludf.DUMMYFUNCTION("""COMPUTED_VALUE"""),"(54)996374520")</f>
        <v>(54)996374520</v>
      </c>
      <c r="X737" s="1" t="str">
        <f>IFERROR(__xludf.DUMMYFUNCTION("""COMPUTED_VALUE"""),"RS")</f>
        <v>RS</v>
      </c>
      <c r="Y737" s="1" t="str">
        <f>IFERROR(__xludf.DUMMYFUNCTION("""COMPUTED_VALUE"""),"Aratiba")</f>
        <v>Aratiba</v>
      </c>
      <c r="Z737" s="1">
        <f>IFERROR(__xludf.DUMMYFUNCTION("""COMPUTED_VALUE"""),99770000)</f>
        <v>99770000</v>
      </c>
      <c r="AA737" s="1" t="str">
        <f>IFERROR(__xludf.DUMMYFUNCTION("""COMPUTED_VALUE"""),"Rua Santo Granzotto, 487")</f>
        <v>Rua Santo Granzotto, 487</v>
      </c>
      <c r="AB737" s="1" t="str">
        <f>IFERROR(__xludf.DUMMYFUNCTION("""COMPUTED_VALUE"""),"Centro")</f>
        <v>Centro</v>
      </c>
      <c r="AC737" s="1" t="str">
        <f>IFERROR(__xludf.DUMMYFUNCTION("""COMPUTED_VALUE"""),"GG")</f>
        <v>GG</v>
      </c>
      <c r="AD737" s="1" t="str">
        <f>IFERROR(__xludf.DUMMYFUNCTION("""COMPUTED_VALUE"""),"GG")</f>
        <v>GG</v>
      </c>
      <c r="AE737" s="1" t="str">
        <f>IFERROR(__xludf.DUMMYFUNCTION("""COMPUTED_VALUE"""),"GG")</f>
        <v>GG</v>
      </c>
      <c r="AF737" s="1" t="str">
        <f>IFERROR(__xludf.DUMMYFUNCTION("""COMPUTED_VALUE"""),"GG")</f>
        <v>GG</v>
      </c>
      <c r="AG737" s="1" t="str">
        <f>IFERROR(__xludf.DUMMYFUNCTION("""COMPUTED_VALUE"""),"GG")</f>
        <v>GG</v>
      </c>
      <c r="AH737" s="1">
        <f>IFERROR(__xludf.DUMMYFUNCTION("""COMPUTED_VALUE"""),43)</f>
        <v>43</v>
      </c>
      <c r="AI737" s="1">
        <f>IFERROR(__xludf.DUMMYFUNCTION("""COMPUTED_VALUE"""),43)</f>
        <v>43</v>
      </c>
      <c r="AJ737" s="1">
        <f>IFERROR(__xludf.DUMMYFUNCTION("""COMPUTED_VALUE"""),43)</f>
        <v>43</v>
      </c>
      <c r="AK737" s="1">
        <f>IFERROR(__xludf.DUMMYFUNCTION("""COMPUTED_VALUE"""),43)</f>
        <v>43</v>
      </c>
      <c r="AL737" s="1" t="str">
        <f>IFERROR(__xludf.DUMMYFUNCTION("""COMPUTED_VALUE"""),"GG")</f>
        <v>GG</v>
      </c>
      <c r="AM737" s="1" t="str">
        <f>IFERROR(__xludf.DUMMYFUNCTION("""COMPUTED_VALUE"""),"GG")</f>
        <v>GG</v>
      </c>
      <c r="AN737" s="1" t="str">
        <f>IFERROR(__xludf.DUMMYFUNCTION("""COMPUTED_VALUE"""),"GG")</f>
        <v>GG</v>
      </c>
    </row>
    <row r="738" customHeight="1" spans="1:40">
      <c r="A738" s="1"/>
      <c r="B738" s="1"/>
      <c r="C738" s="119"/>
      <c r="D738" s="1" t="str">
        <f>IFERROR(__xludf.DUMMYFUNCTION("""COMPUTED_VALUE"""),"NOEL QUEIROZ RIBEIRO")</f>
        <v>NOEL QUEIROZ RIBEIRO</v>
      </c>
      <c r="E738" s="1" t="str">
        <f>IFERROR(__xludf.DUMMYFUNCTION("""COMPUTED_VALUE"""),"Módulo 1 concluído")</f>
        <v>Módulo 1 concluído</v>
      </c>
      <c r="F738" s="1" t="str">
        <f>IFERROR(__xludf.DUMMYFUNCTION("""COMPUTED_VALUE"""),"023.583.481-55")</f>
        <v>023.583.481-55</v>
      </c>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row>
    <row r="739" customHeight="1" spans="1:40">
      <c r="A739" s="1" t="str">
        <f>IFERROR(__xludf.DUMMYFUNCTION("""COMPUTED_VALUE"""),"07° BBM")</f>
        <v>07° BBM</v>
      </c>
      <c r="B739" s="1" t="str">
        <f>IFERROR(__xludf.DUMMYFUNCTION("""COMPUTED_VALUE"""),"Barão de Cotegipe")</f>
        <v>Barão de Cotegipe</v>
      </c>
      <c r="C739" s="119" t="str">
        <f>IFERROR(__xludf.DUMMYFUNCTION("""COMPUTED_VALUE"""),"CAB")</f>
        <v>CAB</v>
      </c>
      <c r="D739" s="1" t="str">
        <f>IFERROR(__xludf.DUMMYFUNCTION("""COMPUTED_VALUE"""),"ODAIR PAULO MOZELESKI")</f>
        <v>ODAIR PAULO MOZELESKI</v>
      </c>
      <c r="E739" s="119" t="str">
        <f>IFERROR(__xludf.DUMMYFUNCTION("""COMPUTED_VALUE"""),"")</f>
        <v/>
      </c>
      <c r="F739" s="1" t="str">
        <f>IFERROR(__xludf.DUMMYFUNCTION("""COMPUTED_VALUE"""),"993.473.930-53")</f>
        <v>993.473.930-53</v>
      </c>
      <c r="G739" s="1">
        <f>IFERROR(__xludf.DUMMYFUNCTION("""COMPUTED_VALUE"""),1081235812)</f>
        <v>1081235812</v>
      </c>
      <c r="H739" s="1" t="str">
        <f>IFERROR(__xludf.DUMMYFUNCTION("""COMPUTED_VALUE"""),"Combatente")</f>
        <v>Combatente</v>
      </c>
      <c r="I739" s="1" t="str">
        <f>IFERROR(__xludf.DUMMYFUNCTION("""COMPUTED_VALUE"""),"PRIMEIROS SOCORROS,NR35,APH.")</f>
        <v>PRIMEIROS SOCORROS,NR35,APH.</v>
      </c>
      <c r="J739" s="1" t="str">
        <f>IFERROR(__xludf.DUMMYFUNCTION("""COMPUTED_VALUE"""),"Sim")</f>
        <v>Sim</v>
      </c>
      <c r="K739" s="1" t="str">
        <f>IFERROR(__xludf.DUMMYFUNCTION("""COMPUTED_VALUE"""),"Sim")</f>
        <v>Sim</v>
      </c>
      <c r="L739" s="1" t="str">
        <f>IFERROR(__xludf.DUMMYFUNCTION("""COMPUTED_VALUE"""),"O+")</f>
        <v>O+</v>
      </c>
      <c r="M739" s="1" t="str">
        <f>IFERROR(__xludf.DUMMYFUNCTION("""COMPUTED_VALUE"""),"INDIO")</f>
        <v>INDIO</v>
      </c>
      <c r="N739" s="129">
        <f>IFERROR(__xludf.DUMMYFUNCTION("""COMPUTED_VALUE"""),45556)</f>
        <v>45556</v>
      </c>
      <c r="O739" s="1" t="str">
        <f>IFERROR(__xludf.DUMMYFUNCTION("""COMPUTED_VALUE"""),"M")</f>
        <v>M</v>
      </c>
      <c r="P739" s="1" t="str">
        <f>IFERROR(__xludf.DUMMYFUNCTION("""COMPUTED_VALUE"""),"BRANCA")</f>
        <v>BRANCA</v>
      </c>
      <c r="Q739" s="1" t="str">
        <f>IFERROR(__xludf.DUMMYFUNCTION("""COMPUTED_VALUE"""),"ENSINO FUNDAMENTAL INCOMPLETO")</f>
        <v>ENSINO FUNDAMENTAL INCOMPLETO</v>
      </c>
      <c r="R739" s="1" t="str">
        <f>IFERROR(__xludf.DUMMYFUNCTION("""COMPUTED_VALUE"""),"jefersoncosta4098@gmail.com")</f>
        <v>jefersoncosta4098@gmail.com</v>
      </c>
      <c r="S739" s="1">
        <f>IFERROR(__xludf.DUMMYFUNCTION("""COMPUTED_VALUE"""),87)</f>
        <v>87</v>
      </c>
      <c r="T739" s="1">
        <f>IFERROR(__xludf.DUMMYFUNCTION("""COMPUTED_VALUE"""),1.76)</f>
        <v>1.76</v>
      </c>
      <c r="U739" s="1" t="str">
        <f>IFERROR(__xludf.DUMMYFUNCTION("""COMPUTED_VALUE"""),"(54) 996103156")</f>
        <v>(54) 996103156</v>
      </c>
      <c r="V739" s="1"/>
      <c r="W739" s="1" t="str">
        <f>IFERROR(__xludf.DUMMYFUNCTION("""COMPUTED_VALUE"""),"(54) 996103156")</f>
        <v>(54) 996103156</v>
      </c>
      <c r="X739" s="1" t="str">
        <f>IFERROR(__xludf.DUMMYFUNCTION("""COMPUTED_VALUE"""),"RS")</f>
        <v>RS</v>
      </c>
      <c r="Y739" s="1" t="str">
        <f>IFERROR(__xludf.DUMMYFUNCTION("""COMPUTED_VALUE"""),"BARÃO DE COTEGIPE")</f>
        <v>BARÃO DE COTEGIPE</v>
      </c>
      <c r="Z739" s="1" t="str">
        <f>IFERROR(__xludf.DUMMYFUNCTION("""COMPUTED_VALUE"""),"99740-000")</f>
        <v>99740-000</v>
      </c>
      <c r="AA739" s="1" t="str">
        <f>IFERROR(__xludf.DUMMYFUNCTION("""COMPUTED_VALUE"""),"LINHA DUAS SECCÃO CRAVO")</f>
        <v>LINHA DUAS SECCÃO CRAVO</v>
      </c>
      <c r="AB739" s="1" t="str">
        <f>IFERROR(__xludf.DUMMYFUNCTION("""COMPUTED_VALUE"""),"INTERIOR")</f>
        <v>INTERIOR</v>
      </c>
      <c r="AC739" s="1" t="str">
        <f>IFERROR(__xludf.DUMMYFUNCTION("""COMPUTED_VALUE"""),"GG")</f>
        <v>GG</v>
      </c>
      <c r="AD739" s="1" t="str">
        <f>IFERROR(__xludf.DUMMYFUNCTION("""COMPUTED_VALUE"""),"G")</f>
        <v>G</v>
      </c>
      <c r="AE739" s="1" t="str">
        <f>IFERROR(__xludf.DUMMYFUNCTION("""COMPUTED_VALUE"""),"G")</f>
        <v>G</v>
      </c>
      <c r="AF739" s="1" t="str">
        <f>IFERROR(__xludf.DUMMYFUNCTION("""COMPUTED_VALUE"""),"G")</f>
        <v>G</v>
      </c>
      <c r="AG739" s="1" t="str">
        <f>IFERROR(__xludf.DUMMYFUNCTION("""COMPUTED_VALUE"""),"G")</f>
        <v>G</v>
      </c>
      <c r="AH739" s="1" t="str">
        <f>IFERROR(__xludf.DUMMYFUNCTION("""COMPUTED_VALUE"""),"G")</f>
        <v>G</v>
      </c>
      <c r="AI739" s="1">
        <f>IFERROR(__xludf.DUMMYFUNCTION("""COMPUTED_VALUE"""),42)</f>
        <v>42</v>
      </c>
      <c r="AJ739" s="1">
        <f>IFERROR(__xludf.DUMMYFUNCTION("""COMPUTED_VALUE"""),42)</f>
        <v>42</v>
      </c>
      <c r="AK739" s="1">
        <f>IFERROR(__xludf.DUMMYFUNCTION("""COMPUTED_VALUE"""),42)</f>
        <v>42</v>
      </c>
      <c r="AL739" s="1">
        <f>IFERROR(__xludf.DUMMYFUNCTION("""COMPUTED_VALUE"""),42)</f>
        <v>42</v>
      </c>
      <c r="AM739" s="1" t="str">
        <f>IFERROR(__xludf.DUMMYFUNCTION("""COMPUTED_VALUE"""),"GG")</f>
        <v>GG</v>
      </c>
      <c r="AN739" s="1">
        <f>IFERROR(__xludf.DUMMYFUNCTION("""COMPUTED_VALUE"""),54)</f>
        <v>54</v>
      </c>
    </row>
    <row r="740" customHeight="1" spans="1:40">
      <c r="A740" s="1" t="str">
        <f>IFERROR(__xludf.DUMMYFUNCTION("""COMPUTED_VALUE"""),"07° BBM")</f>
        <v>07° BBM</v>
      </c>
      <c r="B740" s="1"/>
      <c r="C740" s="119"/>
      <c r="D740" s="1" t="str">
        <f>IFERROR(__xludf.DUMMYFUNCTION("""COMPUTED_VALUE"""),"ODAMIR JOSÉ CORREIA")</f>
        <v>ODAMIR JOSÉ CORREIA</v>
      </c>
      <c r="E740" s="119" t="str">
        <f>IFERROR(__xludf.DUMMYFUNCTION("""COMPUTED_VALUE"""),"Módulo 1 concluído")</f>
        <v>Módulo 1 concluído</v>
      </c>
      <c r="F740" s="1" t="str">
        <f>IFERROR(__xludf.DUMMYFUNCTION("""COMPUTED_VALUE"""),"611.071.824-68")</f>
        <v>611.071.824-68</v>
      </c>
      <c r="G740" s="1"/>
      <c r="H740" s="1"/>
      <c r="I740" s="1"/>
      <c r="J740" s="1"/>
      <c r="K740" s="1"/>
      <c r="L740" s="1"/>
      <c r="M740" s="1"/>
      <c r="N740" s="120"/>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row>
    <row r="741" customHeight="1" spans="1:40">
      <c r="A741" s="1" t="str">
        <f>IFERROR(__xludf.DUMMYFUNCTION("""COMPUTED_VALUE"""),"07° BBM")</f>
        <v>07° BBM</v>
      </c>
      <c r="B741" s="1" t="str">
        <f>IFERROR(__xludf.DUMMYFUNCTION("""COMPUTED_VALUE"""),"Viadutos")</f>
        <v>Viadutos</v>
      </c>
      <c r="C741" s="119" t="str">
        <f>IFERROR(__xludf.DUMMYFUNCTION("""COMPUTED_VALUE"""),"CAB")</f>
        <v>CAB</v>
      </c>
      <c r="D741" s="1" t="str">
        <f>IFERROR(__xludf.DUMMYFUNCTION("""COMPUTED_VALUE"""),"ONORI RODRIGUES BRANCO")</f>
        <v>ONORI RODRIGUES BRANCO</v>
      </c>
      <c r="E741" s="119" t="str">
        <f>IFERROR(__xludf.DUMMYFUNCTION("""COMPUTED_VALUE"""),"Módulo 1 concluído")</f>
        <v>Módulo 1 concluído</v>
      </c>
      <c r="F741" s="1" t="str">
        <f>IFERROR(__xludf.DUMMYFUNCTION("""COMPUTED_VALUE"""),"589.742.020-34")</f>
        <v>589.742.020-34</v>
      </c>
      <c r="G741" s="1">
        <f>IFERROR(__xludf.DUMMYFUNCTION("""COMPUTED_VALUE"""),9039676862)</f>
        <v>9039676862</v>
      </c>
      <c r="H741" s="1" t="str">
        <f>IFERROR(__xludf.DUMMYFUNCTION("""COMPUTED_VALUE"""),"COMANDANTE/PRESIDENTE")</f>
        <v>COMANDANTE/PRESIDENTE</v>
      </c>
      <c r="I741" s="1" t="str">
        <f>IFERROR(__xludf.DUMMYFUNCTION("""COMPUTED_VALUE"""),"Atendiimento Suporte Básico de Vida/CFSD/CTSP")</f>
        <v>Atendiimento Suporte Básico de Vida/CFSD/CTSP</v>
      </c>
      <c r="J741" s="1" t="str">
        <f>IFERROR(__xludf.DUMMYFUNCTION("""COMPUTED_VALUE"""),"Não")</f>
        <v>Não</v>
      </c>
      <c r="K741" s="1" t="str">
        <f>IFERROR(__xludf.DUMMYFUNCTION("""COMPUTED_VALUE"""),"Não")</f>
        <v>Não</v>
      </c>
      <c r="L741" s="1" t="str">
        <f>IFERROR(__xludf.DUMMYFUNCTION("""COMPUTED_VALUE"""),"O+")</f>
        <v>O+</v>
      </c>
      <c r="M741" s="1" t="str">
        <f>IFERROR(__xludf.DUMMYFUNCTION("""COMPUTED_VALUE"""),"BRANCO")</f>
        <v>BRANCO</v>
      </c>
      <c r="N741" s="120">
        <f>IFERROR(__xludf.DUMMYFUNCTION("""COMPUTED_VALUE"""),25815)</f>
        <v>25815</v>
      </c>
      <c r="O741" s="1" t="str">
        <f>IFERROR(__xludf.DUMMYFUNCTION("""COMPUTED_VALUE"""),"Masculino")</f>
        <v>Masculino</v>
      </c>
      <c r="P741" s="1" t="str">
        <f>IFERROR(__xludf.DUMMYFUNCTION("""COMPUTED_VALUE"""),"Branca")</f>
        <v>Branca</v>
      </c>
      <c r="Q741" s="1" t="str">
        <f>IFERROR(__xludf.DUMMYFUNCTION("""COMPUTED_VALUE"""),"Ensino Superior Completo")</f>
        <v>Ensino Superior Completo</v>
      </c>
      <c r="R741" s="1" t="str">
        <f>IFERROR(__xludf.DUMMYFUNCTION("""COMPUTED_VALUE"""),"onoribranco@gmail.com")</f>
        <v>onoribranco@gmail.com</v>
      </c>
      <c r="S741" s="1">
        <f>IFERROR(__xludf.DUMMYFUNCTION("""COMPUTED_VALUE"""),86)</f>
        <v>86</v>
      </c>
      <c r="T741" s="1" t="str">
        <f>IFERROR(__xludf.DUMMYFUNCTION("""COMPUTED_VALUE"""),"Entre 1,76m e 1,80m")</f>
        <v>Entre 1,76m e 1,80m</v>
      </c>
      <c r="U741" s="1"/>
      <c r="V741" s="1" t="str">
        <f>IFERROR(__xludf.DUMMYFUNCTION("""COMPUTED_VALUE"""),"(54) 999580720")</f>
        <v>(54) 999580720</v>
      </c>
      <c r="W741" s="1" t="str">
        <f>IFERROR(__xludf.DUMMYFUNCTION("""COMPUTED_VALUE"""),"(54) 999249531")</f>
        <v>(54) 999249531</v>
      </c>
      <c r="X741" s="1" t="str">
        <f>IFERROR(__xludf.DUMMYFUNCTION("""COMPUTED_VALUE"""),"RS")</f>
        <v>RS</v>
      </c>
      <c r="Y741" s="1" t="str">
        <f>IFERROR(__xludf.DUMMYFUNCTION("""COMPUTED_VALUE"""),"Viadutos")</f>
        <v>Viadutos</v>
      </c>
      <c r="Z741" s="1" t="str">
        <f>IFERROR(__xludf.DUMMYFUNCTION("""COMPUTED_VALUE"""),"99820-000")</f>
        <v>99820-000</v>
      </c>
      <c r="AA741" s="1" t="str">
        <f>IFERROR(__xludf.DUMMYFUNCTION("""COMPUTED_VALUE"""),"Rua Luiz Alegretti 260")</f>
        <v>Rua Luiz Alegretti 260</v>
      </c>
      <c r="AB741" s="1" t="str">
        <f>IFERROR(__xludf.DUMMYFUNCTION("""COMPUTED_VALUE"""),"Centro")</f>
        <v>Centro</v>
      </c>
      <c r="AC741" s="1" t="str">
        <f>IFERROR(__xludf.DUMMYFUNCTION("""COMPUTED_VALUE"""),"G")</f>
        <v>G</v>
      </c>
      <c r="AD741" s="1" t="str">
        <f>IFERROR(__xludf.DUMMYFUNCTION("""COMPUTED_VALUE"""),"G")</f>
        <v>G</v>
      </c>
      <c r="AE741" s="1" t="str">
        <f>IFERROR(__xludf.DUMMYFUNCTION("""COMPUTED_VALUE"""),"G")</f>
        <v>G</v>
      </c>
      <c r="AF741" s="1" t="str">
        <f>IFERROR(__xludf.DUMMYFUNCTION("""COMPUTED_VALUE"""),"GG")</f>
        <v>GG</v>
      </c>
      <c r="AG741" s="1" t="str">
        <f>IFERROR(__xludf.DUMMYFUNCTION("""COMPUTED_VALUE"""),"G")</f>
        <v>G</v>
      </c>
      <c r="AH741" s="1">
        <f>IFERROR(__xludf.DUMMYFUNCTION("""COMPUTED_VALUE"""),41)</f>
        <v>41</v>
      </c>
      <c r="AI741" s="1">
        <f>IFERROR(__xludf.DUMMYFUNCTION("""COMPUTED_VALUE"""),41)</f>
        <v>41</v>
      </c>
      <c r="AJ741" s="1">
        <f>IFERROR(__xludf.DUMMYFUNCTION("""COMPUTED_VALUE"""),41)</f>
        <v>41</v>
      </c>
      <c r="AK741" s="1">
        <f>IFERROR(__xludf.DUMMYFUNCTION("""COMPUTED_VALUE"""),41)</f>
        <v>41</v>
      </c>
      <c r="AL741" s="1" t="str">
        <f>IFERROR(__xludf.DUMMYFUNCTION("""COMPUTED_VALUE"""),"G")</f>
        <v>G</v>
      </c>
      <c r="AM741" s="1" t="str">
        <f>IFERROR(__xludf.DUMMYFUNCTION("""COMPUTED_VALUE"""),"G")</f>
        <v>G</v>
      </c>
      <c r="AN741" s="1" t="str">
        <f>IFERROR(__xludf.DUMMYFUNCTION("""COMPUTED_VALUE"""),"G")</f>
        <v>G</v>
      </c>
    </row>
    <row r="742" customHeight="1" spans="1:40">
      <c r="A742" s="1" t="str">
        <f>IFERROR(__xludf.DUMMYFUNCTION("""COMPUTED_VALUE"""),"07° BBM")</f>
        <v>07° BBM</v>
      </c>
      <c r="B742" s="1" t="str">
        <f>IFERROR(__xludf.DUMMYFUNCTION("""COMPUTED_VALUE"""),"Jacutinga")</f>
        <v>Jacutinga</v>
      </c>
      <c r="C742" s="119" t="str">
        <f>IFERROR(__xludf.DUMMYFUNCTION("""COMPUTED_VALUE"""),"CAB")</f>
        <v>CAB</v>
      </c>
      <c r="D742" s="1" t="str">
        <f>IFERROR(__xludf.DUMMYFUNCTION("""COMPUTED_VALUE"""),"OSMAR PAULO NADAL")</f>
        <v>OSMAR PAULO NADAL</v>
      </c>
      <c r="E742" s="119" t="str">
        <f>IFERROR(__xludf.DUMMYFUNCTION("""COMPUTED_VALUE"""),"")</f>
        <v/>
      </c>
      <c r="F742" s="1" t="str">
        <f>IFERROR(__xludf.DUMMYFUNCTION("""COMPUTED_VALUE"""),"636.859.650-34")</f>
        <v>636.859.650-34</v>
      </c>
      <c r="G742" s="1">
        <f>IFERROR(__xludf.DUMMYFUNCTION("""COMPUTED_VALUE"""),1068398534)</f>
        <v>1068398534</v>
      </c>
      <c r="H742" s="1" t="str">
        <f>IFERROR(__xludf.DUMMYFUNCTION("""COMPUTED_VALUE"""),"Integrante")</f>
        <v>Integrante</v>
      </c>
      <c r="I742" s="1" t="str">
        <f>IFERROR(__xludf.DUMMYFUNCTION("""COMPUTED_VALUE"""),"TREINAMENTOS EM APH, PREVENÇÃO E COMBATE A INCÊNDIOS E RESGATE EM ALTURA JUNTO AO CBM/RS - 24 HORAS DE ESTÁGIO JUNTO AO CBM/RS")</f>
        <v>TREINAMENTOS EM APH, PREVENÇÃO E COMBATE A INCÊNDIOS E RESGATE EM ALTURA JUNTO AO CBM/RS - 24 HORAS DE ESTÁGIO JUNTO AO CBM/RS</v>
      </c>
      <c r="J742" s="1" t="str">
        <f>IFERROR(__xludf.DUMMYFUNCTION("""COMPUTED_VALUE"""),"Sim")</f>
        <v>Sim</v>
      </c>
      <c r="K742" s="1" t="str">
        <f>IFERROR(__xludf.DUMMYFUNCTION("""COMPUTED_VALUE"""),"Não")</f>
        <v>Não</v>
      </c>
      <c r="L742" s="1" t="str">
        <f>IFERROR(__xludf.DUMMYFUNCTION("""COMPUTED_VALUE"""),"A+")</f>
        <v>A+</v>
      </c>
      <c r="M742" s="1" t="str">
        <f>IFERROR(__xludf.DUMMYFUNCTION("""COMPUTED_VALUE"""),"Nadal")</f>
        <v>Nadal</v>
      </c>
      <c r="N742" s="120">
        <f>IFERROR(__xludf.DUMMYFUNCTION("""COMPUTED_VALUE"""),26780)</f>
        <v>26780</v>
      </c>
      <c r="O742" s="1" t="str">
        <f>IFERROR(__xludf.DUMMYFUNCTION("""COMPUTED_VALUE"""),"Masculino")</f>
        <v>Masculino</v>
      </c>
      <c r="P742" s="1" t="str">
        <f>IFERROR(__xludf.DUMMYFUNCTION("""COMPUTED_VALUE"""),"Branca")</f>
        <v>Branca</v>
      </c>
      <c r="Q742" s="1" t="str">
        <f>IFERROR(__xludf.DUMMYFUNCTION("""COMPUTED_VALUE"""),"Ensino Médio")</f>
        <v>Ensino Médio</v>
      </c>
      <c r="R742" s="1"/>
      <c r="S742" s="1">
        <f>IFERROR(__xludf.DUMMYFUNCTION("""COMPUTED_VALUE"""),79)</f>
        <v>79</v>
      </c>
      <c r="T742" s="1" t="str">
        <f>IFERROR(__xludf.DUMMYFUNCTION("""COMPUTED_VALUE"""),"Entre 1,71m e 1,75m")</f>
        <v>Entre 1,71m e 1,75m</v>
      </c>
      <c r="U742" s="1"/>
      <c r="V742" s="1" t="str">
        <f>IFERROR(__xludf.DUMMYFUNCTION("""COMPUTED_VALUE"""),"(54)999765021")</f>
        <v>(54)999765021</v>
      </c>
      <c r="W742" s="1"/>
      <c r="X742" s="1" t="str">
        <f>IFERROR(__xludf.DUMMYFUNCTION("""COMPUTED_VALUE"""),"RS")</f>
        <v>RS</v>
      </c>
      <c r="Y742" s="1" t="str">
        <f>IFERROR(__xludf.DUMMYFUNCTION("""COMPUTED_VALUE"""),"Jacutinga")</f>
        <v>Jacutinga</v>
      </c>
      <c r="Z742" s="1" t="str">
        <f>IFERROR(__xludf.DUMMYFUNCTION("""COMPUTED_VALUE"""),"99730-000")</f>
        <v>99730-000</v>
      </c>
      <c r="AA742" s="1" t="str">
        <f>IFERROR(__xludf.DUMMYFUNCTION("""COMPUTED_VALUE"""),"Rua Angelo Tortelli, 121")</f>
        <v>Rua Angelo Tortelli, 121</v>
      </c>
      <c r="AB742" s="1" t="str">
        <f>IFERROR(__xludf.DUMMYFUNCTION("""COMPUTED_VALUE"""),"Centro")</f>
        <v>Centro</v>
      </c>
      <c r="AC742" s="1" t="str">
        <f>IFERROR(__xludf.DUMMYFUNCTION("""COMPUTED_VALUE"""),"G")</f>
        <v>G</v>
      </c>
      <c r="AD742" s="1" t="str">
        <f>IFERROR(__xludf.DUMMYFUNCTION("""COMPUTED_VALUE"""),"G")</f>
        <v>G</v>
      </c>
      <c r="AE742" s="1" t="str">
        <f>IFERROR(__xludf.DUMMYFUNCTION("""COMPUTED_VALUE"""),"G")</f>
        <v>G</v>
      </c>
      <c r="AF742" s="1" t="str">
        <f>IFERROR(__xludf.DUMMYFUNCTION("""COMPUTED_VALUE"""),"G")</f>
        <v>G</v>
      </c>
      <c r="AG742" s="1" t="str">
        <f>IFERROR(__xludf.DUMMYFUNCTION("""COMPUTED_VALUE"""),"G")</f>
        <v>G</v>
      </c>
      <c r="AH742" s="1">
        <f>IFERROR(__xludf.DUMMYFUNCTION("""COMPUTED_VALUE"""),42)</f>
        <v>42</v>
      </c>
      <c r="AI742" s="1">
        <f>IFERROR(__xludf.DUMMYFUNCTION("""COMPUTED_VALUE"""),42)</f>
        <v>42</v>
      </c>
      <c r="AJ742" s="1">
        <f>IFERROR(__xludf.DUMMYFUNCTION("""COMPUTED_VALUE"""),42)</f>
        <v>42</v>
      </c>
      <c r="AK742" s="1">
        <f>IFERROR(__xludf.DUMMYFUNCTION("""COMPUTED_VALUE"""),42)</f>
        <v>42</v>
      </c>
      <c r="AL742" s="1" t="str">
        <f>IFERROR(__xludf.DUMMYFUNCTION("""COMPUTED_VALUE"""),"G")</f>
        <v>G</v>
      </c>
      <c r="AM742" s="1" t="str">
        <f>IFERROR(__xludf.DUMMYFUNCTION("""COMPUTED_VALUE"""),"G")</f>
        <v>G</v>
      </c>
      <c r="AN742" s="1" t="str">
        <f>IFERROR(__xludf.DUMMYFUNCTION("""COMPUTED_VALUE"""),"G")</f>
        <v>G</v>
      </c>
    </row>
    <row r="743" customHeight="1" spans="1:40">
      <c r="A743" s="1" t="str">
        <f>IFERROR(__xludf.DUMMYFUNCTION("""COMPUTED_VALUE"""),"07° BBM")</f>
        <v>07° BBM</v>
      </c>
      <c r="B743" s="1" t="str">
        <f>IFERROR(__xludf.DUMMYFUNCTION("""COMPUTED_VALUE"""),"Jacutinga")</f>
        <v>Jacutinga</v>
      </c>
      <c r="C743" s="119" t="str">
        <f>IFERROR(__xludf.DUMMYFUNCTION("""COMPUTED_VALUE"""),"CAB")</f>
        <v>CAB</v>
      </c>
      <c r="D743" s="1" t="str">
        <f>IFERROR(__xludf.DUMMYFUNCTION("""COMPUTED_VALUE"""),"OVÍDIO FRIGOTTO")</f>
        <v>OVÍDIO FRIGOTTO</v>
      </c>
      <c r="E743" s="119" t="str">
        <f>IFERROR(__xludf.DUMMYFUNCTION("""COMPUTED_VALUE"""),"")</f>
        <v/>
      </c>
      <c r="F743" s="1" t="str">
        <f>IFERROR(__xludf.DUMMYFUNCTION("""COMPUTED_VALUE"""),"402.034.500-78")</f>
        <v>402.034.500-78</v>
      </c>
      <c r="G743" s="1">
        <f>IFERROR(__xludf.DUMMYFUNCTION("""COMPUTED_VALUE"""),6034392784)</f>
        <v>6034392784</v>
      </c>
      <c r="H743" s="1" t="str">
        <f>IFERROR(__xludf.DUMMYFUNCTION("""COMPUTED_VALUE"""),"2º Tesoureiro")</f>
        <v>2º Tesoureiro</v>
      </c>
      <c r="I743" s="1" t="str">
        <f>IFERROR(__xludf.DUMMYFUNCTION("""COMPUTED_VALUE"""),"TREINAMENTOS EM APH, RESGATE VEICULAR E PREVENÇÃO E COMBATE A INCENDIOS - CURSO APH/BLS")</f>
        <v>TREINAMENTOS EM APH, RESGATE VEICULAR E PREVENÇÃO E COMBATE A INCENDIOS - CURSO APH/BLS</v>
      </c>
      <c r="J743" s="1" t="str">
        <f>IFERROR(__xludf.DUMMYFUNCTION("""COMPUTED_VALUE"""),"Não")</f>
        <v>Não</v>
      </c>
      <c r="K743" s="1" t="str">
        <f>IFERROR(__xludf.DUMMYFUNCTION("""COMPUTED_VALUE"""),"Não")</f>
        <v>Não</v>
      </c>
      <c r="L743" s="1" t="str">
        <f>IFERROR(__xludf.DUMMYFUNCTION("""COMPUTED_VALUE"""),"A-")</f>
        <v>A-</v>
      </c>
      <c r="M743" s="1" t="str">
        <f>IFERROR(__xludf.DUMMYFUNCTION("""COMPUTED_VALUE"""),"Frigotto")</f>
        <v>Frigotto</v>
      </c>
      <c r="N743" s="120">
        <f>IFERROR(__xludf.DUMMYFUNCTION("""COMPUTED_VALUE"""),23200)</f>
        <v>23200</v>
      </c>
      <c r="O743" s="1" t="str">
        <f>IFERROR(__xludf.DUMMYFUNCTION("""COMPUTED_VALUE"""),"Masculino")</f>
        <v>Masculino</v>
      </c>
      <c r="P743" s="1" t="str">
        <f>IFERROR(__xludf.DUMMYFUNCTION("""COMPUTED_VALUE"""),"Branca")</f>
        <v>Branca</v>
      </c>
      <c r="Q743" s="1" t="str">
        <f>IFERROR(__xludf.DUMMYFUNCTION("""COMPUTED_VALUE"""),"Ensino Médio")</f>
        <v>Ensino Médio</v>
      </c>
      <c r="R743" s="1" t="str">
        <f>IFERROR(__xludf.DUMMYFUNCTION("""COMPUTED_VALUE"""),"frigottoovidio@ymail.com")</f>
        <v>frigottoovidio@ymail.com</v>
      </c>
      <c r="S743" s="1">
        <f>IFERROR(__xludf.DUMMYFUNCTION("""COMPUTED_VALUE"""),84)</f>
        <v>84</v>
      </c>
      <c r="T743" s="1" t="str">
        <f>IFERROR(__xludf.DUMMYFUNCTION("""COMPUTED_VALUE"""),"Entre 1,76m e 1,80m")</f>
        <v>Entre 1,76m e 1,80m</v>
      </c>
      <c r="U743" s="1"/>
      <c r="V743" s="1" t="str">
        <f>IFERROR(__xludf.DUMMYFUNCTION("""COMPUTED_VALUE"""),"(54)999388042")</f>
        <v>(54)999388042</v>
      </c>
      <c r="W743" s="1" t="str">
        <f>IFERROR(__xludf.DUMMYFUNCTION("""COMPUTED_VALUE"""),"(54)999764971")</f>
        <v>(54)999764971</v>
      </c>
      <c r="X743" s="1" t="str">
        <f>IFERROR(__xludf.DUMMYFUNCTION("""COMPUTED_VALUE"""),"RS")</f>
        <v>RS</v>
      </c>
      <c r="Y743" s="1" t="str">
        <f>IFERROR(__xludf.DUMMYFUNCTION("""COMPUTED_VALUE"""),"Jacutinga")</f>
        <v>Jacutinga</v>
      </c>
      <c r="Z743" s="1" t="str">
        <f>IFERROR(__xludf.DUMMYFUNCTION("""COMPUTED_VALUE"""),"99730-000")</f>
        <v>99730-000</v>
      </c>
      <c r="AA743" s="1" t="str">
        <f>IFERROR(__xludf.DUMMYFUNCTION("""COMPUTED_VALUE"""),"Rua João Tortelli, 440")</f>
        <v>Rua João Tortelli, 440</v>
      </c>
      <c r="AB743" s="1" t="str">
        <f>IFERROR(__xludf.DUMMYFUNCTION("""COMPUTED_VALUE"""),"Centro")</f>
        <v>Centro</v>
      </c>
      <c r="AC743" s="1" t="str">
        <f>IFERROR(__xludf.DUMMYFUNCTION("""COMPUTED_VALUE"""),"M")</f>
        <v>M</v>
      </c>
      <c r="AD743" s="1" t="str">
        <f>IFERROR(__xludf.DUMMYFUNCTION("""COMPUTED_VALUE"""),"M")</f>
        <v>M</v>
      </c>
      <c r="AE743" s="1" t="str">
        <f>IFERROR(__xludf.DUMMYFUNCTION("""COMPUTED_VALUE"""),"M")</f>
        <v>M</v>
      </c>
      <c r="AF743" s="1" t="str">
        <f>IFERROR(__xludf.DUMMYFUNCTION("""COMPUTED_VALUE"""),"M")</f>
        <v>M</v>
      </c>
      <c r="AG743" s="1" t="str">
        <f>IFERROR(__xludf.DUMMYFUNCTION("""COMPUTED_VALUE"""),"M")</f>
        <v>M</v>
      </c>
      <c r="AH743" s="1">
        <f>IFERROR(__xludf.DUMMYFUNCTION("""COMPUTED_VALUE"""),42)</f>
        <v>42</v>
      </c>
      <c r="AI743" s="1">
        <f>IFERROR(__xludf.DUMMYFUNCTION("""COMPUTED_VALUE"""),42)</f>
        <v>42</v>
      </c>
      <c r="AJ743" s="1">
        <f>IFERROR(__xludf.DUMMYFUNCTION("""COMPUTED_VALUE"""),42)</f>
        <v>42</v>
      </c>
      <c r="AK743" s="1">
        <f>IFERROR(__xludf.DUMMYFUNCTION("""COMPUTED_VALUE"""),42)</f>
        <v>42</v>
      </c>
      <c r="AL743" s="1" t="str">
        <f>IFERROR(__xludf.DUMMYFUNCTION("""COMPUTED_VALUE"""),"M")</f>
        <v>M</v>
      </c>
      <c r="AM743" s="1" t="str">
        <f>IFERROR(__xludf.DUMMYFUNCTION("""COMPUTED_VALUE"""),"M")</f>
        <v>M</v>
      </c>
      <c r="AN743" s="1" t="str">
        <f>IFERROR(__xludf.DUMMYFUNCTION("""COMPUTED_VALUE"""),"M")</f>
        <v>M</v>
      </c>
    </row>
    <row r="744" customHeight="1" spans="1:40">
      <c r="A744" s="1" t="str">
        <f>IFERROR(__xludf.DUMMYFUNCTION("""COMPUTED_VALUE"""),"07° BBM")</f>
        <v>07° BBM</v>
      </c>
      <c r="B744" s="1" t="str">
        <f>IFERROR(__xludf.DUMMYFUNCTION("""COMPUTED_VALUE"""),"Faxinalzinho")</f>
        <v>Faxinalzinho</v>
      </c>
      <c r="C744" s="119" t="str">
        <f>IFERROR(__xludf.DUMMYFUNCTION("""COMPUTED_VALUE"""),"CAB")</f>
        <v>CAB</v>
      </c>
      <c r="D744" s="1" t="str">
        <f>IFERROR(__xludf.DUMMYFUNCTION("""COMPUTED_VALUE"""),"PÂMELA ELLEN ALVES BALDO")</f>
        <v>PÂMELA ELLEN ALVES BALDO</v>
      </c>
      <c r="E744" s="119" t="str">
        <f>IFERROR(__xludf.DUMMYFUNCTION("""COMPUTED_VALUE"""),"")</f>
        <v/>
      </c>
      <c r="F744" s="1" t="str">
        <f>IFERROR(__xludf.DUMMYFUNCTION("""COMPUTED_VALUE"""),"086.964.839-01")</f>
        <v>086.964.839-01</v>
      </c>
      <c r="G744" s="1">
        <f>IFERROR(__xludf.DUMMYFUNCTION("""COMPUTED_VALUE"""),8696483901)</f>
        <v>8696483901</v>
      </c>
      <c r="H744" s="1" t="str">
        <f>IFERROR(__xludf.DUMMYFUNCTION("""COMPUTED_VALUE"""),"Combatente")</f>
        <v>Combatente</v>
      </c>
      <c r="I744" s="1" t="str">
        <f>IFERROR(__xludf.DUMMYFUNCTION("""COMPUTED_VALUE"""),"Aph , combate a incêndios")</f>
        <v>Aph , combate a incêndios</v>
      </c>
      <c r="J744" s="1" t="str">
        <f>IFERROR(__xludf.DUMMYFUNCTION("""COMPUTED_VALUE"""),"Sim")</f>
        <v>Sim</v>
      </c>
      <c r="K744" s="1" t="str">
        <f>IFERROR(__xludf.DUMMYFUNCTION("""COMPUTED_VALUE"""),"Não")</f>
        <v>Não</v>
      </c>
      <c r="L744" s="1" t="str">
        <f>IFERROR(__xludf.DUMMYFUNCTION("""COMPUTED_VALUE"""),"A+")</f>
        <v>A+</v>
      </c>
      <c r="M744" s="1" t="str">
        <f>IFERROR(__xludf.DUMMYFUNCTION("""COMPUTED_VALUE"""),"PÂMELA BALDO")</f>
        <v>PÂMELA BALDO</v>
      </c>
      <c r="N744" s="121">
        <f>IFERROR(__xludf.DUMMYFUNCTION("""COMPUTED_VALUE"""),33987)</f>
        <v>33987</v>
      </c>
      <c r="O744" s="1" t="str">
        <f>IFERROR(__xludf.DUMMYFUNCTION("""COMPUTED_VALUE"""),"Feminino")</f>
        <v>Feminino</v>
      </c>
      <c r="P744" s="1" t="str">
        <f>IFERROR(__xludf.DUMMYFUNCTION("""COMPUTED_VALUE"""),"Branca")</f>
        <v>Branca</v>
      </c>
      <c r="Q744" s="1" t="str">
        <f>IFERROR(__xludf.DUMMYFUNCTION("""COMPUTED_VALUE"""),"Ensino Superior Completo")</f>
        <v>Ensino Superior Completo</v>
      </c>
      <c r="R744" s="1" t="str">
        <f>IFERROR(__xludf.DUMMYFUNCTION("""COMPUTED_VALUE"""),"pamelaellen93@gmail.com")</f>
        <v>pamelaellen93@gmail.com</v>
      </c>
      <c r="S744" s="1">
        <f>IFERROR(__xludf.DUMMYFUNCTION("""COMPUTED_VALUE"""),92)</f>
        <v>92</v>
      </c>
      <c r="T744" s="1" t="str">
        <f>IFERROR(__xludf.DUMMYFUNCTION("""COMPUTED_VALUE"""),"Entre 1,61m e 1,65m")</f>
        <v>Entre 1,61m e 1,65m</v>
      </c>
      <c r="U744" s="1">
        <f>IFERROR(__xludf.DUMMYFUNCTION("""COMPUTED_VALUE"""),54999220493)</f>
        <v>54999220493</v>
      </c>
      <c r="V744" s="1" t="str">
        <f>IFERROR(__xludf.DUMMYFUNCTION("""COMPUTED_VALUE"""),"(54) 999220493")</f>
        <v>(54) 999220493</v>
      </c>
      <c r="W744" s="1" t="str">
        <f>IFERROR(__xludf.DUMMYFUNCTION("""COMPUTED_VALUE"""),"(54)996273050")</f>
        <v>(54)996273050</v>
      </c>
      <c r="X744" s="1" t="str">
        <f>IFERROR(__xludf.DUMMYFUNCTION("""COMPUTED_VALUE"""),"RIO GRANDE DO SUL")</f>
        <v>RIO GRANDE DO SUL</v>
      </c>
      <c r="Y744" s="1" t="str">
        <f>IFERROR(__xludf.DUMMYFUNCTION("""COMPUTED_VALUE"""),"Faxinalzinho")</f>
        <v>Faxinalzinho</v>
      </c>
      <c r="Z744" s="1" t="str">
        <f>IFERROR(__xludf.DUMMYFUNCTION("""COMPUTED_VALUE"""),"99655-000")</f>
        <v>99655-000</v>
      </c>
      <c r="AA744" s="1" t="str">
        <f>IFERROR(__xludf.DUMMYFUNCTION("""COMPUTED_VALUE"""),"Linha Votouro,630")</f>
        <v>Linha Votouro,630</v>
      </c>
      <c r="AB744" s="1" t="str">
        <f>IFERROR(__xludf.DUMMYFUNCTION("""COMPUTED_VALUE"""),"Interior")</f>
        <v>Interior</v>
      </c>
      <c r="AC744" s="1" t="str">
        <f>IFERROR(__xludf.DUMMYFUNCTION("""COMPUTED_VALUE"""),"G")</f>
        <v>G</v>
      </c>
      <c r="AD744" s="1" t="str">
        <f>IFERROR(__xludf.DUMMYFUNCTION("""COMPUTED_VALUE"""),"G")</f>
        <v>G</v>
      </c>
      <c r="AE744" s="1" t="str">
        <f>IFERROR(__xludf.DUMMYFUNCTION("""COMPUTED_VALUE"""),"G")</f>
        <v>G</v>
      </c>
      <c r="AF744" s="1" t="str">
        <f>IFERROR(__xludf.DUMMYFUNCTION("""COMPUTED_VALUE"""),"G")</f>
        <v>G</v>
      </c>
      <c r="AG744" s="1" t="str">
        <f>IFERROR(__xludf.DUMMYFUNCTION("""COMPUTED_VALUE"""),"G")</f>
        <v>G</v>
      </c>
      <c r="AH744" s="1">
        <f>IFERROR(__xludf.DUMMYFUNCTION("""COMPUTED_VALUE"""),38)</f>
        <v>38</v>
      </c>
      <c r="AI744" s="1">
        <f>IFERROR(__xludf.DUMMYFUNCTION("""COMPUTED_VALUE"""),38)</f>
        <v>38</v>
      </c>
      <c r="AJ744" s="1">
        <f>IFERROR(__xludf.DUMMYFUNCTION("""COMPUTED_VALUE"""),38)</f>
        <v>38</v>
      </c>
      <c r="AK744" s="1">
        <f>IFERROR(__xludf.DUMMYFUNCTION("""COMPUTED_VALUE"""),38)</f>
        <v>38</v>
      </c>
      <c r="AL744" s="1" t="str">
        <f>IFERROR(__xludf.DUMMYFUNCTION("""COMPUTED_VALUE"""),"G")</f>
        <v>G</v>
      </c>
      <c r="AM744" s="1" t="str">
        <f>IFERROR(__xludf.DUMMYFUNCTION("""COMPUTED_VALUE"""),"G")</f>
        <v>G</v>
      </c>
      <c r="AN744" s="1" t="str">
        <f>IFERROR(__xludf.DUMMYFUNCTION("""COMPUTED_VALUE"""),"G")</f>
        <v>G</v>
      </c>
    </row>
    <row r="745" customHeight="1" spans="1:40">
      <c r="A745" s="1" t="str">
        <f>IFERROR(__xludf.DUMMYFUNCTION("""COMPUTED_VALUE"""),"07° BBM")</f>
        <v>07° BBM</v>
      </c>
      <c r="B745" s="1" t="str">
        <f>IFERROR(__xludf.DUMMYFUNCTION("""COMPUTED_VALUE"""),"Viadutos")</f>
        <v>Viadutos</v>
      </c>
      <c r="C745" s="119" t="str">
        <f>IFERROR(__xludf.DUMMYFUNCTION("""COMPUTED_VALUE"""),"CAB")</f>
        <v>CAB</v>
      </c>
      <c r="D745" s="1" t="str">
        <f>IFERROR(__xludf.DUMMYFUNCTION("""COMPUTED_VALUE"""),"PATRÍCIA BITARELLO VOLPI")</f>
        <v>PATRÍCIA BITARELLO VOLPI</v>
      </c>
      <c r="E745" s="119" t="str">
        <f>IFERROR(__xludf.DUMMYFUNCTION("""COMPUTED_VALUE"""),"Módulo 1 concluído")</f>
        <v>Módulo 1 concluído</v>
      </c>
      <c r="F745" s="1" t="str">
        <f>IFERROR(__xludf.DUMMYFUNCTION("""COMPUTED_VALUE"""),"824.846.350-87")</f>
        <v>824.846.350-87</v>
      </c>
      <c r="G745" s="1">
        <f>IFERROR(__xludf.DUMMYFUNCTION("""COMPUTED_VALUE"""),4072556923)</f>
        <v>4072556923</v>
      </c>
      <c r="H745" s="1" t="str">
        <f>IFERROR(__xludf.DUMMYFUNCTION("""COMPUTED_VALUE"""),"COMBATENTE")</f>
        <v>COMBATENTE</v>
      </c>
      <c r="I745" s="1" t="str">
        <f>IFERROR(__xludf.DUMMYFUNCTION("""COMPUTED_VALUE"""),"Atendiimento Suporte Básico de Vida/Fisioterapeuta")</f>
        <v>Atendiimento Suporte Básico de Vida/Fisioterapeuta</v>
      </c>
      <c r="J745" s="1" t="str">
        <f>IFERROR(__xludf.DUMMYFUNCTION("""COMPUTED_VALUE"""),"Não")</f>
        <v>Não</v>
      </c>
      <c r="K745" s="1" t="str">
        <f>IFERROR(__xludf.DUMMYFUNCTION("""COMPUTED_VALUE"""),"Não")</f>
        <v>Não</v>
      </c>
      <c r="L745" s="1" t="str">
        <f>IFERROR(__xludf.DUMMYFUNCTION("""COMPUTED_VALUE"""),"AB+")</f>
        <v>AB+</v>
      </c>
      <c r="M745" s="1" t="str">
        <f>IFERROR(__xludf.DUMMYFUNCTION("""COMPUTED_VALUE"""),"PATRICIA")</f>
        <v>PATRICIA</v>
      </c>
      <c r="N745" s="120">
        <f>IFERROR(__xludf.DUMMYFUNCTION("""COMPUTED_VALUE"""),29859)</f>
        <v>29859</v>
      </c>
      <c r="O745" s="1" t="str">
        <f>IFERROR(__xludf.DUMMYFUNCTION("""COMPUTED_VALUE"""),"Feminino")</f>
        <v>Feminino</v>
      </c>
      <c r="P745" s="1" t="str">
        <f>IFERROR(__xludf.DUMMYFUNCTION("""COMPUTED_VALUE"""),"Branca")</f>
        <v>Branca</v>
      </c>
      <c r="Q745" s="1" t="str">
        <f>IFERROR(__xludf.DUMMYFUNCTION("""COMPUTED_VALUE"""),"Ensino Superior Completo")</f>
        <v>Ensino Superior Completo</v>
      </c>
      <c r="R745" s="1" t="str">
        <f>IFERROR(__xludf.DUMMYFUNCTION("""COMPUTED_VALUE"""),"patybittarello@gmail.com")</f>
        <v>patybittarello@gmail.com</v>
      </c>
      <c r="S745" s="1">
        <f>IFERROR(__xludf.DUMMYFUNCTION("""COMPUTED_VALUE"""),57)</f>
        <v>57</v>
      </c>
      <c r="T745" s="1" t="str">
        <f>IFERROR(__xludf.DUMMYFUNCTION("""COMPUTED_VALUE"""),"Entre 1,56m e 1,60m")</f>
        <v>Entre 1,56m e 1,60m</v>
      </c>
      <c r="U745" s="1"/>
      <c r="V745" s="1" t="str">
        <f>IFERROR(__xludf.DUMMYFUNCTION("""COMPUTED_VALUE"""),"(54) 999616445")</f>
        <v>(54) 999616445</v>
      </c>
      <c r="W745" s="1" t="str">
        <f>IFERROR(__xludf.DUMMYFUNCTION("""COMPUTED_VALUE"""),"(54) 999249531")</f>
        <v>(54) 999249531</v>
      </c>
      <c r="X745" s="1" t="str">
        <f>IFERROR(__xludf.DUMMYFUNCTION("""COMPUTED_VALUE"""),"RS")</f>
        <v>RS</v>
      </c>
      <c r="Y745" s="1" t="str">
        <f>IFERROR(__xludf.DUMMYFUNCTION("""COMPUTED_VALUE"""),"Viadutos")</f>
        <v>Viadutos</v>
      </c>
      <c r="Z745" s="1" t="str">
        <f>IFERROR(__xludf.DUMMYFUNCTION("""COMPUTED_VALUE"""),"99820-000")</f>
        <v>99820-000</v>
      </c>
      <c r="AA745" s="1" t="str">
        <f>IFERROR(__xludf.DUMMYFUNCTION("""COMPUTED_VALUE"""),"Rua Anchieta 275")</f>
        <v>Rua Anchieta 275</v>
      </c>
      <c r="AB745" s="1" t="str">
        <f>IFERROR(__xludf.DUMMYFUNCTION("""COMPUTED_VALUE"""),"Centro")</f>
        <v>Centro</v>
      </c>
      <c r="AC745" s="1" t="str">
        <f>IFERROR(__xludf.DUMMYFUNCTION("""COMPUTED_VALUE"""),"P")</f>
        <v>P</v>
      </c>
      <c r="AD745" s="1" t="str">
        <f>IFERROR(__xludf.DUMMYFUNCTION("""COMPUTED_VALUE"""),"M")</f>
        <v>M</v>
      </c>
      <c r="AE745" s="1" t="str">
        <f>IFERROR(__xludf.DUMMYFUNCTION("""COMPUTED_VALUE"""),"M")</f>
        <v>M</v>
      </c>
      <c r="AF745" s="1" t="str">
        <f>IFERROR(__xludf.DUMMYFUNCTION("""COMPUTED_VALUE"""),"M")</f>
        <v>M</v>
      </c>
      <c r="AG745" s="1" t="str">
        <f>IFERROR(__xludf.DUMMYFUNCTION("""COMPUTED_VALUE"""),"P")</f>
        <v>P</v>
      </c>
      <c r="AH745" s="1">
        <f>IFERROR(__xludf.DUMMYFUNCTION("""COMPUTED_VALUE"""),34)</f>
        <v>34</v>
      </c>
      <c r="AI745" s="1">
        <f>IFERROR(__xludf.DUMMYFUNCTION("""COMPUTED_VALUE"""),34)</f>
        <v>34</v>
      </c>
      <c r="AJ745" s="1">
        <f>IFERROR(__xludf.DUMMYFUNCTION("""COMPUTED_VALUE"""),34)</f>
        <v>34</v>
      </c>
      <c r="AK745" s="1">
        <f>IFERROR(__xludf.DUMMYFUNCTION("""COMPUTED_VALUE"""),35)</f>
        <v>35</v>
      </c>
      <c r="AL745" s="1" t="str">
        <f>IFERROR(__xludf.DUMMYFUNCTION("""COMPUTED_VALUE"""),"P")</f>
        <v>P</v>
      </c>
      <c r="AM745" s="1" t="str">
        <f>IFERROR(__xludf.DUMMYFUNCTION("""COMPUTED_VALUE"""),"P")</f>
        <v>P</v>
      </c>
      <c r="AN745" s="1" t="str">
        <f>IFERROR(__xludf.DUMMYFUNCTION("""COMPUTED_VALUE"""),"P")</f>
        <v>P</v>
      </c>
    </row>
    <row r="746" customHeight="1" spans="1:40">
      <c r="A746" s="1" t="str">
        <f>IFERROR(__xludf.DUMMYFUNCTION("""COMPUTED_VALUE"""),"07° BBM")</f>
        <v>07° BBM</v>
      </c>
      <c r="B746" s="1" t="str">
        <f>IFERROR(__xludf.DUMMYFUNCTION("""COMPUTED_VALUE"""),"Faxinalzinho")</f>
        <v>Faxinalzinho</v>
      </c>
      <c r="C746" s="119" t="str">
        <f>IFERROR(__xludf.DUMMYFUNCTION("""COMPUTED_VALUE"""),"CAB")</f>
        <v>CAB</v>
      </c>
      <c r="D746" s="1" t="str">
        <f>IFERROR(__xludf.DUMMYFUNCTION("""COMPUTED_VALUE"""),"PATRÍCIA D'AGOSTINI SPINHIK")</f>
        <v>PATRÍCIA D'AGOSTINI SPINHIK</v>
      </c>
      <c r="E746" s="119" t="str">
        <f>IFERROR(__xludf.DUMMYFUNCTION("""COMPUTED_VALUE"""),"")</f>
        <v/>
      </c>
      <c r="F746" s="1" t="str">
        <f>IFERROR(__xludf.DUMMYFUNCTION("""COMPUTED_VALUE"""),"001.421.080-06")</f>
        <v>001.421.080-06</v>
      </c>
      <c r="G746" s="1">
        <f>IFERROR(__xludf.DUMMYFUNCTION("""COMPUTED_VALUE"""),8070930642)</f>
        <v>8070930642</v>
      </c>
      <c r="H746" s="1" t="str">
        <f>IFERROR(__xludf.DUMMYFUNCTION("""COMPUTED_VALUE"""),"Manutenção Logística - Combatente")</f>
        <v>Manutenção Logística - Combatente</v>
      </c>
      <c r="I746" s="1" t="str">
        <f>IFERROR(__xludf.DUMMYFUNCTION("""COMPUTED_VALUE"""),"Professora, Combate a Incendio")</f>
        <v>Professora, Combate a Incendio</v>
      </c>
      <c r="J746" s="1" t="str">
        <f>IFERROR(__xludf.DUMMYFUNCTION("""COMPUTED_VALUE"""),"Não")</f>
        <v>Não</v>
      </c>
      <c r="K746" s="1" t="str">
        <f>IFERROR(__xludf.DUMMYFUNCTION("""COMPUTED_VALUE"""),"Não")</f>
        <v>Não</v>
      </c>
      <c r="L746" s="1" t="str">
        <f>IFERROR(__xludf.DUMMYFUNCTION("""COMPUTED_VALUE"""),"A+")</f>
        <v>A+</v>
      </c>
      <c r="M746" s="1" t="str">
        <f>IFERROR(__xludf.DUMMYFUNCTION("""COMPUTED_VALUE"""),"PATRÍCIA")</f>
        <v>PATRÍCIA</v>
      </c>
      <c r="N746" s="120">
        <f>IFERROR(__xludf.DUMMYFUNCTION("""COMPUTED_VALUE"""),29715)</f>
        <v>29715</v>
      </c>
      <c r="O746" s="1" t="str">
        <f>IFERROR(__xludf.DUMMYFUNCTION("""COMPUTED_VALUE"""),"Feminino")</f>
        <v>Feminino</v>
      </c>
      <c r="P746" s="1" t="str">
        <f>IFERROR(__xludf.DUMMYFUNCTION("""COMPUTED_VALUE"""),"Branca")</f>
        <v>Branca</v>
      </c>
      <c r="Q746" s="1" t="str">
        <f>IFERROR(__xludf.DUMMYFUNCTION("""COMPUTED_VALUE"""),"Pós-graduação")</f>
        <v>Pós-graduação</v>
      </c>
      <c r="R746" s="1" t="str">
        <f>IFERROR(__xludf.DUMMYFUNCTION("""COMPUTED_VALUE"""),"paty_dago@hotmail.com")</f>
        <v>paty_dago@hotmail.com</v>
      </c>
      <c r="S746" s="1">
        <f>IFERROR(__xludf.DUMMYFUNCTION("""COMPUTED_VALUE"""),78)</f>
        <v>78</v>
      </c>
      <c r="T746" s="1" t="str">
        <f>IFERROR(__xludf.DUMMYFUNCTION("""COMPUTED_VALUE"""),"Entre 1,56m e 1,60m")</f>
        <v>Entre 1,56m e 1,60m</v>
      </c>
      <c r="U746" s="1" t="str">
        <f>IFERROR(__xludf.DUMMYFUNCTION("""COMPUTED_VALUE"""),"54 999310628")</f>
        <v>54 999310628</v>
      </c>
      <c r="V746" s="1" t="str">
        <f>IFERROR(__xludf.DUMMYFUNCTION("""COMPUTED_VALUE"""),"(54) 999310628")</f>
        <v>(54) 999310628</v>
      </c>
      <c r="W746" s="1">
        <f>IFERROR(__xludf.DUMMYFUNCTION("""COMPUTED_VALUE"""),54996570132)</f>
        <v>54996570132</v>
      </c>
      <c r="X746" s="1" t="str">
        <f>IFERROR(__xludf.DUMMYFUNCTION("""COMPUTED_VALUE"""),"RIO GRANDE DO SUL")</f>
        <v>RIO GRANDE DO SUL</v>
      </c>
      <c r="Y746" s="1" t="str">
        <f>IFERROR(__xludf.DUMMYFUNCTION("""COMPUTED_VALUE"""),"Faxinalzinho")</f>
        <v>Faxinalzinho</v>
      </c>
      <c r="Z746" s="1" t="str">
        <f>IFERROR(__xludf.DUMMYFUNCTION("""COMPUTED_VALUE"""),"99655-000")</f>
        <v>99655-000</v>
      </c>
      <c r="AA746" s="1" t="str">
        <f>IFERROR(__xludf.DUMMYFUNCTION("""COMPUTED_VALUE"""),"José Pelin")</f>
        <v>José Pelin</v>
      </c>
      <c r="AB746" s="1" t="str">
        <f>IFERROR(__xludf.DUMMYFUNCTION("""COMPUTED_VALUE"""),"Centro")</f>
        <v>Centro</v>
      </c>
      <c r="AC746" s="1" t="str">
        <f>IFERROR(__xludf.DUMMYFUNCTION("""COMPUTED_VALUE"""),"G")</f>
        <v>G</v>
      </c>
      <c r="AD746" s="1" t="str">
        <f>IFERROR(__xludf.DUMMYFUNCTION("""COMPUTED_VALUE"""),"G")</f>
        <v>G</v>
      </c>
      <c r="AE746" s="1" t="str">
        <f>IFERROR(__xludf.DUMMYFUNCTION("""COMPUTED_VALUE"""),"G")</f>
        <v>G</v>
      </c>
      <c r="AF746" s="1" t="str">
        <f>IFERROR(__xludf.DUMMYFUNCTION("""COMPUTED_VALUE"""),"G")</f>
        <v>G</v>
      </c>
      <c r="AG746" s="1" t="str">
        <f>IFERROR(__xludf.DUMMYFUNCTION("""COMPUTED_VALUE"""),"G")</f>
        <v>G</v>
      </c>
      <c r="AH746" s="1">
        <f>IFERROR(__xludf.DUMMYFUNCTION("""COMPUTED_VALUE"""),35)</f>
        <v>35</v>
      </c>
      <c r="AI746" s="1">
        <f>IFERROR(__xludf.DUMMYFUNCTION("""COMPUTED_VALUE"""),35)</f>
        <v>35</v>
      </c>
      <c r="AJ746" s="1">
        <f>IFERROR(__xludf.DUMMYFUNCTION("""COMPUTED_VALUE"""),35)</f>
        <v>35</v>
      </c>
      <c r="AK746" s="1">
        <f>IFERROR(__xludf.DUMMYFUNCTION("""COMPUTED_VALUE"""),35)</f>
        <v>35</v>
      </c>
      <c r="AL746" s="1" t="str">
        <f>IFERROR(__xludf.DUMMYFUNCTION("""COMPUTED_VALUE"""),"G")</f>
        <v>G</v>
      </c>
      <c r="AM746" s="1" t="str">
        <f>IFERROR(__xludf.DUMMYFUNCTION("""COMPUTED_VALUE"""),"G")</f>
        <v>G</v>
      </c>
      <c r="AN746" s="1" t="str">
        <f>IFERROR(__xludf.DUMMYFUNCTION("""COMPUTED_VALUE"""),"G")</f>
        <v>G</v>
      </c>
    </row>
    <row r="747" customHeight="1" spans="1:40">
      <c r="A747" s="1" t="str">
        <f>IFERROR(__xludf.DUMMYFUNCTION("""COMPUTED_VALUE"""),"07° BBM")</f>
        <v>07° BBM</v>
      </c>
      <c r="B747" s="1" t="str">
        <f>IFERROR(__xludf.DUMMYFUNCTION("""COMPUTED_VALUE"""),"Não-Me-Toque")</f>
        <v>Não-Me-Toque</v>
      </c>
      <c r="C747" s="119" t="str">
        <f>IFERROR(__xludf.DUMMYFUNCTION("""COMPUTED_VALUE"""),"CAB")</f>
        <v>CAB</v>
      </c>
      <c r="D747" s="1" t="str">
        <f>IFERROR(__xludf.DUMMYFUNCTION("""COMPUTED_VALUE"""),"PAULA SAMUEL VAN SCHAIK")</f>
        <v>PAULA SAMUEL VAN SCHAIK</v>
      </c>
      <c r="E747" s="119" t="str">
        <f>IFERROR(__xludf.DUMMYFUNCTION("""COMPUTED_VALUE"""),"")</f>
        <v/>
      </c>
      <c r="F747" s="1" t="str">
        <f>IFERROR(__xludf.DUMMYFUNCTION("""COMPUTED_VALUE"""),"012.723.760-79")</f>
        <v>012.723.760-79</v>
      </c>
      <c r="G747" s="1">
        <f>IFERROR(__xludf.DUMMYFUNCTION("""COMPUTED_VALUE"""),2077110266)</f>
        <v>2077110266</v>
      </c>
      <c r="H747" s="1" t="str">
        <f>IFERROR(__xludf.DUMMYFUNCTION("""COMPUTED_VALUE"""),"BOMBEIRA")</f>
        <v>BOMBEIRA</v>
      </c>
      <c r="I747" s="1" t="str">
        <f>IFERROR(__xludf.DUMMYFUNCTION("""COMPUTED_VALUE"""),"Brigada de Incêndio/Nivelamento Operacional BV/Nivelamento Operacional CBMRS")</f>
        <v>Brigada de Incêndio/Nivelamento Operacional BV/Nivelamento Operacional CBMRS</v>
      </c>
      <c r="J747" s="1" t="str">
        <f>IFERROR(__xludf.DUMMYFUNCTION("""COMPUTED_VALUE"""),"Não")</f>
        <v>Não</v>
      </c>
      <c r="K747" s="1" t="str">
        <f>IFERROR(__xludf.DUMMYFUNCTION("""COMPUTED_VALUE"""),"Não")</f>
        <v>Não</v>
      </c>
      <c r="L747" s="1"/>
      <c r="M747" s="1"/>
      <c r="N747" s="120"/>
      <c r="O747" s="1" t="str">
        <f>IFERROR(__xludf.DUMMYFUNCTION("""COMPUTED_VALUE"""),"Feminino")</f>
        <v>Feminino</v>
      </c>
      <c r="P747" s="1" t="str">
        <f>IFERROR(__xludf.DUMMYFUNCTION("""COMPUTED_VALUE"""),"Branca")</f>
        <v>Branca</v>
      </c>
      <c r="Q747" s="1" t="str">
        <f>IFERROR(__xludf.DUMMYFUNCTION("""COMPUTED_VALUE"""),"Ensino Superior Completo")</f>
        <v>Ensino Superior Completo</v>
      </c>
      <c r="R747" s="1"/>
      <c r="S747" s="1"/>
      <c r="T747" s="1"/>
      <c r="U747" s="1"/>
      <c r="V747" s="1"/>
      <c r="W747" s="1"/>
      <c r="X747" s="1" t="str">
        <f>IFERROR(__xludf.DUMMYFUNCTION("""COMPUTED_VALUE"""),"RS")</f>
        <v>RS</v>
      </c>
      <c r="Y747" s="1" t="str">
        <f>IFERROR(__xludf.DUMMYFUNCTION("""COMPUTED_VALUE"""),"Não-Me-Toque")</f>
        <v>Não-Me-Toque</v>
      </c>
      <c r="Z747" s="1" t="str">
        <f>IFERROR(__xludf.DUMMYFUNCTION("""COMPUTED_VALUE"""),"99470-000")</f>
        <v>99470-000</v>
      </c>
      <c r="AA747" s="1"/>
      <c r="AB747" s="1" t="str">
        <f>IFERROR(__xludf.DUMMYFUNCTION("""COMPUTED_VALUE"""),"Arlindo Hermes")</f>
        <v>Arlindo Hermes</v>
      </c>
      <c r="AC747" s="1"/>
      <c r="AD747" s="1"/>
      <c r="AE747" s="1"/>
      <c r="AF747" s="1"/>
      <c r="AG747" s="1" t="str">
        <f>IFERROR(__xludf.DUMMYFUNCTION("""COMPUTED_VALUE"""),"G")</f>
        <v>G</v>
      </c>
      <c r="AH747" s="1">
        <f>IFERROR(__xludf.DUMMYFUNCTION("""COMPUTED_VALUE"""),35)</f>
        <v>35</v>
      </c>
      <c r="AI747" s="1"/>
      <c r="AJ747" s="1"/>
      <c r="AK747" s="1"/>
      <c r="AL747" s="1" t="str">
        <f>IFERROR(__xludf.DUMMYFUNCTION("""COMPUTED_VALUE"""),"G")</f>
        <v>G</v>
      </c>
      <c r="AM747" s="1" t="str">
        <f>IFERROR(__xludf.DUMMYFUNCTION("""COMPUTED_VALUE"""),"G")</f>
        <v>G</v>
      </c>
      <c r="AN747" s="1" t="str">
        <f>IFERROR(__xludf.DUMMYFUNCTION("""COMPUTED_VALUE"""),"M")</f>
        <v>M</v>
      </c>
    </row>
    <row r="748" customHeight="1" spans="1:40">
      <c r="A748" s="1" t="str">
        <f>IFERROR(__xludf.DUMMYFUNCTION("""COMPUTED_VALUE"""),"07° BBM")</f>
        <v>07° BBM</v>
      </c>
      <c r="B748" s="1" t="str">
        <f>IFERROR(__xludf.DUMMYFUNCTION("""COMPUTED_VALUE"""),"Não-Me-Toque")</f>
        <v>Não-Me-Toque</v>
      </c>
      <c r="C748" s="119" t="str">
        <f>IFERROR(__xludf.DUMMYFUNCTION("""COMPUTED_VALUE"""),"CAB")</f>
        <v>CAB</v>
      </c>
      <c r="D748" s="1" t="str">
        <f>IFERROR(__xludf.DUMMYFUNCTION("""COMPUTED_VALUE"""),"PAULO CESAR DE ANDRADE")</f>
        <v>PAULO CESAR DE ANDRADE</v>
      </c>
      <c r="E748" s="119" t="str">
        <f>IFERROR(__xludf.DUMMYFUNCTION("""COMPUTED_VALUE"""),"Módulo 1 concluído")</f>
        <v>Módulo 1 concluído</v>
      </c>
      <c r="F748" s="1" t="str">
        <f>IFERROR(__xludf.DUMMYFUNCTION("""COMPUTED_VALUE"""),"898.375.410-91")</f>
        <v>898.375.410-91</v>
      </c>
      <c r="G748" s="1">
        <f>IFERROR(__xludf.DUMMYFUNCTION("""COMPUTED_VALUE"""),5054779144)</f>
        <v>5054779144</v>
      </c>
      <c r="H748" s="1" t="str">
        <f>IFERROR(__xludf.DUMMYFUNCTION("""COMPUTED_VALUE"""),"BOMBEIRO")</f>
        <v>BOMBEIRO</v>
      </c>
      <c r="I748" s="1" t="str">
        <f>IFERROR(__xludf.DUMMYFUNCTION("""COMPUTED_VALUE"""),"Brigada de Incêndio/Nivelamento Operacional BV/EPI's e EPRA")</f>
        <v>Brigada de Incêndio/Nivelamento Operacional BV/EPI's e EPRA</v>
      </c>
      <c r="J748" s="1" t="str">
        <f>IFERROR(__xludf.DUMMYFUNCTION("""COMPUTED_VALUE"""),"Não")</f>
        <v>Não</v>
      </c>
      <c r="K748" s="1" t="str">
        <f>IFERROR(__xludf.DUMMYFUNCTION("""COMPUTED_VALUE"""),"Não")</f>
        <v>Não</v>
      </c>
      <c r="L748" s="1" t="str">
        <f>IFERROR(__xludf.DUMMYFUNCTION("""COMPUTED_VALUE"""),"O+")</f>
        <v>O+</v>
      </c>
      <c r="M748" s="1" t="str">
        <f>IFERROR(__xludf.DUMMYFUNCTION("""COMPUTED_VALUE"""),"ANDRADE")</f>
        <v>ANDRADE</v>
      </c>
      <c r="N748" s="120">
        <f>IFERROR(__xludf.DUMMYFUNCTION("""COMPUTED_VALUE"""),27487)</f>
        <v>27487</v>
      </c>
      <c r="O748" s="1" t="str">
        <f>IFERROR(__xludf.DUMMYFUNCTION("""COMPUTED_VALUE"""),"Masculino")</f>
        <v>Masculino</v>
      </c>
      <c r="P748" s="1" t="str">
        <f>IFERROR(__xludf.DUMMYFUNCTION("""COMPUTED_VALUE"""),"Branca")</f>
        <v>Branca</v>
      </c>
      <c r="Q748" s="1" t="str">
        <f>IFERROR(__xludf.DUMMYFUNCTION("""COMPUTED_VALUE"""),"Ensino Superior Incompleto")</f>
        <v>Ensino Superior Incompleto</v>
      </c>
      <c r="R748" s="1" t="str">
        <f>IFERROR(__xludf.DUMMYFUNCTION("""COMPUTED_VALUE"""),"interandrade@yahoo.com.br")</f>
        <v>interandrade@yahoo.com.br</v>
      </c>
      <c r="S748" s="1">
        <f>IFERROR(__xludf.DUMMYFUNCTION("""COMPUTED_VALUE"""),80)</f>
        <v>80</v>
      </c>
      <c r="T748" s="1" t="str">
        <f>IFERROR(__xludf.DUMMYFUNCTION("""COMPUTED_VALUE"""),"Entre 1,76m e 1,80m")</f>
        <v>Entre 1,76m e 1,80m</v>
      </c>
      <c r="U748" s="1"/>
      <c r="V748" s="1" t="str">
        <f>IFERROR(__xludf.DUMMYFUNCTION("""COMPUTED_VALUE"""),"(54)996123611")</f>
        <v>(54)996123611</v>
      </c>
      <c r="W748" s="1"/>
      <c r="X748" s="1" t="str">
        <f>IFERROR(__xludf.DUMMYFUNCTION("""COMPUTED_VALUE"""),"RS")</f>
        <v>RS</v>
      </c>
      <c r="Y748" s="1" t="str">
        <f>IFERROR(__xludf.DUMMYFUNCTION("""COMPUTED_VALUE"""),"Não-Me-Toque")</f>
        <v>Não-Me-Toque</v>
      </c>
      <c r="Z748" s="1" t="str">
        <f>IFERROR(__xludf.DUMMYFUNCTION("""COMPUTED_VALUE"""),"99470-000")</f>
        <v>99470-000</v>
      </c>
      <c r="AA748" s="1" t="str">
        <f>IFERROR(__xludf.DUMMYFUNCTION("""COMPUTED_VALUE"""),"Rua Mimosa, 315")</f>
        <v>Rua Mimosa, 315</v>
      </c>
      <c r="AB748" s="1" t="str">
        <f>IFERROR(__xludf.DUMMYFUNCTION("""COMPUTED_VALUE"""),"Santo Antônio")</f>
        <v>Santo Antônio</v>
      </c>
      <c r="AC748" s="1" t="str">
        <f>IFERROR(__xludf.DUMMYFUNCTION("""COMPUTED_VALUE"""),"G")</f>
        <v>G</v>
      </c>
      <c r="AD748" s="1" t="str">
        <f>IFERROR(__xludf.DUMMYFUNCTION("""COMPUTED_VALUE"""),"G")</f>
        <v>G</v>
      </c>
      <c r="AE748" s="1" t="str">
        <f>IFERROR(__xludf.DUMMYFUNCTION("""COMPUTED_VALUE"""),"G")</f>
        <v>G</v>
      </c>
      <c r="AF748" s="1" t="str">
        <f>IFERROR(__xludf.DUMMYFUNCTION("""COMPUTED_VALUE"""),"G")</f>
        <v>G</v>
      </c>
      <c r="AG748" s="1" t="str">
        <f>IFERROR(__xludf.DUMMYFUNCTION("""COMPUTED_VALUE"""),"G")</f>
        <v>G</v>
      </c>
      <c r="AH748" s="1">
        <f>IFERROR(__xludf.DUMMYFUNCTION("""COMPUTED_VALUE"""),42)</f>
        <v>42</v>
      </c>
      <c r="AI748" s="1">
        <f>IFERROR(__xludf.DUMMYFUNCTION("""COMPUTED_VALUE"""),42)</f>
        <v>42</v>
      </c>
      <c r="AJ748" s="1">
        <f>IFERROR(__xludf.DUMMYFUNCTION("""COMPUTED_VALUE"""),42)</f>
        <v>42</v>
      </c>
      <c r="AK748" s="1">
        <f>IFERROR(__xludf.DUMMYFUNCTION("""COMPUTED_VALUE"""),42)</f>
        <v>42</v>
      </c>
      <c r="AL748" s="1" t="str">
        <f>IFERROR(__xludf.DUMMYFUNCTION("""COMPUTED_VALUE"""),"M")</f>
        <v>M</v>
      </c>
      <c r="AM748" s="1" t="str">
        <f>IFERROR(__xludf.DUMMYFUNCTION("""COMPUTED_VALUE"""),"M")</f>
        <v>M</v>
      </c>
      <c r="AN748" s="1" t="str">
        <f>IFERROR(__xludf.DUMMYFUNCTION("""COMPUTED_VALUE"""),"G")</f>
        <v>G</v>
      </c>
    </row>
    <row r="749" customHeight="1" spans="1:40">
      <c r="A749" s="1" t="str">
        <f>IFERROR(__xludf.DUMMYFUNCTION("""COMPUTED_VALUE"""),"07° BBM")</f>
        <v>07° BBM</v>
      </c>
      <c r="B749" s="1" t="str">
        <f>IFERROR(__xludf.DUMMYFUNCTION("""COMPUTED_VALUE"""),"Faxinalzinho")</f>
        <v>Faxinalzinho</v>
      </c>
      <c r="C749" s="119" t="str">
        <f>IFERROR(__xludf.DUMMYFUNCTION("""COMPUTED_VALUE"""),"CAB")</f>
        <v>CAB</v>
      </c>
      <c r="D749" s="1" t="str">
        <f>IFERROR(__xludf.DUMMYFUNCTION("""COMPUTED_VALUE"""),"PAULO CEZAR BEDIN")</f>
        <v>PAULO CEZAR BEDIN</v>
      </c>
      <c r="E749" s="119" t="str">
        <f>IFERROR(__xludf.DUMMYFUNCTION("""COMPUTED_VALUE"""),"")</f>
        <v/>
      </c>
      <c r="F749" s="1" t="str">
        <f>IFERROR(__xludf.DUMMYFUNCTION("""COMPUTED_VALUE"""),"624.214.680-00")</f>
        <v>624.214.680-00</v>
      </c>
      <c r="G749" s="1">
        <f>IFERROR(__xludf.DUMMYFUNCTION("""COMPUTED_VALUE"""),3063300788)</f>
        <v>3063300788</v>
      </c>
      <c r="H749" s="1" t="str">
        <f>IFERROR(__xludf.DUMMYFUNCTION("""COMPUTED_VALUE"""),"Combatente")</f>
        <v>Combatente</v>
      </c>
      <c r="I749" s="1" t="str">
        <f>IFERROR(__xludf.DUMMYFUNCTION("""COMPUTED_VALUE"""),"Combate a incendios, Ensino fundamental")</f>
        <v>Combate a incendios, Ensino fundamental</v>
      </c>
      <c r="J749" s="1" t="str">
        <f>IFERROR(__xludf.DUMMYFUNCTION("""COMPUTED_VALUE"""),"Sim")</f>
        <v>Sim</v>
      </c>
      <c r="K749" s="1" t="str">
        <f>IFERROR(__xludf.DUMMYFUNCTION("""COMPUTED_VALUE"""),"Não")</f>
        <v>Não</v>
      </c>
      <c r="L749" s="1"/>
      <c r="M749" s="1" t="str">
        <f>IFERROR(__xludf.DUMMYFUNCTION("""COMPUTED_VALUE"""),"PAULO")</f>
        <v>PAULO</v>
      </c>
      <c r="N749" s="121">
        <f>IFERROR(__xludf.DUMMYFUNCTION("""COMPUTED_VALUE"""),27184)</f>
        <v>27184</v>
      </c>
      <c r="O749" s="1" t="str">
        <f>IFERROR(__xludf.DUMMYFUNCTION("""COMPUTED_VALUE"""),"Masculino")</f>
        <v>Masculino</v>
      </c>
      <c r="P749" s="1" t="str">
        <f>IFERROR(__xludf.DUMMYFUNCTION("""COMPUTED_VALUE"""),"Branca")</f>
        <v>Branca</v>
      </c>
      <c r="Q749" s="1" t="str">
        <f>IFERROR(__xludf.DUMMYFUNCTION("""COMPUTED_VALUE"""),"Ensino fundamental")</f>
        <v>Ensino fundamental</v>
      </c>
      <c r="R749" s="1"/>
      <c r="S749" s="1">
        <f>IFERROR(__xludf.DUMMYFUNCTION("""COMPUTED_VALUE"""),80)</f>
        <v>80</v>
      </c>
      <c r="T749" s="1" t="str">
        <f>IFERROR(__xludf.DUMMYFUNCTION("""COMPUTED_VALUE"""),"Entre 1,61m e 1,65m")</f>
        <v>Entre 1,61m e 1,65m</v>
      </c>
      <c r="U749" s="1" t="str">
        <f>IFERROR(__xludf.DUMMYFUNCTION("""COMPUTED_VALUE"""),"(54) 9631-7110")</f>
        <v>(54) 9631-7110</v>
      </c>
      <c r="V749" s="1" t="str">
        <f>IFERROR(__xludf.DUMMYFUNCTION("""COMPUTED_VALUE"""),"(54) 9631-7110")</f>
        <v>(54) 9631-7110</v>
      </c>
      <c r="W749" s="1" t="str">
        <f>IFERROR(__xludf.DUMMYFUNCTION("""COMPUTED_VALUE"""),"(54) 9631-7110")</f>
        <v>(54) 9631-7110</v>
      </c>
      <c r="X749" s="1" t="str">
        <f>IFERROR(__xludf.DUMMYFUNCTION("""COMPUTED_VALUE"""),"RIO GRANDE DO SUL")</f>
        <v>RIO GRANDE DO SUL</v>
      </c>
      <c r="Y749" s="1" t="str">
        <f>IFERROR(__xludf.DUMMYFUNCTION("""COMPUTED_VALUE"""),"Faxinalzinho")</f>
        <v>Faxinalzinho</v>
      </c>
      <c r="Z749" s="1" t="str">
        <f>IFERROR(__xludf.DUMMYFUNCTION("""COMPUTED_VALUE"""),"99655-000")</f>
        <v>99655-000</v>
      </c>
      <c r="AA749" s="1" t="str">
        <f>IFERROR(__xludf.DUMMYFUNCTION("""COMPUTED_VALUE"""),"Linha Faxinal Grande")</f>
        <v>Linha Faxinal Grande</v>
      </c>
      <c r="AB749" s="1" t="str">
        <f>IFERROR(__xludf.DUMMYFUNCTION("""COMPUTED_VALUE"""),"Interior")</f>
        <v>Interior</v>
      </c>
      <c r="AC749" s="1" t="str">
        <f>IFERROR(__xludf.DUMMYFUNCTION("""COMPUTED_VALUE"""),"G")</f>
        <v>G</v>
      </c>
      <c r="AD749" s="1" t="str">
        <f>IFERROR(__xludf.DUMMYFUNCTION("""COMPUTED_VALUE"""),"G")</f>
        <v>G</v>
      </c>
      <c r="AE749" s="1" t="str">
        <f>IFERROR(__xludf.DUMMYFUNCTION("""COMPUTED_VALUE"""),"G")</f>
        <v>G</v>
      </c>
      <c r="AF749" s="1" t="str">
        <f>IFERROR(__xludf.DUMMYFUNCTION("""COMPUTED_VALUE"""),"G")</f>
        <v>G</v>
      </c>
      <c r="AG749" s="1" t="str">
        <f>IFERROR(__xludf.DUMMYFUNCTION("""COMPUTED_VALUE"""),"G")</f>
        <v>G</v>
      </c>
      <c r="AH749" s="1">
        <f>IFERROR(__xludf.DUMMYFUNCTION("""COMPUTED_VALUE"""),41)</f>
        <v>41</v>
      </c>
      <c r="AI749" s="1">
        <f>IFERROR(__xludf.DUMMYFUNCTION("""COMPUTED_VALUE"""),41)</f>
        <v>41</v>
      </c>
      <c r="AJ749" s="1">
        <f>IFERROR(__xludf.DUMMYFUNCTION("""COMPUTED_VALUE"""),41)</f>
        <v>41</v>
      </c>
      <c r="AK749" s="1">
        <f>IFERROR(__xludf.DUMMYFUNCTION("""COMPUTED_VALUE"""),41)</f>
        <v>41</v>
      </c>
      <c r="AL749" s="1" t="str">
        <f>IFERROR(__xludf.DUMMYFUNCTION("""COMPUTED_VALUE"""),"G")</f>
        <v>G</v>
      </c>
      <c r="AM749" s="1" t="str">
        <f>IFERROR(__xludf.DUMMYFUNCTION("""COMPUTED_VALUE"""),"G")</f>
        <v>G</v>
      </c>
      <c r="AN749" s="1" t="str">
        <f>IFERROR(__xludf.DUMMYFUNCTION("""COMPUTED_VALUE"""),"G")</f>
        <v>G</v>
      </c>
    </row>
    <row r="750" customHeight="1" spans="1:40">
      <c r="A750" s="1" t="str">
        <f>IFERROR(__xludf.DUMMYFUNCTION("""COMPUTED_VALUE"""),"07° BBM")</f>
        <v>07° BBM</v>
      </c>
      <c r="B750" s="1"/>
      <c r="C750" s="119"/>
      <c r="D750" s="1" t="str">
        <f>IFERROR(__xludf.DUMMYFUNCTION("""COMPUTED_VALUE"""),"RAFAEL BORGES SPIRONELLO")</f>
        <v>RAFAEL BORGES SPIRONELLO</v>
      </c>
      <c r="E750" s="119" t="str">
        <f>IFERROR(__xludf.DUMMYFUNCTION("""COMPUTED_VALUE"""),"Módulo 1 concluído")</f>
        <v>Módulo 1 concluído</v>
      </c>
      <c r="F750" s="1" t="str">
        <f>IFERROR(__xludf.DUMMYFUNCTION("""COMPUTED_VALUE"""),"026.173.940-93")</f>
        <v>026.173.940-93</v>
      </c>
      <c r="G750" s="1"/>
      <c r="H750" s="1"/>
      <c r="I750" s="1"/>
      <c r="J750" s="1"/>
      <c r="K750" s="1"/>
      <c r="L750" s="1"/>
      <c r="M750" s="1"/>
      <c r="N750" s="120"/>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row>
    <row r="751" customHeight="1" spans="1:40">
      <c r="A751" s="1" t="str">
        <f>IFERROR(__xludf.DUMMYFUNCTION("""COMPUTED_VALUE"""),"07° BBM")</f>
        <v>07° BBM</v>
      </c>
      <c r="B751" s="1" t="str">
        <f>IFERROR(__xludf.DUMMYFUNCTION("""COMPUTED_VALUE"""),"Erval Grande")</f>
        <v>Erval Grande</v>
      </c>
      <c r="C751" s="119" t="str">
        <f>IFERROR(__xludf.DUMMYFUNCTION("""COMPUTED_VALUE"""),"CAB")</f>
        <v>CAB</v>
      </c>
      <c r="D751" s="1" t="str">
        <f>IFERROR(__xludf.DUMMYFUNCTION("""COMPUTED_VALUE"""),"RAFAEL CUNICO")</f>
        <v>RAFAEL CUNICO</v>
      </c>
      <c r="E751" s="119" t="str">
        <f>IFERROR(__xludf.DUMMYFUNCTION("""COMPUTED_VALUE"""),"Módulo 1 concluído")</f>
        <v>Módulo 1 concluído</v>
      </c>
      <c r="F751" s="1"/>
      <c r="G751" s="1"/>
      <c r="H751" s="1"/>
      <c r="I751" s="1"/>
      <c r="J751" s="1"/>
      <c r="K751" s="1"/>
      <c r="L751" s="1"/>
      <c r="M751" s="1"/>
      <c r="N751" s="120">
        <f>IFERROR(__xludf.DUMMYFUNCTION("""COMPUTED_VALUE"""),31231)</f>
        <v>31231</v>
      </c>
      <c r="O751" s="1" t="str">
        <f>IFERROR(__xludf.DUMMYFUNCTION("""COMPUTED_VALUE"""),"Masculino")</f>
        <v>Masculino</v>
      </c>
      <c r="P751" s="1"/>
      <c r="Q751" s="1"/>
      <c r="R751" s="1"/>
      <c r="S751" s="1"/>
      <c r="T751" s="1"/>
      <c r="U751" s="1"/>
      <c r="V751" s="1"/>
      <c r="W751" s="1"/>
      <c r="X751" s="1"/>
      <c r="Y751" s="1"/>
      <c r="Z751" s="1"/>
      <c r="AA751" s="1"/>
      <c r="AB751" s="1"/>
      <c r="AC751" s="1"/>
      <c r="AD751" s="1"/>
      <c r="AE751" s="1"/>
      <c r="AF751" s="1"/>
      <c r="AG751" s="1" t="str">
        <f>IFERROR(__xludf.DUMMYFUNCTION("""COMPUTED_VALUE"""),"GG")</f>
        <v>GG</v>
      </c>
      <c r="AH751" s="1">
        <f>IFERROR(__xludf.DUMMYFUNCTION("""COMPUTED_VALUE"""),43)</f>
        <v>43</v>
      </c>
      <c r="AI751" s="1"/>
      <c r="AJ751" s="1"/>
      <c r="AK751" s="1"/>
      <c r="AL751" s="1" t="str">
        <f>IFERROR(__xludf.DUMMYFUNCTION("""COMPUTED_VALUE"""),"GG")</f>
        <v>GG</v>
      </c>
      <c r="AM751" s="1" t="str">
        <f>IFERROR(__xludf.DUMMYFUNCTION("""COMPUTED_VALUE"""),"GG")</f>
        <v>GG</v>
      </c>
      <c r="AN751" s="1" t="str">
        <f>IFERROR(__xludf.DUMMYFUNCTION("""COMPUTED_VALUE"""),"GG")</f>
        <v>GG</v>
      </c>
    </row>
    <row r="752" customHeight="1" spans="1:40">
      <c r="A752" s="1" t="str">
        <f>IFERROR(__xludf.DUMMYFUNCTION("""COMPUTED_VALUE"""),"07° BBM")</f>
        <v>07° BBM</v>
      </c>
      <c r="B752" s="1" t="str">
        <f>IFERROR(__xludf.DUMMYFUNCTION("""COMPUTED_VALUE"""),"Faxinalzinho")</f>
        <v>Faxinalzinho</v>
      </c>
      <c r="C752" s="119" t="str">
        <f>IFERROR(__xludf.DUMMYFUNCTION("""COMPUTED_VALUE"""),"CAB")</f>
        <v>CAB</v>
      </c>
      <c r="D752" s="1" t="str">
        <f>IFERROR(__xludf.DUMMYFUNCTION("""COMPUTED_VALUE"""),"RAFAEL DANIEL SCHERER")</f>
        <v>RAFAEL DANIEL SCHERER</v>
      </c>
      <c r="E752" s="119" t="str">
        <f>IFERROR(__xludf.DUMMYFUNCTION("""COMPUTED_VALUE"""),"")</f>
        <v/>
      </c>
      <c r="F752" s="1" t="str">
        <f>IFERROR(__xludf.DUMMYFUNCTION("""COMPUTED_VALUE"""),"039.232.980-80")</f>
        <v>039.232.980-80</v>
      </c>
      <c r="G752" s="1">
        <f>IFERROR(__xludf.DUMMYFUNCTION("""COMPUTED_VALUE"""),3113353308)</f>
        <v>3113353308</v>
      </c>
      <c r="H752" s="1" t="str">
        <f>IFERROR(__xludf.DUMMYFUNCTION("""COMPUTED_VALUE"""),"Conselho Fiscal - Combatente")</f>
        <v>Conselho Fiscal - Combatente</v>
      </c>
      <c r="I752" s="1" t="str">
        <f>IFERROR(__xludf.DUMMYFUNCTION("""COMPUTED_VALUE"""),"Combate incêndio pelo CBMRS, Resgate veicular basico")</f>
        <v>Combate incêndio pelo CBMRS, Resgate veicular basico</v>
      </c>
      <c r="J752" s="1" t="str">
        <f>IFERROR(__xludf.DUMMYFUNCTION("""COMPUTED_VALUE"""),"Sim")</f>
        <v>Sim</v>
      </c>
      <c r="K752" s="1" t="str">
        <f>IFERROR(__xludf.DUMMYFUNCTION("""COMPUTED_VALUE"""),"Não")</f>
        <v>Não</v>
      </c>
      <c r="L752" s="1" t="str">
        <f>IFERROR(__xludf.DUMMYFUNCTION("""COMPUTED_VALUE"""),"O+")</f>
        <v>O+</v>
      </c>
      <c r="M752" s="1" t="str">
        <f>IFERROR(__xludf.DUMMYFUNCTION("""COMPUTED_VALUE"""),"SCHERER")</f>
        <v>SCHERER</v>
      </c>
      <c r="N752" s="120">
        <f>IFERROR(__xludf.DUMMYFUNCTION("""COMPUTED_VALUE"""),35266)</f>
        <v>35266</v>
      </c>
      <c r="O752" s="1" t="str">
        <f>IFERROR(__xludf.DUMMYFUNCTION("""COMPUTED_VALUE"""),"Masculino")</f>
        <v>Masculino</v>
      </c>
      <c r="P752" s="1" t="str">
        <f>IFERROR(__xludf.DUMMYFUNCTION("""COMPUTED_VALUE"""),"Branca")</f>
        <v>Branca</v>
      </c>
      <c r="Q752" s="1" t="str">
        <f>IFERROR(__xludf.DUMMYFUNCTION("""COMPUTED_VALUE"""),"Ensino Superior Incompleto")</f>
        <v>Ensino Superior Incompleto</v>
      </c>
      <c r="R752" s="1" t="str">
        <f>IFERROR(__xludf.DUMMYFUNCTION("""COMPUTED_VALUE"""),"rafaelscherer194@gmail.com")</f>
        <v>rafaelscherer194@gmail.com</v>
      </c>
      <c r="S752" s="1">
        <f>IFERROR(__xludf.DUMMYFUNCTION("""COMPUTED_VALUE"""),98)</f>
        <v>98</v>
      </c>
      <c r="T752" s="1" t="str">
        <f>IFERROR(__xludf.DUMMYFUNCTION("""COMPUTED_VALUE"""),"Entre 1,76m e 1,80m")</f>
        <v>Entre 1,76m e 1,80m</v>
      </c>
      <c r="U752" s="1" t="str">
        <f>IFERROR(__xludf.DUMMYFUNCTION("""COMPUTED_VALUE"""),"(54)99696-9256")</f>
        <v>(54)99696-9256</v>
      </c>
      <c r="V752" s="1" t="str">
        <f>IFERROR(__xludf.DUMMYFUNCTION("""COMPUTED_VALUE"""),"(54)99696-9256")</f>
        <v>(54)99696-9256</v>
      </c>
      <c r="W752" s="1" t="str">
        <f>IFERROR(__xludf.DUMMYFUNCTION("""COMPUTED_VALUE"""),"(54)99696-9256")</f>
        <v>(54)99696-9256</v>
      </c>
      <c r="X752" s="1" t="str">
        <f>IFERROR(__xludf.DUMMYFUNCTION("""COMPUTED_VALUE"""),"RIO GRANDE DO SUL")</f>
        <v>RIO GRANDE DO SUL</v>
      </c>
      <c r="Y752" s="1" t="str">
        <f>IFERROR(__xludf.DUMMYFUNCTION("""COMPUTED_VALUE"""),"Faxinalzinho")</f>
        <v>Faxinalzinho</v>
      </c>
      <c r="Z752" s="1" t="str">
        <f>IFERROR(__xludf.DUMMYFUNCTION("""COMPUTED_VALUE"""),"99655-000")</f>
        <v>99655-000</v>
      </c>
      <c r="AA752" s="1" t="str">
        <f>IFERROR(__xludf.DUMMYFUNCTION("""COMPUTED_VALUE"""),"Av lido armando Oltramari N-1000")</f>
        <v>Av lido armando Oltramari N-1000</v>
      </c>
      <c r="AB752" s="1" t="str">
        <f>IFERROR(__xludf.DUMMYFUNCTION("""COMPUTED_VALUE"""),"Centro")</f>
        <v>Centro</v>
      </c>
      <c r="AC752" s="1" t="str">
        <f>IFERROR(__xludf.DUMMYFUNCTION("""COMPUTED_VALUE"""),"GG")</f>
        <v>GG</v>
      </c>
      <c r="AD752" s="1" t="str">
        <f>IFERROR(__xludf.DUMMYFUNCTION("""COMPUTED_VALUE"""),"GG")</f>
        <v>GG</v>
      </c>
      <c r="AE752" s="1" t="str">
        <f>IFERROR(__xludf.DUMMYFUNCTION("""COMPUTED_VALUE"""),"EXG")</f>
        <v>EXG</v>
      </c>
      <c r="AF752" s="1" t="str">
        <f>IFERROR(__xludf.DUMMYFUNCTION("""COMPUTED_VALUE"""),"EXG")</f>
        <v>EXG</v>
      </c>
      <c r="AG752" s="1" t="str">
        <f>IFERROR(__xludf.DUMMYFUNCTION("""COMPUTED_VALUE"""),"GG")</f>
        <v>GG</v>
      </c>
      <c r="AH752" s="1">
        <f>IFERROR(__xludf.DUMMYFUNCTION("""COMPUTED_VALUE"""),40)</f>
        <v>40</v>
      </c>
      <c r="AI752" s="1">
        <f>IFERROR(__xludf.DUMMYFUNCTION("""COMPUTED_VALUE"""),40)</f>
        <v>40</v>
      </c>
      <c r="AJ752" s="1">
        <f>IFERROR(__xludf.DUMMYFUNCTION("""COMPUTED_VALUE"""),40)</f>
        <v>40</v>
      </c>
      <c r="AK752" s="1">
        <f>IFERROR(__xludf.DUMMYFUNCTION("""COMPUTED_VALUE"""),41)</f>
        <v>41</v>
      </c>
      <c r="AL752" s="1" t="str">
        <f>IFERROR(__xludf.DUMMYFUNCTION("""COMPUTED_VALUE"""),"EXG")</f>
        <v>EXG</v>
      </c>
      <c r="AM752" s="1" t="str">
        <f>IFERROR(__xludf.DUMMYFUNCTION("""COMPUTED_VALUE"""),"EXG")</f>
        <v>EXG</v>
      </c>
      <c r="AN752" s="1" t="str">
        <f>IFERROR(__xludf.DUMMYFUNCTION("""COMPUTED_VALUE"""),"GG")</f>
        <v>GG</v>
      </c>
    </row>
    <row r="753" customHeight="1" spans="1:40">
      <c r="A753" s="1" t="str">
        <f>IFERROR(__xludf.DUMMYFUNCTION("""COMPUTED_VALUE"""),"07° BBM")</f>
        <v>07° BBM</v>
      </c>
      <c r="B753" s="1" t="str">
        <f>IFERROR(__xludf.DUMMYFUNCTION("""COMPUTED_VALUE"""),"SARANDI")</f>
        <v>SARANDI</v>
      </c>
      <c r="C753" s="119" t="str">
        <f>IFERROR(__xludf.DUMMYFUNCTION("""COMPUTED_VALUE"""),"Comunitário")</f>
        <v>Comunitário</v>
      </c>
      <c r="D753" s="1" t="str">
        <f>IFERROR(__xludf.DUMMYFUNCTION("""COMPUTED_VALUE"""),"RAFAEL TEIXEIRA MENDES")</f>
        <v>RAFAEL TEIXEIRA MENDES</v>
      </c>
      <c r="E753" s="119" t="str">
        <f>IFERROR(__xludf.DUMMYFUNCTION("""COMPUTED_VALUE"""),"Módulo 1 concluído")</f>
        <v>Módulo 1 concluído</v>
      </c>
      <c r="F753" s="1" t="str">
        <f>IFERROR(__xludf.DUMMYFUNCTION("""COMPUTED_VALUE"""),"044.144.630-25")</f>
        <v>044.144.630-25</v>
      </c>
      <c r="G753" s="1">
        <f>IFERROR(__xludf.DUMMYFUNCTION("""COMPUTED_VALUE"""),1126786696)</f>
        <v>1126786696</v>
      </c>
      <c r="H753" s="1" t="str">
        <f>IFERROR(__xludf.DUMMYFUNCTION("""COMPUTED_VALUE"""),"OP")</f>
        <v>OP</v>
      </c>
      <c r="I753" s="1"/>
      <c r="J753" s="1"/>
      <c r="K753" s="1"/>
      <c r="L753" s="1"/>
      <c r="M753" s="1"/>
      <c r="N753" s="121">
        <f>IFERROR(__xludf.DUMMYFUNCTION("""COMPUTED_VALUE"""),37558)</f>
        <v>37558</v>
      </c>
      <c r="O753" s="1" t="str">
        <f>IFERROR(__xludf.DUMMYFUNCTION("""COMPUTED_VALUE"""),"Masculino")</f>
        <v>Masculino</v>
      </c>
      <c r="P753" s="1"/>
      <c r="Q753" s="1"/>
      <c r="R753" s="1"/>
      <c r="S753" s="1"/>
      <c r="T753" s="1"/>
      <c r="U753" s="1"/>
      <c r="V753" s="1"/>
      <c r="W753" s="1"/>
      <c r="X753" s="1"/>
      <c r="Y753" s="1" t="str">
        <f>IFERROR(__xludf.DUMMYFUNCTION("""COMPUTED_VALUE"""),"Sarandi")</f>
        <v>Sarandi</v>
      </c>
      <c r="Z753" s="1"/>
      <c r="AA753" s="1"/>
      <c r="AB753" s="1"/>
      <c r="AC753" s="1"/>
      <c r="AD753" s="1"/>
      <c r="AE753" s="1"/>
      <c r="AF753" s="1"/>
      <c r="AG753" s="1" t="str">
        <f>IFERROR(__xludf.DUMMYFUNCTION("""COMPUTED_VALUE"""),"G")</f>
        <v>G</v>
      </c>
      <c r="AH753" s="1">
        <f>IFERROR(__xludf.DUMMYFUNCTION("""COMPUTED_VALUE"""),41)</f>
        <v>41</v>
      </c>
      <c r="AI753" s="1"/>
      <c r="AJ753" s="1"/>
      <c r="AK753" s="1"/>
      <c r="AL753" s="1" t="str">
        <f>IFERROR(__xludf.DUMMYFUNCTION("""COMPUTED_VALUE"""),"G")</f>
        <v>G</v>
      </c>
      <c r="AM753" s="1" t="str">
        <f>IFERROR(__xludf.DUMMYFUNCTION("""COMPUTED_VALUE"""),"G")</f>
        <v>G</v>
      </c>
      <c r="AN753" s="1" t="str">
        <f>IFERROR(__xludf.DUMMYFUNCTION("""COMPUTED_VALUE"""),"G")</f>
        <v>G</v>
      </c>
    </row>
    <row r="754" customHeight="1" spans="1:40">
      <c r="A754" s="1" t="str">
        <f>IFERROR(__xludf.DUMMYFUNCTION("""COMPUTED_VALUE"""),"07° BBM")</f>
        <v>07° BBM</v>
      </c>
      <c r="B754" s="1" t="str">
        <f>IFERROR(__xludf.DUMMYFUNCTION("""COMPUTED_VALUE"""),"Faxinalzinho")</f>
        <v>Faxinalzinho</v>
      </c>
      <c r="C754" s="119" t="str">
        <f>IFERROR(__xludf.DUMMYFUNCTION("""COMPUTED_VALUE"""),"CAB")</f>
        <v>CAB</v>
      </c>
      <c r="D754" s="1" t="str">
        <f>IFERROR(__xludf.DUMMYFUNCTION("""COMPUTED_VALUE"""),"RAQUEL MARTINS")</f>
        <v>RAQUEL MARTINS</v>
      </c>
      <c r="E754" s="119" t="str">
        <f>IFERROR(__xludf.DUMMYFUNCTION("""COMPUTED_VALUE"""),"")</f>
        <v/>
      </c>
      <c r="F754" s="1"/>
      <c r="G754" s="1"/>
      <c r="H754" s="1"/>
      <c r="I754" s="1"/>
      <c r="J754" s="1"/>
      <c r="K754" s="1"/>
      <c r="L754" s="1"/>
      <c r="M754" s="1"/>
      <c r="N754" s="120">
        <f>IFERROR(__xludf.DUMMYFUNCTION("""COMPUTED_VALUE"""),35594)</f>
        <v>35594</v>
      </c>
      <c r="O754" s="1" t="str">
        <f>IFERROR(__xludf.DUMMYFUNCTION("""COMPUTED_VALUE"""),"Feminino")</f>
        <v>Feminino</v>
      </c>
      <c r="P754" s="1"/>
      <c r="Q754" s="1"/>
      <c r="R754" s="1"/>
      <c r="S754" s="1"/>
      <c r="T754" s="1"/>
      <c r="U754" s="1"/>
      <c r="V754" s="1"/>
      <c r="W754" s="1"/>
      <c r="X754" s="1"/>
      <c r="Y754" s="1" t="str">
        <f>IFERROR(__xludf.DUMMYFUNCTION("""COMPUTED_VALUE"""),"Faxinalzinho")</f>
        <v>Faxinalzinho</v>
      </c>
      <c r="Z754" s="1"/>
      <c r="AA754" s="1"/>
      <c r="AB754" s="1"/>
      <c r="AC754" s="1"/>
      <c r="AD754" s="1"/>
      <c r="AE754" s="1"/>
      <c r="AF754" s="1"/>
      <c r="AG754" s="1" t="str">
        <f>IFERROR(__xludf.DUMMYFUNCTION("""COMPUTED_VALUE"""),"G")</f>
        <v>G</v>
      </c>
      <c r="AH754" s="1">
        <f>IFERROR(__xludf.DUMMYFUNCTION("""COMPUTED_VALUE"""),39)</f>
        <v>39</v>
      </c>
      <c r="AI754" s="1"/>
      <c r="AJ754" s="1"/>
      <c r="AK754" s="1"/>
      <c r="AL754" s="1" t="str">
        <f>IFERROR(__xludf.DUMMYFUNCTION("""COMPUTED_VALUE"""),"M")</f>
        <v>M</v>
      </c>
      <c r="AM754" s="1" t="str">
        <f>IFERROR(__xludf.DUMMYFUNCTION("""COMPUTED_VALUE"""),"M")</f>
        <v>M</v>
      </c>
      <c r="AN754" s="1" t="str">
        <f>IFERROR(__xludf.DUMMYFUNCTION("""COMPUTED_VALUE"""),"M")</f>
        <v>M</v>
      </c>
    </row>
    <row r="755" customHeight="1" spans="1:40">
      <c r="A755" s="1" t="str">
        <f>IFERROR(__xludf.DUMMYFUNCTION("""COMPUTED_VALUE"""),"07° BBM")</f>
        <v>07° BBM</v>
      </c>
      <c r="B755" s="1" t="str">
        <f>IFERROR(__xludf.DUMMYFUNCTION("""COMPUTED_VALUE"""),"Erval Grande")</f>
        <v>Erval Grande</v>
      </c>
      <c r="C755" s="119" t="str">
        <f>IFERROR(__xludf.DUMMYFUNCTION("""COMPUTED_VALUE"""),"CAB")</f>
        <v>CAB</v>
      </c>
      <c r="D755" s="1" t="str">
        <f>IFERROR(__xludf.DUMMYFUNCTION("""COMPUTED_VALUE"""),"RAQUEL MOREIRA")</f>
        <v>RAQUEL MOREIRA</v>
      </c>
      <c r="E755" s="119" t="str">
        <f>IFERROR(__xludf.DUMMYFUNCTION("""COMPUTED_VALUE"""),"Módulo 1 concluído")</f>
        <v>Módulo 1 concluído</v>
      </c>
      <c r="F755" s="1"/>
      <c r="G755" s="1"/>
      <c r="H755" s="1"/>
      <c r="I755" s="1"/>
      <c r="J755" s="1"/>
      <c r="K755" s="1"/>
      <c r="L755" s="1"/>
      <c r="M755" s="1"/>
      <c r="N755" s="120">
        <f>IFERROR(__xludf.DUMMYFUNCTION("""COMPUTED_VALUE"""),34651)</f>
        <v>34651</v>
      </c>
      <c r="O755" s="1" t="str">
        <f>IFERROR(__xludf.DUMMYFUNCTION("""COMPUTED_VALUE"""),"Feminino")</f>
        <v>Feminino</v>
      </c>
      <c r="P755" s="1"/>
      <c r="Q755" s="1"/>
      <c r="R755" s="1"/>
      <c r="S755" s="1"/>
      <c r="T755" s="1"/>
      <c r="U755" s="1"/>
      <c r="V755" s="1"/>
      <c r="W755" s="1"/>
      <c r="X755" s="1"/>
      <c r="Y755" s="1"/>
      <c r="Z755" s="1"/>
      <c r="AA755" s="1"/>
      <c r="AB755" s="1"/>
      <c r="AC755" s="1"/>
      <c r="AD755" s="1"/>
      <c r="AE755" s="1"/>
      <c r="AF755" s="1"/>
      <c r="AG755" s="1" t="str">
        <f>IFERROR(__xludf.DUMMYFUNCTION("""COMPUTED_VALUE"""),"G")</f>
        <v>G</v>
      </c>
      <c r="AH755" s="1">
        <f>IFERROR(__xludf.DUMMYFUNCTION("""COMPUTED_VALUE"""),39)</f>
        <v>39</v>
      </c>
      <c r="AI755" s="1"/>
      <c r="AJ755" s="1"/>
      <c r="AK755" s="1"/>
      <c r="AL755" s="1" t="str">
        <f>IFERROR(__xludf.DUMMYFUNCTION("""COMPUTED_VALUE"""),"G")</f>
        <v>G</v>
      </c>
      <c r="AM755" s="1" t="str">
        <f>IFERROR(__xludf.DUMMYFUNCTION("""COMPUTED_VALUE"""),"G")</f>
        <v>G</v>
      </c>
      <c r="AN755" s="1" t="str">
        <f>IFERROR(__xludf.DUMMYFUNCTION("""COMPUTED_VALUE"""),"G")</f>
        <v>G</v>
      </c>
    </row>
    <row r="756" customHeight="1" spans="1:40">
      <c r="A756" s="1" t="str">
        <f>IFERROR(__xludf.DUMMYFUNCTION("""COMPUTED_VALUE"""),"07° BBM")</f>
        <v>07° BBM</v>
      </c>
      <c r="B756" s="1" t="str">
        <f>IFERROR(__xludf.DUMMYFUNCTION("""COMPUTED_VALUE"""),"Viadutos")</f>
        <v>Viadutos</v>
      </c>
      <c r="C756" s="119" t="str">
        <f>IFERROR(__xludf.DUMMYFUNCTION("""COMPUTED_VALUE"""),"CAB")</f>
        <v>CAB</v>
      </c>
      <c r="D756" s="1" t="str">
        <f>IFERROR(__xludf.DUMMYFUNCTION("""COMPUTED_VALUE"""),"RÉGIS BRUNO SKIBINSKI")</f>
        <v>RÉGIS BRUNO SKIBINSKI</v>
      </c>
      <c r="E756" s="119" t="str">
        <f>IFERROR(__xludf.DUMMYFUNCTION("""COMPUTED_VALUE"""),"Módulo 1 concluído")</f>
        <v>Módulo 1 concluído</v>
      </c>
      <c r="F756" s="1" t="str">
        <f>IFERROR(__xludf.DUMMYFUNCTION("""COMPUTED_VALUE"""),"020.913.330-93")</f>
        <v>020.913.330-93</v>
      </c>
      <c r="G756" s="1">
        <f>IFERROR(__xludf.DUMMYFUNCTION("""COMPUTED_VALUE"""),1093544251)</f>
        <v>1093544251</v>
      </c>
      <c r="H756" s="1" t="str">
        <f>IFERROR(__xludf.DUMMYFUNCTION("""COMPUTED_VALUE"""),"COMBATENTE")</f>
        <v>COMBATENTE</v>
      </c>
      <c r="I756" s="1" t="str">
        <f>IFERROR(__xludf.DUMMYFUNCTION("""COMPUTED_VALUE"""),"Atendiimento Suporte Básico de Vida/ Socorrista/ Bombeiro Civil")</f>
        <v>Atendiimento Suporte Básico de Vida/ Socorrista/ Bombeiro Civil</v>
      </c>
      <c r="J756" s="1" t="str">
        <f>IFERROR(__xludf.DUMMYFUNCTION("""COMPUTED_VALUE"""),"Não")</f>
        <v>Não</v>
      </c>
      <c r="K756" s="1" t="str">
        <f>IFERROR(__xludf.DUMMYFUNCTION("""COMPUTED_VALUE"""),"Não")</f>
        <v>Não</v>
      </c>
      <c r="L756" s="1" t="str">
        <f>IFERROR(__xludf.DUMMYFUNCTION("""COMPUTED_VALUE"""),"A+")</f>
        <v>A+</v>
      </c>
      <c r="M756" s="1" t="str">
        <f>IFERROR(__xludf.DUMMYFUNCTION("""COMPUTED_VALUE"""),"SKIBINSKI")</f>
        <v>SKIBINSKI</v>
      </c>
      <c r="N756" s="120">
        <f>IFERROR(__xludf.DUMMYFUNCTION("""COMPUTED_VALUE"""),32573)</f>
        <v>32573</v>
      </c>
      <c r="O756" s="1" t="str">
        <f>IFERROR(__xludf.DUMMYFUNCTION("""COMPUTED_VALUE"""),"Masculino")</f>
        <v>Masculino</v>
      </c>
      <c r="P756" s="1" t="str">
        <f>IFERROR(__xludf.DUMMYFUNCTION("""COMPUTED_VALUE"""),"Branca")</f>
        <v>Branca</v>
      </c>
      <c r="Q756" s="1" t="str">
        <f>IFERROR(__xludf.DUMMYFUNCTION("""COMPUTED_VALUE"""),"Ensino Superior Completo")</f>
        <v>Ensino Superior Completo</v>
      </c>
      <c r="R756" s="1" t="str">
        <f>IFERROR(__xludf.DUMMYFUNCTION("""COMPUTED_VALUE"""),"regisskibinski@yahoo.com.br")</f>
        <v>regisskibinski@yahoo.com.br</v>
      </c>
      <c r="S756" s="1">
        <f>IFERROR(__xludf.DUMMYFUNCTION("""COMPUTED_VALUE"""),115)</f>
        <v>115</v>
      </c>
      <c r="T756" s="1" t="str">
        <f>IFERROR(__xludf.DUMMYFUNCTION("""COMPUTED_VALUE"""),"Entre 1,76m e 1,80m")</f>
        <v>Entre 1,76m e 1,80m</v>
      </c>
      <c r="U756" s="1"/>
      <c r="V756" s="1" t="str">
        <f>IFERROR(__xludf.DUMMYFUNCTION("""COMPUTED_VALUE"""),"(54) 999327430")</f>
        <v>(54) 999327430</v>
      </c>
      <c r="W756" s="1" t="str">
        <f>IFERROR(__xludf.DUMMYFUNCTION("""COMPUTED_VALUE"""),"(54) 999249531")</f>
        <v>(54) 999249531</v>
      </c>
      <c r="X756" s="1" t="str">
        <f>IFERROR(__xludf.DUMMYFUNCTION("""COMPUTED_VALUE"""),"RS")</f>
        <v>RS</v>
      </c>
      <c r="Y756" s="1" t="str">
        <f>IFERROR(__xludf.DUMMYFUNCTION("""COMPUTED_VALUE"""),"Viadutos")</f>
        <v>Viadutos</v>
      </c>
      <c r="Z756" s="1" t="str">
        <f>IFERROR(__xludf.DUMMYFUNCTION("""COMPUTED_VALUE"""),"99820-000")</f>
        <v>99820-000</v>
      </c>
      <c r="AA756" s="1" t="str">
        <f>IFERROR(__xludf.DUMMYFUNCTION("""COMPUTED_VALUE"""),"Rua Luiz Alegretti 95")</f>
        <v>Rua Luiz Alegretti 95</v>
      </c>
      <c r="AB756" s="1" t="str">
        <f>IFERROR(__xludf.DUMMYFUNCTION("""COMPUTED_VALUE"""),"Centro")</f>
        <v>Centro</v>
      </c>
      <c r="AC756" s="1" t="str">
        <f>IFERROR(__xludf.DUMMYFUNCTION("""COMPUTED_VALUE"""),"GG")</f>
        <v>GG</v>
      </c>
      <c r="AD756" s="1" t="str">
        <f>IFERROR(__xludf.DUMMYFUNCTION("""COMPUTED_VALUE"""),"GG")</f>
        <v>GG</v>
      </c>
      <c r="AE756" s="1" t="str">
        <f>IFERROR(__xludf.DUMMYFUNCTION("""COMPUTED_VALUE"""),"GG")</f>
        <v>GG</v>
      </c>
      <c r="AF756" s="1" t="str">
        <f>IFERROR(__xludf.DUMMYFUNCTION("""COMPUTED_VALUE"""),"EXG")</f>
        <v>EXG</v>
      </c>
      <c r="AG756" s="1" t="str">
        <f>IFERROR(__xludf.DUMMYFUNCTION("""COMPUTED_VALUE"""),"GG")</f>
        <v>GG</v>
      </c>
      <c r="AH756" s="1">
        <f>IFERROR(__xludf.DUMMYFUNCTION("""COMPUTED_VALUE"""),41)</f>
        <v>41</v>
      </c>
      <c r="AI756" s="1">
        <f>IFERROR(__xludf.DUMMYFUNCTION("""COMPUTED_VALUE"""),41)</f>
        <v>41</v>
      </c>
      <c r="AJ756" s="1">
        <f>IFERROR(__xludf.DUMMYFUNCTION("""COMPUTED_VALUE"""),41)</f>
        <v>41</v>
      </c>
      <c r="AK756" s="1">
        <f>IFERROR(__xludf.DUMMYFUNCTION("""COMPUTED_VALUE"""),41)</f>
        <v>41</v>
      </c>
      <c r="AL756" s="1" t="str">
        <f>IFERROR(__xludf.DUMMYFUNCTION("""COMPUTED_VALUE"""),"GG")</f>
        <v>GG</v>
      </c>
      <c r="AM756" s="1" t="str">
        <f>IFERROR(__xludf.DUMMYFUNCTION("""COMPUTED_VALUE"""),"EXG")</f>
        <v>EXG</v>
      </c>
      <c r="AN756" s="1" t="str">
        <f>IFERROR(__xludf.DUMMYFUNCTION("""COMPUTED_VALUE"""),"G")</f>
        <v>G</v>
      </c>
    </row>
    <row r="757" customHeight="1" spans="1:40">
      <c r="A757" s="1" t="str">
        <f>IFERROR(__xludf.DUMMYFUNCTION("""COMPUTED_VALUE"""),"07° BBM")</f>
        <v>07° BBM</v>
      </c>
      <c r="B757" s="1" t="str">
        <f>IFERROR(__xludf.DUMMYFUNCTION("""COMPUTED_VALUE"""),"Gaurama")</f>
        <v>Gaurama</v>
      </c>
      <c r="C757" s="119" t="str">
        <f>IFERROR(__xludf.DUMMYFUNCTION("""COMPUTED_VALUE"""),"CAB")</f>
        <v>CAB</v>
      </c>
      <c r="D757" s="1" t="str">
        <f>IFERROR(__xludf.DUMMYFUNCTION("""COMPUTED_VALUE"""),"RENAM DE LIMA")</f>
        <v>RENAM DE LIMA</v>
      </c>
      <c r="E757" s="119" t="str">
        <f>IFERROR(__xludf.DUMMYFUNCTION("""COMPUTED_VALUE"""),"")</f>
        <v/>
      </c>
      <c r="F757" s="1"/>
      <c r="G757" s="1"/>
      <c r="H757" s="1"/>
      <c r="I757" s="1"/>
      <c r="J757" s="1"/>
      <c r="K757" s="1"/>
      <c r="L757" s="1"/>
      <c r="M757" s="1"/>
      <c r="N757" s="120">
        <f>IFERROR(__xludf.DUMMYFUNCTION("""COMPUTED_VALUE"""),33651)</f>
        <v>33651</v>
      </c>
      <c r="O757" s="1" t="str">
        <f>IFERROR(__xludf.DUMMYFUNCTION("""COMPUTED_VALUE"""),"Masculino")</f>
        <v>Masculino</v>
      </c>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row>
    <row r="758" customHeight="1" spans="1:40">
      <c r="A758" s="1" t="str">
        <f>IFERROR(__xludf.DUMMYFUNCTION("""COMPUTED_VALUE"""),"07° BBM")</f>
        <v>07° BBM</v>
      </c>
      <c r="B758" s="1" t="str">
        <f>IFERROR(__xludf.DUMMYFUNCTION("""COMPUTED_VALUE"""),"Áurea")</f>
        <v>Áurea</v>
      </c>
      <c r="C758" s="119" t="str">
        <f>IFERROR(__xludf.DUMMYFUNCTION("""COMPUTED_VALUE"""),"CAB")</f>
        <v>CAB</v>
      </c>
      <c r="D758" s="1" t="str">
        <f>IFERROR(__xludf.DUMMYFUNCTION("""COMPUTED_VALUE"""),"RENATO KUJAWINSKI")</f>
        <v>RENATO KUJAWINSKI</v>
      </c>
      <c r="E758" s="119" t="str">
        <f>IFERROR(__xludf.DUMMYFUNCTION("""COMPUTED_VALUE"""),"")</f>
        <v/>
      </c>
      <c r="F758" s="1" t="str">
        <f>IFERROR(__xludf.DUMMYFUNCTION("""COMPUTED_VALUE"""),"022.655.000-11")</f>
        <v>022.655.000-11</v>
      </c>
      <c r="G758" s="1">
        <f>IFERROR(__xludf.DUMMYFUNCTION("""COMPUTED_VALUE"""),5101558855)</f>
        <v>5101558855</v>
      </c>
      <c r="H758" s="1" t="str">
        <f>IFERROR(__xludf.DUMMYFUNCTION("""COMPUTED_VALUE"""),"voluntário")</f>
        <v>voluntário</v>
      </c>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row>
    <row r="759" customHeight="1" spans="1:40">
      <c r="A759" s="1" t="str">
        <f>IFERROR(__xludf.DUMMYFUNCTION("""COMPUTED_VALUE"""),"07° BBM")</f>
        <v>07° BBM</v>
      </c>
      <c r="B759" s="1" t="str">
        <f>IFERROR(__xludf.DUMMYFUNCTION("""COMPUTED_VALUE"""),"Áurea")</f>
        <v>Áurea</v>
      </c>
      <c r="C759" s="119" t="str">
        <f>IFERROR(__xludf.DUMMYFUNCTION("""COMPUTED_VALUE"""),"CAB")</f>
        <v>CAB</v>
      </c>
      <c r="D759" s="1" t="str">
        <f>IFERROR(__xludf.DUMMYFUNCTION("""COMPUTED_VALUE"""),"RICARDO LUIZ RUSTIK")</f>
        <v>RICARDO LUIZ RUSTIK</v>
      </c>
      <c r="E759" s="119" t="str">
        <f>IFERROR(__xludf.DUMMYFUNCTION("""COMPUTED_VALUE"""),"")</f>
        <v/>
      </c>
      <c r="F759" s="1" t="str">
        <f>IFERROR(__xludf.DUMMYFUNCTION("""COMPUTED_VALUE"""),"922.053.720-68")</f>
        <v>922.053.720-68</v>
      </c>
      <c r="G759" s="1">
        <f>IFERROR(__xludf.DUMMYFUNCTION("""COMPUTED_VALUE"""),8068393423)</f>
        <v>8068393423</v>
      </c>
      <c r="H759" s="1" t="str">
        <f>IFERROR(__xludf.DUMMYFUNCTION("""COMPUTED_VALUE"""),"motorista")</f>
        <v>motorista</v>
      </c>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row>
    <row r="760" customHeight="1" spans="1:40">
      <c r="A760" s="1" t="str">
        <f>IFERROR(__xludf.DUMMYFUNCTION("""COMPUTED_VALUE"""),"07° BBM")</f>
        <v>07° BBM</v>
      </c>
      <c r="B760" s="1" t="str">
        <f>IFERROR(__xludf.DUMMYFUNCTION("""COMPUTED_VALUE"""),"SARANDI")</f>
        <v>SARANDI</v>
      </c>
      <c r="C760" s="119" t="str">
        <f>IFERROR(__xludf.DUMMYFUNCTION("""COMPUTED_VALUE"""),"Comunitário")</f>
        <v>Comunitário</v>
      </c>
      <c r="D760" s="1" t="str">
        <f>IFERROR(__xludf.DUMMYFUNCTION("""COMPUTED_VALUE"""),"RICARDO SARETTO")</f>
        <v>RICARDO SARETTO</v>
      </c>
      <c r="E760" s="119" t="str">
        <f>IFERROR(__xludf.DUMMYFUNCTION("""COMPUTED_VALUE"""),"Curso CAB operador concluído")</f>
        <v>Curso CAB operador concluído</v>
      </c>
      <c r="F760" s="1" t="str">
        <f>IFERROR(__xludf.DUMMYFUNCTION("""COMPUTED_VALUE"""),"012.606.390-70")</f>
        <v>012.606.390-70</v>
      </c>
      <c r="G760" s="1">
        <f>IFERROR(__xludf.DUMMYFUNCTION("""COMPUTED_VALUE"""),4065856141)</f>
        <v>4065856141</v>
      </c>
      <c r="H760" s="1" t="str">
        <f>IFERROR(__xludf.DUMMYFUNCTION("""COMPUTED_VALUE"""),"OP")</f>
        <v>OP</v>
      </c>
      <c r="I760" s="1"/>
      <c r="J760" s="1"/>
      <c r="K760" s="1"/>
      <c r="L760" s="1"/>
      <c r="M760" s="1"/>
      <c r="N760" s="125">
        <f>IFERROR(__xludf.DUMMYFUNCTION("""COMPUTED_VALUE"""),32035)</f>
        <v>32035</v>
      </c>
      <c r="O760" s="1" t="str">
        <f>IFERROR(__xludf.DUMMYFUNCTION("""COMPUTED_VALUE"""),"Masculino")</f>
        <v>Masculino</v>
      </c>
      <c r="P760" s="1"/>
      <c r="Q760" s="1"/>
      <c r="R760" s="1"/>
      <c r="S760" s="1"/>
      <c r="T760" s="1"/>
      <c r="U760" s="1"/>
      <c r="V760" s="1"/>
      <c r="W760" s="1"/>
      <c r="X760" s="1"/>
      <c r="Y760" s="1" t="str">
        <f>IFERROR(__xludf.DUMMYFUNCTION("""COMPUTED_VALUE"""),"Sarandi")</f>
        <v>Sarandi</v>
      </c>
      <c r="Z760" s="1"/>
      <c r="AA760" s="1"/>
      <c r="AB760" s="1"/>
      <c r="AC760" s="1"/>
      <c r="AD760" s="1"/>
      <c r="AE760" s="1"/>
      <c r="AF760" s="1"/>
      <c r="AG760" s="1" t="str">
        <f>IFERROR(__xludf.DUMMYFUNCTION("""COMPUTED_VALUE"""),"GG")</f>
        <v>GG</v>
      </c>
      <c r="AH760" s="1">
        <f>IFERROR(__xludf.DUMMYFUNCTION("""COMPUTED_VALUE"""),42)</f>
        <v>42</v>
      </c>
      <c r="AI760" s="1"/>
      <c r="AJ760" s="1"/>
      <c r="AK760" s="1"/>
      <c r="AL760" s="1" t="str">
        <f>IFERROR(__xludf.DUMMYFUNCTION("""COMPUTED_VALUE"""),"G")</f>
        <v>G</v>
      </c>
      <c r="AM760" s="1" t="str">
        <f>IFERROR(__xludf.DUMMYFUNCTION("""COMPUTED_VALUE"""),"G")</f>
        <v>G</v>
      </c>
      <c r="AN760" s="1" t="str">
        <f>IFERROR(__xludf.DUMMYFUNCTION("""COMPUTED_VALUE"""),"G")</f>
        <v>G</v>
      </c>
    </row>
    <row r="761" customHeight="1" spans="1:40">
      <c r="A761" s="1" t="str">
        <f>IFERROR(__xludf.DUMMYFUNCTION("""COMPUTED_VALUE"""),"07° BBM")</f>
        <v>07° BBM</v>
      </c>
      <c r="B761" s="1" t="str">
        <f>IFERROR(__xludf.DUMMYFUNCTION("""COMPUTED_VALUE"""),"Viadutos")</f>
        <v>Viadutos</v>
      </c>
      <c r="C761" s="119" t="str">
        <f>IFERROR(__xludf.DUMMYFUNCTION("""COMPUTED_VALUE"""),"CAB")</f>
        <v>CAB</v>
      </c>
      <c r="D761" s="1" t="str">
        <f>IFERROR(__xludf.DUMMYFUNCTION("""COMPUTED_VALUE"""),"ROBERTA QUELEN DETOFOL")</f>
        <v>ROBERTA QUELEN DETOFOL</v>
      </c>
      <c r="E761" s="119" t="str">
        <f>IFERROR(__xludf.DUMMYFUNCTION("""COMPUTED_VALUE"""),"")</f>
        <v/>
      </c>
      <c r="F761" s="1" t="str">
        <f>IFERROR(__xludf.DUMMYFUNCTION("""COMPUTED_VALUE"""),"821.427.930-53")</f>
        <v>821.427.930-53</v>
      </c>
      <c r="G761" s="1">
        <f>IFERROR(__xludf.DUMMYFUNCTION("""COMPUTED_VALUE"""),4068392424)</f>
        <v>4068392424</v>
      </c>
      <c r="H761" s="1" t="str">
        <f>IFERROR(__xludf.DUMMYFUNCTION("""COMPUTED_VALUE"""),"COMBATENTE")</f>
        <v>COMBATENTE</v>
      </c>
      <c r="I761" s="1" t="str">
        <f>IFERROR(__xludf.DUMMYFUNCTION("""COMPUTED_VALUE"""),"Atendiimento Suporte Básico de Vida")</f>
        <v>Atendiimento Suporte Básico de Vida</v>
      </c>
      <c r="J761" s="1" t="str">
        <f>IFERROR(__xludf.DUMMYFUNCTION("""COMPUTED_VALUE"""),"Não")</f>
        <v>Não</v>
      </c>
      <c r="K761" s="1" t="str">
        <f>IFERROR(__xludf.DUMMYFUNCTION("""COMPUTED_VALUE"""),"Não")</f>
        <v>Não</v>
      </c>
      <c r="L761" s="1" t="str">
        <f>IFERROR(__xludf.DUMMYFUNCTION("""COMPUTED_VALUE"""),"A+")</f>
        <v>A+</v>
      </c>
      <c r="M761" s="1" t="str">
        <f>IFERROR(__xludf.DUMMYFUNCTION("""COMPUTED_VALUE"""),"ROBERTA")</f>
        <v>ROBERTA</v>
      </c>
      <c r="N761" s="121">
        <f>IFERROR(__xludf.DUMMYFUNCTION("""COMPUTED_VALUE"""),29519)</f>
        <v>29519</v>
      </c>
      <c r="O761" s="1" t="str">
        <f>IFERROR(__xludf.DUMMYFUNCTION("""COMPUTED_VALUE"""),"Feminino")</f>
        <v>Feminino</v>
      </c>
      <c r="P761" s="1" t="str">
        <f>IFERROR(__xludf.DUMMYFUNCTION("""COMPUTED_VALUE"""),"Branca")</f>
        <v>Branca</v>
      </c>
      <c r="Q761" s="1" t="str">
        <f>IFERROR(__xludf.DUMMYFUNCTION("""COMPUTED_VALUE"""),"Ensino Superior Incompleto")</f>
        <v>Ensino Superior Incompleto</v>
      </c>
      <c r="R761" s="1" t="str">
        <f>IFERROR(__xludf.DUMMYFUNCTION("""COMPUTED_VALUE"""),"betadetofol@hormail.com")</f>
        <v>betadetofol@hormail.com</v>
      </c>
      <c r="S761" s="1">
        <f>IFERROR(__xludf.DUMMYFUNCTION("""COMPUTED_VALUE"""),80)</f>
        <v>80</v>
      </c>
      <c r="T761" s="1" t="str">
        <f>IFERROR(__xludf.DUMMYFUNCTION("""COMPUTED_VALUE"""),"Entre 1,61m e 1,65m")</f>
        <v>Entre 1,61m e 1,65m</v>
      </c>
      <c r="U761" s="1"/>
      <c r="V761" s="1" t="str">
        <f>IFERROR(__xludf.DUMMYFUNCTION("""COMPUTED_VALUE"""),"(54) 996800739")</f>
        <v>(54) 996800739</v>
      </c>
      <c r="W761" s="1" t="str">
        <f>IFERROR(__xludf.DUMMYFUNCTION("""COMPUTED_VALUE"""),"(54) 999249531")</f>
        <v>(54) 999249531</v>
      </c>
      <c r="X761" s="1" t="str">
        <f>IFERROR(__xludf.DUMMYFUNCTION("""COMPUTED_VALUE"""),"RS")</f>
        <v>RS</v>
      </c>
      <c r="Y761" s="1" t="str">
        <f>IFERROR(__xludf.DUMMYFUNCTION("""COMPUTED_VALUE"""),"Viadutos")</f>
        <v>Viadutos</v>
      </c>
      <c r="Z761" s="1" t="str">
        <f>IFERROR(__xludf.DUMMYFUNCTION("""COMPUTED_VALUE"""),"99820-000")</f>
        <v>99820-000</v>
      </c>
      <c r="AA761" s="1" t="str">
        <f>IFERROR(__xludf.DUMMYFUNCTION("""COMPUTED_VALUE"""),"Rua Candido Munaro 63")</f>
        <v>Rua Candido Munaro 63</v>
      </c>
      <c r="AB761" s="1" t="str">
        <f>IFERROR(__xludf.DUMMYFUNCTION("""COMPUTED_VALUE"""),"Frigorifico")</f>
        <v>Frigorifico</v>
      </c>
      <c r="AC761" s="1" t="str">
        <f>IFERROR(__xludf.DUMMYFUNCTION("""COMPUTED_VALUE"""),"EXG")</f>
        <v>EXG</v>
      </c>
      <c r="AD761" s="1" t="str">
        <f>IFERROR(__xludf.DUMMYFUNCTION("""COMPUTED_VALUE"""),"EXG")</f>
        <v>EXG</v>
      </c>
      <c r="AE761" s="1" t="str">
        <f>IFERROR(__xludf.DUMMYFUNCTION("""COMPUTED_VALUE"""),"GG")</f>
        <v>GG</v>
      </c>
      <c r="AF761" s="1" t="str">
        <f>IFERROR(__xludf.DUMMYFUNCTION("""COMPUTED_VALUE"""),"EXG")</f>
        <v>EXG</v>
      </c>
      <c r="AG761" s="1" t="str">
        <f>IFERROR(__xludf.DUMMYFUNCTION("""COMPUTED_VALUE"""),"EXG")</f>
        <v>EXG</v>
      </c>
      <c r="AH761" s="1">
        <f>IFERROR(__xludf.DUMMYFUNCTION("""COMPUTED_VALUE"""),40)</f>
        <v>40</v>
      </c>
      <c r="AI761" s="1">
        <f>IFERROR(__xludf.DUMMYFUNCTION("""COMPUTED_VALUE"""),40)</f>
        <v>40</v>
      </c>
      <c r="AJ761" s="1">
        <f>IFERROR(__xludf.DUMMYFUNCTION("""COMPUTED_VALUE"""),40)</f>
        <v>40</v>
      </c>
      <c r="AK761" s="1">
        <f>IFERROR(__xludf.DUMMYFUNCTION("""COMPUTED_VALUE"""),40)</f>
        <v>40</v>
      </c>
      <c r="AL761" s="1" t="str">
        <f>IFERROR(__xludf.DUMMYFUNCTION("""COMPUTED_VALUE"""),"EXG")</f>
        <v>EXG</v>
      </c>
      <c r="AM761" s="1" t="str">
        <f>IFERROR(__xludf.DUMMYFUNCTION("""COMPUTED_VALUE"""),"EXG")</f>
        <v>EXG</v>
      </c>
      <c r="AN761" s="1" t="str">
        <f>IFERROR(__xludf.DUMMYFUNCTION("""COMPUTED_VALUE"""),"G")</f>
        <v>G</v>
      </c>
    </row>
    <row r="762" customHeight="1" spans="1:40">
      <c r="A762" s="1" t="str">
        <f>IFERROR(__xludf.DUMMYFUNCTION("""COMPUTED_VALUE"""),"07° BBM")</f>
        <v>07° BBM</v>
      </c>
      <c r="B762" s="1" t="str">
        <f>IFERROR(__xludf.DUMMYFUNCTION("""COMPUTED_VALUE"""),"Mormaço")</f>
        <v>Mormaço</v>
      </c>
      <c r="C762" s="119" t="str">
        <f>IFERROR(__xludf.DUMMYFUNCTION("""COMPUTED_VALUE"""),"CAB")</f>
        <v>CAB</v>
      </c>
      <c r="D762" s="1" t="str">
        <f>IFERROR(__xludf.DUMMYFUNCTION("""COMPUTED_VALUE"""),"ROBSON SCHULTZ BORGES")</f>
        <v>ROBSON SCHULTZ BORGES</v>
      </c>
      <c r="E762" s="119" t="str">
        <f>IFERROR(__xludf.DUMMYFUNCTION("""COMPUTED_VALUE"""),"")</f>
        <v/>
      </c>
      <c r="F762" s="1" t="str">
        <f>IFERROR(__xludf.DUMMYFUNCTION("""COMPUTED_VALUE"""),"018.631.090-05")</f>
        <v>018.631.090-05</v>
      </c>
      <c r="G762" s="1"/>
      <c r="H762" s="1"/>
      <c r="I762" s="1"/>
      <c r="J762" s="1"/>
      <c r="K762" s="1"/>
      <c r="L762" s="1"/>
      <c r="M762" s="1"/>
      <c r="N762" s="120"/>
      <c r="O762" s="1"/>
      <c r="P762" s="1"/>
      <c r="Q762" s="1"/>
      <c r="R762" s="1" t="str">
        <f>IFERROR(__xludf.DUMMYFUNCTION("""COMPUTED_VALUE"""),"robsonschultzborgesschultzborg@gmail.com")</f>
        <v>robsonschultzborgesschultzborg@gmail.com</v>
      </c>
      <c r="S762" s="1"/>
      <c r="T762" s="1"/>
      <c r="U762" s="1"/>
      <c r="V762" s="1"/>
      <c r="W762" s="1"/>
      <c r="X762" s="1"/>
      <c r="Y762" s="1"/>
      <c r="Z762" s="1"/>
      <c r="AA762" s="1"/>
      <c r="AB762" s="1"/>
      <c r="AC762" s="1"/>
      <c r="AD762" s="1"/>
      <c r="AE762" s="1"/>
      <c r="AF762" s="1"/>
      <c r="AG762" s="1" t="str">
        <f>IFERROR(__xludf.DUMMYFUNCTION("""COMPUTED_VALUE"""),"EXG")</f>
        <v>EXG</v>
      </c>
      <c r="AH762" s="1">
        <f>IFERROR(__xludf.DUMMYFUNCTION("""COMPUTED_VALUE"""),42)</f>
        <v>42</v>
      </c>
      <c r="AI762" s="1"/>
      <c r="AJ762" s="1"/>
      <c r="AK762" s="1"/>
      <c r="AL762" s="1" t="str">
        <f>IFERROR(__xludf.DUMMYFUNCTION("""COMPUTED_VALUE"""),"EXG")</f>
        <v>EXG</v>
      </c>
      <c r="AM762" s="1" t="str">
        <f>IFERROR(__xludf.DUMMYFUNCTION("""COMPUTED_VALUE"""),"EXG")</f>
        <v>EXG</v>
      </c>
      <c r="AN762" s="1" t="str">
        <f>IFERROR(__xludf.DUMMYFUNCTION("""COMPUTED_VALUE"""),"EXG")</f>
        <v>EXG</v>
      </c>
    </row>
    <row r="763" customHeight="1" spans="1:40">
      <c r="A763" s="1" t="str">
        <f>IFERROR(__xludf.DUMMYFUNCTION("""COMPUTED_VALUE"""),"07° BBM")</f>
        <v>07° BBM</v>
      </c>
      <c r="B763" s="1" t="str">
        <f>IFERROR(__xludf.DUMMYFUNCTION("""COMPUTED_VALUE"""),"SOLEDADE")</f>
        <v>SOLEDADE</v>
      </c>
      <c r="C763" s="119" t="str">
        <f>IFERROR(__xludf.DUMMYFUNCTION("""COMPUTED_VALUE"""),"Comunitário")</f>
        <v>Comunitário</v>
      </c>
      <c r="D763" s="1" t="str">
        <f>IFERROR(__xludf.DUMMYFUNCTION("""COMPUTED_VALUE"""),"ROGÉRIO DE MIRANDA VIDAL")</f>
        <v>ROGÉRIO DE MIRANDA VIDAL</v>
      </c>
      <c r="E763" s="119" t="str">
        <f>IFERROR(__xludf.DUMMYFUNCTION("""COMPUTED_VALUE"""),"Curso CAB operador concluído")</f>
        <v>Curso CAB operador concluído</v>
      </c>
      <c r="F763" s="1" t="str">
        <f>IFERROR(__xludf.DUMMYFUNCTION("""COMPUTED_VALUE"""),"999.936.510.87")</f>
        <v>999.936.510.87</v>
      </c>
      <c r="G763" s="1">
        <f>IFERROR(__xludf.DUMMYFUNCTION("""COMPUTED_VALUE"""),6065077106)</f>
        <v>6065077106</v>
      </c>
      <c r="H763" s="1" t="str">
        <f>IFERROR(__xludf.DUMMYFUNCTION("""COMPUTED_VALUE"""),"OP")</f>
        <v>OP</v>
      </c>
      <c r="I763" s="1"/>
      <c r="J763" s="1"/>
      <c r="K763" s="1"/>
      <c r="L763" s="1"/>
      <c r="M763" s="1"/>
      <c r="N763" s="121">
        <f>IFERROR(__xludf.DUMMYFUNCTION("""COMPUTED_VALUE"""),28344)</f>
        <v>28344</v>
      </c>
      <c r="O763" s="1" t="str">
        <f>IFERROR(__xludf.DUMMYFUNCTION("""COMPUTED_VALUE"""),"Masculino")</f>
        <v>Masculino</v>
      </c>
      <c r="P763" s="1"/>
      <c r="Q763" s="1"/>
      <c r="R763" s="1"/>
      <c r="S763" s="1"/>
      <c r="T763" s="1"/>
      <c r="U763" s="1"/>
      <c r="V763" s="1"/>
      <c r="W763" s="1"/>
      <c r="X763" s="1"/>
      <c r="Y763" s="1" t="str">
        <f>IFERROR(__xludf.DUMMYFUNCTION("""COMPUTED_VALUE"""),"Soledade")</f>
        <v>Soledade</v>
      </c>
      <c r="Z763" s="1"/>
      <c r="AA763" s="1"/>
      <c r="AB763" s="1"/>
      <c r="AC763" s="1"/>
      <c r="AD763" s="1"/>
      <c r="AE763" s="1"/>
      <c r="AF763" s="1"/>
      <c r="AG763" s="1" t="str">
        <f>IFERROR(__xludf.DUMMYFUNCTION("""COMPUTED_VALUE"""),"G")</f>
        <v>G</v>
      </c>
      <c r="AH763" s="1">
        <f>IFERROR(__xludf.DUMMYFUNCTION("""COMPUTED_VALUE"""),39)</f>
        <v>39</v>
      </c>
      <c r="AI763" s="1"/>
      <c r="AJ763" s="1"/>
      <c r="AK763" s="1"/>
      <c r="AL763" s="1" t="str">
        <f>IFERROR(__xludf.DUMMYFUNCTION("""COMPUTED_VALUE"""),"M")</f>
        <v>M</v>
      </c>
      <c r="AM763" s="1" t="str">
        <f>IFERROR(__xludf.DUMMYFUNCTION("""COMPUTED_VALUE"""),"M")</f>
        <v>M</v>
      </c>
      <c r="AN763" s="1" t="str">
        <f>IFERROR(__xludf.DUMMYFUNCTION("""COMPUTED_VALUE"""),"M")</f>
        <v>M</v>
      </c>
    </row>
    <row r="764" customHeight="1" spans="1:40">
      <c r="A764" s="1" t="str">
        <f>IFERROR(__xludf.DUMMYFUNCTION("""COMPUTED_VALUE"""),"07° BBM")</f>
        <v>07° BBM</v>
      </c>
      <c r="B764" s="1" t="str">
        <f>IFERROR(__xludf.DUMMYFUNCTION("""COMPUTED_VALUE"""),"Não-Me-Toque")</f>
        <v>Não-Me-Toque</v>
      </c>
      <c r="C764" s="119" t="str">
        <f>IFERROR(__xludf.DUMMYFUNCTION("""COMPUTED_VALUE"""),"CAB")</f>
        <v>CAB</v>
      </c>
      <c r="D764" s="1" t="str">
        <f>IFERROR(__xludf.DUMMYFUNCTION("""COMPUTED_VALUE"""),"ROSA TATIANA TSCHIEDEL")</f>
        <v>ROSA TATIANA TSCHIEDEL</v>
      </c>
      <c r="E764" s="119" t="str">
        <f>IFERROR(__xludf.DUMMYFUNCTION("""COMPUTED_VALUE"""),"")</f>
        <v/>
      </c>
      <c r="F764" s="1" t="str">
        <f>IFERROR(__xludf.DUMMYFUNCTION("""COMPUTED_VALUE"""),"013.002.900-99")</f>
        <v>013.002.900-99</v>
      </c>
      <c r="G764" s="1">
        <f>IFERROR(__xludf.DUMMYFUNCTION("""COMPUTED_VALUE"""),5084165314)</f>
        <v>5084165314</v>
      </c>
      <c r="H764" s="1" t="str">
        <f>IFERROR(__xludf.DUMMYFUNCTION("""COMPUTED_VALUE"""),"BOMBEIRA")</f>
        <v>BOMBEIRA</v>
      </c>
      <c r="I764" s="1" t="str">
        <f>IFERROR(__xludf.DUMMYFUNCTION("""COMPUTED_VALUE"""),"Brigada de Incêndio/Nivelamento Operacional BV/EPI's e EPRA/Nivelamento Operacional CBMRS")</f>
        <v>Brigada de Incêndio/Nivelamento Operacional BV/EPI's e EPRA/Nivelamento Operacional CBMRS</v>
      </c>
      <c r="J764" s="1" t="str">
        <f>IFERROR(__xludf.DUMMYFUNCTION("""COMPUTED_VALUE"""),"Não")</f>
        <v>Não</v>
      </c>
      <c r="K764" s="1" t="str">
        <f>IFERROR(__xludf.DUMMYFUNCTION("""COMPUTED_VALUE"""),"Não")</f>
        <v>Não</v>
      </c>
      <c r="L764" s="1" t="str">
        <f>IFERROR(__xludf.DUMMYFUNCTION("""COMPUTED_VALUE"""),"A+")</f>
        <v>A+</v>
      </c>
      <c r="M764" s="1" t="str">
        <f>IFERROR(__xludf.DUMMYFUNCTION("""COMPUTED_VALUE"""),"TATI")</f>
        <v>TATI</v>
      </c>
      <c r="N764" s="120">
        <f>IFERROR(__xludf.DUMMYFUNCTION("""COMPUTED_VALUE"""),30825)</f>
        <v>30825</v>
      </c>
      <c r="O764" s="1" t="str">
        <f>IFERROR(__xludf.DUMMYFUNCTION("""COMPUTED_VALUE"""),"Feminino")</f>
        <v>Feminino</v>
      </c>
      <c r="P764" s="1" t="str">
        <f>IFERROR(__xludf.DUMMYFUNCTION("""COMPUTED_VALUE"""),"Branca")</f>
        <v>Branca</v>
      </c>
      <c r="Q764" s="1" t="str">
        <f>IFERROR(__xludf.DUMMYFUNCTION("""COMPUTED_VALUE"""),"Ensino Médio")</f>
        <v>Ensino Médio</v>
      </c>
      <c r="R764" s="1" t="str">
        <f>IFERROR(__xludf.DUMMYFUNCTION("""COMPUTED_VALUE"""),"TSCHIEDELTATIANA18@GMAIL.COM")</f>
        <v>TSCHIEDELTATIANA18@GMAIL.COM</v>
      </c>
      <c r="S764" s="1"/>
      <c r="T764" s="1" t="str">
        <f>IFERROR(__xludf.DUMMYFUNCTION("""COMPUTED_VALUE"""),"Entre 1,56m e 1,60m")</f>
        <v>Entre 1,56m e 1,60m</v>
      </c>
      <c r="U764" s="1"/>
      <c r="V764" s="1" t="str">
        <f>IFERROR(__xludf.DUMMYFUNCTION("""COMPUTED_VALUE"""),"(54)997005678")</f>
        <v>(54)997005678</v>
      </c>
      <c r="W764" s="1"/>
      <c r="X764" s="1" t="str">
        <f>IFERROR(__xludf.DUMMYFUNCTION("""COMPUTED_VALUE"""),"RS")</f>
        <v>RS</v>
      </c>
      <c r="Y764" s="1" t="str">
        <f>IFERROR(__xludf.DUMMYFUNCTION("""COMPUTED_VALUE"""),"Não-Me-Toque")</f>
        <v>Não-Me-Toque</v>
      </c>
      <c r="Z764" s="1" t="str">
        <f>IFERROR(__xludf.DUMMYFUNCTION("""COMPUTED_VALUE"""),"99470-000")</f>
        <v>99470-000</v>
      </c>
      <c r="AA764" s="1" t="str">
        <f>IFERROR(__xludf.DUMMYFUNCTION("""COMPUTED_VALUE"""),"Rua Arlindo Lauxem, 153")</f>
        <v>Rua Arlindo Lauxem, 153</v>
      </c>
      <c r="AB764" s="1" t="str">
        <f>IFERROR(__xludf.DUMMYFUNCTION("""COMPUTED_VALUE"""),"Harlindo Hermes")</f>
        <v>Harlindo Hermes</v>
      </c>
      <c r="AC764" s="1" t="str">
        <f>IFERROR(__xludf.DUMMYFUNCTION("""COMPUTED_VALUE"""),"G")</f>
        <v>G</v>
      </c>
      <c r="AD764" s="1" t="str">
        <f>IFERROR(__xludf.DUMMYFUNCTION("""COMPUTED_VALUE"""),"G")</f>
        <v>G</v>
      </c>
      <c r="AE764" s="1" t="str">
        <f>IFERROR(__xludf.DUMMYFUNCTION("""COMPUTED_VALUE"""),"G")</f>
        <v>G</v>
      </c>
      <c r="AF764" s="1" t="str">
        <f>IFERROR(__xludf.DUMMYFUNCTION("""COMPUTED_VALUE"""),"G")</f>
        <v>G</v>
      </c>
      <c r="AG764" s="1" t="str">
        <f>IFERROR(__xludf.DUMMYFUNCTION("""COMPUTED_VALUE"""),"G")</f>
        <v>G</v>
      </c>
      <c r="AH764" s="1">
        <f>IFERROR(__xludf.DUMMYFUNCTION("""COMPUTED_VALUE"""),37)</f>
        <v>37</v>
      </c>
      <c r="AI764" s="1">
        <f>IFERROR(__xludf.DUMMYFUNCTION("""COMPUTED_VALUE"""),37)</f>
        <v>37</v>
      </c>
      <c r="AJ764" s="1">
        <f>IFERROR(__xludf.DUMMYFUNCTION("""COMPUTED_VALUE"""),37)</f>
        <v>37</v>
      </c>
      <c r="AK764" s="1">
        <f>IFERROR(__xludf.DUMMYFUNCTION("""COMPUTED_VALUE"""),37)</f>
        <v>37</v>
      </c>
      <c r="AL764" s="1" t="str">
        <f>IFERROR(__xludf.DUMMYFUNCTION("""COMPUTED_VALUE"""),"M")</f>
        <v>M</v>
      </c>
      <c r="AM764" s="1" t="str">
        <f>IFERROR(__xludf.DUMMYFUNCTION("""COMPUTED_VALUE"""),"M")</f>
        <v>M</v>
      </c>
      <c r="AN764" s="1" t="str">
        <f>IFERROR(__xludf.DUMMYFUNCTION("""COMPUTED_VALUE"""),"M")</f>
        <v>M</v>
      </c>
    </row>
    <row r="765" customHeight="1" spans="1:40">
      <c r="A765" s="1" t="str">
        <f>IFERROR(__xludf.DUMMYFUNCTION("""COMPUTED_VALUE"""),"07° BBM")</f>
        <v>07° BBM</v>
      </c>
      <c r="B765" s="1" t="str">
        <f>IFERROR(__xludf.DUMMYFUNCTION("""COMPUTED_VALUE"""),"TAPERA")</f>
        <v>TAPERA</v>
      </c>
      <c r="C765" s="119" t="str">
        <f>IFERROR(__xludf.DUMMYFUNCTION("""COMPUTED_VALUE"""),"Comunitário")</f>
        <v>Comunitário</v>
      </c>
      <c r="D765" s="1" t="str">
        <f>IFERROR(__xludf.DUMMYFUNCTION("""COMPUTED_VALUE"""),"ROSANA DE LIMA PADILHA GASTRING")</f>
        <v>ROSANA DE LIMA PADILHA GASTRING</v>
      </c>
      <c r="E765" s="119" t="str">
        <f>IFERROR(__xludf.DUMMYFUNCTION("""COMPUTED_VALUE"""),"")</f>
        <v/>
      </c>
      <c r="F765" s="1">
        <f>IFERROR(__xludf.DUMMYFUNCTION("""COMPUTED_VALUE"""),82644489091)</f>
        <v>82644489091</v>
      </c>
      <c r="G765" s="1">
        <f>IFERROR(__xludf.DUMMYFUNCTION("""COMPUTED_VALUE"""),2081195105)</f>
        <v>2081195105</v>
      </c>
      <c r="H765" s="1" t="str">
        <f>IFERROR(__xludf.DUMMYFUNCTION("""COMPUTED_VALUE"""),"OP")</f>
        <v>OP</v>
      </c>
      <c r="I765" s="1"/>
      <c r="J765" s="1"/>
      <c r="K765" s="1"/>
      <c r="L765" s="1"/>
      <c r="M765" s="1"/>
      <c r="N765" s="121">
        <f>IFERROR(__xludf.DUMMYFUNCTION("""COMPUTED_VALUE"""),30043)</f>
        <v>30043</v>
      </c>
      <c r="O765" s="1" t="str">
        <f>IFERROR(__xludf.DUMMYFUNCTION("""COMPUTED_VALUE"""),"Feminino")</f>
        <v>Feminino</v>
      </c>
      <c r="P765" s="1"/>
      <c r="Q765" s="1"/>
      <c r="R765" s="1"/>
      <c r="S765" s="1"/>
      <c r="T765" s="1"/>
      <c r="U765" s="1"/>
      <c r="V765" s="1"/>
      <c r="W765" s="1"/>
      <c r="X765" s="1"/>
      <c r="Y765" s="1" t="str">
        <f>IFERROR(__xludf.DUMMYFUNCTION("""COMPUTED_VALUE"""),"Tapera")</f>
        <v>Tapera</v>
      </c>
      <c r="Z765" s="1"/>
      <c r="AA765" s="1"/>
      <c r="AB765" s="1"/>
      <c r="AC765" s="1"/>
      <c r="AD765" s="1"/>
      <c r="AE765" s="1"/>
      <c r="AF765" s="1"/>
      <c r="AG765" s="1" t="str">
        <f>IFERROR(__xludf.DUMMYFUNCTION("""COMPUTED_VALUE"""),"P")</f>
        <v>P</v>
      </c>
      <c r="AH765" s="1">
        <f>IFERROR(__xludf.DUMMYFUNCTION("""COMPUTED_VALUE"""),38)</f>
        <v>38</v>
      </c>
      <c r="AI765" s="1"/>
      <c r="AJ765" s="1"/>
      <c r="AK765" s="1"/>
      <c r="AL765" s="1" t="str">
        <f>IFERROR(__xludf.DUMMYFUNCTION("""COMPUTED_VALUE"""),"P")</f>
        <v>P</v>
      </c>
      <c r="AM765" s="1" t="str">
        <f>IFERROR(__xludf.DUMMYFUNCTION("""COMPUTED_VALUE"""),"P")</f>
        <v>P</v>
      </c>
      <c r="AN765" s="1" t="str">
        <f>IFERROR(__xludf.DUMMYFUNCTION("""COMPUTED_VALUE"""),"P")</f>
        <v>P</v>
      </c>
    </row>
    <row r="766" customHeight="1" spans="1:40">
      <c r="A766" s="1" t="str">
        <f>IFERROR(__xludf.DUMMYFUNCTION("""COMPUTED_VALUE"""),"07° BBM")</f>
        <v>07° BBM</v>
      </c>
      <c r="B766" s="1" t="str">
        <f>IFERROR(__xludf.DUMMYFUNCTION("""COMPUTED_VALUE"""),"Erval Grande")</f>
        <v>Erval Grande</v>
      </c>
      <c r="C766" s="119" t="str">
        <f>IFERROR(__xludf.DUMMYFUNCTION("""COMPUTED_VALUE"""),"CAB")</f>
        <v>CAB</v>
      </c>
      <c r="D766" s="1" t="str">
        <f>IFERROR(__xludf.DUMMYFUNCTION("""COMPUTED_VALUE"""),"ROSANE ARTINI")</f>
        <v>ROSANE ARTINI</v>
      </c>
      <c r="E766" s="119" t="str">
        <f>IFERROR(__xludf.DUMMYFUNCTION("""COMPUTED_VALUE"""),"")</f>
        <v/>
      </c>
      <c r="F766" s="1"/>
      <c r="G766" s="1"/>
      <c r="H766" s="1"/>
      <c r="I766" s="1"/>
      <c r="J766" s="1"/>
      <c r="K766" s="1"/>
      <c r="L766" s="1"/>
      <c r="M766" s="1"/>
      <c r="N766" s="120">
        <f>IFERROR(__xludf.DUMMYFUNCTION("""COMPUTED_VALUE"""),32305)</f>
        <v>32305</v>
      </c>
      <c r="O766" s="1" t="str">
        <f>IFERROR(__xludf.DUMMYFUNCTION("""COMPUTED_VALUE"""),"Feminino")</f>
        <v>Feminino</v>
      </c>
      <c r="P766" s="1"/>
      <c r="Q766" s="1"/>
      <c r="R766" s="1"/>
      <c r="S766" s="1"/>
      <c r="T766" s="1"/>
      <c r="U766" s="1"/>
      <c r="V766" s="1"/>
      <c r="W766" s="1"/>
      <c r="X766" s="1"/>
      <c r="Y766" s="1"/>
      <c r="Z766" s="1"/>
      <c r="AA766" s="1"/>
      <c r="AB766" s="1"/>
      <c r="AC766" s="1"/>
      <c r="AD766" s="1"/>
      <c r="AE766" s="1"/>
      <c r="AF766" s="1"/>
      <c r="AG766" s="1" t="str">
        <f>IFERROR(__xludf.DUMMYFUNCTION("""COMPUTED_VALUE"""),"G")</f>
        <v>G</v>
      </c>
      <c r="AH766" s="1">
        <f>IFERROR(__xludf.DUMMYFUNCTION("""COMPUTED_VALUE"""),39)</f>
        <v>39</v>
      </c>
      <c r="AI766" s="1"/>
      <c r="AJ766" s="1"/>
      <c r="AK766" s="1"/>
      <c r="AL766" s="1" t="str">
        <f>IFERROR(__xludf.DUMMYFUNCTION("""COMPUTED_VALUE"""),"G")</f>
        <v>G</v>
      </c>
      <c r="AM766" s="1" t="str">
        <f>IFERROR(__xludf.DUMMYFUNCTION("""COMPUTED_VALUE"""),"G")</f>
        <v>G</v>
      </c>
      <c r="AN766" s="1" t="str">
        <f>IFERROR(__xludf.DUMMYFUNCTION("""COMPUTED_VALUE"""),"G")</f>
        <v>G</v>
      </c>
    </row>
    <row r="767" customHeight="1" spans="1:40">
      <c r="A767" s="1" t="str">
        <f>IFERROR(__xludf.DUMMYFUNCTION("""COMPUTED_VALUE"""),"07° BBM")</f>
        <v>07° BBM</v>
      </c>
      <c r="B767" s="1" t="str">
        <f>IFERROR(__xludf.DUMMYFUNCTION("""COMPUTED_VALUE"""),"Jacutinga")</f>
        <v>Jacutinga</v>
      </c>
      <c r="C767" s="119" t="str">
        <f>IFERROR(__xludf.DUMMYFUNCTION("""COMPUTED_VALUE"""),"CAB")</f>
        <v>CAB</v>
      </c>
      <c r="D767" s="1" t="str">
        <f>IFERROR(__xludf.DUMMYFUNCTION("""COMPUTED_VALUE"""),"ROSANE TEDESCO BOTTAN")</f>
        <v>ROSANE TEDESCO BOTTAN</v>
      </c>
      <c r="E767" s="119" t="str">
        <f>IFERROR(__xludf.DUMMYFUNCTION("""COMPUTED_VALUE"""),"")</f>
        <v/>
      </c>
      <c r="F767" s="1" t="str">
        <f>IFERROR(__xludf.DUMMYFUNCTION("""COMPUTED_VALUE"""),"033.308.220-66")</f>
        <v>033.308.220-66</v>
      </c>
      <c r="G767" s="1">
        <f>IFERROR(__xludf.DUMMYFUNCTION("""COMPUTED_VALUE"""),9106861521)</f>
        <v>9106861521</v>
      </c>
      <c r="H767" s="1" t="str">
        <f>IFERROR(__xludf.DUMMYFUNCTION("""COMPUTED_VALUE"""),"Integrante")</f>
        <v>Integrante</v>
      </c>
      <c r="I767" s="1"/>
      <c r="J767" s="1" t="str">
        <f>IFERROR(__xludf.DUMMYFUNCTION("""COMPUTED_VALUE"""),"Não")</f>
        <v>Não</v>
      </c>
      <c r="K767" s="1" t="str">
        <f>IFERROR(__xludf.DUMMYFUNCTION("""COMPUTED_VALUE"""),"Não")</f>
        <v>Não</v>
      </c>
      <c r="L767" s="1" t="str">
        <f>IFERROR(__xludf.DUMMYFUNCTION("""COMPUTED_VALUE"""),"O+")</f>
        <v>O+</v>
      </c>
      <c r="M767" s="1" t="str">
        <f>IFERROR(__xludf.DUMMYFUNCTION("""COMPUTED_VALUE"""),"Rosane")</f>
        <v>Rosane</v>
      </c>
      <c r="N767" s="121">
        <f>IFERROR(__xludf.DUMMYFUNCTION("""COMPUTED_VALUE"""),30235)</f>
        <v>30235</v>
      </c>
      <c r="O767" s="1" t="str">
        <f>IFERROR(__xludf.DUMMYFUNCTION("""COMPUTED_VALUE"""),"Feminino")</f>
        <v>Feminino</v>
      </c>
      <c r="P767" s="1" t="str">
        <f>IFERROR(__xludf.DUMMYFUNCTION("""COMPUTED_VALUE"""),"Morena")</f>
        <v>Morena</v>
      </c>
      <c r="Q767" s="1" t="str">
        <f>IFERROR(__xludf.DUMMYFUNCTION("""COMPUTED_VALUE"""),"Ensino Médio")</f>
        <v>Ensino Médio</v>
      </c>
      <c r="R767" s="1"/>
      <c r="S767" s="1">
        <f>IFERROR(__xludf.DUMMYFUNCTION("""COMPUTED_VALUE"""),55)</f>
        <v>55</v>
      </c>
      <c r="T767" s="1" t="str">
        <f>IFERROR(__xludf.DUMMYFUNCTION("""COMPUTED_VALUE"""),"Entre 1,56m e 1,60m")</f>
        <v>Entre 1,56m e 1,60m</v>
      </c>
      <c r="U767" s="1"/>
      <c r="V767" s="1" t="str">
        <f>IFERROR(__xludf.DUMMYFUNCTION("""COMPUTED_VALUE"""),"(54)91801301")</f>
        <v>(54)91801301</v>
      </c>
      <c r="W767" s="1"/>
      <c r="X767" s="1" t="str">
        <f>IFERROR(__xludf.DUMMYFUNCTION("""COMPUTED_VALUE"""),"RS")</f>
        <v>RS</v>
      </c>
      <c r="Y767" s="1" t="str">
        <f>IFERROR(__xludf.DUMMYFUNCTION("""COMPUTED_VALUE"""),"Jacutinga")</f>
        <v>Jacutinga</v>
      </c>
      <c r="Z767" s="1" t="str">
        <f>IFERROR(__xludf.DUMMYFUNCTION("""COMPUTED_VALUE"""),"99730-000")</f>
        <v>99730-000</v>
      </c>
      <c r="AA767" s="1" t="str">
        <f>IFERROR(__xludf.DUMMYFUNCTION("""COMPUTED_VALUE"""),"Rua Isidoro Gasparetto,225")</f>
        <v>Rua Isidoro Gasparetto,225</v>
      </c>
      <c r="AB767" s="1" t="str">
        <f>IFERROR(__xludf.DUMMYFUNCTION("""COMPUTED_VALUE"""),"Centro")</f>
        <v>Centro</v>
      </c>
      <c r="AC767" s="1" t="str">
        <f>IFERROR(__xludf.DUMMYFUNCTION("""COMPUTED_VALUE"""),"M")</f>
        <v>M</v>
      </c>
      <c r="AD767" s="1" t="str">
        <f>IFERROR(__xludf.DUMMYFUNCTION("""COMPUTED_VALUE"""),"M")</f>
        <v>M</v>
      </c>
      <c r="AE767" s="1" t="str">
        <f>IFERROR(__xludf.DUMMYFUNCTION("""COMPUTED_VALUE"""),"M")</f>
        <v>M</v>
      </c>
      <c r="AF767" s="1" t="str">
        <f>IFERROR(__xludf.DUMMYFUNCTION("""COMPUTED_VALUE"""),"M")</f>
        <v>M</v>
      </c>
      <c r="AG767" s="1" t="str">
        <f>IFERROR(__xludf.DUMMYFUNCTION("""COMPUTED_VALUE"""),"M")</f>
        <v>M</v>
      </c>
      <c r="AH767" s="1">
        <f>IFERROR(__xludf.DUMMYFUNCTION("""COMPUTED_VALUE"""),37)</f>
        <v>37</v>
      </c>
      <c r="AI767" s="1">
        <f>IFERROR(__xludf.DUMMYFUNCTION("""COMPUTED_VALUE"""),37)</f>
        <v>37</v>
      </c>
      <c r="AJ767" s="1">
        <f>IFERROR(__xludf.DUMMYFUNCTION("""COMPUTED_VALUE"""),37)</f>
        <v>37</v>
      </c>
      <c r="AK767" s="1">
        <f>IFERROR(__xludf.DUMMYFUNCTION("""COMPUTED_VALUE"""),37)</f>
        <v>37</v>
      </c>
      <c r="AL767" s="1" t="str">
        <f>IFERROR(__xludf.DUMMYFUNCTION("""COMPUTED_VALUE"""),"M")</f>
        <v>M</v>
      </c>
      <c r="AM767" s="1" t="str">
        <f>IFERROR(__xludf.DUMMYFUNCTION("""COMPUTED_VALUE"""),"M")</f>
        <v>M</v>
      </c>
      <c r="AN767" s="1" t="str">
        <f>IFERROR(__xludf.DUMMYFUNCTION("""COMPUTED_VALUE"""),"M")</f>
        <v>M</v>
      </c>
    </row>
    <row r="768" customHeight="1" spans="1:40">
      <c r="A768" s="1" t="str">
        <f>IFERROR(__xludf.DUMMYFUNCTION("""COMPUTED_VALUE"""),"07° BBM")</f>
        <v>07° BBM</v>
      </c>
      <c r="B768" s="1" t="str">
        <f>IFERROR(__xludf.DUMMYFUNCTION("""COMPUTED_VALUE"""),"SOLEDADE")</f>
        <v>SOLEDADE</v>
      </c>
      <c r="C768" s="119" t="str">
        <f>IFERROR(__xludf.DUMMYFUNCTION("""COMPUTED_VALUE"""),"Comunitário")</f>
        <v>Comunitário</v>
      </c>
      <c r="D768" s="1" t="str">
        <f>IFERROR(__xludf.DUMMYFUNCTION("""COMPUTED_VALUE"""),"RUDINEI DA SILVA LUCAS")</f>
        <v>RUDINEI DA SILVA LUCAS</v>
      </c>
      <c r="E768" s="119" t="str">
        <f>IFERROR(__xludf.DUMMYFUNCTION("""COMPUTED_VALUE"""),"")</f>
        <v/>
      </c>
      <c r="F768" s="1" t="str">
        <f>IFERROR(__xludf.DUMMYFUNCTION("""COMPUTED_VALUE"""),"900.623.450.87")</f>
        <v>900.623.450.87</v>
      </c>
      <c r="G768" s="1">
        <f>IFERROR(__xludf.DUMMYFUNCTION("""COMPUTED_VALUE"""),8054954221)</f>
        <v>8054954221</v>
      </c>
      <c r="H768" s="1" t="str">
        <f>IFERROR(__xludf.DUMMYFUNCTION("""COMPUTED_VALUE"""),"OP")</f>
        <v>OP</v>
      </c>
      <c r="I768" s="1"/>
      <c r="J768" s="1"/>
      <c r="K768" s="1"/>
      <c r="L768" s="1"/>
      <c r="M768" s="1"/>
      <c r="N768" s="121">
        <f>IFERROR(__xludf.DUMMYFUNCTION("""COMPUTED_VALUE"""),27953)</f>
        <v>27953</v>
      </c>
      <c r="O768" s="1" t="str">
        <f>IFERROR(__xludf.DUMMYFUNCTION("""COMPUTED_VALUE"""),"Masculino")</f>
        <v>Masculino</v>
      </c>
      <c r="P768" s="1"/>
      <c r="Q768" s="1"/>
      <c r="R768" s="1"/>
      <c r="S768" s="1"/>
      <c r="T768" s="1"/>
      <c r="U768" s="1"/>
      <c r="V768" s="1"/>
      <c r="W768" s="1"/>
      <c r="X768" s="1"/>
      <c r="Y768" s="1" t="str">
        <f>IFERROR(__xludf.DUMMYFUNCTION("""COMPUTED_VALUE"""),"Soledade")</f>
        <v>Soledade</v>
      </c>
      <c r="Z768" s="1"/>
      <c r="AA768" s="1"/>
      <c r="AB768" s="1"/>
      <c r="AC768" s="1"/>
      <c r="AD768" s="1"/>
      <c r="AE768" s="1"/>
      <c r="AF768" s="1"/>
      <c r="AG768" s="1" t="str">
        <f>IFERROR(__xludf.DUMMYFUNCTION("""COMPUTED_VALUE"""),"GG")</f>
        <v>GG</v>
      </c>
      <c r="AH768" s="1">
        <f>IFERROR(__xludf.DUMMYFUNCTION("""COMPUTED_VALUE"""),41)</f>
        <v>41</v>
      </c>
      <c r="AI768" s="1"/>
      <c r="AJ768" s="1"/>
      <c r="AK768" s="1"/>
      <c r="AL768" s="1" t="str">
        <f>IFERROR(__xludf.DUMMYFUNCTION("""COMPUTED_VALUE"""),"GG")</f>
        <v>GG</v>
      </c>
      <c r="AM768" s="1" t="str">
        <f>IFERROR(__xludf.DUMMYFUNCTION("""COMPUTED_VALUE"""),"GG")</f>
        <v>GG</v>
      </c>
      <c r="AN768" s="1" t="str">
        <f>IFERROR(__xludf.DUMMYFUNCTION("""COMPUTED_VALUE"""),"GG")</f>
        <v>GG</v>
      </c>
    </row>
    <row r="769" customHeight="1" spans="1:40">
      <c r="A769" s="1"/>
      <c r="B769" s="1"/>
      <c r="C769" s="119"/>
      <c r="D769" s="1" t="str">
        <f>IFERROR(__xludf.DUMMYFUNCTION("""COMPUTED_VALUE"""),"RUDINEI DA SILVA LUCAS")</f>
        <v>RUDINEI DA SILVA LUCAS</v>
      </c>
      <c r="E769" s="1" t="str">
        <f>IFERROR(__xludf.DUMMYFUNCTION("""COMPUTED_VALUE"""),"Curso CAB operador concluído")</f>
        <v>Curso CAB operador concluído</v>
      </c>
      <c r="F769" s="1" t="str">
        <f>IFERROR(__xludf.DUMMYFUNCTION("""COMPUTED_VALUE"""),"900.623.450-87")</f>
        <v>900.623.450-87</v>
      </c>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row>
    <row r="770" customHeight="1" spans="1:40">
      <c r="A770" s="1" t="str">
        <f>IFERROR(__xludf.DUMMYFUNCTION("""COMPUTED_VALUE"""),"07° BBM")</f>
        <v>07° BBM</v>
      </c>
      <c r="B770" s="1" t="str">
        <f>IFERROR(__xludf.DUMMYFUNCTION("""COMPUTED_VALUE"""),"Constantina")</f>
        <v>Constantina</v>
      </c>
      <c r="C770" s="119" t="str">
        <f>IFERROR(__xludf.DUMMYFUNCTION("""COMPUTED_VALUE"""),"CAB")</f>
        <v>CAB</v>
      </c>
      <c r="D770" s="1" t="str">
        <f>IFERROR(__xludf.DUMMYFUNCTION("""COMPUTED_VALUE"""),"RUDINEI GONÇALVES DE OLIVEIRA")</f>
        <v>RUDINEI GONÇALVES DE OLIVEIRA</v>
      </c>
      <c r="E770" s="119" t="str">
        <f>IFERROR(__xludf.DUMMYFUNCTION("""COMPUTED_VALUE"""),"")</f>
        <v/>
      </c>
      <c r="F770" s="1" t="str">
        <f>IFERROR(__xludf.DUMMYFUNCTION("""COMPUTED_VALUE"""),"815.751.490-87")</f>
        <v>815.751.490-87</v>
      </c>
      <c r="G770" s="1">
        <f>IFERROR(__xludf.DUMMYFUNCTION("""COMPUTED_VALUE"""),6077498134)</f>
        <v>6077498134</v>
      </c>
      <c r="H770" s="1" t="str">
        <f>IFERROR(__xludf.DUMMYFUNCTION("""COMPUTED_VALUE"""),"voluntário")</f>
        <v>voluntário</v>
      </c>
      <c r="I770" s="1"/>
      <c r="J770" s="1"/>
      <c r="K770" s="1"/>
      <c r="L770" s="1"/>
      <c r="M770" s="1" t="str">
        <f>IFERROR(__xludf.DUMMYFUNCTION("""COMPUTED_VALUE"""),"RUDI")</f>
        <v>RUDI</v>
      </c>
      <c r="N770" s="120">
        <f>IFERROR(__xludf.DUMMYFUNCTION("""COMPUTED_VALUE"""),29224)</f>
        <v>29224</v>
      </c>
      <c r="O770" s="1" t="str">
        <f>IFERROR(__xludf.DUMMYFUNCTION("""COMPUTED_VALUE"""),"M")</f>
        <v>M</v>
      </c>
      <c r="P770" s="1" t="str">
        <f>IFERROR(__xludf.DUMMYFUNCTION("""COMPUTED_VALUE"""),"BRANCO")</f>
        <v>BRANCO</v>
      </c>
      <c r="Q770" s="1" t="str">
        <f>IFERROR(__xludf.DUMMYFUNCTION("""COMPUTED_VALUE"""),"FUNDAMENTAL")</f>
        <v>FUNDAMENTAL</v>
      </c>
      <c r="R770" s="1" t="str">
        <f>IFERROR(__xludf.DUMMYFUNCTION("""COMPUTED_VALUE"""),"obras@constantina.rs.gov.br")</f>
        <v>obras@constantina.rs.gov.br</v>
      </c>
      <c r="S770" s="1">
        <f>IFERROR(__xludf.DUMMYFUNCTION("""COMPUTED_VALUE"""),80)</f>
        <v>80</v>
      </c>
      <c r="T770" s="1">
        <f>IFERROR(__xludf.DUMMYFUNCTION("""COMPUTED_VALUE"""),1.75)</f>
        <v>1.75</v>
      </c>
      <c r="U770" s="1" t="str">
        <f>IFERROR(__xludf.DUMMYFUNCTION("""COMPUTED_VALUE"""),"(54) 9 96163550")</f>
        <v>(54) 9 96163550</v>
      </c>
      <c r="V770" s="1"/>
      <c r="W770" s="1"/>
      <c r="X770" s="1" t="str">
        <f>IFERROR(__xludf.DUMMYFUNCTION("""COMPUTED_VALUE"""),"RS")</f>
        <v>RS</v>
      </c>
      <c r="Y770" s="1" t="str">
        <f>IFERROR(__xludf.DUMMYFUNCTION("""COMPUTED_VALUE"""),"Constantina")</f>
        <v>Constantina</v>
      </c>
      <c r="Z770" s="1" t="str">
        <f>IFERROR(__xludf.DUMMYFUNCTION("""COMPUTED_VALUE"""),"99680-000")</f>
        <v>99680-000</v>
      </c>
      <c r="AA770" s="1" t="str">
        <f>IFERROR(__xludf.DUMMYFUNCTION("""COMPUTED_VALUE"""),"Rua Faustino Licio de Oliveira")</f>
        <v>Rua Faustino Licio de Oliveira</v>
      </c>
      <c r="AB770" s="1" t="str">
        <f>IFERROR(__xludf.DUMMYFUNCTION("""COMPUTED_VALUE"""),"Bairro Florestal")</f>
        <v>Bairro Florestal</v>
      </c>
      <c r="AC770" s="1"/>
      <c r="AD770" s="1" t="str">
        <f>IFERROR(__xludf.DUMMYFUNCTION("""COMPUTED_VALUE"""),"G")</f>
        <v>G</v>
      </c>
      <c r="AE770" s="1" t="str">
        <f>IFERROR(__xludf.DUMMYFUNCTION("""COMPUTED_VALUE"""),"G")</f>
        <v>G</v>
      </c>
      <c r="AF770" s="1" t="str">
        <f>IFERROR(__xludf.DUMMYFUNCTION("""COMPUTED_VALUE"""),"G")</f>
        <v>G</v>
      </c>
      <c r="AG770" s="1" t="str">
        <f>IFERROR(__xludf.DUMMYFUNCTION("""COMPUTED_VALUE"""),"G")</f>
        <v>G</v>
      </c>
      <c r="AH770" s="1">
        <f>IFERROR(__xludf.DUMMYFUNCTION("""COMPUTED_VALUE"""),41)</f>
        <v>41</v>
      </c>
      <c r="AI770" s="1">
        <f>IFERROR(__xludf.DUMMYFUNCTION("""COMPUTED_VALUE"""),41)</f>
        <v>41</v>
      </c>
      <c r="AJ770" s="1">
        <f>IFERROR(__xludf.DUMMYFUNCTION("""COMPUTED_VALUE"""),41)</f>
        <v>41</v>
      </c>
      <c r="AK770" s="1">
        <f>IFERROR(__xludf.DUMMYFUNCTION("""COMPUTED_VALUE"""),41)</f>
        <v>41</v>
      </c>
      <c r="AL770" s="1" t="str">
        <f>IFERROR(__xludf.DUMMYFUNCTION("""COMPUTED_VALUE"""),"G")</f>
        <v>G</v>
      </c>
      <c r="AM770" s="1" t="str">
        <f>IFERROR(__xludf.DUMMYFUNCTION("""COMPUTED_VALUE"""),"G")</f>
        <v>G</v>
      </c>
      <c r="AN770" s="1" t="str">
        <f>IFERROR(__xludf.DUMMYFUNCTION("""COMPUTED_VALUE"""),"G")</f>
        <v>G</v>
      </c>
    </row>
    <row r="771" customHeight="1" spans="1:40">
      <c r="A771" s="1" t="str">
        <f>IFERROR(__xludf.DUMMYFUNCTION("""COMPUTED_VALUE"""),"07° BBM")</f>
        <v>07° BBM</v>
      </c>
      <c r="B771" s="1" t="str">
        <f>IFERROR(__xludf.DUMMYFUNCTION("""COMPUTED_VALUE"""),"Faxinalzinho")</f>
        <v>Faxinalzinho</v>
      </c>
      <c r="C771" s="119" t="str">
        <f>IFERROR(__xludf.DUMMYFUNCTION("""COMPUTED_VALUE"""),"CAB")</f>
        <v>CAB</v>
      </c>
      <c r="D771" s="1" t="str">
        <f>IFERROR(__xludf.DUMMYFUNCTION("""COMPUTED_VALUE"""),"RUI RAMALHO DE CARVALHO VALIM")</f>
        <v>RUI RAMALHO DE CARVALHO VALIM</v>
      </c>
      <c r="E771" s="119" t="str">
        <f>IFERROR(__xludf.DUMMYFUNCTION("""COMPUTED_VALUE"""),"Módulo 1 concluído")</f>
        <v>Módulo 1 concluído</v>
      </c>
      <c r="F771" s="1" t="str">
        <f>IFERROR(__xludf.DUMMYFUNCTION("""COMPUTED_VALUE"""),"073.909.626-58")</f>
        <v>073.909.626-58</v>
      </c>
      <c r="G771" s="1">
        <f>IFERROR(__xludf.DUMMYFUNCTION("""COMPUTED_VALUE"""),410492954)</f>
        <v>410492954</v>
      </c>
      <c r="H771" s="1" t="str">
        <f>IFERROR(__xludf.DUMMYFUNCTION("""COMPUTED_VALUE"""),"Subcomandante - Combatente")</f>
        <v>Subcomandante - Combatente</v>
      </c>
      <c r="I771" s="1" t="str">
        <f>IFERROR(__xludf.DUMMYFUNCTION("""COMPUTED_VALUE"""),"Rapel vertical, Combate Incendio, Resgate Veicular basico")</f>
        <v>Rapel vertical, Combate Incendio, Resgate Veicular basico</v>
      </c>
      <c r="J771" s="1" t="str">
        <f>IFERROR(__xludf.DUMMYFUNCTION("""COMPUTED_VALUE"""),"Não")</f>
        <v>Não</v>
      </c>
      <c r="K771" s="1" t="str">
        <f>IFERROR(__xludf.DUMMYFUNCTION("""COMPUTED_VALUE"""),"Não")</f>
        <v>Não</v>
      </c>
      <c r="L771" s="1" t="str">
        <f>IFERROR(__xludf.DUMMYFUNCTION("""COMPUTED_VALUE"""),"O+")</f>
        <v>O+</v>
      </c>
      <c r="M771" s="1" t="str">
        <f>IFERROR(__xludf.DUMMYFUNCTION("""COMPUTED_VALUE"""),"RUI VALIM")</f>
        <v>RUI VALIM</v>
      </c>
      <c r="N771" s="120">
        <f>IFERROR(__xludf.DUMMYFUNCTION("""COMPUTED_VALUE"""),31739)</f>
        <v>31739</v>
      </c>
      <c r="O771" s="1" t="str">
        <f>IFERROR(__xludf.DUMMYFUNCTION("""COMPUTED_VALUE"""),"Masculino")</f>
        <v>Masculino</v>
      </c>
      <c r="P771" s="1" t="str">
        <f>IFERROR(__xludf.DUMMYFUNCTION("""COMPUTED_VALUE"""),"Morena")</f>
        <v>Morena</v>
      </c>
      <c r="Q771" s="1" t="str">
        <f>IFERROR(__xludf.DUMMYFUNCTION("""COMPUTED_VALUE"""),"Ensino Superior Completo")</f>
        <v>Ensino Superior Completo</v>
      </c>
      <c r="R771" s="1" t="str">
        <f>IFERROR(__xludf.DUMMYFUNCTION("""COMPUTED_VALUE"""),"ruivalimneto@gmail.com")</f>
        <v>ruivalimneto@gmail.com</v>
      </c>
      <c r="S771" s="1">
        <f>IFERROR(__xludf.DUMMYFUNCTION("""COMPUTED_VALUE"""),85)</f>
        <v>85</v>
      </c>
      <c r="T771" s="1" t="str">
        <f>IFERROR(__xludf.DUMMYFUNCTION("""COMPUTED_VALUE"""),"Entre 1,66m e 170m")</f>
        <v>Entre 1,66m e 170m</v>
      </c>
      <c r="U771" s="1" t="str">
        <f>IFERROR(__xludf.DUMMYFUNCTION("""COMPUTED_VALUE"""),"(54) 996858181")</f>
        <v>(54) 996858181</v>
      </c>
      <c r="V771" s="1" t="str">
        <f>IFERROR(__xludf.DUMMYFUNCTION("""COMPUTED_VALUE"""),"(54) 997148337")</f>
        <v>(54) 997148337</v>
      </c>
      <c r="W771" s="1" t="str">
        <f>IFERROR(__xludf.DUMMYFUNCTION("""COMPUTED_VALUE"""),"(54)997148337")</f>
        <v>(54)997148337</v>
      </c>
      <c r="X771" s="1" t="str">
        <f>IFERROR(__xludf.DUMMYFUNCTION("""COMPUTED_VALUE"""),"RIO GRANDE DO SUL")</f>
        <v>RIO GRANDE DO SUL</v>
      </c>
      <c r="Y771" s="1" t="str">
        <f>IFERROR(__xludf.DUMMYFUNCTION("""COMPUTED_VALUE"""),"Faxinalzinho")</f>
        <v>Faxinalzinho</v>
      </c>
      <c r="Z771" s="1" t="str">
        <f>IFERROR(__xludf.DUMMYFUNCTION("""COMPUTED_VALUE"""),"99655-000")</f>
        <v>99655-000</v>
      </c>
      <c r="AA771" s="1" t="str">
        <f>IFERROR(__xludf.DUMMYFUNCTION("""COMPUTED_VALUE"""),"Av Lido Armando Oltramari")</f>
        <v>Av Lido Armando Oltramari</v>
      </c>
      <c r="AB771" s="1" t="str">
        <f>IFERROR(__xludf.DUMMYFUNCTION("""COMPUTED_VALUE"""),"Centro")</f>
        <v>Centro</v>
      </c>
      <c r="AC771" s="1" t="str">
        <f>IFERROR(__xludf.DUMMYFUNCTION("""COMPUTED_VALUE"""),"M")</f>
        <v>M</v>
      </c>
      <c r="AD771" s="1" t="str">
        <f>IFERROR(__xludf.DUMMYFUNCTION("""COMPUTED_VALUE"""),"M")</f>
        <v>M</v>
      </c>
      <c r="AE771" s="1" t="str">
        <f>IFERROR(__xludf.DUMMYFUNCTION("""COMPUTED_VALUE"""),"M")</f>
        <v>M</v>
      </c>
      <c r="AF771" s="1" t="str">
        <f>IFERROR(__xludf.DUMMYFUNCTION("""COMPUTED_VALUE"""),"M")</f>
        <v>M</v>
      </c>
      <c r="AG771" s="1" t="str">
        <f>IFERROR(__xludf.DUMMYFUNCTION("""COMPUTED_VALUE"""),"G")</f>
        <v>G</v>
      </c>
      <c r="AH771" s="1">
        <f>IFERROR(__xludf.DUMMYFUNCTION("""COMPUTED_VALUE"""),40)</f>
        <v>40</v>
      </c>
      <c r="AI771" s="1">
        <f>IFERROR(__xludf.DUMMYFUNCTION("""COMPUTED_VALUE"""),40)</f>
        <v>40</v>
      </c>
      <c r="AJ771" s="1">
        <f>IFERROR(__xludf.DUMMYFUNCTION("""COMPUTED_VALUE"""),40)</f>
        <v>40</v>
      </c>
      <c r="AK771" s="1">
        <f>IFERROR(__xludf.DUMMYFUNCTION("""COMPUTED_VALUE"""),40)</f>
        <v>40</v>
      </c>
      <c r="AL771" s="1" t="str">
        <f>IFERROR(__xludf.DUMMYFUNCTION("""COMPUTED_VALUE"""),"M")</f>
        <v>M</v>
      </c>
      <c r="AM771" s="1" t="str">
        <f>IFERROR(__xludf.DUMMYFUNCTION("""COMPUTED_VALUE"""),"M")</f>
        <v>M</v>
      </c>
      <c r="AN771" s="1" t="str">
        <f>IFERROR(__xludf.DUMMYFUNCTION("""COMPUTED_VALUE"""),"M")</f>
        <v>M</v>
      </c>
    </row>
    <row r="772" customHeight="1" spans="1:40">
      <c r="A772" s="1" t="str">
        <f>IFERROR(__xludf.DUMMYFUNCTION("""COMPUTED_VALUE"""),"07° BBM")</f>
        <v>07° BBM</v>
      </c>
      <c r="B772" s="1" t="str">
        <f>IFERROR(__xludf.DUMMYFUNCTION("""COMPUTED_VALUE"""),"Jacutinga")</f>
        <v>Jacutinga</v>
      </c>
      <c r="C772" s="119" t="str">
        <f>IFERROR(__xludf.DUMMYFUNCTION("""COMPUTED_VALUE"""),"CAB")</f>
        <v>CAB</v>
      </c>
      <c r="D772" s="1" t="str">
        <f>IFERROR(__xludf.DUMMYFUNCTION("""COMPUTED_VALUE"""),"SERLI FRIGOTTO")</f>
        <v>SERLI FRIGOTTO</v>
      </c>
      <c r="E772" s="119" t="str">
        <f>IFERROR(__xludf.DUMMYFUNCTION("""COMPUTED_VALUE"""),"")</f>
        <v/>
      </c>
      <c r="F772" s="1" t="str">
        <f>IFERROR(__xludf.DUMMYFUNCTION("""COMPUTED_VALUE"""),"749.267.480-53")</f>
        <v>749.267.480-53</v>
      </c>
      <c r="G772" s="1">
        <f>IFERROR(__xludf.DUMMYFUNCTION("""COMPUTED_VALUE"""),1045464888)</f>
        <v>1045464888</v>
      </c>
      <c r="H772" s="1" t="str">
        <f>IFERROR(__xludf.DUMMYFUNCTION("""COMPUTED_VALUE"""),"Integrante")</f>
        <v>Integrante</v>
      </c>
      <c r="I772" s="1" t="str">
        <f>IFERROR(__xludf.DUMMYFUNCTION("""COMPUTED_VALUE"""),"TREINAMENTOS EM APH E PREVENÇÃO E COMBATE A INCÊNDIOS JUNTO AO CBM/RS")</f>
        <v>TREINAMENTOS EM APH E PREVENÇÃO E COMBATE A INCÊNDIOS JUNTO AO CBM/RS</v>
      </c>
      <c r="J772" s="1" t="str">
        <f>IFERROR(__xludf.DUMMYFUNCTION("""COMPUTED_VALUE"""),"Não")</f>
        <v>Não</v>
      </c>
      <c r="K772" s="1" t="str">
        <f>IFERROR(__xludf.DUMMYFUNCTION("""COMPUTED_VALUE"""),"Não")</f>
        <v>Não</v>
      </c>
      <c r="L772" s="1" t="str">
        <f>IFERROR(__xludf.DUMMYFUNCTION("""COMPUTED_VALUE"""),"B+")</f>
        <v>B+</v>
      </c>
      <c r="M772" s="1" t="str">
        <f>IFERROR(__xludf.DUMMYFUNCTION("""COMPUTED_VALUE"""),"Serli")</f>
        <v>Serli</v>
      </c>
      <c r="N772" s="120">
        <f>IFERROR(__xludf.DUMMYFUNCTION("""COMPUTED_VALUE"""),25603)</f>
        <v>25603</v>
      </c>
      <c r="O772" s="1" t="str">
        <f>IFERROR(__xludf.DUMMYFUNCTION("""COMPUTED_VALUE"""),"Feminino")</f>
        <v>Feminino</v>
      </c>
      <c r="P772" s="1" t="str">
        <f>IFERROR(__xludf.DUMMYFUNCTION("""COMPUTED_VALUE"""),"Branca")</f>
        <v>Branca</v>
      </c>
      <c r="Q772" s="1" t="str">
        <f>IFERROR(__xludf.DUMMYFUNCTION("""COMPUTED_VALUE"""),"Ensino Médio")</f>
        <v>Ensino Médio</v>
      </c>
      <c r="R772" s="1"/>
      <c r="S772" s="1">
        <f>IFERROR(__xludf.DUMMYFUNCTION("""COMPUTED_VALUE"""),64)</f>
        <v>64</v>
      </c>
      <c r="T772" s="1" t="str">
        <f>IFERROR(__xludf.DUMMYFUNCTION("""COMPUTED_VALUE"""),"Entre 1,50m e 1,55m")</f>
        <v>Entre 1,50m e 1,55m</v>
      </c>
      <c r="U772" s="1"/>
      <c r="V772" s="1" t="str">
        <f>IFERROR(__xludf.DUMMYFUNCTION("""COMPUTED_VALUE"""),"(54)999764971")</f>
        <v>(54)999764971</v>
      </c>
      <c r="W772" s="1" t="str">
        <f>IFERROR(__xludf.DUMMYFUNCTION("""COMPUTED_VALUE"""),"(54) 999764927")</f>
        <v>(54) 999764927</v>
      </c>
      <c r="X772" s="1" t="str">
        <f>IFERROR(__xludf.DUMMYFUNCTION("""COMPUTED_VALUE"""),"RS")</f>
        <v>RS</v>
      </c>
      <c r="Y772" s="1" t="str">
        <f>IFERROR(__xludf.DUMMYFUNCTION("""COMPUTED_VALUE"""),"Jacutinga")</f>
        <v>Jacutinga</v>
      </c>
      <c r="Z772" s="1" t="str">
        <f>IFERROR(__xludf.DUMMYFUNCTION("""COMPUTED_VALUE"""),"99730-000")</f>
        <v>99730-000</v>
      </c>
      <c r="AA772" s="1" t="str">
        <f>IFERROR(__xludf.DUMMYFUNCTION("""COMPUTED_VALUE"""),"Rua João Tortelli, 440")</f>
        <v>Rua João Tortelli, 440</v>
      </c>
      <c r="AB772" s="1" t="str">
        <f>IFERROR(__xludf.DUMMYFUNCTION("""COMPUTED_VALUE"""),"Centro")</f>
        <v>Centro</v>
      </c>
      <c r="AC772" s="1" t="str">
        <f>IFERROR(__xludf.DUMMYFUNCTION("""COMPUTED_VALUE"""),"P")</f>
        <v>P</v>
      </c>
      <c r="AD772" s="1" t="str">
        <f>IFERROR(__xludf.DUMMYFUNCTION("""COMPUTED_VALUE"""),"P")</f>
        <v>P</v>
      </c>
      <c r="AE772" s="1" t="str">
        <f>IFERROR(__xludf.DUMMYFUNCTION("""COMPUTED_VALUE"""),"P")</f>
        <v>P</v>
      </c>
      <c r="AF772" s="1" t="str">
        <f>IFERROR(__xludf.DUMMYFUNCTION("""COMPUTED_VALUE"""),"P")</f>
        <v>P</v>
      </c>
      <c r="AG772" s="1" t="str">
        <f>IFERROR(__xludf.DUMMYFUNCTION("""COMPUTED_VALUE"""),"P")</f>
        <v>P</v>
      </c>
      <c r="AH772" s="1">
        <f>IFERROR(__xludf.DUMMYFUNCTION("""COMPUTED_VALUE"""),36)</f>
        <v>36</v>
      </c>
      <c r="AI772" s="1">
        <f>IFERROR(__xludf.DUMMYFUNCTION("""COMPUTED_VALUE"""),36)</f>
        <v>36</v>
      </c>
      <c r="AJ772" s="1">
        <f>IFERROR(__xludf.DUMMYFUNCTION("""COMPUTED_VALUE"""),36)</f>
        <v>36</v>
      </c>
      <c r="AK772" s="1">
        <f>IFERROR(__xludf.DUMMYFUNCTION("""COMPUTED_VALUE"""),36)</f>
        <v>36</v>
      </c>
      <c r="AL772" s="1" t="str">
        <f>IFERROR(__xludf.DUMMYFUNCTION("""COMPUTED_VALUE"""),"P")</f>
        <v>P</v>
      </c>
      <c r="AM772" s="1" t="str">
        <f>IFERROR(__xludf.DUMMYFUNCTION("""COMPUTED_VALUE"""),"P")</f>
        <v>P</v>
      </c>
      <c r="AN772" s="1" t="str">
        <f>IFERROR(__xludf.DUMMYFUNCTION("""COMPUTED_VALUE"""),"P")</f>
        <v>P</v>
      </c>
    </row>
    <row r="773" customHeight="1" spans="1:40">
      <c r="A773" s="1" t="str">
        <f>IFERROR(__xludf.DUMMYFUNCTION("""COMPUTED_VALUE"""),"07° BBM")</f>
        <v>07° BBM</v>
      </c>
      <c r="B773" s="1" t="str">
        <f>IFERROR(__xludf.DUMMYFUNCTION("""COMPUTED_VALUE"""),"PASSO FUNDO")</f>
        <v>PASSO FUNDO</v>
      </c>
      <c r="C773" s="119" t="str">
        <f>IFERROR(__xludf.DUMMYFUNCTION("""COMPUTED_VALUE"""),"Comunitario")</f>
        <v>Comunitario</v>
      </c>
      <c r="D773" s="1" t="str">
        <f>IFERROR(__xludf.DUMMYFUNCTION("""COMPUTED_VALUE"""),"SIDINEI MACHADO DA SILVA")</f>
        <v>SIDINEI MACHADO DA SILVA</v>
      </c>
      <c r="E773" s="119" t="str">
        <f>IFERROR(__xludf.DUMMYFUNCTION("""COMPUTED_VALUE"""),"Módulo 1 concluído")</f>
        <v>Módulo 1 concluído</v>
      </c>
      <c r="F773" s="1">
        <f>IFERROR(__xludf.DUMMYFUNCTION("""COMPUTED_VALUE"""),1046563605)</f>
        <v>1046563605</v>
      </c>
      <c r="G773" s="1">
        <f>IFERROR(__xludf.DUMMYFUNCTION("""COMPUTED_VALUE"""),1046563605)</f>
        <v>1046563605</v>
      </c>
      <c r="H773" s="1" t="str">
        <f>IFERROR(__xludf.DUMMYFUNCTION("""COMPUTED_VALUE"""),"OP")</f>
        <v>OP</v>
      </c>
      <c r="I773" s="1" t="str">
        <f>IFERROR(__xludf.DUMMYFUNCTION("""COMPUTED_VALUE"""),"bombeiro civil")</f>
        <v>bombeiro civil</v>
      </c>
      <c r="J773" s="1"/>
      <c r="K773" s="1"/>
      <c r="L773" s="1"/>
      <c r="M773" s="1"/>
      <c r="N773" s="122">
        <f>IFERROR(__xludf.DUMMYFUNCTION("""COMPUTED_VALUE"""),23412)</f>
        <v>23412</v>
      </c>
      <c r="O773" s="1" t="str">
        <f>IFERROR(__xludf.DUMMYFUNCTION("""COMPUTED_VALUE"""),"Masculino")</f>
        <v>Masculino</v>
      </c>
      <c r="P773" s="1"/>
      <c r="Q773" s="1"/>
      <c r="R773" s="1"/>
      <c r="S773" s="1"/>
      <c r="T773" s="1"/>
      <c r="U773" s="1"/>
      <c r="V773" s="1"/>
      <c r="W773" s="1"/>
      <c r="X773" s="1"/>
      <c r="Y773" s="1" t="str">
        <f>IFERROR(__xludf.DUMMYFUNCTION("""COMPUTED_VALUE"""),"Passo Fundo")</f>
        <v>Passo Fundo</v>
      </c>
      <c r="Z773" s="1"/>
      <c r="AA773" s="1"/>
      <c r="AB773" s="1"/>
      <c r="AC773" s="1"/>
      <c r="AD773" s="1"/>
      <c r="AE773" s="1"/>
      <c r="AF773" s="1"/>
      <c r="AG773" s="1" t="str">
        <f>IFERROR(__xludf.DUMMYFUNCTION("""COMPUTED_VALUE"""),"P")</f>
        <v>P</v>
      </c>
      <c r="AH773" s="1">
        <f>IFERROR(__xludf.DUMMYFUNCTION("""COMPUTED_VALUE"""),39)</f>
        <v>39</v>
      </c>
      <c r="AI773" s="1"/>
      <c r="AJ773" s="1"/>
      <c r="AK773" s="1"/>
      <c r="AL773" s="1" t="str">
        <f>IFERROR(__xludf.DUMMYFUNCTION("""COMPUTED_VALUE"""),"P")</f>
        <v>P</v>
      </c>
      <c r="AM773" s="1" t="str">
        <f>IFERROR(__xludf.DUMMYFUNCTION("""COMPUTED_VALUE"""),"P")</f>
        <v>P</v>
      </c>
      <c r="AN773" s="1" t="str">
        <f>IFERROR(__xludf.DUMMYFUNCTION("""COMPUTED_VALUE"""),"P")</f>
        <v>P</v>
      </c>
    </row>
    <row r="774" customHeight="1" spans="1:40">
      <c r="A774" s="1" t="str">
        <f>IFERROR(__xludf.DUMMYFUNCTION("""COMPUTED_VALUE"""),"07° BBM")</f>
        <v>07° BBM</v>
      </c>
      <c r="B774" s="1" t="str">
        <f>IFERROR(__xludf.DUMMYFUNCTION("""COMPUTED_VALUE"""),"Faxinalzinho")</f>
        <v>Faxinalzinho</v>
      </c>
      <c r="C774" s="119" t="str">
        <f>IFERROR(__xludf.DUMMYFUNCTION("""COMPUTED_VALUE"""),"CAB")</f>
        <v>CAB</v>
      </c>
      <c r="D774" s="1" t="str">
        <f>IFERROR(__xludf.DUMMYFUNCTION("""COMPUTED_VALUE"""),"SIRLEI TEREZINHA NAZARIO")</f>
        <v>SIRLEI TEREZINHA NAZARIO</v>
      </c>
      <c r="E774" s="119" t="str">
        <f>IFERROR(__xludf.DUMMYFUNCTION("""COMPUTED_VALUE"""),"")</f>
        <v/>
      </c>
      <c r="F774" s="1" t="str">
        <f>IFERROR(__xludf.DUMMYFUNCTION("""COMPUTED_VALUE"""),"010.002.900-00")</f>
        <v>010.002.900-00</v>
      </c>
      <c r="G774" s="1">
        <f>IFERROR(__xludf.DUMMYFUNCTION("""COMPUTED_VALUE"""),9054181376)</f>
        <v>9054181376</v>
      </c>
      <c r="H774" s="1" t="str">
        <f>IFERROR(__xludf.DUMMYFUNCTION("""COMPUTED_VALUE"""),"Combatente")</f>
        <v>Combatente</v>
      </c>
      <c r="I774" s="1" t="str">
        <f>IFERROR(__xludf.DUMMYFUNCTION("""COMPUTED_VALUE"""),"1 grau completo, Combate a Incendio")</f>
        <v>1 grau completo, Combate a Incendio</v>
      </c>
      <c r="J774" s="1" t="str">
        <f>IFERROR(__xludf.DUMMYFUNCTION("""COMPUTED_VALUE"""),"Sim")</f>
        <v>Sim</v>
      </c>
      <c r="K774" s="1" t="str">
        <f>IFERROR(__xludf.DUMMYFUNCTION("""COMPUTED_VALUE"""),"Não")</f>
        <v>Não</v>
      </c>
      <c r="L774" s="1" t="str">
        <f>IFERROR(__xludf.DUMMYFUNCTION("""COMPUTED_VALUE"""),"O+")</f>
        <v>O+</v>
      </c>
      <c r="M774" s="1" t="str">
        <f>IFERROR(__xludf.DUMMYFUNCTION("""COMPUTED_VALUE"""),"PARDA")</f>
        <v>PARDA</v>
      </c>
      <c r="N774" s="121">
        <f>IFERROR(__xludf.DUMMYFUNCTION("""COMPUTED_VALUE"""),27041)</f>
        <v>27041</v>
      </c>
      <c r="O774" s="1" t="str">
        <f>IFERROR(__xludf.DUMMYFUNCTION("""COMPUTED_VALUE"""),"Feminino")</f>
        <v>Feminino</v>
      </c>
      <c r="P774" s="1" t="str">
        <f>IFERROR(__xludf.DUMMYFUNCTION("""COMPUTED_VALUE"""),"Parda")</f>
        <v>Parda</v>
      </c>
      <c r="Q774" s="1" t="str">
        <f>IFERROR(__xludf.DUMMYFUNCTION("""COMPUTED_VALUE"""),"Ensino Médio")</f>
        <v>Ensino Médio</v>
      </c>
      <c r="R774" s="1" t="str">
        <f>IFERROR(__xludf.DUMMYFUNCTION("""COMPUTED_VALUE"""),"Serleinazario16a gmail.com")</f>
        <v>Serleinazario16a gmail.com</v>
      </c>
      <c r="S774" s="1">
        <f>IFERROR(__xludf.DUMMYFUNCTION("""COMPUTED_VALUE"""),70)</f>
        <v>70</v>
      </c>
      <c r="T774" s="1" t="str">
        <f>IFERROR(__xludf.DUMMYFUNCTION("""COMPUTED_VALUE"""),"Entre 1,56m e 1,60m")</f>
        <v>Entre 1,56m e 1,60m</v>
      </c>
      <c r="U774" s="1">
        <f>IFERROR(__xludf.DUMMYFUNCTION("""COMPUTED_VALUE"""),5434561025)</f>
        <v>5434561025</v>
      </c>
      <c r="V774" s="1" t="str">
        <f>IFERROR(__xludf.DUMMYFUNCTION("""COMPUTED_VALUE"""),"(54) 999211345")</f>
        <v>(54) 999211345</v>
      </c>
      <c r="W774" s="1">
        <f>IFERROR(__xludf.DUMMYFUNCTION("""COMPUTED_VALUE"""),190)</f>
        <v>190</v>
      </c>
      <c r="X774" s="1" t="str">
        <f>IFERROR(__xludf.DUMMYFUNCTION("""COMPUTED_VALUE"""),"RIO GRANDE DO SUL")</f>
        <v>RIO GRANDE DO SUL</v>
      </c>
      <c r="Y774" s="1" t="str">
        <f>IFERROR(__xludf.DUMMYFUNCTION("""COMPUTED_VALUE"""),"Faxinalzinho")</f>
        <v>Faxinalzinho</v>
      </c>
      <c r="Z774" s="1" t="str">
        <f>IFERROR(__xludf.DUMMYFUNCTION("""COMPUTED_VALUE"""),"99655-000")</f>
        <v>99655-000</v>
      </c>
      <c r="AA774" s="1" t="str">
        <f>IFERROR(__xludf.DUMMYFUNCTION("""COMPUTED_VALUE"""),"Avenida Lido Armando Ultramari 1584")</f>
        <v>Avenida Lido Armando Ultramari 1584</v>
      </c>
      <c r="AB774" s="1" t="str">
        <f>IFERROR(__xludf.DUMMYFUNCTION("""COMPUTED_VALUE"""),"Coroados")</f>
        <v>Coroados</v>
      </c>
      <c r="AC774" s="1" t="str">
        <f>IFERROR(__xludf.DUMMYFUNCTION("""COMPUTED_VALUE"""),"M")</f>
        <v>M</v>
      </c>
      <c r="AD774" s="1" t="str">
        <f>IFERROR(__xludf.DUMMYFUNCTION("""COMPUTED_VALUE"""),"M")</f>
        <v>M</v>
      </c>
      <c r="AE774" s="1" t="str">
        <f>IFERROR(__xludf.DUMMYFUNCTION("""COMPUTED_VALUE"""),"M")</f>
        <v>M</v>
      </c>
      <c r="AF774" s="1" t="str">
        <f>IFERROR(__xludf.DUMMYFUNCTION("""COMPUTED_VALUE"""),"M")</f>
        <v>M</v>
      </c>
      <c r="AG774" s="1" t="str">
        <f>IFERROR(__xludf.DUMMYFUNCTION("""COMPUTED_VALUE"""),"M")</f>
        <v>M</v>
      </c>
      <c r="AH774" s="1">
        <f>IFERROR(__xludf.DUMMYFUNCTION("""COMPUTED_VALUE"""),37)</f>
        <v>37</v>
      </c>
      <c r="AI774" s="1">
        <f>IFERROR(__xludf.DUMMYFUNCTION("""COMPUTED_VALUE"""),37)</f>
        <v>37</v>
      </c>
      <c r="AJ774" s="1">
        <f>IFERROR(__xludf.DUMMYFUNCTION("""COMPUTED_VALUE"""),37)</f>
        <v>37</v>
      </c>
      <c r="AK774" s="1">
        <f>IFERROR(__xludf.DUMMYFUNCTION("""COMPUTED_VALUE"""),37)</f>
        <v>37</v>
      </c>
      <c r="AL774" s="1" t="str">
        <f>IFERROR(__xludf.DUMMYFUNCTION("""COMPUTED_VALUE"""),"M")</f>
        <v>M</v>
      </c>
      <c r="AM774" s="1" t="str">
        <f>IFERROR(__xludf.DUMMYFUNCTION("""COMPUTED_VALUE"""),"M")</f>
        <v>M</v>
      </c>
      <c r="AN774" s="1" t="str">
        <f>IFERROR(__xludf.DUMMYFUNCTION("""COMPUTED_VALUE"""),"M")</f>
        <v>M</v>
      </c>
    </row>
    <row r="775" customHeight="1" spans="1:40">
      <c r="A775" s="1" t="str">
        <f>IFERROR(__xludf.DUMMYFUNCTION("""COMPUTED_VALUE"""),"07° BBM")</f>
        <v>07° BBM</v>
      </c>
      <c r="B775" s="1" t="str">
        <f>IFERROR(__xludf.DUMMYFUNCTION("""COMPUTED_VALUE"""),"Erval Grande")</f>
        <v>Erval Grande</v>
      </c>
      <c r="C775" s="119" t="str">
        <f>IFERROR(__xludf.DUMMYFUNCTION("""COMPUTED_VALUE"""),"CAB")</f>
        <v>CAB</v>
      </c>
      <c r="D775" s="1" t="str">
        <f>IFERROR(__xludf.DUMMYFUNCTION("""COMPUTED_VALUE"""),"TAINÁ CAUANE LOUREIRO")</f>
        <v>TAINÁ CAUANE LOUREIRO</v>
      </c>
      <c r="E775" s="119" t="str">
        <f>IFERROR(__xludf.DUMMYFUNCTION("""COMPUTED_VALUE"""),"")</f>
        <v/>
      </c>
      <c r="F775" s="1"/>
      <c r="G775" s="1"/>
      <c r="H775" s="1"/>
      <c r="I775" s="1"/>
      <c r="J775" s="1"/>
      <c r="K775" s="1"/>
      <c r="L775" s="1"/>
      <c r="M775" s="1"/>
      <c r="N775" s="120">
        <f>IFERROR(__xludf.DUMMYFUNCTION("""COMPUTED_VALUE"""),38366)</f>
        <v>38366</v>
      </c>
      <c r="O775" s="1" t="str">
        <f>IFERROR(__xludf.DUMMYFUNCTION("""COMPUTED_VALUE"""),"Feminino")</f>
        <v>Feminino</v>
      </c>
      <c r="P775" s="1"/>
      <c r="Q775" s="1"/>
      <c r="R775" s="1"/>
      <c r="S775" s="1"/>
      <c r="T775" s="1"/>
      <c r="U775" s="1"/>
      <c r="V775" s="1"/>
      <c r="W775" s="1"/>
      <c r="X775" s="1"/>
      <c r="Y775" s="1"/>
      <c r="Z775" s="1"/>
      <c r="AA775" s="1"/>
      <c r="AB775" s="1"/>
      <c r="AC775" s="1"/>
      <c r="AD775" s="1"/>
      <c r="AE775" s="1"/>
      <c r="AF775" s="1"/>
      <c r="AG775" s="1" t="str">
        <f>IFERROR(__xludf.DUMMYFUNCTION("""COMPUTED_VALUE"""),"P")</f>
        <v>P</v>
      </c>
      <c r="AH775" s="1">
        <f>IFERROR(__xludf.DUMMYFUNCTION("""COMPUTED_VALUE"""),36)</f>
        <v>36</v>
      </c>
      <c r="AI775" s="1"/>
      <c r="AJ775" s="1"/>
      <c r="AK775" s="1"/>
      <c r="AL775" s="1" t="str">
        <f>IFERROR(__xludf.DUMMYFUNCTION("""COMPUTED_VALUE"""),"M")</f>
        <v>M</v>
      </c>
      <c r="AM775" s="1" t="str">
        <f>IFERROR(__xludf.DUMMYFUNCTION("""COMPUTED_VALUE"""),"M")</f>
        <v>M</v>
      </c>
      <c r="AN775" s="1" t="str">
        <f>IFERROR(__xludf.DUMMYFUNCTION("""COMPUTED_VALUE"""),"M")</f>
        <v>M</v>
      </c>
    </row>
    <row r="776" customHeight="1" spans="1:40">
      <c r="A776" s="1" t="str">
        <f>IFERROR(__xludf.DUMMYFUNCTION("""COMPUTED_VALUE"""),"07° BBM")</f>
        <v>07° BBM</v>
      </c>
      <c r="B776" s="1" t="str">
        <f>IFERROR(__xludf.DUMMYFUNCTION("""COMPUTED_VALUE"""),"Faxinalzinho")</f>
        <v>Faxinalzinho</v>
      </c>
      <c r="C776" s="119" t="str">
        <f>IFERROR(__xludf.DUMMYFUNCTION("""COMPUTED_VALUE"""),"CAB")</f>
        <v>CAB</v>
      </c>
      <c r="D776" s="1" t="str">
        <f>IFERROR(__xludf.DUMMYFUNCTION("""COMPUTED_VALUE"""),"TAINARA DE TOLEDO SCHLENDAK")</f>
        <v>TAINARA DE TOLEDO SCHLENDAK</v>
      </c>
      <c r="E776" s="119" t="str">
        <f>IFERROR(__xludf.DUMMYFUNCTION("""COMPUTED_VALUE"""),"")</f>
        <v/>
      </c>
      <c r="F776" s="1"/>
      <c r="G776" s="1"/>
      <c r="H776" s="1"/>
      <c r="I776" s="1"/>
      <c r="J776" s="1"/>
      <c r="K776" s="1"/>
      <c r="L776" s="1"/>
      <c r="M776" s="1"/>
      <c r="N776" s="121">
        <f>IFERROR(__xludf.DUMMYFUNCTION("""COMPUTED_VALUE"""),37757)</f>
        <v>37757</v>
      </c>
      <c r="O776" s="1" t="str">
        <f>IFERROR(__xludf.DUMMYFUNCTION("""COMPUTED_VALUE"""),"Feminino")</f>
        <v>Feminino</v>
      </c>
      <c r="P776" s="1"/>
      <c r="Q776" s="1"/>
      <c r="R776" s="1"/>
      <c r="S776" s="1"/>
      <c r="T776" s="1"/>
      <c r="U776" s="1"/>
      <c r="V776" s="1"/>
      <c r="W776" s="1"/>
      <c r="X776" s="1"/>
      <c r="Y776" s="1" t="str">
        <f>IFERROR(__xludf.DUMMYFUNCTION("""COMPUTED_VALUE"""),"Faxinalzinho")</f>
        <v>Faxinalzinho</v>
      </c>
      <c r="Z776" s="1"/>
      <c r="AA776" s="1"/>
      <c r="AB776" s="1"/>
      <c r="AC776" s="1"/>
      <c r="AD776" s="1"/>
      <c r="AE776" s="1"/>
      <c r="AF776" s="1"/>
      <c r="AG776" s="1" t="str">
        <f>IFERROR(__xludf.DUMMYFUNCTION("""COMPUTED_VALUE"""),"G")</f>
        <v>G</v>
      </c>
      <c r="AH776" s="1">
        <f>IFERROR(__xludf.DUMMYFUNCTION("""COMPUTED_VALUE"""),37)</f>
        <v>37</v>
      </c>
      <c r="AI776" s="1"/>
      <c r="AJ776" s="1"/>
      <c r="AK776" s="1"/>
      <c r="AL776" s="1" t="str">
        <f>IFERROR(__xludf.DUMMYFUNCTION("""COMPUTED_VALUE"""),"G")</f>
        <v>G</v>
      </c>
      <c r="AM776" s="1" t="str">
        <f>IFERROR(__xludf.DUMMYFUNCTION("""COMPUTED_VALUE"""),"G")</f>
        <v>G</v>
      </c>
      <c r="AN776" s="1" t="str">
        <f>IFERROR(__xludf.DUMMYFUNCTION("""COMPUTED_VALUE"""),"G")</f>
        <v>G</v>
      </c>
    </row>
    <row r="777" customHeight="1" spans="1:40">
      <c r="A777" s="1" t="str">
        <f>IFERROR(__xludf.DUMMYFUNCTION("""COMPUTED_VALUE"""),"07° BBM")</f>
        <v>07° BBM</v>
      </c>
      <c r="B777" s="1" t="str">
        <f>IFERROR(__xludf.DUMMYFUNCTION("""COMPUTED_VALUE"""),"Jacutinga")</f>
        <v>Jacutinga</v>
      </c>
      <c r="C777" s="119" t="str">
        <f>IFERROR(__xludf.DUMMYFUNCTION("""COMPUTED_VALUE"""),"CAB")</f>
        <v>CAB</v>
      </c>
      <c r="D777" s="1" t="str">
        <f>IFERROR(__xludf.DUMMYFUNCTION("""COMPUTED_VALUE"""),"THIAGO RAMOS BARROSO")</f>
        <v>THIAGO RAMOS BARROSO</v>
      </c>
      <c r="E777" s="119" t="str">
        <f>IFERROR(__xludf.DUMMYFUNCTION("""COMPUTED_VALUE"""),"")</f>
        <v/>
      </c>
      <c r="F777" s="1" t="str">
        <f>IFERROR(__xludf.DUMMYFUNCTION("""COMPUTED_VALUE"""),"010.579.910-66")</f>
        <v>010.579.910-66</v>
      </c>
      <c r="G777" s="1">
        <f>IFERROR(__xludf.DUMMYFUNCTION("""COMPUTED_VALUE"""),1082838291)</f>
        <v>1082838291</v>
      </c>
      <c r="H777" s="1" t="str">
        <f>IFERROR(__xludf.DUMMYFUNCTION("""COMPUTED_VALUE"""),"Integrante")</f>
        <v>Integrante</v>
      </c>
      <c r="I777" s="1" t="str">
        <f>IFERROR(__xludf.DUMMYFUNCTION("""COMPUTED_VALUE"""),"CURSO DE TRANSPORTE DE CARGAS PERIGOSAS - TREINAMENTOS EM APH, RESGATE VEICULAR E PREVENÇÃO E COMBATE A INCÊNDIOS")</f>
        <v>CURSO DE TRANSPORTE DE CARGAS PERIGOSAS - TREINAMENTOS EM APH, RESGATE VEICULAR E PREVENÇÃO E COMBATE A INCÊNDIOS</v>
      </c>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row>
    <row r="778" customHeight="1" spans="1:40">
      <c r="A778" s="1" t="str">
        <f>IFERROR(__xludf.DUMMYFUNCTION("""COMPUTED_VALUE"""),"07° BBM")</f>
        <v>07° BBM</v>
      </c>
      <c r="B778" s="1" t="str">
        <f>IFERROR(__xludf.DUMMYFUNCTION("""COMPUTED_VALUE"""),"Aratiba")</f>
        <v>Aratiba</v>
      </c>
      <c r="C778" s="119" t="str">
        <f>IFERROR(__xludf.DUMMYFUNCTION("""COMPUTED_VALUE"""),"CAB")</f>
        <v>CAB</v>
      </c>
      <c r="D778" s="1" t="str">
        <f>IFERROR(__xludf.DUMMYFUNCTION("""COMPUTED_VALUE"""),"TIAGO LUIS RORIG")</f>
        <v>TIAGO LUIS RORIG</v>
      </c>
      <c r="E778" s="119" t="str">
        <f>IFERROR(__xludf.DUMMYFUNCTION("""COMPUTED_VALUE"""),"")</f>
        <v/>
      </c>
      <c r="F778" s="1" t="str">
        <f>IFERROR(__xludf.DUMMYFUNCTION("""COMPUTED_VALUE"""),"010.936.630-08")</f>
        <v>010.936.630-08</v>
      </c>
      <c r="G778" s="1">
        <f>IFERROR(__xludf.DUMMYFUNCTION("""COMPUTED_VALUE"""),1087500623)</f>
        <v>1087500623</v>
      </c>
      <c r="H778" s="1" t="str">
        <f>IFERROR(__xludf.DUMMYFUNCTION("""COMPUTED_VALUE"""),"Bombeiro Voluntario")</f>
        <v>Bombeiro Voluntario</v>
      </c>
      <c r="I778" s="1" t="str">
        <f>IFERROR(__xludf.DUMMYFUNCTION("""COMPUTED_VALUE"""),"Curso de APH")</f>
        <v>Curso de APH</v>
      </c>
      <c r="J778" s="1" t="str">
        <f>IFERROR(__xludf.DUMMYFUNCTION("""COMPUTED_VALUE"""),"Não")</f>
        <v>Não</v>
      </c>
      <c r="K778" s="1" t="str">
        <f>IFERROR(__xludf.DUMMYFUNCTION("""COMPUTED_VALUE"""),"Não")</f>
        <v>Não</v>
      </c>
      <c r="L778" s="1" t="str">
        <f>IFERROR(__xludf.DUMMYFUNCTION("""COMPUTED_VALUE"""),"A-")</f>
        <v>A-</v>
      </c>
      <c r="M778" s="1" t="str">
        <f>IFERROR(__xludf.DUMMYFUNCTION("""COMPUTED_VALUE"""),"RORIG")</f>
        <v>RORIG</v>
      </c>
      <c r="N778" s="120">
        <f>IFERROR(__xludf.DUMMYFUNCTION("""COMPUTED_VALUE"""),31572)</f>
        <v>31572</v>
      </c>
      <c r="O778" s="1" t="str">
        <f>IFERROR(__xludf.DUMMYFUNCTION("""COMPUTED_VALUE"""),"Masculino")</f>
        <v>Masculino</v>
      </c>
      <c r="P778" s="1" t="str">
        <f>IFERROR(__xludf.DUMMYFUNCTION("""COMPUTED_VALUE"""),"Branca")</f>
        <v>Branca</v>
      </c>
      <c r="Q778" s="1" t="str">
        <f>IFERROR(__xludf.DUMMYFUNCTION("""COMPUTED_VALUE"""),"Ensino Médio")</f>
        <v>Ensino Médio</v>
      </c>
      <c r="R778" s="1" t="str">
        <f>IFERROR(__xludf.DUMMYFUNCTION("""COMPUTED_VALUE"""),"rorigtiago10@gmail.com")</f>
        <v>rorigtiago10@gmail.com</v>
      </c>
      <c r="S778" s="1">
        <f>IFERROR(__xludf.DUMMYFUNCTION("""COMPUTED_VALUE"""),105)</f>
        <v>105</v>
      </c>
      <c r="T778" s="1" t="str">
        <f>IFERROR(__xludf.DUMMYFUNCTION("""COMPUTED_VALUE"""),"Entre 1,91m e 1,95m")</f>
        <v>Entre 1,91m e 1,95m</v>
      </c>
      <c r="U778" s="1"/>
      <c r="V778" s="1" t="str">
        <f>IFERROR(__xludf.DUMMYFUNCTION("""COMPUTED_VALUE"""),"(54)992287042")</f>
        <v>(54)992287042</v>
      </c>
      <c r="W778" s="1" t="str">
        <f>IFERROR(__xludf.DUMMYFUNCTION("""COMPUTED_VALUE"""),"(54)992287042")</f>
        <v>(54)992287042</v>
      </c>
      <c r="X778" s="1" t="str">
        <f>IFERROR(__xludf.DUMMYFUNCTION("""COMPUTED_VALUE"""),"RS")</f>
        <v>RS</v>
      </c>
      <c r="Y778" s="1" t="str">
        <f>IFERROR(__xludf.DUMMYFUNCTION("""COMPUTED_VALUE"""),"Aratiba")</f>
        <v>Aratiba</v>
      </c>
      <c r="Z778" s="1">
        <f>IFERROR(__xludf.DUMMYFUNCTION("""COMPUTED_VALUE"""),99770000)</f>
        <v>99770000</v>
      </c>
      <c r="AA778" s="1" t="str">
        <f>IFERROR(__xludf.DUMMYFUNCTION("""COMPUTED_VALUE"""),"Linha 1º de Junho, S/N")</f>
        <v>Linha 1º de Junho, S/N</v>
      </c>
      <c r="AB778" s="1" t="str">
        <f>IFERROR(__xludf.DUMMYFUNCTION("""COMPUTED_VALUE"""),"Interior")</f>
        <v>Interior</v>
      </c>
      <c r="AC778" s="1" t="str">
        <f>IFERROR(__xludf.DUMMYFUNCTION("""COMPUTED_VALUE"""),"GG")</f>
        <v>GG</v>
      </c>
      <c r="AD778" s="1" t="str">
        <f>IFERROR(__xludf.DUMMYFUNCTION("""COMPUTED_VALUE"""),"GG")</f>
        <v>GG</v>
      </c>
      <c r="AE778" s="1" t="str">
        <f>IFERROR(__xludf.DUMMYFUNCTION("""COMPUTED_VALUE"""),"GG")</f>
        <v>GG</v>
      </c>
      <c r="AF778" s="1" t="str">
        <f>IFERROR(__xludf.DUMMYFUNCTION("""COMPUTED_VALUE"""),"GG")</f>
        <v>GG</v>
      </c>
      <c r="AG778" s="1" t="str">
        <f>IFERROR(__xludf.DUMMYFUNCTION("""COMPUTED_VALUE"""),"GG")</f>
        <v>GG</v>
      </c>
      <c r="AH778" s="1">
        <f>IFERROR(__xludf.DUMMYFUNCTION("""COMPUTED_VALUE"""),43)</f>
        <v>43</v>
      </c>
      <c r="AI778" s="1">
        <f>IFERROR(__xludf.DUMMYFUNCTION("""COMPUTED_VALUE"""),43)</f>
        <v>43</v>
      </c>
      <c r="AJ778" s="1">
        <f>IFERROR(__xludf.DUMMYFUNCTION("""COMPUTED_VALUE"""),43)</f>
        <v>43</v>
      </c>
      <c r="AK778" s="1">
        <f>IFERROR(__xludf.DUMMYFUNCTION("""COMPUTED_VALUE"""),43)</f>
        <v>43</v>
      </c>
      <c r="AL778" s="1" t="str">
        <f>IFERROR(__xludf.DUMMYFUNCTION("""COMPUTED_VALUE"""),"GG")</f>
        <v>GG</v>
      </c>
      <c r="AM778" s="1" t="str">
        <f>IFERROR(__xludf.DUMMYFUNCTION("""COMPUTED_VALUE"""),"GG")</f>
        <v>GG</v>
      </c>
      <c r="AN778" s="1" t="str">
        <f>IFERROR(__xludf.DUMMYFUNCTION("""COMPUTED_VALUE"""),"GG")</f>
        <v>GG</v>
      </c>
    </row>
    <row r="779" customHeight="1" spans="1:40">
      <c r="A779" s="1"/>
      <c r="B779" s="1"/>
      <c r="C779" s="119"/>
      <c r="D779" s="1" t="str">
        <f>IFERROR(__xludf.DUMMYFUNCTION("""COMPUTED_VALUE"""),"TIAGO LUÍS RORIG")</f>
        <v>TIAGO LUÍS RORIG</v>
      </c>
      <c r="E779" s="1" t="str">
        <f>IFERROR(__xludf.DUMMYFUNCTION("""COMPUTED_VALUE"""),"Módulo 1 concluído")</f>
        <v>Módulo 1 concluído</v>
      </c>
      <c r="F779" s="1" t="str">
        <f>IFERROR(__xludf.DUMMYFUNCTION("""COMPUTED_VALUE"""),"010.636.630-08")</f>
        <v>010.636.630-08</v>
      </c>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row>
    <row r="780" customHeight="1" spans="1:40">
      <c r="A780" s="1" t="str">
        <f>IFERROR(__xludf.DUMMYFUNCTION("""COMPUTED_VALUE"""),"07° BBM")</f>
        <v>07° BBM</v>
      </c>
      <c r="B780" s="1" t="str">
        <f>IFERROR(__xludf.DUMMYFUNCTION("""COMPUTED_VALUE"""),"Não-Me-Toque")</f>
        <v>Não-Me-Toque</v>
      </c>
      <c r="C780" s="119" t="str">
        <f>IFERROR(__xludf.DUMMYFUNCTION("""COMPUTED_VALUE"""),"CAB")</f>
        <v>CAB</v>
      </c>
      <c r="D780" s="1" t="str">
        <f>IFERROR(__xludf.DUMMYFUNCTION("""COMPUTED_VALUE"""),"UILLIAN VICARI")</f>
        <v>UILLIAN VICARI</v>
      </c>
      <c r="E780" s="119" t="str">
        <f>IFERROR(__xludf.DUMMYFUNCTION("""COMPUTED_VALUE"""),"")</f>
        <v/>
      </c>
      <c r="F780" s="1" t="str">
        <f>IFERROR(__xludf.DUMMYFUNCTION("""COMPUTED_VALUE"""),"007.893.200-96")</f>
        <v>007.893.200-96</v>
      </c>
      <c r="G780" s="1">
        <f>IFERROR(__xludf.DUMMYFUNCTION("""COMPUTED_VALUE"""),7094137994)</f>
        <v>7094137994</v>
      </c>
      <c r="H780" s="1" t="str">
        <f>IFERROR(__xludf.DUMMYFUNCTION("""COMPUTED_VALUE"""),"COVE - AFASTADO")</f>
        <v>COVE - AFASTADO</v>
      </c>
      <c r="I780" s="1" t="str">
        <f>IFERROR(__xludf.DUMMYFUNCTION("""COMPUTED_VALUE"""),"Condutor Veiculos de Emergência/Operação Caminhão/Nivelamento operacional CBMRS")</f>
        <v>Condutor Veiculos de Emergência/Operação Caminhão/Nivelamento operacional CBMRS</v>
      </c>
      <c r="J780" s="1" t="str">
        <f>IFERROR(__xludf.DUMMYFUNCTION("""COMPUTED_VALUE"""),"Não")</f>
        <v>Não</v>
      </c>
      <c r="K780" s="1" t="str">
        <f>IFERROR(__xludf.DUMMYFUNCTION("""COMPUTED_VALUE"""),"Não")</f>
        <v>Não</v>
      </c>
      <c r="L780" s="1"/>
      <c r="M780" s="1"/>
      <c r="N780" s="120"/>
      <c r="O780" s="1"/>
      <c r="P780" s="1"/>
      <c r="Q780" s="1"/>
      <c r="R780" s="1"/>
      <c r="S780" s="1"/>
      <c r="T780" s="1"/>
      <c r="U780" s="1"/>
      <c r="V780" s="1"/>
      <c r="W780" s="1"/>
      <c r="X780" s="1" t="str">
        <f>IFERROR(__xludf.DUMMYFUNCTION("""COMPUTED_VALUE"""),"RS")</f>
        <v>RS</v>
      </c>
      <c r="Y780" s="1" t="str">
        <f>IFERROR(__xludf.DUMMYFUNCTION("""COMPUTED_VALUE"""),"Não-Me-Toque")</f>
        <v>Não-Me-Toque</v>
      </c>
      <c r="Z780" s="1" t="str">
        <f>IFERROR(__xludf.DUMMYFUNCTION("""COMPUTED_VALUE"""),"99470-000")</f>
        <v>99470-000</v>
      </c>
      <c r="AA780" s="1"/>
      <c r="AB780" s="1"/>
      <c r="AC780" s="1"/>
      <c r="AD780" s="1"/>
      <c r="AE780" s="1"/>
      <c r="AF780" s="1"/>
      <c r="AG780" s="1"/>
      <c r="AH780" s="1"/>
      <c r="AI780" s="1"/>
      <c r="AJ780" s="1"/>
      <c r="AK780" s="1"/>
      <c r="AL780" s="1"/>
      <c r="AM780" s="1"/>
      <c r="AN780" s="1"/>
    </row>
    <row r="781" customHeight="1" spans="1:40">
      <c r="A781" s="1" t="str">
        <f>IFERROR(__xludf.DUMMYFUNCTION("""COMPUTED_VALUE"""),"07° BBM")</f>
        <v>07° BBM</v>
      </c>
      <c r="B781" s="1" t="str">
        <f>IFERROR(__xludf.DUMMYFUNCTION("""COMPUTED_VALUE"""),"Serafina Corrêa")</f>
        <v>Serafina Corrêa</v>
      </c>
      <c r="C781" s="119" t="str">
        <f>IFERROR(__xludf.DUMMYFUNCTION("""COMPUTED_VALUE"""),"CAB")</f>
        <v>CAB</v>
      </c>
      <c r="D781" s="1" t="str">
        <f>IFERROR(__xludf.DUMMYFUNCTION("""COMPUTED_VALUE"""),"VAGNER BRESSAN")</f>
        <v>VAGNER BRESSAN</v>
      </c>
      <c r="E781" s="119" t="str">
        <f>IFERROR(__xludf.DUMMYFUNCTION("""COMPUTED_VALUE"""),"Módulo 1 concluído")</f>
        <v>Módulo 1 concluído</v>
      </c>
      <c r="F781" s="1" t="str">
        <f>IFERROR(__xludf.DUMMYFUNCTION("""COMPUTED_VALUE"""),"811.249.020-15")</f>
        <v>811.249.020-15</v>
      </c>
      <c r="G781" s="1">
        <f>IFERROR(__xludf.DUMMYFUNCTION("""COMPUTED_VALUE"""),2079779688)</f>
        <v>2079779688</v>
      </c>
      <c r="H781" s="1" t="str">
        <f>IFERROR(__xludf.DUMMYFUNCTION("""COMPUTED_VALUE"""),"CAB")</f>
        <v>CAB</v>
      </c>
      <c r="I781" s="1" t="str">
        <f>IFERROR(__xludf.DUMMYFUNCTION("""COMPUTED_VALUE"""),"Bombeiro Civil Classe I - 306 HORAS APH / BLS Primeira resposta em produtos perigosos - HAZMAT NR 10 NR 33 NR 35 Resgate de Passageiros Em Elevadores - Tyssen Kroup")</f>
        <v>Bombeiro Civil Classe I - 306 HORAS APH / BLS Primeira resposta em produtos perigosos - HAZMAT NR 10 NR 33 NR 35 Resgate de Passageiros Em Elevadores - Tyssen Kroup</v>
      </c>
      <c r="J781" s="1" t="str">
        <f>IFERROR(__xludf.DUMMYFUNCTION("""COMPUTED_VALUE"""),"Não")</f>
        <v>Não</v>
      </c>
      <c r="K781" s="1" t="str">
        <f>IFERROR(__xludf.DUMMYFUNCTION("""COMPUTED_VALUE"""),"Não")</f>
        <v>Não</v>
      </c>
      <c r="L781" s="1" t="str">
        <f>IFERROR(__xludf.DUMMYFUNCTION("""COMPUTED_VALUE"""),"O-")</f>
        <v>O-</v>
      </c>
      <c r="M781" s="1" t="str">
        <f>IFERROR(__xludf.DUMMYFUNCTION("""COMPUTED_VALUE"""),"Bressan")</f>
        <v>Bressan</v>
      </c>
      <c r="N781" s="120">
        <f>IFERROR(__xludf.DUMMYFUNCTION("""COMPUTED_VALUE"""),30437)</f>
        <v>30437</v>
      </c>
      <c r="O781" s="1" t="str">
        <f>IFERROR(__xludf.DUMMYFUNCTION("""COMPUTED_VALUE"""),"Masculino")</f>
        <v>Masculino</v>
      </c>
      <c r="P781" s="1" t="str">
        <f>IFERROR(__xludf.DUMMYFUNCTION("""COMPUTED_VALUE"""),"Branca")</f>
        <v>Branca</v>
      </c>
      <c r="Q781" s="1" t="str">
        <f>IFERROR(__xludf.DUMMYFUNCTION("""COMPUTED_VALUE"""),"Ensino Médio")</f>
        <v>Ensino Médio</v>
      </c>
      <c r="R781" s="1" t="str">
        <f>IFERROR(__xludf.DUMMYFUNCTION("""COMPUTED_VALUE"""),"vagnerbressan@yahoo.com.br")</f>
        <v>vagnerbressan@yahoo.com.br</v>
      </c>
      <c r="S781" s="1">
        <f>IFERROR(__xludf.DUMMYFUNCTION("""COMPUTED_VALUE"""),83)</f>
        <v>83</v>
      </c>
      <c r="T781" s="1" t="str">
        <f>IFERROR(__xludf.DUMMYFUNCTION("""COMPUTED_VALUE"""),"Entre 1,76m e 1,80m")</f>
        <v>Entre 1,76m e 1,80m</v>
      </c>
      <c r="U781" s="1"/>
      <c r="V781" s="1" t="str">
        <f>IFERROR(__xludf.DUMMYFUNCTION("""COMPUTED_VALUE"""),"(54)99968-7488")</f>
        <v>(54)99968-7488</v>
      </c>
      <c r="W781" s="1" t="str">
        <f>IFERROR(__xludf.DUMMYFUNCTION("""COMPUTED_VALUE"""),"(54)99941-7398")</f>
        <v>(54)99941-7398</v>
      </c>
      <c r="X781" s="1" t="str">
        <f>IFERROR(__xludf.DUMMYFUNCTION("""COMPUTED_VALUE"""),"RS")</f>
        <v>RS</v>
      </c>
      <c r="Y781" s="1" t="str">
        <f>IFERROR(__xludf.DUMMYFUNCTION("""COMPUTED_VALUE"""),"Serafina Corrêa")</f>
        <v>Serafina Corrêa</v>
      </c>
      <c r="Z781" s="1" t="str">
        <f>IFERROR(__xludf.DUMMYFUNCTION("""COMPUTED_VALUE"""),"99250-000")</f>
        <v>99250-000</v>
      </c>
      <c r="AA781" s="1" t="str">
        <f>IFERROR(__xludf.DUMMYFUNCTION("""COMPUTED_VALUE"""),"Rua Berto Alban, 85")</f>
        <v>Rua Berto Alban, 85</v>
      </c>
      <c r="AB781" s="1" t="str">
        <f>IFERROR(__xludf.DUMMYFUNCTION("""COMPUTED_VALUE"""),"Santin")</f>
        <v>Santin</v>
      </c>
      <c r="AC781" s="1" t="str">
        <f>IFERROR(__xludf.DUMMYFUNCTION("""COMPUTED_VALUE"""),"G")</f>
        <v>G</v>
      </c>
      <c r="AD781" s="1" t="str">
        <f>IFERROR(__xludf.DUMMYFUNCTION("""COMPUTED_VALUE"""),"G")</f>
        <v>G</v>
      </c>
      <c r="AE781" s="1" t="str">
        <f>IFERROR(__xludf.DUMMYFUNCTION("""COMPUTED_VALUE"""),"G")</f>
        <v>G</v>
      </c>
      <c r="AF781" s="1" t="str">
        <f>IFERROR(__xludf.DUMMYFUNCTION("""COMPUTED_VALUE"""),"G")</f>
        <v>G</v>
      </c>
      <c r="AG781" s="1" t="str">
        <f>IFERROR(__xludf.DUMMYFUNCTION("""COMPUTED_VALUE"""),"G")</f>
        <v>G</v>
      </c>
      <c r="AH781" s="1">
        <f>IFERROR(__xludf.DUMMYFUNCTION("""COMPUTED_VALUE"""),42)</f>
        <v>42</v>
      </c>
      <c r="AI781" s="1">
        <f>IFERROR(__xludf.DUMMYFUNCTION("""COMPUTED_VALUE"""),42)</f>
        <v>42</v>
      </c>
      <c r="AJ781" s="1">
        <f>IFERROR(__xludf.DUMMYFUNCTION("""COMPUTED_VALUE"""),42)</f>
        <v>42</v>
      </c>
      <c r="AK781" s="1">
        <f>IFERROR(__xludf.DUMMYFUNCTION("""COMPUTED_VALUE"""),42)</f>
        <v>42</v>
      </c>
      <c r="AL781" s="1" t="str">
        <f>IFERROR(__xludf.DUMMYFUNCTION("""COMPUTED_VALUE"""),"G")</f>
        <v>G</v>
      </c>
      <c r="AM781" s="1" t="str">
        <f>IFERROR(__xludf.DUMMYFUNCTION("""COMPUTED_VALUE"""),"G")</f>
        <v>G</v>
      </c>
      <c r="AN781" s="1" t="str">
        <f>IFERROR(__xludf.DUMMYFUNCTION("""COMPUTED_VALUE"""),"G")</f>
        <v>G</v>
      </c>
    </row>
    <row r="782" customHeight="1" spans="1:40">
      <c r="A782" s="1" t="str">
        <f>IFERROR(__xludf.DUMMYFUNCTION("""COMPUTED_VALUE"""),"07° BBM")</f>
        <v>07° BBM</v>
      </c>
      <c r="B782" s="1" t="str">
        <f>IFERROR(__xludf.DUMMYFUNCTION("""COMPUTED_VALUE"""),"Gaurama")</f>
        <v>Gaurama</v>
      </c>
      <c r="C782" s="119" t="str">
        <f>IFERROR(__xludf.DUMMYFUNCTION("""COMPUTED_VALUE"""),"CAB")</f>
        <v>CAB</v>
      </c>
      <c r="D782" s="1" t="str">
        <f>IFERROR(__xludf.DUMMYFUNCTION("""COMPUTED_VALUE"""),"VALDECIR ALVES FAGUNDES")</f>
        <v>VALDECIR ALVES FAGUNDES</v>
      </c>
      <c r="E782" s="119" t="str">
        <f>IFERROR(__xludf.DUMMYFUNCTION("""COMPUTED_VALUE"""),"")</f>
        <v/>
      </c>
      <c r="F782" s="1" t="str">
        <f>IFERROR(__xludf.DUMMYFUNCTION("""COMPUTED_VALUE"""),"924.725.240-72")</f>
        <v>924.725.240-72</v>
      </c>
      <c r="G782" s="1">
        <f>IFERROR(__xludf.DUMMYFUNCTION("""COMPUTED_VALUE"""),6071317777)</f>
        <v>6071317777</v>
      </c>
      <c r="H782" s="1" t="str">
        <f>IFERROR(__xludf.DUMMYFUNCTION("""COMPUTED_VALUE"""),"Combatente")</f>
        <v>Combatente</v>
      </c>
      <c r="I782" s="1" t="str">
        <f>IFERROR(__xludf.DUMMYFUNCTION("""COMPUTED_VALUE"""),"Atendimento Suporte Básico de Vida")</f>
        <v>Atendimento Suporte Básico de Vida</v>
      </c>
      <c r="J782" s="1" t="str">
        <f>IFERROR(__xludf.DUMMYFUNCTION("""COMPUTED_VALUE"""),"Não")</f>
        <v>Não</v>
      </c>
      <c r="K782" s="1" t="str">
        <f>IFERROR(__xludf.DUMMYFUNCTION("""COMPUTED_VALUE"""),"Não")</f>
        <v>Não</v>
      </c>
      <c r="L782" s="1" t="str">
        <f>IFERROR(__xludf.DUMMYFUNCTION("""COMPUTED_VALUE"""),"AB-")</f>
        <v>AB-</v>
      </c>
      <c r="M782" s="1" t="str">
        <f>IFERROR(__xludf.DUMMYFUNCTION("""COMPUTED_VALUE"""),"VALDECIR")</f>
        <v>VALDECIR</v>
      </c>
      <c r="N782" s="120">
        <f>IFERROR(__xludf.DUMMYFUNCTION("""COMPUTED_VALUE"""),28772)</f>
        <v>28772</v>
      </c>
      <c r="O782" s="1" t="str">
        <f>IFERROR(__xludf.DUMMYFUNCTION("""COMPUTED_VALUE"""),"Masculino")</f>
        <v>Masculino</v>
      </c>
      <c r="P782" s="1" t="str">
        <f>IFERROR(__xludf.DUMMYFUNCTION("""COMPUTED_VALUE"""),"Morena")</f>
        <v>Morena</v>
      </c>
      <c r="Q782" s="1" t="str">
        <f>IFERROR(__xludf.DUMMYFUNCTION("""COMPUTED_VALUE"""),"Ensino Médio")</f>
        <v>Ensino Médio</v>
      </c>
      <c r="R782" s="1" t="str">
        <f>IFERROR(__xludf.DUMMYFUNCTION("""COMPUTED_VALUE"""),"prtetofagundes@gemail.com")</f>
        <v>prtetofagundes@gemail.com</v>
      </c>
      <c r="S782" s="1">
        <f>IFERROR(__xludf.DUMMYFUNCTION("""COMPUTED_VALUE"""),92)</f>
        <v>92</v>
      </c>
      <c r="T782" s="1" t="str">
        <f>IFERROR(__xludf.DUMMYFUNCTION("""COMPUTED_VALUE"""),"Entre 1,71m e 1,75m")</f>
        <v>Entre 1,71m e 1,75m</v>
      </c>
      <c r="U782" s="1"/>
      <c r="V782" s="1" t="str">
        <f>IFERROR(__xludf.DUMMYFUNCTION("""COMPUTED_VALUE"""),"(54)996698241")</f>
        <v>(54)996698241</v>
      </c>
      <c r="W782" s="1"/>
      <c r="X782" s="1" t="str">
        <f>IFERROR(__xludf.DUMMYFUNCTION("""COMPUTED_VALUE"""),"RS")</f>
        <v>RS</v>
      </c>
      <c r="Y782" s="1" t="str">
        <f>IFERROR(__xludf.DUMMYFUNCTION("""COMPUTED_VALUE"""),"Gaurama")</f>
        <v>Gaurama</v>
      </c>
      <c r="Z782" s="1">
        <f>IFERROR(__xludf.DUMMYFUNCTION("""COMPUTED_VALUE"""),99830000)</f>
        <v>99830000</v>
      </c>
      <c r="AA782" s="1" t="str">
        <f>IFERROR(__xludf.DUMMYFUNCTION("""COMPUTED_VALUE"""),"RUA VALDIR FAGUNDES")</f>
        <v>RUA VALDIR FAGUNDES</v>
      </c>
      <c r="AB782" s="1" t="str">
        <f>IFERROR(__xludf.DUMMYFUNCTION("""COMPUTED_VALUE"""),"CENTRO")</f>
        <v>CENTRO</v>
      </c>
      <c r="AC782" s="1" t="str">
        <f>IFERROR(__xludf.DUMMYFUNCTION("""COMPUTED_VALUE"""),"GG")</f>
        <v>GG</v>
      </c>
      <c r="AD782" s="1" t="str">
        <f>IFERROR(__xludf.DUMMYFUNCTION("""COMPUTED_VALUE"""),"GG")</f>
        <v>GG</v>
      </c>
      <c r="AE782" s="1" t="str">
        <f>IFERROR(__xludf.DUMMYFUNCTION("""COMPUTED_VALUE"""),"GG")</f>
        <v>GG</v>
      </c>
      <c r="AF782" s="1" t="str">
        <f>IFERROR(__xludf.DUMMYFUNCTION("""COMPUTED_VALUE"""),"GG")</f>
        <v>GG</v>
      </c>
      <c r="AG782" s="1" t="str">
        <f>IFERROR(__xludf.DUMMYFUNCTION("""COMPUTED_VALUE"""),"GG")</f>
        <v>GG</v>
      </c>
      <c r="AH782" s="1">
        <f>IFERROR(__xludf.DUMMYFUNCTION("""COMPUTED_VALUE"""),44)</f>
        <v>44</v>
      </c>
      <c r="AI782" s="1">
        <f>IFERROR(__xludf.DUMMYFUNCTION("""COMPUTED_VALUE"""),42)</f>
        <v>42</v>
      </c>
      <c r="AJ782" s="1">
        <f>IFERROR(__xludf.DUMMYFUNCTION("""COMPUTED_VALUE"""),42)</f>
        <v>42</v>
      </c>
      <c r="AK782" s="1">
        <f>IFERROR(__xludf.DUMMYFUNCTION("""COMPUTED_VALUE"""),42)</f>
        <v>42</v>
      </c>
      <c r="AL782" s="1" t="str">
        <f>IFERROR(__xludf.DUMMYFUNCTION("""COMPUTED_VALUE"""),"GG")</f>
        <v>GG</v>
      </c>
      <c r="AM782" s="1" t="str">
        <f>IFERROR(__xludf.DUMMYFUNCTION("""COMPUTED_VALUE"""),"GG")</f>
        <v>GG</v>
      </c>
      <c r="AN782" s="1" t="str">
        <f>IFERROR(__xludf.DUMMYFUNCTION("""COMPUTED_VALUE"""),"G")</f>
        <v>G</v>
      </c>
    </row>
    <row r="783" customHeight="1" spans="1:40">
      <c r="A783" s="1"/>
      <c r="B783" s="1"/>
      <c r="C783" s="119"/>
      <c r="D783" s="1" t="str">
        <f>IFERROR(__xludf.DUMMYFUNCTION("""COMPUTED_VALUE"""),"VALDIONEI FELSKI")</f>
        <v>VALDIONEI FELSKI</v>
      </c>
      <c r="E783" s="1" t="str">
        <f>IFERROR(__xludf.DUMMYFUNCTION("""COMPUTED_VALUE"""),"Módulo 1 concluído")</f>
        <v>Módulo 1 concluído</v>
      </c>
      <c r="F783" s="1" t="str">
        <f>IFERROR(__xludf.DUMMYFUNCTION("""COMPUTED_VALUE"""),"020.198.480-66")</f>
        <v>020.198.480-66</v>
      </c>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row>
    <row r="784" customHeight="1" spans="1:40">
      <c r="A784" s="1" t="str">
        <f>IFERROR(__xludf.DUMMYFUNCTION("""COMPUTED_VALUE"""),"07° BBM")</f>
        <v>07° BBM</v>
      </c>
      <c r="B784" s="1"/>
      <c r="C784" s="119"/>
      <c r="D784" s="1" t="str">
        <f>IFERROR(__xludf.DUMMYFUNCTION("""COMPUTED_VALUE"""),"VANUSA DA SILVA KLIN")</f>
        <v>VANUSA DA SILVA KLIN</v>
      </c>
      <c r="E784" s="119" t="str">
        <f>IFERROR(__xludf.DUMMYFUNCTION("""COMPUTED_VALUE"""),"Módulo 1 concluído")</f>
        <v>Módulo 1 concluído</v>
      </c>
      <c r="F784" s="1" t="str">
        <f>IFERROR(__xludf.DUMMYFUNCTION("""COMPUTED_VALUE"""),"009.100.910-30")</f>
        <v>009.100.910-30</v>
      </c>
      <c r="G784" s="1"/>
      <c r="H784" s="1"/>
      <c r="I784" s="1"/>
      <c r="J784" s="1"/>
      <c r="K784" s="1"/>
      <c r="L784" s="1"/>
      <c r="M784" s="1"/>
      <c r="N784" s="120"/>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row>
    <row r="785" customHeight="1" spans="1:40">
      <c r="A785" s="1" t="str">
        <f>IFERROR(__xludf.DUMMYFUNCTION("""COMPUTED_VALUE"""),"07° BBM")</f>
        <v>07° BBM</v>
      </c>
      <c r="B785" s="1" t="str">
        <f>IFERROR(__xludf.DUMMYFUNCTION("""COMPUTED_VALUE"""),"Faxinalzinho")</f>
        <v>Faxinalzinho</v>
      </c>
      <c r="C785" s="119" t="str">
        <f>IFERROR(__xludf.DUMMYFUNCTION("""COMPUTED_VALUE"""),"CAB")</f>
        <v>CAB</v>
      </c>
      <c r="D785" s="1" t="str">
        <f>IFERROR(__xludf.DUMMYFUNCTION("""COMPUTED_VALUE"""),"VELCI PIRAN")</f>
        <v>VELCI PIRAN</v>
      </c>
      <c r="E785" s="119" t="str">
        <f>IFERROR(__xludf.DUMMYFUNCTION("""COMPUTED_VALUE"""),"")</f>
        <v/>
      </c>
      <c r="F785" s="1" t="str">
        <f>IFERROR(__xludf.DUMMYFUNCTION("""COMPUTED_VALUE"""),"422.151.700.00")</f>
        <v>422.151.700.00</v>
      </c>
      <c r="G785" s="1">
        <f>IFERROR(__xludf.DUMMYFUNCTION("""COMPUTED_VALUE"""),9073206824)</f>
        <v>9073206824</v>
      </c>
      <c r="H785" s="1" t="str">
        <f>IFERROR(__xludf.DUMMYFUNCTION("""COMPUTED_VALUE"""),"Manutenção Logística - Combatente")</f>
        <v>Manutenção Logística - Combatente</v>
      </c>
      <c r="I785" s="1" t="str">
        <f>IFERROR(__xludf.DUMMYFUNCTION("""COMPUTED_VALUE"""),"Mecânico motorista operador")</f>
        <v>Mecânico motorista operador</v>
      </c>
      <c r="J785" s="1" t="str">
        <f>IFERROR(__xludf.DUMMYFUNCTION("""COMPUTED_VALUE"""),"Não")</f>
        <v>Não</v>
      </c>
      <c r="K785" s="1" t="str">
        <f>IFERROR(__xludf.DUMMYFUNCTION("""COMPUTED_VALUE"""),"Não")</f>
        <v>Não</v>
      </c>
      <c r="L785" s="1" t="str">
        <f>IFERROR(__xludf.DUMMYFUNCTION("""COMPUTED_VALUE"""),"A-")</f>
        <v>A-</v>
      </c>
      <c r="M785" s="1" t="str">
        <f>IFERROR(__xludf.DUMMYFUNCTION("""COMPUTED_VALUE"""),"PIRAN")</f>
        <v>PIRAN</v>
      </c>
      <c r="N785" s="120">
        <f>IFERROR(__xludf.DUMMYFUNCTION("""COMPUTED_VALUE"""),23213)</f>
        <v>23213</v>
      </c>
      <c r="O785" s="1" t="str">
        <f>IFERROR(__xludf.DUMMYFUNCTION("""COMPUTED_VALUE"""),"Masculino")</f>
        <v>Masculino</v>
      </c>
      <c r="P785" s="1" t="str">
        <f>IFERROR(__xludf.DUMMYFUNCTION("""COMPUTED_VALUE"""),"Branca")</f>
        <v>Branca</v>
      </c>
      <c r="Q785" s="1" t="str">
        <f>IFERROR(__xludf.DUMMYFUNCTION("""COMPUTED_VALUE"""),"Ensino Médio")</f>
        <v>Ensino Médio</v>
      </c>
      <c r="R785" s="1" t="str">
        <f>IFERROR(__xludf.DUMMYFUNCTION("""COMPUTED_VALUE"""),"velcipiran2017@outlook.com")</f>
        <v>velcipiran2017@outlook.com</v>
      </c>
      <c r="S785" s="1">
        <f>IFERROR(__xludf.DUMMYFUNCTION("""COMPUTED_VALUE"""),98)</f>
        <v>98</v>
      </c>
      <c r="T785" s="1" t="str">
        <f>IFERROR(__xludf.DUMMYFUNCTION("""COMPUTED_VALUE"""),"Entre 1,76m e 1,80m")</f>
        <v>Entre 1,76m e 1,80m</v>
      </c>
      <c r="U785" s="1" t="str">
        <f>IFERROR(__xludf.DUMMYFUNCTION("""COMPUTED_VALUE"""),"54 3546 1134")</f>
        <v>54 3546 1134</v>
      </c>
      <c r="V785" s="1" t="str">
        <f>IFERROR(__xludf.DUMMYFUNCTION("""COMPUTED_VALUE"""),"(54) 999413114")</f>
        <v>(54) 999413114</v>
      </c>
      <c r="W785" s="1">
        <f>IFERROR(__xludf.DUMMYFUNCTION("""COMPUTED_VALUE"""),190)</f>
        <v>190</v>
      </c>
      <c r="X785" s="1" t="str">
        <f>IFERROR(__xludf.DUMMYFUNCTION("""COMPUTED_VALUE"""),"RIO GRANDE DO SUL")</f>
        <v>RIO GRANDE DO SUL</v>
      </c>
      <c r="Y785" s="1" t="str">
        <f>IFERROR(__xludf.DUMMYFUNCTION("""COMPUTED_VALUE"""),"Faxinalzinho")</f>
        <v>Faxinalzinho</v>
      </c>
      <c r="Z785" s="1" t="str">
        <f>IFERROR(__xludf.DUMMYFUNCTION("""COMPUTED_VALUE"""),"99655-000")</f>
        <v>99655-000</v>
      </c>
      <c r="AA785" s="1" t="str">
        <f>IFERROR(__xludf.DUMMYFUNCTION("""COMPUTED_VALUE"""),"Av lido armando oltramari 1250")</f>
        <v>Av lido armando oltramari 1250</v>
      </c>
      <c r="AB785" s="1" t="str">
        <f>IFERROR(__xludf.DUMMYFUNCTION("""COMPUTED_VALUE"""),"Centro")</f>
        <v>Centro</v>
      </c>
      <c r="AC785" s="1" t="str">
        <f>IFERROR(__xludf.DUMMYFUNCTION("""COMPUTED_VALUE"""),"GG")</f>
        <v>GG</v>
      </c>
      <c r="AD785" s="1" t="str">
        <f>IFERROR(__xludf.DUMMYFUNCTION("""COMPUTED_VALUE"""),"GG")</f>
        <v>GG</v>
      </c>
      <c r="AE785" s="1" t="str">
        <f>IFERROR(__xludf.DUMMYFUNCTION("""COMPUTED_VALUE"""),"GG")</f>
        <v>GG</v>
      </c>
      <c r="AF785" s="1" t="str">
        <f>IFERROR(__xludf.DUMMYFUNCTION("""COMPUTED_VALUE"""),"GG")</f>
        <v>GG</v>
      </c>
      <c r="AG785" s="1" t="str">
        <f>IFERROR(__xludf.DUMMYFUNCTION("""COMPUTED_VALUE"""),"GG")</f>
        <v>GG</v>
      </c>
      <c r="AH785" s="1">
        <f>IFERROR(__xludf.DUMMYFUNCTION("""COMPUTED_VALUE"""),41)</f>
        <v>41</v>
      </c>
      <c r="AI785" s="1">
        <f>IFERROR(__xludf.DUMMYFUNCTION("""COMPUTED_VALUE"""),41)</f>
        <v>41</v>
      </c>
      <c r="AJ785" s="1">
        <f>IFERROR(__xludf.DUMMYFUNCTION("""COMPUTED_VALUE"""),41)</f>
        <v>41</v>
      </c>
      <c r="AK785" s="1">
        <f>IFERROR(__xludf.DUMMYFUNCTION("""COMPUTED_VALUE"""),41)</f>
        <v>41</v>
      </c>
      <c r="AL785" s="1" t="str">
        <f>IFERROR(__xludf.DUMMYFUNCTION("""COMPUTED_VALUE"""),"GG")</f>
        <v>GG</v>
      </c>
      <c r="AM785" s="1" t="str">
        <f>IFERROR(__xludf.DUMMYFUNCTION("""COMPUTED_VALUE"""),"GG")</f>
        <v>GG</v>
      </c>
      <c r="AN785" s="1" t="str">
        <f>IFERROR(__xludf.DUMMYFUNCTION("""COMPUTED_VALUE"""),"GG")</f>
        <v>GG</v>
      </c>
    </row>
    <row r="786" customHeight="1" spans="1:40">
      <c r="A786" s="1" t="str">
        <f>IFERROR(__xludf.DUMMYFUNCTION("""COMPUTED_VALUE"""),"07° BBM")</f>
        <v>07° BBM</v>
      </c>
      <c r="B786" s="1" t="str">
        <f>IFERROR(__xludf.DUMMYFUNCTION("""COMPUTED_VALUE"""),"Faxinalzinho")</f>
        <v>Faxinalzinho</v>
      </c>
      <c r="C786" s="119" t="str">
        <f>IFERROR(__xludf.DUMMYFUNCTION("""COMPUTED_VALUE"""),"CAB")</f>
        <v>CAB</v>
      </c>
      <c r="D786" s="1" t="str">
        <f>IFERROR(__xludf.DUMMYFUNCTION("""COMPUTED_VALUE"""),"VILMAR BERGAMIN")</f>
        <v>VILMAR BERGAMIN</v>
      </c>
      <c r="E786" s="119" t="str">
        <f>IFERROR(__xludf.DUMMYFUNCTION("""COMPUTED_VALUE"""),"")</f>
        <v/>
      </c>
      <c r="F786" s="1" t="str">
        <f>IFERROR(__xludf.DUMMYFUNCTION("""COMPUTED_VALUE"""),"667.482.910-20")</f>
        <v>667.482.910-20</v>
      </c>
      <c r="G786" s="1">
        <f>IFERROR(__xludf.DUMMYFUNCTION("""COMPUTED_VALUE"""),2052844913)</f>
        <v>2052844913</v>
      </c>
      <c r="H786" s="1" t="str">
        <f>IFERROR(__xludf.DUMMYFUNCTION("""COMPUTED_VALUE"""),"Conselho Fiscal - Combatente")</f>
        <v>Conselho Fiscal - Combatente</v>
      </c>
      <c r="I786" s="1" t="str">
        <f>IFERROR(__xludf.DUMMYFUNCTION("""COMPUTED_VALUE"""),"Combate a Incendio")</f>
        <v>Combate a Incendio</v>
      </c>
      <c r="J786" s="1" t="str">
        <f>IFERROR(__xludf.DUMMYFUNCTION("""COMPUTED_VALUE"""),"Sim")</f>
        <v>Sim</v>
      </c>
      <c r="K786" s="1" t="str">
        <f>IFERROR(__xludf.DUMMYFUNCTION("""COMPUTED_VALUE"""),"Não")</f>
        <v>Não</v>
      </c>
      <c r="L786" s="1" t="str">
        <f>IFERROR(__xludf.DUMMYFUNCTION("""COMPUTED_VALUE"""),"A+")</f>
        <v>A+</v>
      </c>
      <c r="M786" s="1" t="str">
        <f>IFERROR(__xludf.DUMMYFUNCTION("""COMPUTED_VALUE"""),"BERGAMIN")</f>
        <v>BERGAMIN</v>
      </c>
      <c r="N786" s="121">
        <f>IFERROR(__xludf.DUMMYFUNCTION("""COMPUTED_VALUE"""),25618)</f>
        <v>25618</v>
      </c>
      <c r="O786" s="1" t="str">
        <f>IFERROR(__xludf.DUMMYFUNCTION("""COMPUTED_VALUE"""),"Masculino")</f>
        <v>Masculino</v>
      </c>
      <c r="P786" s="1" t="str">
        <f>IFERROR(__xludf.DUMMYFUNCTION("""COMPUTED_VALUE"""),"Branca")</f>
        <v>Branca</v>
      </c>
      <c r="Q786" s="1" t="str">
        <f>IFERROR(__xludf.DUMMYFUNCTION("""COMPUTED_VALUE"""),"Ensino Médio")</f>
        <v>Ensino Médio</v>
      </c>
      <c r="R786" s="1" t="str">
        <f>IFERROR(__xludf.DUMMYFUNCTION("""COMPUTED_VALUE"""),"vilmar Bergamin 1970gdmeio .com")</f>
        <v>vilmar Bergamin 1970gdmeio .com</v>
      </c>
      <c r="S786" s="1">
        <f>IFERROR(__xludf.DUMMYFUNCTION("""COMPUTED_VALUE"""),88)</f>
        <v>88</v>
      </c>
      <c r="T786" s="1" t="str">
        <f>IFERROR(__xludf.DUMMYFUNCTION("""COMPUTED_VALUE"""),"Entre 1,76m e 1,80m")</f>
        <v>Entre 1,76m e 1,80m</v>
      </c>
      <c r="U786" s="1">
        <f>IFERROR(__xludf.DUMMYFUNCTION("""COMPUTED_VALUE"""),54999507893)</f>
        <v>54999507893</v>
      </c>
      <c r="V786" s="1" t="str">
        <f>IFERROR(__xludf.DUMMYFUNCTION("""COMPUTED_VALUE"""),"(54)999508793")</f>
        <v>(54)999508793</v>
      </c>
      <c r="W786" s="1">
        <f>IFERROR(__xludf.DUMMYFUNCTION("""COMPUTED_VALUE"""),54999508793)</f>
        <v>54999508793</v>
      </c>
      <c r="X786" s="1" t="str">
        <f>IFERROR(__xludf.DUMMYFUNCTION("""COMPUTED_VALUE"""),"RIO GRANDE DO SUL")</f>
        <v>RIO GRANDE DO SUL</v>
      </c>
      <c r="Y786" s="1" t="str">
        <f>IFERROR(__xludf.DUMMYFUNCTION("""COMPUTED_VALUE"""),"Faxinalzinho")</f>
        <v>Faxinalzinho</v>
      </c>
      <c r="Z786" s="1" t="str">
        <f>IFERROR(__xludf.DUMMYFUNCTION("""COMPUTED_VALUE"""),"99655-000")</f>
        <v>99655-000</v>
      </c>
      <c r="AA786" s="1" t="str">
        <f>IFERROR(__xludf.DUMMYFUNCTION("""COMPUTED_VALUE"""),"votoro")</f>
        <v>votoro</v>
      </c>
      <c r="AB786" s="1" t="str">
        <f>IFERROR(__xludf.DUMMYFUNCTION("""COMPUTED_VALUE"""),"interior")</f>
        <v>interior</v>
      </c>
      <c r="AC786" s="1" t="str">
        <f>IFERROR(__xludf.DUMMYFUNCTION("""COMPUTED_VALUE"""),"G")</f>
        <v>G</v>
      </c>
      <c r="AD786" s="1" t="str">
        <f>IFERROR(__xludf.DUMMYFUNCTION("""COMPUTED_VALUE"""),"G")</f>
        <v>G</v>
      </c>
      <c r="AE786" s="1" t="str">
        <f>IFERROR(__xludf.DUMMYFUNCTION("""COMPUTED_VALUE"""),"G")</f>
        <v>G</v>
      </c>
      <c r="AF786" s="1" t="str">
        <f>IFERROR(__xludf.DUMMYFUNCTION("""COMPUTED_VALUE"""),"G")</f>
        <v>G</v>
      </c>
      <c r="AG786" s="1" t="str">
        <f>IFERROR(__xludf.DUMMYFUNCTION("""COMPUTED_VALUE"""),"G")</f>
        <v>G</v>
      </c>
      <c r="AH786" s="1">
        <f>IFERROR(__xludf.DUMMYFUNCTION("""COMPUTED_VALUE"""),42)</f>
        <v>42</v>
      </c>
      <c r="AI786" s="1">
        <f>IFERROR(__xludf.DUMMYFUNCTION("""COMPUTED_VALUE"""),42)</f>
        <v>42</v>
      </c>
      <c r="AJ786" s="1">
        <f>IFERROR(__xludf.DUMMYFUNCTION("""COMPUTED_VALUE"""),42)</f>
        <v>42</v>
      </c>
      <c r="AK786" s="1">
        <f>IFERROR(__xludf.DUMMYFUNCTION("""COMPUTED_VALUE"""),42)</f>
        <v>42</v>
      </c>
      <c r="AL786" s="1" t="str">
        <f>IFERROR(__xludf.DUMMYFUNCTION("""COMPUTED_VALUE"""),"G")</f>
        <v>G</v>
      </c>
      <c r="AM786" s="1" t="str">
        <f>IFERROR(__xludf.DUMMYFUNCTION("""COMPUTED_VALUE"""),"G")</f>
        <v>G</v>
      </c>
      <c r="AN786" s="1" t="str">
        <f>IFERROR(__xludf.DUMMYFUNCTION("""COMPUTED_VALUE"""),"G")</f>
        <v>G</v>
      </c>
    </row>
    <row r="787" customHeight="1" spans="1:40">
      <c r="A787" s="1" t="str">
        <f>IFERROR(__xludf.DUMMYFUNCTION("""COMPUTED_VALUE"""),"07° BBM")</f>
        <v>07° BBM</v>
      </c>
      <c r="B787" s="1" t="str">
        <f>IFERROR(__xludf.DUMMYFUNCTION("""COMPUTED_VALUE"""),"Viadutos")</f>
        <v>Viadutos</v>
      </c>
      <c r="C787" s="119" t="str">
        <f>IFERROR(__xludf.DUMMYFUNCTION("""COMPUTED_VALUE"""),"CAB")</f>
        <v>CAB</v>
      </c>
      <c r="D787" s="1" t="str">
        <f>IFERROR(__xludf.DUMMYFUNCTION("""COMPUTED_VALUE"""),"VINÍCIOS CARIEL VOLPI")</f>
        <v>VINÍCIOS CARIEL VOLPI</v>
      </c>
      <c r="E787" s="119" t="str">
        <f>IFERROR(__xludf.DUMMYFUNCTION("""COMPUTED_VALUE"""),"")</f>
        <v/>
      </c>
      <c r="F787" s="1" t="str">
        <f>IFERROR(__xludf.DUMMYFUNCTION("""COMPUTED_VALUE"""),"005.473.990-06")</f>
        <v>005.473.990-06</v>
      </c>
      <c r="G787" s="1">
        <f>IFERROR(__xludf.DUMMYFUNCTION("""COMPUTED_VALUE"""),6075288743)</f>
        <v>6075288743</v>
      </c>
      <c r="H787" s="1" t="str">
        <f>IFERROR(__xludf.DUMMYFUNCTION("""COMPUTED_VALUE"""),"COMBATENTE")</f>
        <v>COMBATENTE</v>
      </c>
      <c r="I787" s="1" t="str">
        <f>IFERROR(__xludf.DUMMYFUNCTION("""COMPUTED_VALUE"""),"Atendiimento Suporte Básico de Vida")</f>
        <v>Atendiimento Suporte Básico de Vida</v>
      </c>
      <c r="J787" s="1" t="str">
        <f>IFERROR(__xludf.DUMMYFUNCTION("""COMPUTED_VALUE"""),"Não")</f>
        <v>Não</v>
      </c>
      <c r="K787" s="1" t="str">
        <f>IFERROR(__xludf.DUMMYFUNCTION("""COMPUTED_VALUE"""),"Não")</f>
        <v>Não</v>
      </c>
      <c r="L787" s="1" t="str">
        <f>IFERROR(__xludf.DUMMYFUNCTION("""COMPUTED_VALUE"""),"B+")</f>
        <v>B+</v>
      </c>
      <c r="M787" s="1" t="str">
        <f>IFERROR(__xludf.DUMMYFUNCTION("""COMPUTED_VALUE"""),"VOLPI")</f>
        <v>VOLPI</v>
      </c>
      <c r="N787" s="120">
        <f>IFERROR(__xludf.DUMMYFUNCTION("""COMPUTED_VALUE"""),31141)</f>
        <v>31141</v>
      </c>
      <c r="O787" s="1" t="str">
        <f>IFERROR(__xludf.DUMMYFUNCTION("""COMPUTED_VALUE"""),"Masculino")</f>
        <v>Masculino</v>
      </c>
      <c r="P787" s="1" t="str">
        <f>IFERROR(__xludf.DUMMYFUNCTION("""COMPUTED_VALUE"""),"Branca")</f>
        <v>Branca</v>
      </c>
      <c r="Q787" s="1" t="str">
        <f>IFERROR(__xludf.DUMMYFUNCTION("""COMPUTED_VALUE"""),"Ensino Superior Incompleto")</f>
        <v>Ensino Superior Incompleto</v>
      </c>
      <c r="R787" s="1" t="str">
        <f>IFERROR(__xludf.DUMMYFUNCTION("""COMPUTED_VALUE"""),"viniciosvolpi@gmail.com")</f>
        <v>viniciosvolpi@gmail.com</v>
      </c>
      <c r="S787" s="1">
        <f>IFERROR(__xludf.DUMMYFUNCTION("""COMPUTED_VALUE"""),68)</f>
        <v>68</v>
      </c>
      <c r="T787" s="1" t="str">
        <f>IFERROR(__xludf.DUMMYFUNCTION("""COMPUTED_VALUE"""),"Entre 1,71m e 1,75m")</f>
        <v>Entre 1,71m e 1,75m</v>
      </c>
      <c r="U787" s="1"/>
      <c r="V787" s="1" t="str">
        <f>IFERROR(__xludf.DUMMYFUNCTION("""COMPUTED_VALUE"""),"(54) 999056445")</f>
        <v>(54) 999056445</v>
      </c>
      <c r="W787" s="1" t="str">
        <f>IFERROR(__xludf.DUMMYFUNCTION("""COMPUTED_VALUE"""),"(54) 999249531")</f>
        <v>(54) 999249531</v>
      </c>
      <c r="X787" s="1" t="str">
        <f>IFERROR(__xludf.DUMMYFUNCTION("""COMPUTED_VALUE"""),"RS")</f>
        <v>RS</v>
      </c>
      <c r="Y787" s="1" t="str">
        <f>IFERROR(__xludf.DUMMYFUNCTION("""COMPUTED_VALUE"""),"Viadutos")</f>
        <v>Viadutos</v>
      </c>
      <c r="Z787" s="1" t="str">
        <f>IFERROR(__xludf.DUMMYFUNCTION("""COMPUTED_VALUE"""),"99820-000")</f>
        <v>99820-000</v>
      </c>
      <c r="AA787" s="1" t="str">
        <f>IFERROR(__xludf.DUMMYFUNCTION("""COMPUTED_VALUE"""),"Rua Anchieta 275")</f>
        <v>Rua Anchieta 275</v>
      </c>
      <c r="AB787" s="1" t="str">
        <f>IFERROR(__xludf.DUMMYFUNCTION("""COMPUTED_VALUE"""),"Centro")</f>
        <v>Centro</v>
      </c>
      <c r="AC787" s="1" t="str">
        <f>IFERROR(__xludf.DUMMYFUNCTION("""COMPUTED_VALUE"""),"M")</f>
        <v>M</v>
      </c>
      <c r="AD787" s="1" t="str">
        <f>IFERROR(__xludf.DUMMYFUNCTION("""COMPUTED_VALUE"""),"M")</f>
        <v>M</v>
      </c>
      <c r="AE787" s="1" t="str">
        <f>IFERROR(__xludf.DUMMYFUNCTION("""COMPUTED_VALUE"""),"M")</f>
        <v>M</v>
      </c>
      <c r="AF787" s="1" t="str">
        <f>IFERROR(__xludf.DUMMYFUNCTION("""COMPUTED_VALUE"""),"M")</f>
        <v>M</v>
      </c>
      <c r="AG787" s="1" t="str">
        <f>IFERROR(__xludf.DUMMYFUNCTION("""COMPUTED_VALUE"""),"M")</f>
        <v>M</v>
      </c>
      <c r="AH787" s="1">
        <f>IFERROR(__xludf.DUMMYFUNCTION("""COMPUTED_VALUE"""),41)</f>
        <v>41</v>
      </c>
      <c r="AI787" s="1">
        <f>IFERROR(__xludf.DUMMYFUNCTION("""COMPUTED_VALUE"""),41)</f>
        <v>41</v>
      </c>
      <c r="AJ787" s="1">
        <f>IFERROR(__xludf.DUMMYFUNCTION("""COMPUTED_VALUE"""),41)</f>
        <v>41</v>
      </c>
      <c r="AK787" s="1">
        <f>IFERROR(__xludf.DUMMYFUNCTION("""COMPUTED_VALUE"""),41)</f>
        <v>41</v>
      </c>
      <c r="AL787" s="1" t="str">
        <f>IFERROR(__xludf.DUMMYFUNCTION("""COMPUTED_VALUE"""),"M")</f>
        <v>M</v>
      </c>
      <c r="AM787" s="1" t="str">
        <f>IFERROR(__xludf.DUMMYFUNCTION("""COMPUTED_VALUE"""),"M")</f>
        <v>M</v>
      </c>
      <c r="AN787" s="1" t="str">
        <f>IFERROR(__xludf.DUMMYFUNCTION("""COMPUTED_VALUE"""),"M")</f>
        <v>M</v>
      </c>
    </row>
    <row r="788" customHeight="1" spans="1:40">
      <c r="A788" s="1" t="str">
        <f>IFERROR(__xludf.DUMMYFUNCTION("""COMPUTED_VALUE"""),"07° BBM")</f>
        <v>07° BBM</v>
      </c>
      <c r="B788" s="1" t="str">
        <f>IFERROR(__xludf.DUMMYFUNCTION("""COMPUTED_VALUE"""),"Erval Grande")</f>
        <v>Erval Grande</v>
      </c>
      <c r="C788" s="119" t="str">
        <f>IFERROR(__xludf.DUMMYFUNCTION("""COMPUTED_VALUE"""),"CAB")</f>
        <v>CAB</v>
      </c>
      <c r="D788" s="1" t="str">
        <f>IFERROR(__xludf.DUMMYFUNCTION("""COMPUTED_VALUE"""),"VINICIUS RICARDO VICARI")</f>
        <v>VINICIUS RICARDO VICARI</v>
      </c>
      <c r="E788" s="119" t="str">
        <f>IFERROR(__xludf.DUMMYFUNCTION("""COMPUTED_VALUE"""),"Módulo 1 concluído")</f>
        <v>Módulo 1 concluído</v>
      </c>
      <c r="F788" s="1"/>
      <c r="G788" s="1"/>
      <c r="H788" s="1"/>
      <c r="I788" s="1"/>
      <c r="J788" s="1"/>
      <c r="K788" s="1"/>
      <c r="L788" s="1"/>
      <c r="M788" s="120"/>
      <c r="N788" s="120">
        <f>IFERROR(__xludf.DUMMYFUNCTION("""COMPUTED_VALUE"""),35677)</f>
        <v>35677</v>
      </c>
      <c r="O788" s="1" t="str">
        <f>IFERROR(__xludf.DUMMYFUNCTION("""COMPUTED_VALUE"""),"Masculino")</f>
        <v>Masculino</v>
      </c>
      <c r="P788" s="1"/>
      <c r="Q788" s="1"/>
      <c r="R788" s="1"/>
      <c r="S788" s="1"/>
      <c r="T788" s="1"/>
      <c r="U788" s="1"/>
      <c r="V788" s="1"/>
      <c r="W788" s="1"/>
      <c r="X788" s="1"/>
      <c r="Y788" s="1"/>
      <c r="Z788" s="1"/>
      <c r="AA788" s="1"/>
      <c r="AB788" s="1"/>
      <c r="AC788" s="1"/>
      <c r="AD788" s="1"/>
      <c r="AE788" s="1"/>
      <c r="AF788" s="1"/>
      <c r="AG788" s="1" t="str">
        <f>IFERROR(__xludf.DUMMYFUNCTION("""COMPUTED_VALUE"""),"P")</f>
        <v>P</v>
      </c>
      <c r="AH788" s="1">
        <f>IFERROR(__xludf.DUMMYFUNCTION("""COMPUTED_VALUE"""),38)</f>
        <v>38</v>
      </c>
      <c r="AI788" s="1"/>
      <c r="AJ788" s="1"/>
      <c r="AK788" s="1"/>
      <c r="AL788" s="1" t="str">
        <f>IFERROR(__xludf.DUMMYFUNCTION("""COMPUTED_VALUE"""),"M")</f>
        <v>M</v>
      </c>
      <c r="AM788" s="1" t="str">
        <f>IFERROR(__xludf.DUMMYFUNCTION("""COMPUTED_VALUE"""),"M")</f>
        <v>M</v>
      </c>
      <c r="AN788" s="1" t="str">
        <f>IFERROR(__xludf.DUMMYFUNCTION("""COMPUTED_VALUE"""),"M")</f>
        <v>M</v>
      </c>
    </row>
    <row r="789" customHeight="1" spans="1:40">
      <c r="A789" s="1" t="str">
        <f>IFERROR(__xludf.DUMMYFUNCTION("""COMPUTED_VALUE"""),"07° BBM")</f>
        <v>07° BBM</v>
      </c>
      <c r="B789" s="1" t="str">
        <f>IFERROR(__xludf.DUMMYFUNCTION("""COMPUTED_VALUE"""),"Erval Grande")</f>
        <v>Erval Grande</v>
      </c>
      <c r="C789" s="119" t="str">
        <f>IFERROR(__xludf.DUMMYFUNCTION("""COMPUTED_VALUE"""),"CAB")</f>
        <v>CAB</v>
      </c>
      <c r="D789" s="1" t="str">
        <f>IFERROR(__xludf.DUMMYFUNCTION("""COMPUTED_VALUE"""),"VIVIANE FÁTIMA QUADRI BATISTELLA")</f>
        <v>VIVIANE FÁTIMA QUADRI BATISTELLA</v>
      </c>
      <c r="E789" s="119" t="str">
        <f>IFERROR(__xludf.DUMMYFUNCTION("""COMPUTED_VALUE"""),"")</f>
        <v/>
      </c>
      <c r="F789" s="1"/>
      <c r="G789" s="1"/>
      <c r="H789" s="1"/>
      <c r="I789" s="1"/>
      <c r="J789" s="1"/>
      <c r="K789" s="1"/>
      <c r="L789" s="1"/>
      <c r="M789" s="1"/>
      <c r="N789" s="120">
        <f>IFERROR(__xludf.DUMMYFUNCTION("""COMPUTED_VALUE"""),28248)</f>
        <v>28248</v>
      </c>
      <c r="O789" s="1" t="str">
        <f>IFERROR(__xludf.DUMMYFUNCTION("""COMPUTED_VALUE"""),"Feminino")</f>
        <v>Feminino</v>
      </c>
      <c r="P789" s="1"/>
      <c r="Q789" s="1"/>
      <c r="R789" s="1"/>
      <c r="S789" s="1"/>
      <c r="T789" s="1"/>
      <c r="U789" s="1"/>
      <c r="V789" s="1"/>
      <c r="W789" s="1"/>
      <c r="X789" s="1"/>
      <c r="Y789" s="1"/>
      <c r="Z789" s="1"/>
      <c r="AA789" s="1"/>
      <c r="AB789" s="1"/>
      <c r="AC789" s="1"/>
      <c r="AD789" s="1"/>
      <c r="AE789" s="1"/>
      <c r="AF789" s="1"/>
      <c r="AG789" s="1" t="str">
        <f>IFERROR(__xludf.DUMMYFUNCTION("""COMPUTED_VALUE"""),"M")</f>
        <v>M</v>
      </c>
      <c r="AH789" s="1">
        <f>IFERROR(__xludf.DUMMYFUNCTION("""COMPUTED_VALUE"""),37)</f>
        <v>37</v>
      </c>
      <c r="AI789" s="1"/>
      <c r="AJ789" s="1"/>
      <c r="AK789" s="1"/>
      <c r="AL789" s="1" t="str">
        <f>IFERROR(__xludf.DUMMYFUNCTION("""COMPUTED_VALUE"""),"G")</f>
        <v>G</v>
      </c>
      <c r="AM789" s="1" t="str">
        <f>IFERROR(__xludf.DUMMYFUNCTION("""COMPUTED_VALUE"""),"G")</f>
        <v>G</v>
      </c>
      <c r="AN789" s="1" t="str">
        <f>IFERROR(__xludf.DUMMYFUNCTION("""COMPUTED_VALUE"""),"G")</f>
        <v>G</v>
      </c>
    </row>
    <row r="790" customHeight="1" spans="1:40">
      <c r="A790" s="1" t="str">
        <f>IFERROR(__xludf.DUMMYFUNCTION("""COMPUTED_VALUE"""),"07° BBM")</f>
        <v>07° BBM</v>
      </c>
      <c r="B790" s="1" t="str">
        <f>IFERROR(__xludf.DUMMYFUNCTION("""COMPUTED_VALUE"""),"Mormaço")</f>
        <v>Mormaço</v>
      </c>
      <c r="C790" s="119" t="str">
        <f>IFERROR(__xludf.DUMMYFUNCTION("""COMPUTED_VALUE"""),"CAB")</f>
        <v>CAB</v>
      </c>
      <c r="D790" s="1" t="str">
        <f>IFERROR(__xludf.DUMMYFUNCTION("""COMPUTED_VALUE"""),"VLADEMIR BORGES DOS SANTOS")</f>
        <v>VLADEMIR BORGES DOS SANTOS</v>
      </c>
      <c r="E790" s="119" t="str">
        <f>IFERROR(__xludf.DUMMYFUNCTION("""COMPUTED_VALUE"""),"")</f>
        <v/>
      </c>
      <c r="F790" s="1" t="str">
        <f>IFERROR(__xludf.DUMMYFUNCTION("""COMPUTED_VALUE"""),"010.072.790-52")</f>
        <v>010.072.790-52</v>
      </c>
      <c r="G790" s="1"/>
      <c r="H790" s="1"/>
      <c r="I790" s="1"/>
      <c r="J790" s="1"/>
      <c r="K790" s="1"/>
      <c r="L790" s="1"/>
      <c r="M790" s="1"/>
      <c r="N790" s="120"/>
      <c r="O790" s="1"/>
      <c r="P790" s="1"/>
      <c r="Q790" s="1"/>
      <c r="R790" s="1" t="str">
        <f>IFERROR(__xludf.DUMMYFUNCTION("""COMPUTED_VALUE"""),"danubiacherini@yahoo.com.br")</f>
        <v>danubiacherini@yahoo.com.br</v>
      </c>
      <c r="S790" s="1"/>
      <c r="T790" s="1"/>
      <c r="U790" s="1"/>
      <c r="V790" s="1"/>
      <c r="W790" s="1"/>
      <c r="X790" s="1"/>
      <c r="Y790" s="1"/>
      <c r="Z790" s="1"/>
      <c r="AA790" s="1"/>
      <c r="AB790" s="1"/>
      <c r="AC790" s="1"/>
      <c r="AD790" s="1"/>
      <c r="AE790" s="1"/>
      <c r="AF790" s="1"/>
      <c r="AG790" s="1" t="str">
        <f>IFERROR(__xludf.DUMMYFUNCTION("""COMPUTED_VALUE"""),"M")</f>
        <v>M</v>
      </c>
      <c r="AH790" s="1">
        <f>IFERROR(__xludf.DUMMYFUNCTION("""COMPUTED_VALUE"""),40)</f>
        <v>40</v>
      </c>
      <c r="AI790" s="1"/>
      <c r="AJ790" s="1"/>
      <c r="AK790" s="1"/>
      <c r="AL790" s="1" t="str">
        <f>IFERROR(__xludf.DUMMYFUNCTION("""COMPUTED_VALUE"""),"M")</f>
        <v>M</v>
      </c>
      <c r="AM790" s="1" t="str">
        <f>IFERROR(__xludf.DUMMYFUNCTION("""COMPUTED_VALUE"""),"M")</f>
        <v>M</v>
      </c>
      <c r="AN790" s="1" t="str">
        <f>IFERROR(__xludf.DUMMYFUNCTION("""COMPUTED_VALUE"""),"M")</f>
        <v>M</v>
      </c>
    </row>
    <row r="791" customHeight="1" spans="1:40">
      <c r="A791" s="1" t="str">
        <f>IFERROR(__xludf.DUMMYFUNCTION("""COMPUTED_VALUE"""),"07° BBM")</f>
        <v>07° BBM</v>
      </c>
      <c r="B791" s="1" t="str">
        <f>IFERROR(__xludf.DUMMYFUNCTION("""COMPUTED_VALUE"""),"Jacutinga")</f>
        <v>Jacutinga</v>
      </c>
      <c r="C791" s="119" t="str">
        <f>IFERROR(__xludf.DUMMYFUNCTION("""COMPUTED_VALUE"""),"CAB")</f>
        <v>CAB</v>
      </c>
      <c r="D791" s="1" t="str">
        <f>IFERROR(__xludf.DUMMYFUNCTION("""COMPUTED_VALUE"""),"VOLMAR DALLA MONTA")</f>
        <v>VOLMAR DALLA MONTA</v>
      </c>
      <c r="E791" s="119" t="str">
        <f>IFERROR(__xludf.DUMMYFUNCTION("""COMPUTED_VALUE"""),"")</f>
        <v/>
      </c>
      <c r="F791" s="1" t="str">
        <f>IFERROR(__xludf.DUMMYFUNCTION("""COMPUTED_VALUE"""),"743.433.430-49")</f>
        <v>743.433.430-49</v>
      </c>
      <c r="G791" s="1">
        <f>IFERROR(__xludf.DUMMYFUNCTION("""COMPUTED_VALUE"""),2068397393)</f>
        <v>2068397393</v>
      </c>
      <c r="H791" s="1" t="str">
        <f>IFERROR(__xludf.DUMMYFUNCTION("""COMPUTED_VALUE"""),"Integrante")</f>
        <v>Integrante</v>
      </c>
      <c r="I791" s="1" t="str">
        <f>IFERROR(__xludf.DUMMYFUNCTION("""COMPUTED_VALUE"""),"TREINAMENTOS EM APH E PREVENÇÃO E COMBATE A INCÊNDIOS JUNTO AO CBM/RS E CURSO DE DIREÇÃO DE VEÍCULOS DE EMERGÊNCIA E HABILITAÇÃO NAVAL CONCEDIDA PELA MARINHA DO BRASIL.")</f>
        <v>TREINAMENTOS EM APH E PREVENÇÃO E COMBATE A INCÊNDIOS JUNTO AO CBM/RS E CURSO DE DIREÇÃO DE VEÍCULOS DE EMERGÊNCIA E HABILITAÇÃO NAVAL CONCEDIDA PELA MARINHA DO BRASIL.</v>
      </c>
      <c r="J791" s="1" t="str">
        <f>IFERROR(__xludf.DUMMYFUNCTION("""COMPUTED_VALUE"""),"Não")</f>
        <v>Não</v>
      </c>
      <c r="K791" s="1" t="str">
        <f>IFERROR(__xludf.DUMMYFUNCTION("""COMPUTED_VALUE"""),"Não")</f>
        <v>Não</v>
      </c>
      <c r="L791" s="1" t="str">
        <f>IFERROR(__xludf.DUMMYFUNCTION("""COMPUTED_VALUE"""),"O+")</f>
        <v>O+</v>
      </c>
      <c r="M791" s="1" t="str">
        <f>IFERROR(__xludf.DUMMYFUNCTION("""COMPUTED_VALUE"""),"Dalla Monta")</f>
        <v>Dalla Monta</v>
      </c>
      <c r="N791" s="121">
        <f>IFERROR(__xludf.DUMMYFUNCTION("""COMPUTED_VALUE"""),28476)</f>
        <v>28476</v>
      </c>
      <c r="O791" s="1" t="str">
        <f>IFERROR(__xludf.DUMMYFUNCTION("""COMPUTED_VALUE"""),"Masculino")</f>
        <v>Masculino</v>
      </c>
      <c r="P791" s="1" t="str">
        <f>IFERROR(__xludf.DUMMYFUNCTION("""COMPUTED_VALUE"""),"Branca")</f>
        <v>Branca</v>
      </c>
      <c r="Q791" s="1" t="str">
        <f>IFERROR(__xludf.DUMMYFUNCTION("""COMPUTED_VALUE"""),"Ensino Médio")</f>
        <v>Ensino Médio</v>
      </c>
      <c r="R791" s="1"/>
      <c r="S791" s="1">
        <f>IFERROR(__xludf.DUMMYFUNCTION("""COMPUTED_VALUE"""),91)</f>
        <v>91</v>
      </c>
      <c r="T791" s="1" t="str">
        <f>IFERROR(__xludf.DUMMYFUNCTION("""COMPUTED_VALUE"""),"Entre 1,81m e 1,85m")</f>
        <v>Entre 1,81m e 1,85m</v>
      </c>
      <c r="U791" s="1"/>
      <c r="V791" s="1" t="str">
        <f>IFERROR(__xludf.DUMMYFUNCTION("""COMPUTED_VALUE"""),"(54) 991691017")</f>
        <v>(54) 991691017</v>
      </c>
      <c r="W791" s="1"/>
      <c r="X791" s="1" t="str">
        <f>IFERROR(__xludf.DUMMYFUNCTION("""COMPUTED_VALUE"""),"RS")</f>
        <v>RS</v>
      </c>
      <c r="Y791" s="1" t="str">
        <f>IFERROR(__xludf.DUMMYFUNCTION("""COMPUTED_VALUE"""),"Jacutinga")</f>
        <v>Jacutinga</v>
      </c>
      <c r="Z791" s="1" t="str">
        <f>IFERROR(__xludf.DUMMYFUNCTION("""COMPUTED_VALUE"""),"99730-000")</f>
        <v>99730-000</v>
      </c>
      <c r="AA791" s="1" t="str">
        <f>IFERROR(__xludf.DUMMYFUNCTION("""COMPUTED_VALUE"""),"Rua Pascoal Montini, 20")</f>
        <v>Rua Pascoal Montini, 20</v>
      </c>
      <c r="AB791" s="1" t="str">
        <f>IFERROR(__xludf.DUMMYFUNCTION("""COMPUTED_VALUE"""),"Centro")</f>
        <v>Centro</v>
      </c>
      <c r="AC791" s="1" t="str">
        <f>IFERROR(__xludf.DUMMYFUNCTION("""COMPUTED_VALUE"""),"G")</f>
        <v>G</v>
      </c>
      <c r="AD791" s="1" t="str">
        <f>IFERROR(__xludf.DUMMYFUNCTION("""COMPUTED_VALUE"""),"G")</f>
        <v>G</v>
      </c>
      <c r="AE791" s="1" t="str">
        <f>IFERROR(__xludf.DUMMYFUNCTION("""COMPUTED_VALUE"""),"G")</f>
        <v>G</v>
      </c>
      <c r="AF791" s="1" t="str">
        <f>IFERROR(__xludf.DUMMYFUNCTION("""COMPUTED_VALUE"""),"G")</f>
        <v>G</v>
      </c>
      <c r="AG791" s="1" t="str">
        <f>IFERROR(__xludf.DUMMYFUNCTION("""COMPUTED_VALUE"""),"G")</f>
        <v>G</v>
      </c>
      <c r="AH791" s="1">
        <f>IFERROR(__xludf.DUMMYFUNCTION("""COMPUTED_VALUE"""),42)</f>
        <v>42</v>
      </c>
      <c r="AI791" s="1">
        <f>IFERROR(__xludf.DUMMYFUNCTION("""COMPUTED_VALUE"""),42)</f>
        <v>42</v>
      </c>
      <c r="AJ791" s="1">
        <f>IFERROR(__xludf.DUMMYFUNCTION("""COMPUTED_VALUE"""),42)</f>
        <v>42</v>
      </c>
      <c r="AK791" s="1">
        <f>IFERROR(__xludf.DUMMYFUNCTION("""COMPUTED_VALUE"""),42)</f>
        <v>42</v>
      </c>
      <c r="AL791" s="1" t="str">
        <f>IFERROR(__xludf.DUMMYFUNCTION("""COMPUTED_VALUE"""),"G")</f>
        <v>G</v>
      </c>
      <c r="AM791" s="1" t="str">
        <f>IFERROR(__xludf.DUMMYFUNCTION("""COMPUTED_VALUE"""),"G")</f>
        <v>G</v>
      </c>
      <c r="AN791" s="1" t="str">
        <f>IFERROR(__xludf.DUMMYFUNCTION("""COMPUTED_VALUE"""),"G")</f>
        <v>G</v>
      </c>
    </row>
    <row r="792" customHeight="1" spans="1:40">
      <c r="A792" s="1" t="str">
        <f>IFERROR(__xludf.DUMMYFUNCTION("""COMPUTED_VALUE"""),"07° BBM")</f>
        <v>07° BBM</v>
      </c>
      <c r="B792" s="1" t="str">
        <f>IFERROR(__xludf.DUMMYFUNCTION("""COMPUTED_VALUE"""),"Gaurama")</f>
        <v>Gaurama</v>
      </c>
      <c r="C792" s="119" t="str">
        <f>IFERROR(__xludf.DUMMYFUNCTION("""COMPUTED_VALUE"""),"CAB")</f>
        <v>CAB</v>
      </c>
      <c r="D792" s="1" t="str">
        <f>IFERROR(__xludf.DUMMYFUNCTION("""COMPUTED_VALUE"""),"VOLMIR JOSÉ AMREIN")</f>
        <v>VOLMIR JOSÉ AMREIN</v>
      </c>
      <c r="E792" s="119" t="str">
        <f>IFERROR(__xludf.DUMMYFUNCTION("""COMPUTED_VALUE"""),"")</f>
        <v/>
      </c>
      <c r="F792" s="1" t="str">
        <f>IFERROR(__xludf.DUMMYFUNCTION("""COMPUTED_VALUE"""),"619.287.040-34")</f>
        <v>619.287.040-34</v>
      </c>
      <c r="G792" s="1">
        <f>IFERROR(__xludf.DUMMYFUNCTION("""COMPUTED_VALUE"""),8039675171)</f>
        <v>8039675171</v>
      </c>
      <c r="H792" s="1" t="str">
        <f>IFERROR(__xludf.DUMMYFUNCTION("""COMPUTED_VALUE"""),"Combatente")</f>
        <v>Combatente</v>
      </c>
      <c r="I792" s="1" t="str">
        <f>IFERROR(__xludf.DUMMYFUNCTION("""COMPUTED_VALUE"""),"Atendimento Suporte Básico de Vida/ cursos Brigada Militar")</f>
        <v>Atendimento Suporte Básico de Vida/ cursos Brigada Militar</v>
      </c>
      <c r="J792" s="1" t="str">
        <f>IFERROR(__xludf.DUMMYFUNCTION("""COMPUTED_VALUE"""),"Não")</f>
        <v>Não</v>
      </c>
      <c r="K792" s="1" t="str">
        <f>IFERROR(__xludf.DUMMYFUNCTION("""COMPUTED_VALUE"""),"Não")</f>
        <v>Não</v>
      </c>
      <c r="L792" s="1" t="str">
        <f>IFERROR(__xludf.DUMMYFUNCTION("""COMPUTED_VALUE"""),"A-")</f>
        <v>A-</v>
      </c>
      <c r="M792" s="1" t="str">
        <f>IFERROR(__xludf.DUMMYFUNCTION("""COMPUTED_VALUE"""),"AMREIN")</f>
        <v>AMREIN</v>
      </c>
      <c r="N792" s="120">
        <f>IFERROR(__xludf.DUMMYFUNCTION("""COMPUTED_VALUE"""),26546)</f>
        <v>26546</v>
      </c>
      <c r="O792" s="1" t="str">
        <f>IFERROR(__xludf.DUMMYFUNCTION("""COMPUTED_VALUE"""),"Masculino")</f>
        <v>Masculino</v>
      </c>
      <c r="P792" s="1" t="str">
        <f>IFERROR(__xludf.DUMMYFUNCTION("""COMPUTED_VALUE"""),"Branca")</f>
        <v>Branca</v>
      </c>
      <c r="Q792" s="1" t="str">
        <f>IFERROR(__xludf.DUMMYFUNCTION("""COMPUTED_VALUE"""),"Ensino Superior Completo")</f>
        <v>Ensino Superior Completo</v>
      </c>
      <c r="R792" s="1" t="str">
        <f>IFERROR(__xludf.DUMMYFUNCTION("""COMPUTED_VALUE"""),"amrein51@gmail.com")</f>
        <v>amrein51@gmail.com</v>
      </c>
      <c r="S792" s="1">
        <f>IFERROR(__xludf.DUMMYFUNCTION("""COMPUTED_VALUE"""),91)</f>
        <v>91</v>
      </c>
      <c r="T792" s="1" t="str">
        <f>IFERROR(__xludf.DUMMYFUNCTION("""COMPUTED_VALUE"""),"Entre 1,71m e 1,75m")</f>
        <v>Entre 1,71m e 1,75m</v>
      </c>
      <c r="U792" s="1"/>
      <c r="V792" s="1" t="str">
        <f>IFERROR(__xludf.DUMMYFUNCTION("""COMPUTED_VALUE"""),"(54)999669842")</f>
        <v>(54)999669842</v>
      </c>
      <c r="W792" s="1"/>
      <c r="X792" s="1" t="str">
        <f>IFERROR(__xludf.DUMMYFUNCTION("""COMPUTED_VALUE"""),"RS")</f>
        <v>RS</v>
      </c>
      <c r="Y792" s="1" t="str">
        <f>IFERROR(__xludf.DUMMYFUNCTION("""COMPUTED_VALUE"""),"Gaurama")</f>
        <v>Gaurama</v>
      </c>
      <c r="Z792" s="1">
        <f>IFERROR(__xludf.DUMMYFUNCTION("""COMPUTED_VALUE"""),99830000)</f>
        <v>99830000</v>
      </c>
      <c r="AA792" s="1" t="str">
        <f>IFERROR(__xludf.DUMMYFUNCTION("""COMPUTED_VALUE"""),"RUA JOÃO AMANDIO SPERB")</f>
        <v>RUA JOÃO AMANDIO SPERB</v>
      </c>
      <c r="AB792" s="1" t="str">
        <f>IFERROR(__xludf.DUMMYFUNCTION("""COMPUTED_VALUE"""),"CENTRO")</f>
        <v>CENTRO</v>
      </c>
      <c r="AC792" s="1" t="str">
        <f>IFERROR(__xludf.DUMMYFUNCTION("""COMPUTED_VALUE"""),"G")</f>
        <v>G</v>
      </c>
      <c r="AD792" s="1" t="str">
        <f>IFERROR(__xludf.DUMMYFUNCTION("""COMPUTED_VALUE"""),"G")</f>
        <v>G</v>
      </c>
      <c r="AE792" s="1" t="str">
        <f>IFERROR(__xludf.DUMMYFUNCTION("""COMPUTED_VALUE"""),"G")</f>
        <v>G</v>
      </c>
      <c r="AF792" s="1" t="str">
        <f>IFERROR(__xludf.DUMMYFUNCTION("""COMPUTED_VALUE"""),"G")</f>
        <v>G</v>
      </c>
      <c r="AG792" s="1" t="str">
        <f>IFERROR(__xludf.DUMMYFUNCTION("""COMPUTED_VALUE"""),"G")</f>
        <v>G</v>
      </c>
      <c r="AH792" s="1">
        <f>IFERROR(__xludf.DUMMYFUNCTION("""COMPUTED_VALUE"""),46)</f>
        <v>46</v>
      </c>
      <c r="AI792" s="1">
        <f>IFERROR(__xludf.DUMMYFUNCTION("""COMPUTED_VALUE"""),40)</f>
        <v>40</v>
      </c>
      <c r="AJ792" s="1">
        <f>IFERROR(__xludf.DUMMYFUNCTION("""COMPUTED_VALUE"""),40)</f>
        <v>40</v>
      </c>
      <c r="AK792" s="1">
        <f>IFERROR(__xludf.DUMMYFUNCTION("""COMPUTED_VALUE"""),40)</f>
        <v>40</v>
      </c>
      <c r="AL792" s="1" t="str">
        <f>IFERROR(__xludf.DUMMYFUNCTION("""COMPUTED_VALUE"""),"G")</f>
        <v>G</v>
      </c>
      <c r="AM792" s="1" t="str">
        <f>IFERROR(__xludf.DUMMYFUNCTION("""COMPUTED_VALUE"""),"G")</f>
        <v>G</v>
      </c>
      <c r="AN792" s="1" t="str">
        <f>IFERROR(__xludf.DUMMYFUNCTION("""COMPUTED_VALUE"""),"G")</f>
        <v>G</v>
      </c>
    </row>
    <row r="793" customHeight="1" spans="1:40">
      <c r="A793" s="1" t="str">
        <f>IFERROR(__xludf.DUMMYFUNCTION("""COMPUTED_VALUE"""),"07° BBM")</f>
        <v>07° BBM</v>
      </c>
      <c r="B793" s="1"/>
      <c r="C793" s="119"/>
      <c r="D793" s="1" t="str">
        <f>IFERROR(__xludf.DUMMYFUNCTION("""COMPUTED_VALUE"""),"VOLMIR NEGRINI")</f>
        <v>VOLMIR NEGRINI</v>
      </c>
      <c r="E793" s="119" t="str">
        <f>IFERROR(__xludf.DUMMYFUNCTION("""COMPUTED_VALUE"""),"Módulo 1 concluído")</f>
        <v>Módulo 1 concluído</v>
      </c>
      <c r="F793" s="1" t="str">
        <f>IFERROR(__xludf.DUMMYFUNCTION("""COMPUTED_VALUE"""),"471.345.770-15")</f>
        <v>471.345.770-15</v>
      </c>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row>
    <row r="794" customHeight="1" spans="1:40">
      <c r="A794" s="1" t="str">
        <f>IFERROR(__xludf.DUMMYFUNCTION("""COMPUTED_VALUE"""),"07° BBM")</f>
        <v>07° BBM</v>
      </c>
      <c r="B794" s="1" t="str">
        <f>IFERROR(__xludf.DUMMYFUNCTION("""COMPUTED_VALUE"""),"Faxinalzinho")</f>
        <v>Faxinalzinho</v>
      </c>
      <c r="C794" s="119" t="str">
        <f>IFERROR(__xludf.DUMMYFUNCTION("""COMPUTED_VALUE"""),"CAB")</f>
        <v>CAB</v>
      </c>
      <c r="D794" s="1" t="str">
        <f>IFERROR(__xludf.DUMMYFUNCTION("""COMPUTED_VALUE"""),"VOLNEI PICOLI")</f>
        <v>VOLNEI PICOLI</v>
      </c>
      <c r="E794" s="119" t="str">
        <f>IFERROR(__xludf.DUMMYFUNCTION("""COMPUTED_VALUE"""),"")</f>
        <v/>
      </c>
      <c r="F794" s="1"/>
      <c r="G794" s="1"/>
      <c r="H794" s="1"/>
      <c r="I794" s="1"/>
      <c r="J794" s="1"/>
      <c r="K794" s="1"/>
      <c r="L794" s="1"/>
      <c r="M794" s="1"/>
      <c r="N794" s="121">
        <f>IFERROR(__xludf.DUMMYFUNCTION("""COMPUTED_VALUE"""),27430)</f>
        <v>27430</v>
      </c>
      <c r="O794" s="1" t="str">
        <f>IFERROR(__xludf.DUMMYFUNCTION("""COMPUTED_VALUE"""),"Masculino")</f>
        <v>Masculino</v>
      </c>
      <c r="P794" s="1"/>
      <c r="Q794" s="1"/>
      <c r="R794" s="1"/>
      <c r="S794" s="1"/>
      <c r="T794" s="1"/>
      <c r="U794" s="1"/>
      <c r="V794" s="1"/>
      <c r="W794" s="1"/>
      <c r="X794" s="1"/>
      <c r="Y794" s="1" t="str">
        <f>IFERROR(__xludf.DUMMYFUNCTION("""COMPUTED_VALUE"""),"Faxinalzinho")</f>
        <v>Faxinalzinho</v>
      </c>
      <c r="Z794" s="1"/>
      <c r="AA794" s="1"/>
      <c r="AB794" s="1"/>
      <c r="AC794" s="1"/>
      <c r="AD794" s="1"/>
      <c r="AE794" s="1"/>
      <c r="AF794" s="1"/>
      <c r="AG794" s="1" t="str">
        <f>IFERROR(__xludf.DUMMYFUNCTION("""COMPUTED_VALUE"""),"G")</f>
        <v>G</v>
      </c>
      <c r="AH794" s="1">
        <f>IFERROR(__xludf.DUMMYFUNCTION("""COMPUTED_VALUE"""),41)</f>
        <v>41</v>
      </c>
      <c r="AI794" s="1"/>
      <c r="AJ794" s="1"/>
      <c r="AK794" s="1"/>
      <c r="AL794" s="1" t="str">
        <f>IFERROR(__xludf.DUMMYFUNCTION("""COMPUTED_VALUE"""),"G")</f>
        <v>G</v>
      </c>
      <c r="AM794" s="1" t="str">
        <f>IFERROR(__xludf.DUMMYFUNCTION("""COMPUTED_VALUE"""),"G")</f>
        <v>G</v>
      </c>
      <c r="AN794" s="1" t="str">
        <f>IFERROR(__xludf.DUMMYFUNCTION("""COMPUTED_VALUE"""),"G")</f>
        <v>G</v>
      </c>
    </row>
    <row r="795" customHeight="1" spans="1:40">
      <c r="A795" s="1" t="str">
        <f>IFERROR(__xludf.DUMMYFUNCTION("""COMPUTED_VALUE"""),"07° BBM")</f>
        <v>07° BBM</v>
      </c>
      <c r="B795" s="1" t="str">
        <f>IFERROR(__xludf.DUMMYFUNCTION("""COMPUTED_VALUE"""),"Áurea")</f>
        <v>Áurea</v>
      </c>
      <c r="C795" s="119" t="str">
        <f>IFERROR(__xludf.DUMMYFUNCTION("""COMPUTED_VALUE"""),"CAB")</f>
        <v>CAB</v>
      </c>
      <c r="D795" s="1" t="str">
        <f>IFERROR(__xludf.DUMMYFUNCTION("""COMPUTED_VALUE"""),"WESLEY NAZZARI")</f>
        <v>WESLEY NAZZARI</v>
      </c>
      <c r="E795" s="119" t="str">
        <f>IFERROR(__xludf.DUMMYFUNCTION("""COMPUTED_VALUE"""),"")</f>
        <v/>
      </c>
      <c r="F795" s="1" t="str">
        <f>IFERROR(__xludf.DUMMYFUNCTION("""COMPUTED_VALUE"""),"016.092.590-84")</f>
        <v>016.092.590-84</v>
      </c>
      <c r="G795" s="1">
        <f>IFERROR(__xludf.DUMMYFUNCTION("""COMPUTED_VALUE"""),4086040229)</f>
        <v>4086040229</v>
      </c>
      <c r="H795" s="1" t="str">
        <f>IFERROR(__xludf.DUMMYFUNCTION("""COMPUTED_VALUE"""),"socorrista")</f>
        <v>socorrista</v>
      </c>
      <c r="I795" s="1" t="str">
        <f>IFERROR(__xludf.DUMMYFUNCTION("""COMPUTED_VALUE"""),"Medicina")</f>
        <v>Medicina</v>
      </c>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row>
    <row r="796" customHeight="1" spans="1:40">
      <c r="A796" s="1" t="str">
        <f>IFERROR(__xludf.DUMMYFUNCTION("""COMPUTED_VALUE"""),"07° BBM")</f>
        <v>07° BBM</v>
      </c>
      <c r="B796" s="1" t="str">
        <f>IFERROR(__xludf.DUMMYFUNCTION("""COMPUTED_VALUE"""),"Áurea")</f>
        <v>Áurea</v>
      </c>
      <c r="C796" s="119" t="str">
        <f>IFERROR(__xludf.DUMMYFUNCTION("""COMPUTED_VALUE"""),"CAB")</f>
        <v>CAB</v>
      </c>
      <c r="D796" s="1" t="str">
        <f>IFERROR(__xludf.DUMMYFUNCTION("""COMPUTED_VALUE"""),"ZELAVIR SYCHOCKI")</f>
        <v>ZELAVIR SYCHOCKI</v>
      </c>
      <c r="E796" s="119" t="str">
        <f>IFERROR(__xludf.DUMMYFUNCTION("""COMPUTED_VALUE"""),"")</f>
        <v/>
      </c>
      <c r="F796" s="1" t="str">
        <f>IFERROR(__xludf.DUMMYFUNCTION("""COMPUTED_VALUE"""),"682.040.000-49")</f>
        <v>682.040.000-49</v>
      </c>
      <c r="G796" s="1">
        <f>IFERROR(__xludf.DUMMYFUNCTION("""COMPUTED_VALUE"""),6071318759)</f>
        <v>6071318759</v>
      </c>
      <c r="H796" s="1" t="str">
        <f>IFERROR(__xludf.DUMMYFUNCTION("""COMPUTED_VALUE"""),"motorista")</f>
        <v>motorista</v>
      </c>
      <c r="I796" s="1"/>
      <c r="J796" s="1"/>
      <c r="K796" s="1"/>
      <c r="L796" s="1"/>
      <c r="M796" s="1"/>
      <c r="N796" s="120"/>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row>
    <row r="797" customHeight="1" spans="1:40">
      <c r="A797" s="1" t="str">
        <f>IFERROR(__xludf.DUMMYFUNCTION("""COMPUTED_VALUE"""),"07° BBM")</f>
        <v>07° BBM</v>
      </c>
      <c r="B797" s="1" t="str">
        <f>IFERROR(__xludf.DUMMYFUNCTION("""COMPUTED_VALUE"""),"Gaurama")</f>
        <v>Gaurama</v>
      </c>
      <c r="C797" s="119" t="str">
        <f>IFERROR(__xludf.DUMMYFUNCTION("""COMPUTED_VALUE"""),"CAB")</f>
        <v>CAB</v>
      </c>
      <c r="D797" s="1" t="str">
        <f>IFERROR(__xludf.DUMMYFUNCTION("""COMPUTED_VALUE"""),"ZONOLEI EVANDRO STEIN")</f>
        <v>ZONOLEI EVANDRO STEIN</v>
      </c>
      <c r="E797" s="119" t="str">
        <f>IFERROR(__xludf.DUMMYFUNCTION("""COMPUTED_VALUE"""),"Módulo 1 concluído")</f>
        <v>Módulo 1 concluído</v>
      </c>
      <c r="F797" s="1" t="str">
        <f>IFERROR(__xludf.DUMMYFUNCTION("""COMPUTED_VALUE"""),"931.187.670-49")</f>
        <v>931.187.670-49</v>
      </c>
      <c r="G797" s="1">
        <f>IFERROR(__xludf.DUMMYFUNCTION("""COMPUTED_VALUE"""),8070924471)</f>
        <v>8070924471</v>
      </c>
      <c r="H797" s="1" t="str">
        <f>IFERROR(__xludf.DUMMYFUNCTION("""COMPUTED_VALUE"""),"Comandante/Presidente")</f>
        <v>Comandante/Presidente</v>
      </c>
      <c r="I797" s="1" t="str">
        <f>IFERROR(__xludf.DUMMYFUNCTION("""COMPUTED_VALUE"""),"Atendimento Suporte Básico de Vida/CVE/CTVE/ cursos Brigada Militar")</f>
        <v>Atendimento Suporte Básico de Vida/CVE/CTVE/ cursos Brigada Militar</v>
      </c>
      <c r="J797" s="1" t="str">
        <f>IFERROR(__xludf.DUMMYFUNCTION("""COMPUTED_VALUE"""),"Não")</f>
        <v>Não</v>
      </c>
      <c r="K797" s="1" t="str">
        <f>IFERROR(__xludf.DUMMYFUNCTION("""COMPUTED_VALUE"""),"Não")</f>
        <v>Não</v>
      </c>
      <c r="L797" s="1" t="str">
        <f>IFERROR(__xludf.DUMMYFUNCTION("""COMPUTED_VALUE"""),"A+")</f>
        <v>A+</v>
      </c>
      <c r="M797" s="1" t="str">
        <f>IFERROR(__xludf.DUMMYFUNCTION("""COMPUTED_VALUE"""),"STEIN")</f>
        <v>STEIN</v>
      </c>
      <c r="N797" s="120">
        <f>IFERROR(__xludf.DUMMYFUNCTION("""COMPUTED_VALUE"""),27853)</f>
        <v>27853</v>
      </c>
      <c r="O797" s="1" t="str">
        <f>IFERROR(__xludf.DUMMYFUNCTION("""COMPUTED_VALUE"""),"Masculino")</f>
        <v>Masculino</v>
      </c>
      <c r="P797" s="1" t="str">
        <f>IFERROR(__xludf.DUMMYFUNCTION("""COMPUTED_VALUE"""),"Branca")</f>
        <v>Branca</v>
      </c>
      <c r="Q797" s="1" t="str">
        <f>IFERROR(__xludf.DUMMYFUNCTION("""COMPUTED_VALUE"""),"Ensino Superior Completo")</f>
        <v>Ensino Superior Completo</v>
      </c>
      <c r="R797" s="1" t="str">
        <f>IFERROR(__xludf.DUMMYFUNCTION("""COMPUTED_VALUE"""),"zonolei@hotmail.com")</f>
        <v>zonolei@hotmail.com</v>
      </c>
      <c r="S797" s="1">
        <f>IFERROR(__xludf.DUMMYFUNCTION("""COMPUTED_VALUE"""),83)</f>
        <v>83</v>
      </c>
      <c r="T797" s="1" t="str">
        <f>IFERROR(__xludf.DUMMYFUNCTION("""COMPUTED_VALUE"""),"Entre 1,71m e 1,75m")</f>
        <v>Entre 1,71m e 1,75m</v>
      </c>
      <c r="U797" s="1"/>
      <c r="V797" s="1" t="str">
        <f>IFERROR(__xludf.DUMMYFUNCTION("""COMPUTED_VALUE"""),"(54)999845172")</f>
        <v>(54)999845172</v>
      </c>
      <c r="W797" s="1"/>
      <c r="X797" s="1" t="str">
        <f>IFERROR(__xludf.DUMMYFUNCTION("""COMPUTED_VALUE"""),"RS")</f>
        <v>RS</v>
      </c>
      <c r="Y797" s="1" t="str">
        <f>IFERROR(__xludf.DUMMYFUNCTION("""COMPUTED_VALUE"""),"Gaurama")</f>
        <v>Gaurama</v>
      </c>
      <c r="Z797" s="1">
        <f>IFERROR(__xludf.DUMMYFUNCTION("""COMPUTED_VALUE"""),99830000)</f>
        <v>99830000</v>
      </c>
      <c r="AA797" s="1" t="str">
        <f>IFERROR(__xludf.DUMMYFUNCTION("""COMPUTED_VALUE"""),"RUA LIBANO ALVES DE OLIVEIRA")</f>
        <v>RUA LIBANO ALVES DE OLIVEIRA</v>
      </c>
      <c r="AB797" s="1" t="str">
        <f>IFERROR(__xludf.DUMMYFUNCTION("""COMPUTED_VALUE"""),"CENTRO")</f>
        <v>CENTRO</v>
      </c>
      <c r="AC797" s="1" t="str">
        <f>IFERROR(__xludf.DUMMYFUNCTION("""COMPUTED_VALUE"""),"G")</f>
        <v>G</v>
      </c>
      <c r="AD797" s="1" t="str">
        <f>IFERROR(__xludf.DUMMYFUNCTION("""COMPUTED_VALUE"""),"G")</f>
        <v>G</v>
      </c>
      <c r="AE797" s="1" t="str">
        <f>IFERROR(__xludf.DUMMYFUNCTION("""COMPUTED_VALUE"""),"G")</f>
        <v>G</v>
      </c>
      <c r="AF797" s="1" t="str">
        <f>IFERROR(__xludf.DUMMYFUNCTION("""COMPUTED_VALUE"""),"G")</f>
        <v>G</v>
      </c>
      <c r="AG797" s="1" t="str">
        <f>IFERROR(__xludf.DUMMYFUNCTION("""COMPUTED_VALUE"""),"G")</f>
        <v>G</v>
      </c>
      <c r="AH797" s="1">
        <f>IFERROR(__xludf.DUMMYFUNCTION("""COMPUTED_VALUE"""),42)</f>
        <v>42</v>
      </c>
      <c r="AI797" s="1">
        <f>IFERROR(__xludf.DUMMYFUNCTION("""COMPUTED_VALUE"""),42)</f>
        <v>42</v>
      </c>
      <c r="AJ797" s="1">
        <f>IFERROR(__xludf.DUMMYFUNCTION("""COMPUTED_VALUE"""),42)</f>
        <v>42</v>
      </c>
      <c r="AK797" s="1">
        <f>IFERROR(__xludf.DUMMYFUNCTION("""COMPUTED_VALUE"""),42)</f>
        <v>42</v>
      </c>
      <c r="AL797" s="1" t="str">
        <f>IFERROR(__xludf.DUMMYFUNCTION("""COMPUTED_VALUE"""),"G")</f>
        <v>G</v>
      </c>
      <c r="AM797" s="1" t="str">
        <f>IFERROR(__xludf.DUMMYFUNCTION("""COMPUTED_VALUE"""),"G")</f>
        <v>G</v>
      </c>
      <c r="AN797" s="1" t="str">
        <f>IFERROR(__xludf.DUMMYFUNCTION("""COMPUTED_VALUE"""),"G")</f>
        <v>G</v>
      </c>
    </row>
    <row r="837" customHeight="1" spans="1:1">
      <c r="A837" s="126"/>
    </row>
    <row r="884" customHeight="1" spans="1:40">
      <c r="A884" s="1" t="str">
        <f>IFERROR(__xludf.DUMMYFUNCTION("IMPORTRANGE(""1uCBYq_B1noXDnZ2hAWfjmyqidVGOrreR1eUpbj41kZg/edit?gid=516654854"",""8BBM!A2:AN"")"),"08° BBM")</f>
        <v>08° BBM</v>
      </c>
      <c r="B884" s="1" t="str">
        <f>IFERROR(__xludf.DUMMYFUNCTION("""COMPUTED_VALUE"""),"Esteio")</f>
        <v>Esteio</v>
      </c>
      <c r="C884" s="119" t="str">
        <f>IFERROR(__xludf.DUMMYFUNCTION("""COMPUTED_VALUE"""),"Comunitario")</f>
        <v>Comunitario</v>
      </c>
      <c r="D884" s="1" t="str">
        <f>IFERROR(__xludf.DUMMYFUNCTION("""COMPUTED_VALUE"""),"ADRIANO MARCELO MACHADO")</f>
        <v>ADRIANO MARCELO MACHADO</v>
      </c>
      <c r="E884" s="119" t="str">
        <f>IFERROR(__xludf.DUMMYFUNCTION("""COMPUTED_VALUE"""),"Curso CAB operador concluído")</f>
        <v>Curso CAB operador concluído</v>
      </c>
      <c r="F884" s="1" t="str">
        <f>IFERROR(__xludf.DUMMYFUNCTION("""COMPUTED_VALUE"""),"820.447.910-72")</f>
        <v>820.447.910-72</v>
      </c>
      <c r="G884" s="1">
        <f>IFERROR(__xludf.DUMMYFUNCTION("""COMPUTED_VALUE"""),3076592926)</f>
        <v>3076592926</v>
      </c>
      <c r="H884" s="1" t="str">
        <f>IFERROR(__xludf.DUMMYFUNCTION("""COMPUTED_VALUE"""),"Combatente Linha / socorrista")</f>
        <v>Combatente Linha / socorrista</v>
      </c>
      <c r="I884" s="1" t="str">
        <f>IFERROR(__xludf.DUMMYFUNCTION("""COMPUTED_VALUE"""),"Bombeiro Civil Classe III")</f>
        <v>Bombeiro Civil Classe III</v>
      </c>
      <c r="J884" s="1" t="str">
        <f>IFERROR(__xludf.DUMMYFUNCTION("""COMPUTED_VALUE"""),"Não")</f>
        <v>Não</v>
      </c>
      <c r="K884" s="1" t="str">
        <f>IFERROR(__xludf.DUMMYFUNCTION("""COMPUTED_VALUE"""),"Não")</f>
        <v>Não</v>
      </c>
      <c r="L884" s="1" t="str">
        <f>IFERROR(__xludf.DUMMYFUNCTION("""COMPUTED_VALUE"""),"O-")</f>
        <v>O-</v>
      </c>
      <c r="M884" s="1" t="str">
        <f>IFERROR(__xludf.DUMMYFUNCTION("""COMPUTED_VALUE"""),"Adriano")</f>
        <v>Adriano</v>
      </c>
      <c r="N884" s="120">
        <f>IFERROR(__xludf.DUMMYFUNCTION("""COMPUTED_VALUE"""),29923)</f>
        <v>29923</v>
      </c>
      <c r="O884" s="1" t="str">
        <f>IFERROR(__xludf.DUMMYFUNCTION("""COMPUTED_VALUE"""),"Masculino")</f>
        <v>Masculino</v>
      </c>
      <c r="P884" s="1" t="str">
        <f>IFERROR(__xludf.DUMMYFUNCTION("""COMPUTED_VALUE"""),"Branca")</f>
        <v>Branca</v>
      </c>
      <c r="Q884" s="1" t="str">
        <f>IFERROR(__xludf.DUMMYFUNCTION("""COMPUTED_VALUE"""),"Ensino Superior Incompleto")</f>
        <v>Ensino Superior Incompleto</v>
      </c>
      <c r="R884" s="1" t="str">
        <f>IFERROR(__xludf.DUMMYFUNCTION("""COMPUTED_VALUE"""),"adrianomarcelomachado@gmail.com")</f>
        <v>adrianomarcelomachado@gmail.com</v>
      </c>
      <c r="S884" s="1">
        <f>IFERROR(__xludf.DUMMYFUNCTION("""COMPUTED_VALUE"""),110)</f>
        <v>110</v>
      </c>
      <c r="T884" s="1" t="str">
        <f>IFERROR(__xludf.DUMMYFUNCTION("""COMPUTED_VALUE"""),"Entre 1,86m e 1,90m")</f>
        <v>Entre 1,86m e 1,90m</v>
      </c>
      <c r="U884" s="1"/>
      <c r="V884" s="1" t="str">
        <f>IFERROR(__xludf.DUMMYFUNCTION("""COMPUTED_VALUE"""),"51 985696171")</f>
        <v>51 985696171</v>
      </c>
      <c r="W884" s="1" t="str">
        <f>IFERROR(__xludf.DUMMYFUNCTION("""COMPUTED_VALUE"""),"51 991675163")</f>
        <v>51 991675163</v>
      </c>
      <c r="X884" s="1" t="str">
        <f>IFERROR(__xludf.DUMMYFUNCTION("""COMPUTED_VALUE"""),"RS")</f>
        <v>RS</v>
      </c>
      <c r="Y884" s="1" t="str">
        <f>IFERROR(__xludf.DUMMYFUNCTION("""COMPUTED_VALUE"""),"Esteio")</f>
        <v>Esteio</v>
      </c>
      <c r="Z884" s="1" t="str">
        <f>IFERROR(__xludf.DUMMYFUNCTION("""COMPUTED_VALUE"""),"93260-140")</f>
        <v>93260-140</v>
      </c>
      <c r="AA884" s="1" t="str">
        <f>IFERROR(__xludf.DUMMYFUNCTION("""COMPUTED_VALUE"""),"Av. Senador Salgado Filho, 1341, Apt 202")</f>
        <v>Av. Senador Salgado Filho, 1341, Apt 202</v>
      </c>
      <c r="AB884" s="1" t="str">
        <f>IFERROR(__xludf.DUMMYFUNCTION("""COMPUTED_VALUE"""),"Centro")</f>
        <v>Centro</v>
      </c>
      <c r="AC884" s="1" t="str">
        <f>IFERROR(__xludf.DUMMYFUNCTION("""COMPUTED_VALUE"""),"GG")</f>
        <v>GG</v>
      </c>
      <c r="AD884" s="1" t="str">
        <f>IFERROR(__xludf.DUMMYFUNCTION("""COMPUTED_VALUE"""),"GG")</f>
        <v>GG</v>
      </c>
      <c r="AE884" s="1" t="str">
        <f>IFERROR(__xludf.DUMMYFUNCTION("""COMPUTED_VALUE"""),"GG")</f>
        <v>GG</v>
      </c>
      <c r="AF884" s="1" t="str">
        <f>IFERROR(__xludf.DUMMYFUNCTION("""COMPUTED_VALUE"""),"GG")</f>
        <v>GG</v>
      </c>
      <c r="AG884" s="1" t="str">
        <f>IFERROR(__xludf.DUMMYFUNCTION("""COMPUTED_VALUE"""),"GG")</f>
        <v>GG</v>
      </c>
      <c r="AH884" s="1">
        <f>IFERROR(__xludf.DUMMYFUNCTION("""COMPUTED_VALUE"""),44)</f>
        <v>44</v>
      </c>
      <c r="AI884" s="1">
        <f>IFERROR(__xludf.DUMMYFUNCTION("""COMPUTED_VALUE"""),44)</f>
        <v>44</v>
      </c>
      <c r="AJ884" s="1">
        <f>IFERROR(__xludf.DUMMYFUNCTION("""COMPUTED_VALUE"""),44)</f>
        <v>44</v>
      </c>
      <c r="AK884" s="1">
        <f>IFERROR(__xludf.DUMMYFUNCTION("""COMPUTED_VALUE"""),44)</f>
        <v>44</v>
      </c>
      <c r="AL884" s="1" t="str">
        <f>IFERROR(__xludf.DUMMYFUNCTION("""COMPUTED_VALUE"""),"GG")</f>
        <v>GG</v>
      </c>
      <c r="AM884" s="1" t="str">
        <f>IFERROR(__xludf.DUMMYFUNCTION("""COMPUTED_VALUE"""),"GG")</f>
        <v>GG</v>
      </c>
      <c r="AN884" s="1" t="str">
        <f>IFERROR(__xludf.DUMMYFUNCTION("""COMPUTED_VALUE"""),"GG")</f>
        <v>GG</v>
      </c>
    </row>
    <row r="885" customHeight="1" spans="1:40">
      <c r="A885" s="1" t="str">
        <f>IFERROR(__xludf.DUMMYFUNCTION("""COMPUTED_VALUE"""),"6º BBM")</f>
        <v>6º BBM</v>
      </c>
      <c r="B885" s="1"/>
      <c r="C885" s="119"/>
      <c r="D885" s="1" t="str">
        <f>IFERROR(__xludf.DUMMYFUNCTION("""COMPUTED_VALUE"""),"ALEXANDRE DE CAMPOS BRASIL")</f>
        <v>ALEXANDRE DE CAMPOS BRASIL</v>
      </c>
      <c r="E885" s="119" t="str">
        <f>IFERROR(__xludf.DUMMYFUNCTION("""COMPUTED_VALUE"""),"")</f>
        <v/>
      </c>
      <c r="F885" s="1" t="str">
        <f>IFERROR(__xludf.DUMMYFUNCTION("""COMPUTED_VALUE"""),"966.212.300-87")</f>
        <v>966.212.300-87</v>
      </c>
      <c r="G885" s="1"/>
      <c r="H885" s="1"/>
      <c r="I885" s="1"/>
      <c r="J885" s="1"/>
      <c r="K885" s="1"/>
      <c r="L885" s="1"/>
      <c r="M885" s="1"/>
      <c r="N885" s="120"/>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row>
    <row r="886" customHeight="1" spans="1:40">
      <c r="A886" s="1" t="str">
        <f>IFERROR(__xludf.DUMMYFUNCTION("""COMPUTED_VALUE"""),"08° BBM")</f>
        <v>08° BBM</v>
      </c>
      <c r="B886" s="1" t="str">
        <f>IFERROR(__xludf.DUMMYFUNCTION("""COMPUTED_VALUE"""),"Esteio")</f>
        <v>Esteio</v>
      </c>
      <c r="C886" s="119" t="str">
        <f>IFERROR(__xludf.DUMMYFUNCTION("""COMPUTED_VALUE"""),"Comunitario")</f>
        <v>Comunitario</v>
      </c>
      <c r="D886" s="1" t="str">
        <f>IFERROR(__xludf.DUMMYFUNCTION("""COMPUTED_VALUE"""),"ALEXSANDRO FONTOURA DA SILVA")</f>
        <v>ALEXSANDRO FONTOURA DA SILVA</v>
      </c>
      <c r="E886" s="119" t="str">
        <f>IFERROR(__xludf.DUMMYFUNCTION("""COMPUTED_VALUE"""),"Curso CAB operador concluído")</f>
        <v>Curso CAB operador concluído</v>
      </c>
      <c r="F886" s="1" t="str">
        <f>IFERROR(__xludf.DUMMYFUNCTION("""COMPUTED_VALUE"""),"706.823.720-72")</f>
        <v>706.823.720-72</v>
      </c>
      <c r="G886" s="1">
        <f>IFERROR(__xludf.DUMMYFUNCTION("""COMPUTED_VALUE"""),1050653045)</f>
        <v>1050653045</v>
      </c>
      <c r="H886" s="1" t="str">
        <f>IFERROR(__xludf.DUMMYFUNCTION("""COMPUTED_VALUE"""),"Combatente Linha / socorrista")</f>
        <v>Combatente Linha / socorrista</v>
      </c>
      <c r="I886" s="1" t="str">
        <f>IFERROR(__xludf.DUMMYFUNCTION("""COMPUTED_VALUE"""),"Bombeiro Civil Classe I")</f>
        <v>Bombeiro Civil Classe I</v>
      </c>
      <c r="J886" s="1" t="str">
        <f>IFERROR(__xludf.DUMMYFUNCTION("""COMPUTED_VALUE"""),"Não")</f>
        <v>Não</v>
      </c>
      <c r="K886" s="1" t="str">
        <f>IFERROR(__xludf.DUMMYFUNCTION("""COMPUTED_VALUE"""),"Não")</f>
        <v>Não</v>
      </c>
      <c r="L886" s="1" t="str">
        <f>IFERROR(__xludf.DUMMYFUNCTION("""COMPUTED_VALUE"""),"O-")</f>
        <v>O-</v>
      </c>
      <c r="M886" s="1" t="str">
        <f>IFERROR(__xludf.DUMMYFUNCTION("""COMPUTED_VALUE"""),"Alexsandro")</f>
        <v>Alexsandro</v>
      </c>
      <c r="N886" s="120">
        <f>IFERROR(__xludf.DUMMYFUNCTION("""COMPUTED_VALUE"""),27854)</f>
        <v>27854</v>
      </c>
      <c r="O886" s="1" t="str">
        <f>IFERROR(__xludf.DUMMYFUNCTION("""COMPUTED_VALUE"""),"Masculino")</f>
        <v>Masculino</v>
      </c>
      <c r="P886" s="1" t="str">
        <f>IFERROR(__xludf.DUMMYFUNCTION("""COMPUTED_VALUE"""),"Branca")</f>
        <v>Branca</v>
      </c>
      <c r="Q886" s="1" t="str">
        <f>IFERROR(__xludf.DUMMYFUNCTION("""COMPUTED_VALUE"""),"Ensino Superior Incompleto")</f>
        <v>Ensino Superior Incompleto</v>
      </c>
      <c r="R886" s="1" t="str">
        <f>IFERROR(__xludf.DUMMYFUNCTION("""COMPUTED_VALUE"""),"alexsandro.af107@gmail.com")</f>
        <v>alexsandro.af107@gmail.com</v>
      </c>
      <c r="S886" s="1">
        <f>IFERROR(__xludf.DUMMYFUNCTION("""COMPUTED_VALUE"""),89)</f>
        <v>89</v>
      </c>
      <c r="T886" s="1" t="str">
        <f>IFERROR(__xludf.DUMMYFUNCTION("""COMPUTED_VALUE"""),"Entre 1,66m e 1,70m")</f>
        <v>Entre 1,66m e 1,70m</v>
      </c>
      <c r="U886" s="1"/>
      <c r="V886" s="1" t="str">
        <f>IFERROR(__xludf.DUMMYFUNCTION("""COMPUTED_VALUE"""),"51 992645673")</f>
        <v>51 992645673</v>
      </c>
      <c r="W886" s="1"/>
      <c r="X886" s="1" t="str">
        <f>IFERROR(__xludf.DUMMYFUNCTION("""COMPUTED_VALUE"""),"RS")</f>
        <v>RS</v>
      </c>
      <c r="Y886" s="1" t="str">
        <f>IFERROR(__xludf.DUMMYFUNCTION("""COMPUTED_VALUE"""),"Sapucaia do Sul")</f>
        <v>Sapucaia do Sul</v>
      </c>
      <c r="Z886" s="1" t="str">
        <f>IFERROR(__xludf.DUMMYFUNCTION("""COMPUTED_VALUE"""),"9322-040")</f>
        <v>9322-040</v>
      </c>
      <c r="AA886" s="1" t="str">
        <f>IFERROR(__xludf.DUMMYFUNCTION("""COMPUTED_VALUE"""),"Rua General Dalto Filho, 169")</f>
        <v>Rua General Dalto Filho, 169</v>
      </c>
      <c r="AB886" s="1" t="str">
        <f>IFERROR(__xludf.DUMMYFUNCTION("""COMPUTED_VALUE"""),"Jardim")</f>
        <v>Jardim</v>
      </c>
      <c r="AC886" s="1" t="str">
        <f>IFERROR(__xludf.DUMMYFUNCTION("""COMPUTED_VALUE"""),"G")</f>
        <v>G</v>
      </c>
      <c r="AD886" s="1" t="str">
        <f>IFERROR(__xludf.DUMMYFUNCTION("""COMPUTED_VALUE"""),"G")</f>
        <v>G</v>
      </c>
      <c r="AE886" s="1" t="str">
        <f>IFERROR(__xludf.DUMMYFUNCTION("""COMPUTED_VALUE"""),"G")</f>
        <v>G</v>
      </c>
      <c r="AF886" s="1" t="str">
        <f>IFERROR(__xludf.DUMMYFUNCTION("""COMPUTED_VALUE"""),"G")</f>
        <v>G</v>
      </c>
      <c r="AG886" s="1" t="str">
        <f>IFERROR(__xludf.DUMMYFUNCTION("""COMPUTED_VALUE"""),"G")</f>
        <v>G</v>
      </c>
      <c r="AH886" s="1">
        <f>IFERROR(__xludf.DUMMYFUNCTION("""COMPUTED_VALUE"""),38)</f>
        <v>38</v>
      </c>
      <c r="AI886" s="1">
        <f>IFERROR(__xludf.DUMMYFUNCTION("""COMPUTED_VALUE"""),38)</f>
        <v>38</v>
      </c>
      <c r="AJ886" s="1">
        <f>IFERROR(__xludf.DUMMYFUNCTION("""COMPUTED_VALUE"""),38)</f>
        <v>38</v>
      </c>
      <c r="AK886" s="1">
        <f>IFERROR(__xludf.DUMMYFUNCTION("""COMPUTED_VALUE"""),38)</f>
        <v>38</v>
      </c>
      <c r="AL886" s="1" t="str">
        <f>IFERROR(__xludf.DUMMYFUNCTION("""COMPUTED_VALUE"""),"G")</f>
        <v>G</v>
      </c>
      <c r="AM886" s="1" t="str">
        <f>IFERROR(__xludf.DUMMYFUNCTION("""COMPUTED_VALUE"""),"G")</f>
        <v>G</v>
      </c>
      <c r="AN886" s="1" t="str">
        <f>IFERROR(__xludf.DUMMYFUNCTION("""COMPUTED_VALUE"""),"G")</f>
        <v>G</v>
      </c>
    </row>
    <row r="887" customHeight="1" spans="1:40">
      <c r="A887" s="1" t="str">
        <f>IFERROR(__xludf.DUMMYFUNCTION("""COMPUTED_VALUE"""),"08° BBM")</f>
        <v>08° BBM</v>
      </c>
      <c r="B887" s="1"/>
      <c r="C887" s="119"/>
      <c r="D887" s="1" t="str">
        <f>IFERROR(__xludf.DUMMYFUNCTION("""COMPUTED_VALUE"""),"ALEXSSANDRE DAL BOSCO DA SILVA")</f>
        <v>ALEXSSANDRE DAL BOSCO DA SILVA</v>
      </c>
      <c r="E887" s="119" t="str">
        <f>IFERROR(__xludf.DUMMYFUNCTION("""COMPUTED_VALUE"""),"Módulo 1 concluído")</f>
        <v>Módulo 1 concluído</v>
      </c>
      <c r="F887" s="1" t="str">
        <f>IFERROR(__xludf.DUMMYFUNCTION("""COMPUTED_VALUE"""),"654.183.870-49")</f>
        <v>654.183.870-49</v>
      </c>
      <c r="G887" s="1"/>
      <c r="H887" s="1"/>
      <c r="I887" s="1"/>
      <c r="J887" s="1"/>
      <c r="K887" s="1"/>
      <c r="L887" s="1"/>
      <c r="M887" s="1"/>
      <c r="N887" s="120"/>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row>
    <row r="888" customHeight="1" spans="1:40">
      <c r="A888" s="1"/>
      <c r="B888" s="1"/>
      <c r="C888" s="119"/>
      <c r="D888" s="1" t="str">
        <f>IFERROR(__xludf.DUMMYFUNCTION("""COMPUTED_VALUE"""),"ANDRÉ CAMARGO DA MOTTA")</f>
        <v>ANDRÉ CAMARGO DA MOTTA</v>
      </c>
      <c r="E888" s="119" t="str">
        <f>IFERROR(__xludf.DUMMYFUNCTION("""COMPUTED_VALUE"""),"Módulo 1 concluído")</f>
        <v>Módulo 1 concluído</v>
      </c>
      <c r="F888" s="1" t="str">
        <f>IFERROR(__xludf.DUMMYFUNCTION("""COMPUTED_VALUE"""),"040.360.060-02")</f>
        <v>040.360.060-02</v>
      </c>
      <c r="G888" s="1"/>
      <c r="H888" s="1"/>
      <c r="I888" s="1"/>
      <c r="J888" s="1"/>
      <c r="K888" s="1"/>
      <c r="L888" s="1"/>
      <c r="M888" s="1"/>
      <c r="N888" s="120"/>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row>
    <row r="889" customHeight="1" spans="1:40">
      <c r="A889" s="1" t="str">
        <f>IFERROR(__xludf.DUMMYFUNCTION("""COMPUTED_VALUE"""),"08° BBM")</f>
        <v>08° BBM</v>
      </c>
      <c r="B889" s="1" t="str">
        <f>IFERROR(__xludf.DUMMYFUNCTION("""COMPUTED_VALUE"""),"Gravataí")</f>
        <v>Gravataí</v>
      </c>
      <c r="C889" s="119" t="str">
        <f>IFERROR(__xludf.DUMMYFUNCTION("""COMPUTED_VALUE"""),"Comunitario")</f>
        <v>Comunitario</v>
      </c>
      <c r="D889" s="1" t="str">
        <f>IFERROR(__xludf.DUMMYFUNCTION("""COMPUTED_VALUE"""),"ANDRÉ LUCIANO DA CONCEIÇÃO RAMOS")</f>
        <v>ANDRÉ LUCIANO DA CONCEIÇÃO RAMOS</v>
      </c>
      <c r="E889" s="119" t="str">
        <f>IFERROR(__xludf.DUMMYFUNCTION("""COMPUTED_VALUE"""),"Curso CAB operador concluído")</f>
        <v>Curso CAB operador concluído</v>
      </c>
      <c r="F889" s="1" t="str">
        <f>IFERROR(__xludf.DUMMYFUNCTION("""COMPUTED_VALUE"""),"737.069.570-00")</f>
        <v>737.069.570-00</v>
      </c>
      <c r="G889" s="1">
        <f>IFERROR(__xludf.DUMMYFUNCTION("""COMPUTED_VALUE"""),1063726614)</f>
        <v>1063726614</v>
      </c>
      <c r="H889" s="1" t="str">
        <f>IFERROR(__xludf.DUMMYFUNCTION("""COMPUTED_VALUE"""),"AUXILIAR DE LINHA / SOCORRISTA")</f>
        <v>AUXILIAR DE LINHA / SOCORRISTA</v>
      </c>
      <c r="I889" s="1" t="str">
        <f>IFERROR(__xludf.DUMMYFUNCTION("""COMPUTED_VALUE"""),"TECNICO EM SEGURANÇA DO TRABALHO")</f>
        <v>TECNICO EM SEGURANÇA DO TRABALHO</v>
      </c>
      <c r="J889" s="1" t="str">
        <f>IFERROR(__xludf.DUMMYFUNCTION("""COMPUTED_VALUE"""),"Sim")</f>
        <v>Sim</v>
      </c>
      <c r="K889" s="1" t="str">
        <f>IFERROR(__xludf.DUMMYFUNCTION("""COMPUTED_VALUE"""),"Sim")</f>
        <v>Sim</v>
      </c>
      <c r="L889" s="1" t="str">
        <f>IFERROR(__xludf.DUMMYFUNCTION("""COMPUTED_VALUE"""),"O+")</f>
        <v>O+</v>
      </c>
      <c r="M889" s="1" t="str">
        <f>IFERROR(__xludf.DUMMYFUNCTION("""COMPUTED_VALUE"""),"RAMOS")</f>
        <v>RAMOS</v>
      </c>
      <c r="N889" s="120">
        <f>IFERROR(__xludf.DUMMYFUNCTION("""COMPUTED_VALUE"""),28224)</f>
        <v>28224</v>
      </c>
      <c r="O889" s="1" t="str">
        <f>IFERROR(__xludf.DUMMYFUNCTION("""COMPUTED_VALUE"""),"Masculino")</f>
        <v>Masculino</v>
      </c>
      <c r="P889" s="1" t="str">
        <f>IFERROR(__xludf.DUMMYFUNCTION("""COMPUTED_VALUE"""),"Preta")</f>
        <v>Preta</v>
      </c>
      <c r="Q889" s="1" t="str">
        <f>IFERROR(__xludf.DUMMYFUNCTION("""COMPUTED_VALUE"""),"Ensino Médio")</f>
        <v>Ensino Médio</v>
      </c>
      <c r="R889" s="1" t="str">
        <f>IFERROR(__xludf.DUMMYFUNCTION("""COMPUTED_VALUE"""),"andreramostst@yahoo.com.br")</f>
        <v>andreramostst@yahoo.com.br</v>
      </c>
      <c r="S889" s="1" t="str">
        <f>IFERROR(__xludf.DUMMYFUNCTION("""COMPUTED_VALUE"""),"85kg")</f>
        <v>85kg</v>
      </c>
      <c r="T889" s="1" t="str">
        <f>IFERROR(__xludf.DUMMYFUNCTION("""COMPUTED_VALUE"""),"Entre 1,71m e 1,75m")</f>
        <v>Entre 1,71m e 1,75m</v>
      </c>
      <c r="U889" s="1"/>
      <c r="V889" s="1" t="str">
        <f>IFERROR(__xludf.DUMMYFUNCTION("""COMPUTED_VALUE"""),"(51)99249-5201")</f>
        <v>(51)99249-5201</v>
      </c>
      <c r="W889" s="1" t="str">
        <f>IFERROR(__xludf.DUMMYFUNCTION("""COMPUTED_VALUE"""),"(51)99730-7723")</f>
        <v>(51)99730-7723</v>
      </c>
      <c r="X889" s="1" t="str">
        <f>IFERROR(__xludf.DUMMYFUNCTION("""COMPUTED_VALUE"""),"RS")</f>
        <v>RS</v>
      </c>
      <c r="Y889" s="1" t="str">
        <f>IFERROR(__xludf.DUMMYFUNCTION("""COMPUTED_VALUE"""),"Porto Alegre")</f>
        <v>Porto Alegre</v>
      </c>
      <c r="Z889" s="1" t="str">
        <f>IFERROR(__xludf.DUMMYFUNCTION("""COMPUTED_VALUE"""),"91120-020")</f>
        <v>91120-020</v>
      </c>
      <c r="AA889" s="1" t="str">
        <f>IFERROR(__xludf.DUMMYFUNCTION("""COMPUTED_VALUE"""),"RUA ANGELINA GONÇALVES, 293")</f>
        <v>RUA ANGELINA GONÇALVES, 293</v>
      </c>
      <c r="AB889" s="1" t="str">
        <f>IFERROR(__xludf.DUMMYFUNCTION("""COMPUTED_VALUE"""),"SARANDI")</f>
        <v>SARANDI</v>
      </c>
      <c r="AC889" s="1" t="str">
        <f>IFERROR(__xludf.DUMMYFUNCTION("""COMPUTED_VALUE"""),"G")</f>
        <v>G</v>
      </c>
      <c r="AD889" s="1" t="str">
        <f>IFERROR(__xludf.DUMMYFUNCTION("""COMPUTED_VALUE"""),"G")</f>
        <v>G</v>
      </c>
      <c r="AE889" s="1" t="str">
        <f>IFERROR(__xludf.DUMMYFUNCTION("""COMPUTED_VALUE"""),"G")</f>
        <v>G</v>
      </c>
      <c r="AF889" s="1" t="str">
        <f>IFERROR(__xludf.DUMMYFUNCTION("""COMPUTED_VALUE"""),"G")</f>
        <v>G</v>
      </c>
      <c r="AG889" s="1" t="str">
        <f>IFERROR(__xludf.DUMMYFUNCTION("""COMPUTED_VALUE"""),"G")</f>
        <v>G</v>
      </c>
      <c r="AH889" s="1">
        <f>IFERROR(__xludf.DUMMYFUNCTION("""COMPUTED_VALUE"""),40)</f>
        <v>40</v>
      </c>
      <c r="AI889" s="1">
        <f>IFERROR(__xludf.DUMMYFUNCTION("""COMPUTED_VALUE"""),40)</f>
        <v>40</v>
      </c>
      <c r="AJ889" s="1">
        <f>IFERROR(__xludf.DUMMYFUNCTION("""COMPUTED_VALUE"""),40)</f>
        <v>40</v>
      </c>
      <c r="AK889" s="1">
        <f>IFERROR(__xludf.DUMMYFUNCTION("""COMPUTED_VALUE"""),40)</f>
        <v>40</v>
      </c>
      <c r="AL889" s="1" t="str">
        <f>IFERROR(__xludf.DUMMYFUNCTION("""COMPUTED_VALUE"""),"G")</f>
        <v>G</v>
      </c>
      <c r="AM889" s="1" t="str">
        <f>IFERROR(__xludf.DUMMYFUNCTION("""COMPUTED_VALUE"""),"G")</f>
        <v>G</v>
      </c>
      <c r="AN889" s="1" t="str">
        <f>IFERROR(__xludf.DUMMYFUNCTION("""COMPUTED_VALUE"""),"G")</f>
        <v>G</v>
      </c>
    </row>
    <row r="890" customHeight="1" spans="1:40">
      <c r="A890" s="1" t="str">
        <f>IFERROR(__xludf.DUMMYFUNCTION("""COMPUTED_VALUE"""),"08°BBM")</f>
        <v>08°BBM</v>
      </c>
      <c r="B890" s="1" t="str">
        <f>IFERROR(__xludf.DUMMYFUNCTION("""COMPUTED_VALUE"""),"Nova Santa Rita")</f>
        <v>Nova Santa Rita</v>
      </c>
      <c r="C890" s="119" t="str">
        <f>IFERROR(__xludf.DUMMYFUNCTION("""COMPUTED_VALUE"""),"SCAB")</f>
        <v>SCAB</v>
      </c>
      <c r="D890" s="1" t="str">
        <f>IFERROR(__xludf.DUMMYFUNCTION("""COMPUTED_VALUE"""),"BRUNO MELLO BRASIL")</f>
        <v>BRUNO MELLO BRASIL</v>
      </c>
      <c r="E890" s="119" t="str">
        <f>IFERROR(__xludf.DUMMYFUNCTION("""COMPUTED_VALUE"""),"Curso CAB operador concluído")</f>
        <v>Curso CAB operador concluído</v>
      </c>
      <c r="F890" s="1" t="str">
        <f>IFERROR(__xludf.DUMMYFUNCTION("""COMPUTED_VALUE"""),"855.762.390-91")</f>
        <v>855.762.390-91</v>
      </c>
      <c r="G890" s="1">
        <f>IFERROR(__xludf.DUMMYFUNCTION("""COMPUTED_VALUE"""),3114313004)</f>
        <v>3114313004</v>
      </c>
      <c r="H890" s="1" t="str">
        <f>IFERROR(__xludf.DUMMYFUNCTION("""COMPUTED_VALUE"""),"OPERACIONAL")</f>
        <v>OPERACIONAL</v>
      </c>
      <c r="I890" s="1" t="str">
        <f>IFERROR(__xludf.DUMMYFUNCTION("""COMPUTED_VALUE"""),"CAB")</f>
        <v>CAB</v>
      </c>
      <c r="J890" s="1" t="str">
        <f>IFERROR(__xludf.DUMMYFUNCTION("""COMPUTED_VALUE"""),"Sim")</f>
        <v>Sim</v>
      </c>
      <c r="K890" s="1" t="str">
        <f>IFERROR(__xludf.DUMMYFUNCTION("""COMPUTED_VALUE"""),"Sim")</f>
        <v>Sim</v>
      </c>
      <c r="L890" s="1"/>
      <c r="M890" s="1" t="str">
        <f>IFERROR(__xludf.DUMMYFUNCTION("""COMPUTED_VALUE"""),"BRASIL")</f>
        <v>BRASIL</v>
      </c>
      <c r="N890" s="120">
        <f>IFERROR(__xludf.DUMMYFUNCTION("""COMPUTED_VALUE"""),35464)</f>
        <v>35464</v>
      </c>
      <c r="O890" s="1" t="str">
        <f>IFERROR(__xludf.DUMMYFUNCTION("""COMPUTED_VALUE"""),"Masculino")</f>
        <v>Masculino</v>
      </c>
      <c r="P890" s="1" t="str">
        <f>IFERROR(__xludf.DUMMYFUNCTION("""COMPUTED_VALUE"""),"Negro")</f>
        <v>Negro</v>
      </c>
      <c r="Q890" s="1" t="str">
        <f>IFERROR(__xludf.DUMMYFUNCTION("""COMPUTED_VALUE"""),"ensino medio")</f>
        <v>ensino medio</v>
      </c>
      <c r="R890" s="123" t="str">
        <f>IFERROR(__xludf.DUMMYFUNCTION("""COMPUTED_VALUE"""),"brunnobrasil6@gmail.com")</f>
        <v>brunnobrasil6@gmail.com</v>
      </c>
      <c r="S890" s="1" t="str">
        <f>IFERROR(__xludf.DUMMYFUNCTION("""COMPUTED_VALUE"""),"80kg")</f>
        <v>80kg</v>
      </c>
      <c r="T890" s="1" t="str">
        <f>IFERROR(__xludf.DUMMYFUNCTION("""COMPUTED_VALUE"""),"entre 180m")</f>
        <v>entre 180m</v>
      </c>
      <c r="U890" s="1"/>
      <c r="V890" s="1" t="str">
        <f>IFERROR(__xludf.DUMMYFUNCTION("""COMPUTED_VALUE"""),"(51) 989702906")</f>
        <v>(51) 989702906</v>
      </c>
      <c r="W890" s="1" t="str">
        <f>IFERROR(__xludf.DUMMYFUNCTION("""COMPUTED_VALUE"""),"(51) 997105460")</f>
        <v>(51) 997105460</v>
      </c>
      <c r="X890" s="1" t="str">
        <f>IFERROR(__xludf.DUMMYFUNCTION("""COMPUTED_VALUE"""),"RS")</f>
        <v>RS</v>
      </c>
      <c r="Y890" s="1" t="str">
        <f>IFERROR(__xludf.DUMMYFUNCTION("""COMPUTED_VALUE"""),"Porto Alegre")</f>
        <v>Porto Alegre</v>
      </c>
      <c r="Z890" s="1">
        <f>IFERROR(__xludf.DUMMYFUNCTION("""COMPUTED_VALUE"""),91510200)</f>
        <v>91510200</v>
      </c>
      <c r="AA890" s="1" t="str">
        <f>IFERROR(__xludf.DUMMYFUNCTION("""COMPUTED_VALUE"""),"rua travessa das camelias")</f>
        <v>rua travessa das camelias</v>
      </c>
      <c r="AB890" s="1" t="str">
        <f>IFERROR(__xludf.DUMMYFUNCTION("""COMPUTED_VALUE"""),"partenon")</f>
        <v>partenon</v>
      </c>
      <c r="AC890" s="1" t="str">
        <f>IFERROR(__xludf.DUMMYFUNCTION("""COMPUTED_VALUE"""),"M")</f>
        <v>M</v>
      </c>
      <c r="AD890" s="1" t="str">
        <f>IFERROR(__xludf.DUMMYFUNCTION("""COMPUTED_VALUE"""),"M")</f>
        <v>M</v>
      </c>
      <c r="AE890" s="1" t="str">
        <f>IFERROR(__xludf.DUMMYFUNCTION("""COMPUTED_VALUE"""),"M")</f>
        <v>M</v>
      </c>
      <c r="AF890" s="1" t="str">
        <f>IFERROR(__xludf.DUMMYFUNCTION("""COMPUTED_VALUE"""),"M")</f>
        <v>M</v>
      </c>
      <c r="AG890" s="1" t="str">
        <f>IFERROR(__xludf.DUMMYFUNCTION("""COMPUTED_VALUE"""),"M")</f>
        <v>M</v>
      </c>
      <c r="AH890" s="1">
        <f>IFERROR(__xludf.DUMMYFUNCTION("""COMPUTED_VALUE"""),42)</f>
        <v>42</v>
      </c>
      <c r="AI890" s="1">
        <f>IFERROR(__xludf.DUMMYFUNCTION("""COMPUTED_VALUE"""),42)</f>
        <v>42</v>
      </c>
      <c r="AJ890" s="1">
        <f>IFERROR(__xludf.DUMMYFUNCTION("""COMPUTED_VALUE"""),42)</f>
        <v>42</v>
      </c>
      <c r="AK890" s="1">
        <f>IFERROR(__xludf.DUMMYFUNCTION("""COMPUTED_VALUE"""),42)</f>
        <v>42</v>
      </c>
      <c r="AL890" s="1" t="str">
        <f>IFERROR(__xludf.DUMMYFUNCTION("""COMPUTED_VALUE"""),"M")</f>
        <v>M</v>
      </c>
      <c r="AM890" s="1" t="str">
        <f>IFERROR(__xludf.DUMMYFUNCTION("""COMPUTED_VALUE"""),"M")</f>
        <v>M</v>
      </c>
      <c r="AN890" s="1" t="str">
        <f>IFERROR(__xludf.DUMMYFUNCTION("""COMPUTED_VALUE"""),"M")</f>
        <v>M</v>
      </c>
    </row>
    <row r="891" customHeight="1" spans="1:40">
      <c r="A891" s="1" t="str">
        <f>IFERROR(__xludf.DUMMYFUNCTION("""COMPUTED_VALUE"""),"08° BBM")</f>
        <v>08° BBM</v>
      </c>
      <c r="B891" s="1"/>
      <c r="C891" s="119"/>
      <c r="D891" s="1" t="str">
        <f>IFERROR(__xludf.DUMMYFUNCTION("""COMPUTED_VALUE"""),"CAUÃ SILVEIRA CORREIA")</f>
        <v>CAUÃ SILVEIRA CORREIA</v>
      </c>
      <c r="E891" s="119" t="str">
        <f>IFERROR(__xludf.DUMMYFUNCTION("""COMPUTED_VALUE"""),"")</f>
        <v/>
      </c>
      <c r="F891" s="1" t="str">
        <f>IFERROR(__xludf.DUMMYFUNCTION("""COMPUTED_VALUE"""),"045.458.630-27")</f>
        <v>045.458.630-27</v>
      </c>
      <c r="G891" s="1"/>
      <c r="H891" s="1"/>
      <c r="I891" s="1"/>
      <c r="J891" s="1"/>
      <c r="K891" s="1"/>
      <c r="L891" s="1"/>
      <c r="M891" s="1"/>
      <c r="N891" s="120"/>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row>
    <row r="892" customHeight="1" spans="1:40">
      <c r="A892" s="1" t="str">
        <f>IFERROR(__xludf.DUMMYFUNCTION("""COMPUTED_VALUE"""),"08° BBM")</f>
        <v>08° BBM</v>
      </c>
      <c r="B892" s="1" t="str">
        <f>IFERROR(__xludf.DUMMYFUNCTION("""COMPUTED_VALUE"""),"Gravataí")</f>
        <v>Gravataí</v>
      </c>
      <c r="C892" s="119" t="str">
        <f>IFERROR(__xludf.DUMMYFUNCTION("""COMPUTED_VALUE"""),"Comunitario")</f>
        <v>Comunitario</v>
      </c>
      <c r="D892" s="1" t="str">
        <f>IFERROR(__xludf.DUMMYFUNCTION("""COMPUTED_VALUE"""),"CLEBER BOEIRA FRAGA")</f>
        <v>CLEBER BOEIRA FRAGA</v>
      </c>
      <c r="E892" s="119" t="str">
        <f>IFERROR(__xludf.DUMMYFUNCTION("""COMPUTED_VALUE"""),"Módulo 1 concluído")</f>
        <v>Módulo 1 concluído</v>
      </c>
      <c r="F892" s="1" t="str">
        <f>IFERROR(__xludf.DUMMYFUNCTION("""COMPUTED_VALUE"""),"020.932.670-04")</f>
        <v>020.932.670-04</v>
      </c>
      <c r="G892" s="1">
        <f>IFERROR(__xludf.DUMMYFUNCTION("""COMPUTED_VALUE"""),3100521421)</f>
        <v>3100521421</v>
      </c>
      <c r="H892" s="1" t="str">
        <f>IFERROR(__xludf.DUMMYFUNCTION("""COMPUTED_VALUE"""),"AUXILIAR DE LINHA / SOCORRISTA")</f>
        <v>AUXILIAR DE LINHA / SOCORRISTA</v>
      </c>
      <c r="I892" s="1" t="str">
        <f>IFERROR(__xludf.DUMMYFUNCTION("""COMPUTED_VALUE"""),"TÉCNICO DE SEGURANÇA DO TRABALHO / BLS / APH")</f>
        <v>TÉCNICO DE SEGURANÇA DO TRABALHO / BLS / APH</v>
      </c>
      <c r="J892" s="1" t="str">
        <f>IFERROR(__xludf.DUMMYFUNCTION("""COMPUTED_VALUE"""),"Sim")</f>
        <v>Sim</v>
      </c>
      <c r="K892" s="1" t="str">
        <f>IFERROR(__xludf.DUMMYFUNCTION("""COMPUTED_VALUE"""),"Não")</f>
        <v>Não</v>
      </c>
      <c r="L892" s="1" t="str">
        <f>IFERROR(__xludf.DUMMYFUNCTION("""COMPUTED_VALUE"""),"O+")</f>
        <v>O+</v>
      </c>
      <c r="M892" s="1" t="str">
        <f>IFERROR(__xludf.DUMMYFUNCTION("""COMPUTED_VALUE"""),"CLEBER")</f>
        <v>CLEBER</v>
      </c>
      <c r="N892" s="121">
        <f>IFERROR(__xludf.DUMMYFUNCTION("""COMPUTED_VALUE"""),32500)</f>
        <v>32500</v>
      </c>
      <c r="O892" s="1" t="str">
        <f>IFERROR(__xludf.DUMMYFUNCTION("""COMPUTED_VALUE"""),"Masculino")</f>
        <v>Masculino</v>
      </c>
      <c r="P892" s="1" t="str">
        <f>IFERROR(__xludf.DUMMYFUNCTION("""COMPUTED_VALUE"""),"Branca")</f>
        <v>Branca</v>
      </c>
      <c r="Q892" s="1" t="str">
        <f>IFERROR(__xludf.DUMMYFUNCTION("""COMPUTED_VALUE"""),"Ensino Superior Incompleto")</f>
        <v>Ensino Superior Incompleto</v>
      </c>
      <c r="R892" s="1" t="str">
        <f>IFERROR(__xludf.DUMMYFUNCTION("""COMPUTED_VALUE"""),"cleber.cvsr@gmail.com")</f>
        <v>cleber.cvsr@gmail.com</v>
      </c>
      <c r="S892" s="1" t="str">
        <f>IFERROR(__xludf.DUMMYFUNCTION("""COMPUTED_VALUE"""),"85kg")</f>
        <v>85kg</v>
      </c>
      <c r="T892" s="1" t="str">
        <f>IFERROR(__xludf.DUMMYFUNCTION("""COMPUTED_VALUE"""),"Entre 1,66m e 1,70m")</f>
        <v>Entre 1,66m e 1,70m</v>
      </c>
      <c r="U892" s="1"/>
      <c r="V892" s="1" t="str">
        <f>IFERROR(__xludf.DUMMYFUNCTION("""COMPUTED_VALUE"""),"(51)99132-3873")</f>
        <v>(51)99132-3873</v>
      </c>
      <c r="W892" s="1" t="str">
        <f>IFERROR(__xludf.DUMMYFUNCTION("""COMPUTED_VALUE"""),"(51)99905-1230")</f>
        <v>(51)99905-1230</v>
      </c>
      <c r="X892" s="1" t="str">
        <f>IFERROR(__xludf.DUMMYFUNCTION("""COMPUTED_VALUE"""),"RS")</f>
        <v>RS</v>
      </c>
      <c r="Y892" s="1" t="str">
        <f>IFERROR(__xludf.DUMMYFUNCTION("""COMPUTED_VALUE"""),"Gravataí")</f>
        <v>Gravataí</v>
      </c>
      <c r="Z892" s="1" t="str">
        <f>IFERROR(__xludf.DUMMYFUNCTION("""COMPUTED_VALUE"""),"94190-000")</f>
        <v>94190-000</v>
      </c>
      <c r="AA892" s="1" t="str">
        <f>IFERROR(__xludf.DUMMYFUNCTION("""COMPUTED_VALUE"""),"RUA BERNARDO JOAQUIM FERREIRA, 1900")</f>
        <v>RUA BERNARDO JOAQUIM FERREIRA, 1900</v>
      </c>
      <c r="AB892" s="1" t="str">
        <f>IFERROR(__xludf.DUMMYFUNCTION("""COMPUTED_VALUE"""),"CAÇA E PESCA")</f>
        <v>CAÇA E PESCA</v>
      </c>
      <c r="AC892" s="1" t="str">
        <f>IFERROR(__xludf.DUMMYFUNCTION("""COMPUTED_VALUE"""),"G")</f>
        <v>G</v>
      </c>
      <c r="AD892" s="1" t="str">
        <f>IFERROR(__xludf.DUMMYFUNCTION("""COMPUTED_VALUE"""),"G")</f>
        <v>G</v>
      </c>
      <c r="AE892" s="1" t="str">
        <f>IFERROR(__xludf.DUMMYFUNCTION("""COMPUTED_VALUE"""),"G")</f>
        <v>G</v>
      </c>
      <c r="AF892" s="1" t="str">
        <f>IFERROR(__xludf.DUMMYFUNCTION("""COMPUTED_VALUE"""),"G")</f>
        <v>G</v>
      </c>
      <c r="AG892" s="1" t="str">
        <f>IFERROR(__xludf.DUMMYFUNCTION("""COMPUTED_VALUE"""),"G")</f>
        <v>G</v>
      </c>
      <c r="AH892" s="1">
        <f>IFERROR(__xludf.DUMMYFUNCTION("""COMPUTED_VALUE"""),39)</f>
        <v>39</v>
      </c>
      <c r="AI892" s="1">
        <f>IFERROR(__xludf.DUMMYFUNCTION("""COMPUTED_VALUE"""),39)</f>
        <v>39</v>
      </c>
      <c r="AJ892" s="1">
        <f>IFERROR(__xludf.DUMMYFUNCTION("""COMPUTED_VALUE"""),39)</f>
        <v>39</v>
      </c>
      <c r="AK892" s="1">
        <f>IFERROR(__xludf.DUMMYFUNCTION("""COMPUTED_VALUE"""),39)</f>
        <v>39</v>
      </c>
      <c r="AL892" s="1" t="str">
        <f>IFERROR(__xludf.DUMMYFUNCTION("""COMPUTED_VALUE"""),"G")</f>
        <v>G</v>
      </c>
      <c r="AM892" s="1" t="str">
        <f>IFERROR(__xludf.DUMMYFUNCTION("""COMPUTED_VALUE"""),"G")</f>
        <v>G</v>
      </c>
      <c r="AN892" s="1" t="str">
        <f>IFERROR(__xludf.DUMMYFUNCTION("""COMPUTED_VALUE"""),"G")</f>
        <v>G</v>
      </c>
    </row>
    <row r="893" customHeight="1" spans="1:40">
      <c r="A893" s="1" t="str">
        <f>IFERROR(__xludf.DUMMYFUNCTION("""COMPUTED_VALUE"""),"08° BBM")</f>
        <v>08° BBM</v>
      </c>
      <c r="B893" s="1" t="str">
        <f>IFERROR(__xludf.DUMMYFUNCTION("""COMPUTED_VALUE"""),"Gravataí")</f>
        <v>Gravataí</v>
      </c>
      <c r="C893" s="119" t="str">
        <f>IFERROR(__xludf.DUMMYFUNCTION("""COMPUTED_VALUE"""),"Comunitario")</f>
        <v>Comunitario</v>
      </c>
      <c r="D893" s="1" t="str">
        <f>IFERROR(__xludf.DUMMYFUNCTION("""COMPUTED_VALUE"""),"CRISTIAN DOS SANTOS TROSCISKI")</f>
        <v>CRISTIAN DOS SANTOS TROSCISKI</v>
      </c>
      <c r="E893" s="119" t="str">
        <f>IFERROR(__xludf.DUMMYFUNCTION("""COMPUTED_VALUE"""),"Curso CAB operador concluído")</f>
        <v>Curso CAB operador concluído</v>
      </c>
      <c r="F893" s="1" t="str">
        <f>IFERROR(__xludf.DUMMYFUNCTION("""COMPUTED_VALUE"""),"017.646.700-94")</f>
        <v>017.646.700-94</v>
      </c>
      <c r="G893" s="1">
        <f>IFERROR(__xludf.DUMMYFUNCTION("""COMPUTED_VALUE"""),6100215886)</f>
        <v>6100215886</v>
      </c>
      <c r="H893" s="1" t="str">
        <f>IFERROR(__xludf.DUMMYFUNCTION("""COMPUTED_VALUE"""),"AUXILIAR DE LINHA / SOCORRISTA")</f>
        <v>AUXILIAR DE LINHA / SOCORRISTA</v>
      </c>
      <c r="I893" s="1" t="str">
        <f>IFERROR(__xludf.DUMMYFUNCTION("""COMPUTED_VALUE"""),"BOMBEIRO CIVIL")</f>
        <v>BOMBEIRO CIVIL</v>
      </c>
      <c r="J893" s="1" t="str">
        <f>IFERROR(__xludf.DUMMYFUNCTION("""COMPUTED_VALUE"""),"Sim")</f>
        <v>Sim</v>
      </c>
      <c r="K893" s="1" t="str">
        <f>IFERROR(__xludf.DUMMYFUNCTION("""COMPUTED_VALUE"""),"Não")</f>
        <v>Não</v>
      </c>
      <c r="L893" s="1" t="str">
        <f>IFERROR(__xludf.DUMMYFUNCTION("""COMPUTED_VALUE"""),"B-")</f>
        <v>B-</v>
      </c>
      <c r="M893" s="1" t="str">
        <f>IFERROR(__xludf.DUMMYFUNCTION("""COMPUTED_VALUE"""),"TROSCISKI")</f>
        <v>TROSCISKI</v>
      </c>
      <c r="N893" s="120">
        <f>IFERROR(__xludf.DUMMYFUNCTION("""COMPUTED_VALUE"""),33857)</f>
        <v>33857</v>
      </c>
      <c r="O893" s="1" t="str">
        <f>IFERROR(__xludf.DUMMYFUNCTION("""COMPUTED_VALUE"""),"Masculino")</f>
        <v>Masculino</v>
      </c>
      <c r="P893" s="1" t="str">
        <f>IFERROR(__xludf.DUMMYFUNCTION("""COMPUTED_VALUE"""),"Branca")</f>
        <v>Branca</v>
      </c>
      <c r="Q893" s="1" t="str">
        <f>IFERROR(__xludf.DUMMYFUNCTION("""COMPUTED_VALUE"""),"Ensino Médio")</f>
        <v>Ensino Médio</v>
      </c>
      <c r="R893" s="1" t="str">
        <f>IFERROR(__xludf.DUMMYFUNCTION("""COMPUTED_VALUE"""),"cristiantrosciski.bc@gmail.com")</f>
        <v>cristiantrosciski.bc@gmail.com</v>
      </c>
      <c r="S893" s="1" t="str">
        <f>IFERROR(__xludf.DUMMYFUNCTION("""COMPUTED_VALUE"""),"61kg")</f>
        <v>61kg</v>
      </c>
      <c r="T893" s="1" t="str">
        <f>IFERROR(__xludf.DUMMYFUNCTION("""COMPUTED_VALUE"""),"Entre 1,76m e 1,80m")</f>
        <v>Entre 1,76m e 1,80m</v>
      </c>
      <c r="U893" s="1"/>
      <c r="V893" s="1" t="str">
        <f>IFERROR(__xludf.DUMMYFUNCTION("""COMPUTED_VALUE"""),"(51)99157-7316")</f>
        <v>(51)99157-7316</v>
      </c>
      <c r="W893" s="1" t="str">
        <f>IFERROR(__xludf.DUMMYFUNCTION("""COMPUTED_VALUE"""),"(51)98476-3872")</f>
        <v>(51)98476-3872</v>
      </c>
      <c r="X893" s="1" t="str">
        <f>IFERROR(__xludf.DUMMYFUNCTION("""COMPUTED_VALUE"""),"RS")</f>
        <v>RS</v>
      </c>
      <c r="Y893" s="1" t="str">
        <f>IFERROR(__xludf.DUMMYFUNCTION("""COMPUTED_VALUE"""),"Gravataí")</f>
        <v>Gravataí</v>
      </c>
      <c r="Z893" s="1" t="str">
        <f>IFERROR(__xludf.DUMMYFUNCTION("""COMPUTED_VALUE"""),"94170-090")</f>
        <v>94170-090</v>
      </c>
      <c r="AA893" s="1" t="str">
        <f>IFERROR(__xludf.DUMMYFUNCTION("""COMPUTED_VALUE"""),"TRAVESSA SANTO ANTONIO, 40")</f>
        <v>TRAVESSA SANTO ANTONIO, 40</v>
      </c>
      <c r="AB893" s="1" t="str">
        <f>IFERROR(__xludf.DUMMYFUNCTION("""COMPUTED_VALUE"""),"SANTA CRUZ")</f>
        <v>SANTA CRUZ</v>
      </c>
      <c r="AC893" s="1" t="str">
        <f>IFERROR(__xludf.DUMMYFUNCTION("""COMPUTED_VALUE"""),"G")</f>
        <v>G</v>
      </c>
      <c r="AD893" s="1" t="str">
        <f>IFERROR(__xludf.DUMMYFUNCTION("""COMPUTED_VALUE"""),"G")</f>
        <v>G</v>
      </c>
      <c r="AE893" s="1" t="str">
        <f>IFERROR(__xludf.DUMMYFUNCTION("""COMPUTED_VALUE"""),"G")</f>
        <v>G</v>
      </c>
      <c r="AF893" s="1" t="str">
        <f>IFERROR(__xludf.DUMMYFUNCTION("""COMPUTED_VALUE"""),"G")</f>
        <v>G</v>
      </c>
      <c r="AG893" s="1" t="str">
        <f>IFERROR(__xludf.DUMMYFUNCTION("""COMPUTED_VALUE"""),"G")</f>
        <v>G</v>
      </c>
      <c r="AH893" s="1">
        <f>IFERROR(__xludf.DUMMYFUNCTION("""COMPUTED_VALUE"""),40)</f>
        <v>40</v>
      </c>
      <c r="AI893" s="1">
        <f>IFERROR(__xludf.DUMMYFUNCTION("""COMPUTED_VALUE"""),40)</f>
        <v>40</v>
      </c>
      <c r="AJ893" s="1">
        <f>IFERROR(__xludf.DUMMYFUNCTION("""COMPUTED_VALUE"""),40)</f>
        <v>40</v>
      </c>
      <c r="AK893" s="1">
        <f>IFERROR(__xludf.DUMMYFUNCTION("""COMPUTED_VALUE"""),40)</f>
        <v>40</v>
      </c>
      <c r="AL893" s="1" t="str">
        <f>IFERROR(__xludf.DUMMYFUNCTION("""COMPUTED_VALUE"""),"M")</f>
        <v>M</v>
      </c>
      <c r="AM893" s="1" t="str">
        <f>IFERROR(__xludf.DUMMYFUNCTION("""COMPUTED_VALUE"""),"M")</f>
        <v>M</v>
      </c>
      <c r="AN893" s="1" t="str">
        <f>IFERROR(__xludf.DUMMYFUNCTION("""COMPUTED_VALUE"""),"M")</f>
        <v>M</v>
      </c>
    </row>
    <row r="894" customHeight="1" spans="1:40">
      <c r="A894" s="1" t="str">
        <f>IFERROR(__xludf.DUMMYFUNCTION("""COMPUTED_VALUE"""),"08° BBM")</f>
        <v>08° BBM</v>
      </c>
      <c r="B894" s="1" t="str">
        <f>IFERROR(__xludf.DUMMYFUNCTION("""COMPUTED_VALUE"""),"Esteio")</f>
        <v>Esteio</v>
      </c>
      <c r="C894" s="119" t="str">
        <f>IFERROR(__xludf.DUMMYFUNCTION("""COMPUTED_VALUE"""),"Comunitario")</f>
        <v>Comunitario</v>
      </c>
      <c r="D894" s="1" t="str">
        <f>IFERROR(__xludf.DUMMYFUNCTION("""COMPUTED_VALUE"""),"CRISTIAN LOPES MEDINA")</f>
        <v>CRISTIAN LOPES MEDINA</v>
      </c>
      <c r="E894" s="119" t="str">
        <f>IFERROR(__xludf.DUMMYFUNCTION("""COMPUTED_VALUE"""),"Curso CAB operador concluído")</f>
        <v>Curso CAB operador concluído</v>
      </c>
      <c r="F894" s="1" t="str">
        <f>IFERROR(__xludf.DUMMYFUNCTION("""COMPUTED_VALUE"""),"026.062.970-75")</f>
        <v>026.062.970-75</v>
      </c>
      <c r="G894" s="1">
        <f>IFERROR(__xludf.DUMMYFUNCTION("""COMPUTED_VALUE"""),2102229271)</f>
        <v>2102229271</v>
      </c>
      <c r="H894" s="1" t="str">
        <f>IFERROR(__xludf.DUMMYFUNCTION("""COMPUTED_VALUE"""),"Combatente Linha / socorrista")</f>
        <v>Combatente Linha / socorrista</v>
      </c>
      <c r="I894" s="1" t="str">
        <f>IFERROR(__xludf.DUMMYFUNCTION("""COMPUTED_VALUE"""),"Bombeiro Civil Classe III")</f>
        <v>Bombeiro Civil Classe III</v>
      </c>
      <c r="J894" s="1" t="str">
        <f>IFERROR(__xludf.DUMMYFUNCTION("""COMPUTED_VALUE"""),"Não")</f>
        <v>Não</v>
      </c>
      <c r="K894" s="1" t="str">
        <f>IFERROR(__xludf.DUMMYFUNCTION("""COMPUTED_VALUE"""),"Não")</f>
        <v>Não</v>
      </c>
      <c r="L894" s="1" t="str">
        <f>IFERROR(__xludf.DUMMYFUNCTION("""COMPUTED_VALUE"""),"A+")</f>
        <v>A+</v>
      </c>
      <c r="M894" s="1" t="str">
        <f>IFERROR(__xludf.DUMMYFUNCTION("""COMPUTED_VALUE"""),"Medina")</f>
        <v>Medina</v>
      </c>
      <c r="N894" s="120">
        <f>IFERROR(__xludf.DUMMYFUNCTION("""COMPUTED_VALUE"""),33420)</f>
        <v>33420</v>
      </c>
      <c r="O894" s="1" t="str">
        <f>IFERROR(__xludf.DUMMYFUNCTION("""COMPUTED_VALUE"""),"Masculino")</f>
        <v>Masculino</v>
      </c>
      <c r="P894" s="1" t="str">
        <f>IFERROR(__xludf.DUMMYFUNCTION("""COMPUTED_VALUE"""),"Branca")</f>
        <v>Branca</v>
      </c>
      <c r="Q894" s="1" t="str">
        <f>IFERROR(__xludf.DUMMYFUNCTION("""COMPUTED_VALUE"""),"Ensino Superior Incompleto")</f>
        <v>Ensino Superior Incompleto</v>
      </c>
      <c r="R894" s="1" t="str">
        <f>IFERROR(__xludf.DUMMYFUNCTION("""COMPUTED_VALUE"""),"cristianlopesmedina@gmail.com")</f>
        <v>cristianlopesmedina@gmail.com</v>
      </c>
      <c r="S894" s="1">
        <f>IFERROR(__xludf.DUMMYFUNCTION("""COMPUTED_VALUE"""),84)</f>
        <v>84</v>
      </c>
      <c r="T894" s="1" t="str">
        <f>IFERROR(__xludf.DUMMYFUNCTION("""COMPUTED_VALUE"""),"Entre 1,71m e 1,75m")</f>
        <v>Entre 1,71m e 1,75m</v>
      </c>
      <c r="U894" s="1">
        <f>IFERROR(__xludf.DUMMYFUNCTION("""COMPUTED_VALUE"""),51981078346)</f>
        <v>51981078346</v>
      </c>
      <c r="V894" s="1">
        <f>IFERROR(__xludf.DUMMYFUNCTION("""COMPUTED_VALUE"""),51981078346)</f>
        <v>51981078346</v>
      </c>
      <c r="W894" s="1">
        <f>IFERROR(__xludf.DUMMYFUNCTION("""COMPUTED_VALUE"""),51981208422)</f>
        <v>51981208422</v>
      </c>
      <c r="X894" s="1" t="str">
        <f>IFERROR(__xludf.DUMMYFUNCTION("""COMPUTED_VALUE"""),"RS")</f>
        <v>RS</v>
      </c>
      <c r="Y894" s="1" t="str">
        <f>IFERROR(__xludf.DUMMYFUNCTION("""COMPUTED_VALUE"""),"Sapucaia do Sul")</f>
        <v>Sapucaia do Sul</v>
      </c>
      <c r="Z894" s="1" t="str">
        <f>IFERROR(__xludf.DUMMYFUNCTION("""COMPUTED_VALUE"""),"93214-170")</f>
        <v>93214-170</v>
      </c>
      <c r="AA894" s="1" t="str">
        <f>IFERROR(__xludf.DUMMYFUNCTION("""COMPUTED_VALUE"""),"AV: Lúcio Bittencourt")</f>
        <v>AV: Lúcio Bittencourt</v>
      </c>
      <c r="AB894" s="1" t="str">
        <f>IFERROR(__xludf.DUMMYFUNCTION("""COMPUTED_VALUE"""),"Centro")</f>
        <v>Centro</v>
      </c>
      <c r="AC894" s="1" t="str">
        <f>IFERROR(__xludf.DUMMYFUNCTION("""COMPUTED_VALUE"""),"G")</f>
        <v>G</v>
      </c>
      <c r="AD894" s="1" t="str">
        <f>IFERROR(__xludf.DUMMYFUNCTION("""COMPUTED_VALUE"""),"G")</f>
        <v>G</v>
      </c>
      <c r="AE894" s="1" t="str">
        <f>IFERROR(__xludf.DUMMYFUNCTION("""COMPUTED_VALUE"""),"G")</f>
        <v>G</v>
      </c>
      <c r="AF894" s="1" t="str">
        <f>IFERROR(__xludf.DUMMYFUNCTION("""COMPUTED_VALUE"""),"G")</f>
        <v>G</v>
      </c>
      <c r="AG894" s="1" t="str">
        <f>IFERROR(__xludf.DUMMYFUNCTION("""COMPUTED_VALUE"""),"G")</f>
        <v>G</v>
      </c>
      <c r="AH894" s="1">
        <f>IFERROR(__xludf.DUMMYFUNCTION("""COMPUTED_VALUE"""),42)</f>
        <v>42</v>
      </c>
      <c r="AI894" s="1">
        <f>IFERROR(__xludf.DUMMYFUNCTION("""COMPUTED_VALUE"""),42)</f>
        <v>42</v>
      </c>
      <c r="AJ894" s="1">
        <f>IFERROR(__xludf.DUMMYFUNCTION("""COMPUTED_VALUE"""),42)</f>
        <v>42</v>
      </c>
      <c r="AK894" s="1">
        <f>IFERROR(__xludf.DUMMYFUNCTION("""COMPUTED_VALUE"""),42)</f>
        <v>42</v>
      </c>
      <c r="AL894" s="1" t="str">
        <f>IFERROR(__xludf.DUMMYFUNCTION("""COMPUTED_VALUE"""),"G")</f>
        <v>G</v>
      </c>
      <c r="AM894" s="1" t="str">
        <f>IFERROR(__xludf.DUMMYFUNCTION("""COMPUTED_VALUE"""),"G")</f>
        <v>G</v>
      </c>
      <c r="AN894" s="1" t="str">
        <f>IFERROR(__xludf.DUMMYFUNCTION("""COMPUTED_VALUE"""),"G")</f>
        <v>G</v>
      </c>
    </row>
    <row r="895" customHeight="1" spans="1:40">
      <c r="A895" s="1"/>
      <c r="B895" s="1"/>
      <c r="C895" s="119"/>
      <c r="D895" s="1" t="str">
        <f>IFERROR(__xludf.DUMMYFUNCTION("""COMPUTED_VALUE"""),"DIEGO JESUS DOS SANTOS DA SILVA")</f>
        <v>DIEGO JESUS DOS SANTOS DA SILVA</v>
      </c>
      <c r="E895" s="119" t="str">
        <f>IFERROR(__xludf.DUMMYFUNCTION("""COMPUTED_VALUE"""),"Módulo 1 concluído")</f>
        <v>Módulo 1 concluído</v>
      </c>
      <c r="F895" s="1" t="str">
        <f>IFERROR(__xludf.DUMMYFUNCTION("""COMPUTED_VALUE"""),"038.230.260-54")</f>
        <v>038.230.260-54</v>
      </c>
      <c r="G895" s="1"/>
      <c r="H895" s="1"/>
      <c r="I895" s="1"/>
      <c r="J895" s="1"/>
      <c r="K895" s="1"/>
      <c r="L895" s="1"/>
      <c r="M895" s="1"/>
      <c r="N895" s="120"/>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row>
    <row r="896" customHeight="1" spans="1:40">
      <c r="A896" s="1" t="str">
        <f>IFERROR(__xludf.DUMMYFUNCTION("""COMPUTED_VALUE"""),"6º BBM")</f>
        <v>6º BBM</v>
      </c>
      <c r="B896" s="1"/>
      <c r="C896" s="119"/>
      <c r="D896" s="1" t="str">
        <f>IFERROR(__xludf.DUMMYFUNCTION("""COMPUTED_VALUE"""),"DIONÍSIO NUNES DA SILVA")</f>
        <v>DIONÍSIO NUNES DA SILVA</v>
      </c>
      <c r="E896" s="119" t="str">
        <f>IFERROR(__xludf.DUMMYFUNCTION("""COMPUTED_VALUE"""),"")</f>
        <v/>
      </c>
      <c r="F896" s="1" t="str">
        <f>IFERROR(__xludf.DUMMYFUNCTION("""COMPUTED_VALUE"""),"921.780.300-68")</f>
        <v>921.780.300-68</v>
      </c>
      <c r="G896" s="1"/>
      <c r="H896" s="1"/>
      <c r="I896" s="1"/>
      <c r="J896" s="1"/>
      <c r="K896" s="1"/>
      <c r="L896" s="1"/>
      <c r="M896" s="1"/>
      <c r="N896" s="120"/>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row>
    <row r="897" customHeight="1" spans="1:40">
      <c r="A897" s="1"/>
      <c r="B897" s="1"/>
      <c r="C897" s="119"/>
      <c r="D897" s="1" t="str">
        <f>IFERROR(__xludf.DUMMYFUNCTION("""COMPUTED_VALUE"""),"ELIANDRO FERREIRA GOMES")</f>
        <v>ELIANDRO FERREIRA GOMES</v>
      </c>
      <c r="E897" s="119" t="str">
        <f>IFERROR(__xludf.DUMMYFUNCTION("""COMPUTED_VALUE"""),"Módulo 1 concluído")</f>
        <v>Módulo 1 concluído</v>
      </c>
      <c r="F897" s="1" t="str">
        <f>IFERROR(__xludf.DUMMYFUNCTION("""COMPUTED_VALUE"""),"012.729.390-65")</f>
        <v>012.729.390-65</v>
      </c>
      <c r="G897" s="1"/>
      <c r="H897" s="1"/>
      <c r="I897" s="1"/>
      <c r="J897" s="1"/>
      <c r="K897" s="1"/>
      <c r="L897" s="1"/>
      <c r="M897" s="1"/>
      <c r="N897" s="120"/>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row>
    <row r="898" customHeight="1" spans="1:40">
      <c r="A898" s="1" t="str">
        <f>IFERROR(__xludf.DUMMYFUNCTION("""COMPUTED_VALUE"""),"6º BBM")</f>
        <v>6º BBM</v>
      </c>
      <c r="B898" s="1"/>
      <c r="C898" s="119"/>
      <c r="D898" s="1" t="str">
        <f>IFERROR(__xludf.DUMMYFUNCTION("""COMPUTED_VALUE"""),"ELISANDRO DA SILVA LIMA")</f>
        <v>ELISANDRO DA SILVA LIMA</v>
      </c>
      <c r="E898" s="119" t="str">
        <f>IFERROR(__xludf.DUMMYFUNCTION("""COMPUTED_VALUE"""),"")</f>
        <v/>
      </c>
      <c r="F898" s="1" t="str">
        <f>IFERROR(__xludf.DUMMYFUNCTION("""COMPUTED_VALUE"""),"943.576.090-20")</f>
        <v>943.576.090-20</v>
      </c>
      <c r="G898" s="1"/>
      <c r="H898" s="1"/>
      <c r="I898" s="1"/>
      <c r="J898" s="1"/>
      <c r="K898" s="1"/>
      <c r="L898" s="1"/>
      <c r="M898" s="1"/>
      <c r="N898" s="120"/>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row>
    <row r="899" customHeight="1" spans="1:40">
      <c r="A899" s="1" t="str">
        <f>IFERROR(__xludf.DUMMYFUNCTION("""COMPUTED_VALUE"""),"08° BBM")</f>
        <v>08° BBM</v>
      </c>
      <c r="B899" s="1" t="str">
        <f>IFERROR(__xludf.DUMMYFUNCTION("""COMPUTED_VALUE"""),"Gravataí")</f>
        <v>Gravataí</v>
      </c>
      <c r="C899" s="119" t="str">
        <f>IFERROR(__xludf.DUMMYFUNCTION("""COMPUTED_VALUE"""),"Comunitario")</f>
        <v>Comunitario</v>
      </c>
      <c r="D899" s="1" t="str">
        <f>IFERROR(__xludf.DUMMYFUNCTION("""COMPUTED_VALUE"""),"ELLEN PEREIRA GOMES FRAGA")</f>
        <v>ELLEN PEREIRA GOMES FRAGA</v>
      </c>
      <c r="E899" s="119" t="str">
        <f>IFERROR(__xludf.DUMMYFUNCTION("""COMPUTED_VALUE"""),"Módulo 1 concluído")</f>
        <v>Módulo 1 concluído</v>
      </c>
      <c r="F899" s="1" t="str">
        <f>IFERROR(__xludf.DUMMYFUNCTION("""COMPUTED_VALUE"""),"850.715.870-68")</f>
        <v>850.715.870-68</v>
      </c>
      <c r="G899" s="1">
        <f>IFERROR(__xludf.DUMMYFUNCTION("""COMPUTED_VALUE"""),8116128458)</f>
        <v>8116128458</v>
      </c>
      <c r="H899" s="1" t="str">
        <f>IFERROR(__xludf.DUMMYFUNCTION("""COMPUTED_VALUE"""),"AUXILIAR DE LINHA / SOCORRISTA")</f>
        <v>AUXILIAR DE LINHA / SOCORRISTA</v>
      </c>
      <c r="I899" s="1" t="str">
        <f>IFERROR(__xludf.DUMMYFUNCTION("""COMPUTED_VALUE"""),"BOMBEIRO CIVIL")</f>
        <v>BOMBEIRO CIVIL</v>
      </c>
      <c r="J899" s="1" t="str">
        <f>IFERROR(__xludf.DUMMYFUNCTION("""COMPUTED_VALUE"""),"Sim")</f>
        <v>Sim</v>
      </c>
      <c r="K899" s="1" t="str">
        <f>IFERROR(__xludf.DUMMYFUNCTION("""COMPUTED_VALUE"""),"Não")</f>
        <v>Não</v>
      </c>
      <c r="L899" s="1" t="str">
        <f>IFERROR(__xludf.DUMMYFUNCTION("""COMPUTED_VALUE"""),"B+")</f>
        <v>B+</v>
      </c>
      <c r="M899" s="1" t="str">
        <f>IFERROR(__xludf.DUMMYFUNCTION("""COMPUTED_VALUE"""),"ELLEN")</f>
        <v>ELLEN</v>
      </c>
      <c r="N899" s="120">
        <f>IFERROR(__xludf.DUMMYFUNCTION("""COMPUTED_VALUE"""),35823)</f>
        <v>35823</v>
      </c>
      <c r="O899" s="1" t="str">
        <f>IFERROR(__xludf.DUMMYFUNCTION("""COMPUTED_VALUE"""),"Feminino")</f>
        <v>Feminino</v>
      </c>
      <c r="P899" s="1" t="str">
        <f>IFERROR(__xludf.DUMMYFUNCTION("""COMPUTED_VALUE"""),"Parda")</f>
        <v>Parda</v>
      </c>
      <c r="Q899" s="1" t="str">
        <f>IFERROR(__xludf.DUMMYFUNCTION("""COMPUTED_VALUE"""),"Ensino Superior Incompleto")</f>
        <v>Ensino Superior Incompleto</v>
      </c>
      <c r="R899" s="1" t="str">
        <f>IFERROR(__xludf.DUMMYFUNCTION("""COMPUTED_VALUE"""),"ellen.gomes28@gmail.com")</f>
        <v>ellen.gomes28@gmail.com</v>
      </c>
      <c r="S899" s="1" t="str">
        <f>IFERROR(__xludf.DUMMYFUNCTION("""COMPUTED_VALUE"""),"56kg")</f>
        <v>56kg</v>
      </c>
      <c r="T899" s="1" t="str">
        <f>IFERROR(__xludf.DUMMYFUNCTION("""COMPUTED_VALUE"""),"Entre 1,56m e 1,60m")</f>
        <v>Entre 1,56m e 1,60m</v>
      </c>
      <c r="U899" s="1"/>
      <c r="V899" s="1" t="str">
        <f>IFERROR(__xludf.DUMMYFUNCTION("""COMPUTED_VALUE"""),"(51)98912-1981")</f>
        <v>(51)98912-1981</v>
      </c>
      <c r="W899" s="1" t="str">
        <f>IFERROR(__xludf.DUMMYFUNCTION("""COMPUTED_VALUE"""),"(51)99132-3873")</f>
        <v>(51)99132-3873</v>
      </c>
      <c r="X899" s="1" t="str">
        <f>IFERROR(__xludf.DUMMYFUNCTION("""COMPUTED_VALUE"""),"RS")</f>
        <v>RS</v>
      </c>
      <c r="Y899" s="1" t="str">
        <f>IFERROR(__xludf.DUMMYFUNCTION("""COMPUTED_VALUE"""),"Gravataí")</f>
        <v>Gravataí</v>
      </c>
      <c r="Z899" s="1" t="str">
        <f>IFERROR(__xludf.DUMMYFUNCTION("""COMPUTED_VALUE"""),"94190-000")</f>
        <v>94190-000</v>
      </c>
      <c r="AA899" s="1" t="str">
        <f>IFERROR(__xludf.DUMMYFUNCTION("""COMPUTED_VALUE"""),"RUA BERNARDO JOAQUIM FERREIRA, 1900")</f>
        <v>RUA BERNARDO JOAQUIM FERREIRA, 1900</v>
      </c>
      <c r="AB899" s="1" t="str">
        <f>IFERROR(__xludf.DUMMYFUNCTION("""COMPUTED_VALUE"""),"CAÇA E PESCA")</f>
        <v>CAÇA E PESCA</v>
      </c>
      <c r="AC899" s="1" t="str">
        <f>IFERROR(__xludf.DUMMYFUNCTION("""COMPUTED_VALUE"""),"P")</f>
        <v>P</v>
      </c>
      <c r="AD899" s="1" t="str">
        <f>IFERROR(__xludf.DUMMYFUNCTION("""COMPUTED_VALUE"""),"P")</f>
        <v>P</v>
      </c>
      <c r="AE899" s="1" t="str">
        <f>IFERROR(__xludf.DUMMYFUNCTION("""COMPUTED_VALUE"""),"P")</f>
        <v>P</v>
      </c>
      <c r="AF899" s="1" t="str">
        <f>IFERROR(__xludf.DUMMYFUNCTION("""COMPUTED_VALUE"""),"P")</f>
        <v>P</v>
      </c>
      <c r="AG899" s="1" t="str">
        <f>IFERROR(__xludf.DUMMYFUNCTION("""COMPUTED_VALUE"""),"P")</f>
        <v>P</v>
      </c>
      <c r="AH899" s="1">
        <f>IFERROR(__xludf.DUMMYFUNCTION("""COMPUTED_VALUE"""),36)</f>
        <v>36</v>
      </c>
      <c r="AI899" s="1">
        <f>IFERROR(__xludf.DUMMYFUNCTION("""COMPUTED_VALUE"""),36)</f>
        <v>36</v>
      </c>
      <c r="AJ899" s="1">
        <f>IFERROR(__xludf.DUMMYFUNCTION("""COMPUTED_VALUE"""),36)</f>
        <v>36</v>
      </c>
      <c r="AK899" s="1">
        <f>IFERROR(__xludf.DUMMYFUNCTION("""COMPUTED_VALUE"""),36)</f>
        <v>36</v>
      </c>
      <c r="AL899" s="1" t="str">
        <f>IFERROR(__xludf.DUMMYFUNCTION("""COMPUTED_VALUE"""),"P")</f>
        <v>P</v>
      </c>
      <c r="AM899" s="1" t="str">
        <f>IFERROR(__xludf.DUMMYFUNCTION("""COMPUTED_VALUE"""),"P")</f>
        <v>P</v>
      </c>
      <c r="AN899" s="1" t="str">
        <f>IFERROR(__xludf.DUMMYFUNCTION("""COMPUTED_VALUE"""),"P")</f>
        <v>P</v>
      </c>
    </row>
    <row r="900" customHeight="1" spans="1:40">
      <c r="A900" s="1" t="str">
        <f>IFERROR(__xludf.DUMMYFUNCTION("""COMPUTED_VALUE"""),"08° BBM")</f>
        <v>08° BBM</v>
      </c>
      <c r="B900" s="1" t="str">
        <f>IFERROR(__xludf.DUMMYFUNCTION("""COMPUTED_VALUE"""),"Nova Santa Rita")</f>
        <v>Nova Santa Rita</v>
      </c>
      <c r="C900" s="119" t="str">
        <f>IFERROR(__xludf.DUMMYFUNCTION("""COMPUTED_VALUE"""),"CAB")</f>
        <v>CAB</v>
      </c>
      <c r="D900" s="1" t="str">
        <f>IFERROR(__xludf.DUMMYFUNCTION("""COMPUTED_VALUE"""),"FELIPE RONDON MACHADO CARNEIRO")</f>
        <v>FELIPE RONDON MACHADO CARNEIRO</v>
      </c>
      <c r="E900" s="119" t="str">
        <f>IFERROR(__xludf.DUMMYFUNCTION("""COMPUTED_VALUE"""),"Curso CAB operador concluído")</f>
        <v>Curso CAB operador concluído</v>
      </c>
      <c r="F900" s="1" t="str">
        <f>IFERROR(__xludf.DUMMYFUNCTION("""COMPUTED_VALUE"""),"022.604.360-64")</f>
        <v>022.604.360-64</v>
      </c>
      <c r="G900" s="1">
        <f>IFERROR(__xludf.DUMMYFUNCTION("""COMPUTED_VALUE"""),1095723118)</f>
        <v>1095723118</v>
      </c>
      <c r="H900" s="1" t="str">
        <f>IFERROR(__xludf.DUMMYFUNCTION("""COMPUTED_VALUE"""),"OPERACIONAL")</f>
        <v>OPERACIONAL</v>
      </c>
      <c r="I900" s="1" t="str">
        <f>IFERROR(__xludf.DUMMYFUNCTION("""COMPUTED_VALUE"""),"BOMBEIRO CIVIL/ CAB")</f>
        <v>BOMBEIRO CIVIL/ CAB</v>
      </c>
      <c r="J900" s="1" t="str">
        <f>IFERROR(__xludf.DUMMYFUNCTION("""COMPUTED_VALUE"""),"Sim")</f>
        <v>Sim</v>
      </c>
      <c r="K900" s="1" t="str">
        <f>IFERROR(__xludf.DUMMYFUNCTION("""COMPUTED_VALUE"""),"Sim")</f>
        <v>Sim</v>
      </c>
      <c r="L900" s="1" t="str">
        <f>IFERROR(__xludf.DUMMYFUNCTION("""COMPUTED_VALUE"""),"O+")</f>
        <v>O+</v>
      </c>
      <c r="M900" s="1" t="str">
        <f>IFERROR(__xludf.DUMMYFUNCTION("""COMPUTED_VALUE"""),"FELIPE")</f>
        <v>FELIPE</v>
      </c>
      <c r="N900" s="120">
        <f>IFERROR(__xludf.DUMMYFUNCTION("""COMPUTED_VALUE"""),33308)</f>
        <v>33308</v>
      </c>
      <c r="O900" s="1" t="str">
        <f>IFERROR(__xludf.DUMMYFUNCTION("""COMPUTED_VALUE"""),"Masculino")</f>
        <v>Masculino</v>
      </c>
      <c r="P900" s="1" t="str">
        <f>IFERROR(__xludf.DUMMYFUNCTION("""COMPUTED_VALUE"""),"Morena")</f>
        <v>Morena</v>
      </c>
      <c r="Q900" s="1" t="str">
        <f>IFERROR(__xludf.DUMMYFUNCTION("""COMPUTED_VALUE"""),"Ensino Médio")</f>
        <v>Ensino Médio</v>
      </c>
      <c r="R900" s="123" t="str">
        <f>IFERROR(__xludf.DUMMYFUNCTION("""COMPUTED_VALUE"""),"felipecarneiro193@gmail.com")</f>
        <v>felipecarneiro193@gmail.com</v>
      </c>
      <c r="S900" s="1">
        <f>IFERROR(__xludf.DUMMYFUNCTION("""COMPUTED_VALUE"""),80)</f>
        <v>80</v>
      </c>
      <c r="T900" s="1" t="str">
        <f>IFERROR(__xludf.DUMMYFUNCTION("""COMPUTED_VALUE"""),"Entre 1,66m e 1,70m")</f>
        <v>Entre 1,66m e 1,70m</v>
      </c>
      <c r="U900" s="1"/>
      <c r="V900" s="1" t="str">
        <f>IFERROR(__xludf.DUMMYFUNCTION("""COMPUTED_VALUE"""),"(51) 99610-3767")</f>
        <v>(51) 99610-3767</v>
      </c>
      <c r="W900" s="1" t="str">
        <f>IFERROR(__xludf.DUMMYFUNCTION("""COMPUTED_VALUE"""),"(51) 99321-2700")</f>
        <v>(51) 99321-2700</v>
      </c>
      <c r="X900" s="1" t="str">
        <f>IFERROR(__xludf.DUMMYFUNCTION("""COMPUTED_VALUE"""),"RS")</f>
        <v>RS</v>
      </c>
      <c r="Y900" s="1" t="str">
        <f>IFERROR(__xludf.DUMMYFUNCTION("""COMPUTED_VALUE"""),"Canoas")</f>
        <v>Canoas</v>
      </c>
      <c r="Z900" s="1" t="str">
        <f>IFERROR(__xludf.DUMMYFUNCTION("""COMPUTED_VALUE"""),"92420-080")</f>
        <v>92420-080</v>
      </c>
      <c r="AA900" s="1" t="str">
        <f>IFERROR(__xludf.DUMMYFUNCTION("""COMPUTED_VALUE"""),"Rua Evaristo da Veiga, 250")</f>
        <v>Rua Evaristo da Veiga, 250</v>
      </c>
      <c r="AB900" s="1" t="str">
        <f>IFERROR(__xludf.DUMMYFUNCTION("""COMPUTED_VALUE"""),"São Luís")</f>
        <v>São Luís</v>
      </c>
      <c r="AC900" s="1" t="str">
        <f>IFERROR(__xludf.DUMMYFUNCTION("""COMPUTED_VALUE"""),"M")</f>
        <v>M</v>
      </c>
      <c r="AD900" s="1" t="str">
        <f>IFERROR(__xludf.DUMMYFUNCTION("""COMPUTED_VALUE"""),"M")</f>
        <v>M</v>
      </c>
      <c r="AE900" s="1" t="str">
        <f>IFERROR(__xludf.DUMMYFUNCTION("""COMPUTED_VALUE"""),"G")</f>
        <v>G</v>
      </c>
      <c r="AF900" s="1" t="str">
        <f>IFERROR(__xludf.DUMMYFUNCTION("""COMPUTED_VALUE"""),"M")</f>
        <v>M</v>
      </c>
      <c r="AG900" s="1" t="str">
        <f>IFERROR(__xludf.DUMMYFUNCTION("""COMPUTED_VALUE"""),"M")</f>
        <v>M</v>
      </c>
      <c r="AH900" s="1">
        <f>IFERROR(__xludf.DUMMYFUNCTION("""COMPUTED_VALUE"""),40)</f>
        <v>40</v>
      </c>
      <c r="AI900" s="1">
        <f>IFERROR(__xludf.DUMMYFUNCTION("""COMPUTED_VALUE"""),40)</f>
        <v>40</v>
      </c>
      <c r="AJ900" s="1">
        <f>IFERROR(__xludf.DUMMYFUNCTION("""COMPUTED_VALUE"""),40)</f>
        <v>40</v>
      </c>
      <c r="AK900" s="1">
        <f>IFERROR(__xludf.DUMMYFUNCTION("""COMPUTED_VALUE"""),40)</f>
        <v>40</v>
      </c>
      <c r="AL900" s="1" t="str">
        <f>IFERROR(__xludf.DUMMYFUNCTION("""COMPUTED_VALUE"""),"G")</f>
        <v>G</v>
      </c>
      <c r="AM900" s="1" t="str">
        <f>IFERROR(__xludf.DUMMYFUNCTION("""COMPUTED_VALUE"""),"G")</f>
        <v>G</v>
      </c>
      <c r="AN900" s="1" t="str">
        <f>IFERROR(__xludf.DUMMYFUNCTION("""COMPUTED_VALUE"""),"G")</f>
        <v>G</v>
      </c>
    </row>
    <row r="901" customHeight="1" spans="1:40">
      <c r="A901" s="1" t="str">
        <f>IFERROR(__xludf.DUMMYFUNCTION("""COMPUTED_VALUE"""),"08°BBM")</f>
        <v>08°BBM</v>
      </c>
      <c r="B901" s="1" t="str">
        <f>IFERROR(__xludf.DUMMYFUNCTION("""COMPUTED_VALUE"""),"Nova Santa Rita")</f>
        <v>Nova Santa Rita</v>
      </c>
      <c r="C901" s="119" t="str">
        <f>IFERROR(__xludf.DUMMYFUNCTION("""COMPUTED_VALUE"""),"SCAB")</f>
        <v>SCAB</v>
      </c>
      <c r="D901" s="1" t="str">
        <f>IFERROR(__xludf.DUMMYFUNCTION("""COMPUTED_VALUE"""),"GIANCARLO BARBOSA GREINER")</f>
        <v>GIANCARLO BARBOSA GREINER</v>
      </c>
      <c r="E901" s="119" t="str">
        <f>IFERROR(__xludf.DUMMYFUNCTION("""COMPUTED_VALUE"""),"Curso CAB operador concluído")</f>
        <v>Curso CAB operador concluído</v>
      </c>
      <c r="F901" s="1" t="str">
        <f>IFERROR(__xludf.DUMMYFUNCTION("""COMPUTED_VALUE"""),"039.799.210-69")</f>
        <v>039.799.210-69</v>
      </c>
      <c r="G901" s="1">
        <f>IFERROR(__xludf.DUMMYFUNCTION("""COMPUTED_VALUE"""),8114188652)</f>
        <v>8114188652</v>
      </c>
      <c r="H901" s="1" t="str">
        <f>IFERROR(__xludf.DUMMYFUNCTION("""COMPUTED_VALUE"""),"OPERACIONAL")</f>
        <v>OPERACIONAL</v>
      </c>
      <c r="I901" s="1" t="str">
        <f>IFERROR(__xludf.DUMMYFUNCTION("""COMPUTED_VALUE"""),"CAB")</f>
        <v>CAB</v>
      </c>
      <c r="J901" s="1" t="str">
        <f>IFERROR(__xludf.DUMMYFUNCTION("""COMPUTED_VALUE"""),"Sim")</f>
        <v>Sim</v>
      </c>
      <c r="K901" s="1" t="str">
        <f>IFERROR(__xludf.DUMMYFUNCTION("""COMPUTED_VALUE"""),"sim")</f>
        <v>sim</v>
      </c>
      <c r="L901" s="1" t="str">
        <f>IFERROR(__xludf.DUMMYFUNCTION("""COMPUTED_VALUE"""),"A+")</f>
        <v>A+</v>
      </c>
      <c r="M901" s="1" t="str">
        <f>IFERROR(__xludf.DUMMYFUNCTION("""COMPUTED_VALUE"""),"GIANCARLO")</f>
        <v>GIANCARLO</v>
      </c>
      <c r="N901" s="120">
        <f>IFERROR(__xludf.DUMMYFUNCTION("""COMPUTED_VALUE"""),35528)</f>
        <v>35528</v>
      </c>
      <c r="O901" s="1" t="str">
        <f>IFERROR(__xludf.DUMMYFUNCTION("""COMPUTED_VALUE"""),"Masculino")</f>
        <v>Masculino</v>
      </c>
      <c r="P901" s="1" t="str">
        <f>IFERROR(__xludf.DUMMYFUNCTION("""COMPUTED_VALUE"""),"Branca")</f>
        <v>Branca</v>
      </c>
      <c r="Q901" s="1" t="str">
        <f>IFERROR(__xludf.DUMMYFUNCTION("""COMPUTED_VALUE"""),"ensino superior completo")</f>
        <v>ensino superior completo</v>
      </c>
      <c r="R901" s="123" t="str">
        <f>IFERROR(__xludf.DUMMYFUNCTION("""COMPUTED_VALUE"""),"giancarlogreiner388@gmail.com")</f>
        <v>giancarlogreiner388@gmail.com</v>
      </c>
      <c r="S901" s="1" t="str">
        <f>IFERROR(__xludf.DUMMYFUNCTION("""COMPUTED_VALUE"""),"90kg")</f>
        <v>90kg</v>
      </c>
      <c r="T901" s="1" t="str">
        <f>IFERROR(__xludf.DUMMYFUNCTION("""COMPUTED_VALUE"""),"entre 180")</f>
        <v>entre 180</v>
      </c>
      <c r="U901" s="1"/>
      <c r="V901" s="1" t="str">
        <f>IFERROR(__xludf.DUMMYFUNCTION("""COMPUTED_VALUE"""),"(51) 995763658")</f>
        <v>(51) 995763658</v>
      </c>
      <c r="W901" s="1" t="str">
        <f>IFERROR(__xludf.DUMMYFUNCTION("""COMPUTED_VALUE"""),"(51) 997492333")</f>
        <v>(51) 997492333</v>
      </c>
      <c r="X901" s="1" t="str">
        <f>IFERROR(__xludf.DUMMYFUNCTION("""COMPUTED_VALUE"""),"RS")</f>
        <v>RS</v>
      </c>
      <c r="Y901" s="1" t="str">
        <f>IFERROR(__xludf.DUMMYFUNCTION("""COMPUTED_VALUE"""),"Canoas")</f>
        <v>Canoas</v>
      </c>
      <c r="Z901" s="1">
        <f>IFERROR(__xludf.DUMMYFUNCTION("""COMPUTED_VALUE"""),92420230)</f>
        <v>92420230</v>
      </c>
      <c r="AA901" s="1" t="str">
        <f>IFERROR(__xludf.DUMMYFUNCTION("""COMPUTED_VALUE"""),"rua guaruja,300")</f>
        <v>rua guaruja,300</v>
      </c>
      <c r="AB901" s="1" t="str">
        <f>IFERROR(__xludf.DUMMYFUNCTION("""COMPUTED_VALUE"""),"são jose")</f>
        <v>são jose</v>
      </c>
      <c r="AC901" s="1" t="str">
        <f>IFERROR(__xludf.DUMMYFUNCTION("""COMPUTED_VALUE"""),"M")</f>
        <v>M</v>
      </c>
      <c r="AD901" s="1" t="str">
        <f>IFERROR(__xludf.DUMMYFUNCTION("""COMPUTED_VALUE"""),"M")</f>
        <v>M</v>
      </c>
      <c r="AE901" s="1" t="str">
        <f>IFERROR(__xludf.DUMMYFUNCTION("""COMPUTED_VALUE"""),"G")</f>
        <v>G</v>
      </c>
      <c r="AF901" s="1" t="str">
        <f>IFERROR(__xludf.DUMMYFUNCTION("""COMPUTED_VALUE"""),"M")</f>
        <v>M</v>
      </c>
      <c r="AG901" s="1" t="str">
        <f>IFERROR(__xludf.DUMMYFUNCTION("""COMPUTED_VALUE"""),"M")</f>
        <v>M</v>
      </c>
      <c r="AH901" s="1">
        <f>IFERROR(__xludf.DUMMYFUNCTION("""COMPUTED_VALUE"""),41)</f>
        <v>41</v>
      </c>
      <c r="AI901" s="1">
        <f>IFERROR(__xludf.DUMMYFUNCTION("""COMPUTED_VALUE"""),41)</f>
        <v>41</v>
      </c>
      <c r="AJ901" s="1">
        <f>IFERROR(__xludf.DUMMYFUNCTION("""COMPUTED_VALUE"""),40)</f>
        <v>40</v>
      </c>
      <c r="AK901" s="1">
        <f>IFERROR(__xludf.DUMMYFUNCTION("""COMPUTED_VALUE"""),41)</f>
        <v>41</v>
      </c>
      <c r="AL901" s="1" t="str">
        <f>IFERROR(__xludf.DUMMYFUNCTION("""COMPUTED_VALUE"""),"M")</f>
        <v>M</v>
      </c>
      <c r="AM901" s="1" t="str">
        <f>IFERROR(__xludf.DUMMYFUNCTION("""COMPUTED_VALUE"""),"M")</f>
        <v>M</v>
      </c>
      <c r="AN901" s="1" t="str">
        <f>IFERROR(__xludf.DUMMYFUNCTION("""COMPUTED_VALUE"""),"M")</f>
        <v>M</v>
      </c>
    </row>
    <row r="902" customHeight="1" spans="1:40">
      <c r="A902" s="1" t="str">
        <f>IFERROR(__xludf.DUMMYFUNCTION("""COMPUTED_VALUE"""),"08° BBM")</f>
        <v>08° BBM</v>
      </c>
      <c r="B902" s="1" t="str">
        <f>IFERROR(__xludf.DUMMYFUNCTION("""COMPUTED_VALUE"""),"Gravataí")</f>
        <v>Gravataí</v>
      </c>
      <c r="C902" s="119" t="str">
        <f>IFERROR(__xludf.DUMMYFUNCTION("""COMPUTED_VALUE"""),"Comunitario")</f>
        <v>Comunitario</v>
      </c>
      <c r="D902" s="1" t="str">
        <f>IFERROR(__xludf.DUMMYFUNCTION("""COMPUTED_VALUE"""),"GILBERTO PAIXÃO PEREIRA DOS SANTOS")</f>
        <v>GILBERTO PAIXÃO PEREIRA DOS SANTOS</v>
      </c>
      <c r="E902" s="119" t="str">
        <f>IFERROR(__xludf.DUMMYFUNCTION("""COMPUTED_VALUE"""),"Módulo 1 concluído")</f>
        <v>Módulo 1 concluído</v>
      </c>
      <c r="F902" s="1" t="str">
        <f>IFERROR(__xludf.DUMMYFUNCTION("""COMPUTED_VALUE"""),"935.096.500-34")</f>
        <v>935.096.500-34</v>
      </c>
      <c r="G902" s="1">
        <f>IFERROR(__xludf.DUMMYFUNCTION("""COMPUTED_VALUE"""),1064840448)</f>
        <v>1064840448</v>
      </c>
      <c r="H902" s="1" t="str">
        <f>IFERROR(__xludf.DUMMYFUNCTION("""COMPUTED_VALUE"""),"AUXILIAR DE LINHA / SOCORRISTA")</f>
        <v>AUXILIAR DE LINHA / SOCORRISTA</v>
      </c>
      <c r="I902" s="1" t="str">
        <f>IFERROR(__xludf.DUMMYFUNCTION("""COMPUTED_VALUE"""),"BOMBEIRO CIVIL")</f>
        <v>BOMBEIRO CIVIL</v>
      </c>
      <c r="J902" s="1" t="str">
        <f>IFERROR(__xludf.DUMMYFUNCTION("""COMPUTED_VALUE"""),"Sim")</f>
        <v>Sim</v>
      </c>
      <c r="K902" s="1" t="str">
        <f>IFERROR(__xludf.DUMMYFUNCTION("""COMPUTED_VALUE"""),"Sim")</f>
        <v>Sim</v>
      </c>
      <c r="L902" s="1" t="str">
        <f>IFERROR(__xludf.DUMMYFUNCTION("""COMPUTED_VALUE"""),"B+")</f>
        <v>B+</v>
      </c>
      <c r="M902" s="1" t="str">
        <f>IFERROR(__xludf.DUMMYFUNCTION("""COMPUTED_VALUE"""),"PAIXÃO")</f>
        <v>PAIXÃO</v>
      </c>
      <c r="N902" s="121">
        <f>IFERROR(__xludf.DUMMYFUNCTION("""COMPUTED_VALUE"""),28489)</f>
        <v>28489</v>
      </c>
      <c r="O902" s="1" t="str">
        <f>IFERROR(__xludf.DUMMYFUNCTION("""COMPUTED_VALUE"""),"Masculino")</f>
        <v>Masculino</v>
      </c>
      <c r="P902" s="1" t="str">
        <f>IFERROR(__xludf.DUMMYFUNCTION("""COMPUTED_VALUE"""),"Branca")</f>
        <v>Branca</v>
      </c>
      <c r="Q902" s="1" t="str">
        <f>IFERROR(__xludf.DUMMYFUNCTION("""COMPUTED_VALUE"""),"Ensino Médio")</f>
        <v>Ensino Médio</v>
      </c>
      <c r="R902" s="1" t="str">
        <f>IFERROR(__xludf.DUMMYFUNCTION("""COMPUTED_VALUE"""),"mecanicabeto.paixao@gmail.com")</f>
        <v>mecanicabeto.paixao@gmail.com</v>
      </c>
      <c r="S902" s="1" t="str">
        <f>IFERROR(__xludf.DUMMYFUNCTION("""COMPUTED_VALUE"""),"85kg")</f>
        <v>85kg</v>
      </c>
      <c r="T902" s="1" t="str">
        <f>IFERROR(__xludf.DUMMYFUNCTION("""COMPUTED_VALUE"""),"Entre 1,71m e 1,75m")</f>
        <v>Entre 1,71m e 1,75m</v>
      </c>
      <c r="U902" s="1"/>
      <c r="V902" s="1" t="str">
        <f>IFERROR(__xludf.DUMMYFUNCTION("""COMPUTED_VALUE"""),"(51)99924-6719")</f>
        <v>(51)99924-6719</v>
      </c>
      <c r="W902" s="1" t="str">
        <f>IFERROR(__xludf.DUMMYFUNCTION("""COMPUTED_VALUE"""),"(51)99492-1329")</f>
        <v>(51)99492-1329</v>
      </c>
      <c r="X902" s="1" t="str">
        <f>IFERROR(__xludf.DUMMYFUNCTION("""COMPUTED_VALUE"""),"RS")</f>
        <v>RS</v>
      </c>
      <c r="Y902" s="1" t="str">
        <f>IFERROR(__xludf.DUMMYFUNCTION("""COMPUTED_VALUE"""),"Gravataí")</f>
        <v>Gravataí</v>
      </c>
      <c r="Z902" s="1" t="str">
        <f>IFERROR(__xludf.DUMMYFUNCTION("""COMPUTED_VALUE"""),"94100-560")</f>
        <v>94100-560</v>
      </c>
      <c r="AA902" s="1" t="str">
        <f>IFERROR(__xludf.DUMMYFUNCTION("""COMPUTED_VALUE"""),"ESTRADA JORGE AMADO, 478")</f>
        <v>ESTRADA JORGE AMADO, 478</v>
      </c>
      <c r="AB902" s="1" t="str">
        <f>IFERROR(__xludf.DUMMYFUNCTION("""COMPUTED_VALUE"""),"SANTA CRUZ")</f>
        <v>SANTA CRUZ</v>
      </c>
      <c r="AC902" s="1" t="str">
        <f>IFERROR(__xludf.DUMMYFUNCTION("""COMPUTED_VALUE"""),"G")</f>
        <v>G</v>
      </c>
      <c r="AD902" s="1" t="str">
        <f>IFERROR(__xludf.DUMMYFUNCTION("""COMPUTED_VALUE"""),"G")</f>
        <v>G</v>
      </c>
      <c r="AE902" s="1" t="str">
        <f>IFERROR(__xludf.DUMMYFUNCTION("""COMPUTED_VALUE"""),"G")</f>
        <v>G</v>
      </c>
      <c r="AF902" s="1" t="str">
        <f>IFERROR(__xludf.DUMMYFUNCTION("""COMPUTED_VALUE"""),"G")</f>
        <v>G</v>
      </c>
      <c r="AG902" s="1" t="str">
        <f>IFERROR(__xludf.DUMMYFUNCTION("""COMPUTED_VALUE"""),"G")</f>
        <v>G</v>
      </c>
      <c r="AH902" s="1">
        <f>IFERROR(__xludf.DUMMYFUNCTION("""COMPUTED_VALUE"""),42)</f>
        <v>42</v>
      </c>
      <c r="AI902" s="1">
        <f>IFERROR(__xludf.DUMMYFUNCTION("""COMPUTED_VALUE"""),42)</f>
        <v>42</v>
      </c>
      <c r="AJ902" s="1">
        <f>IFERROR(__xludf.DUMMYFUNCTION("""COMPUTED_VALUE"""),42)</f>
        <v>42</v>
      </c>
      <c r="AK902" s="1">
        <f>IFERROR(__xludf.DUMMYFUNCTION("""COMPUTED_VALUE"""),42)</f>
        <v>42</v>
      </c>
      <c r="AL902" s="1" t="str">
        <f>IFERROR(__xludf.DUMMYFUNCTION("""COMPUTED_VALUE"""),"G")</f>
        <v>G</v>
      </c>
      <c r="AM902" s="1" t="str">
        <f>IFERROR(__xludf.DUMMYFUNCTION("""COMPUTED_VALUE"""),"G")</f>
        <v>G</v>
      </c>
      <c r="AN902" s="1" t="str">
        <f>IFERROR(__xludf.DUMMYFUNCTION("""COMPUTED_VALUE"""),"G")</f>
        <v>G</v>
      </c>
    </row>
    <row r="903" customHeight="1" spans="1:40">
      <c r="A903" s="1" t="str">
        <f>IFERROR(__xludf.DUMMYFUNCTION("""COMPUTED_VALUE"""),"08° BBM")</f>
        <v>08° BBM</v>
      </c>
      <c r="B903" s="1" t="str">
        <f>IFERROR(__xludf.DUMMYFUNCTION("""COMPUTED_VALUE"""),"Gravataí")</f>
        <v>Gravataí</v>
      </c>
      <c r="C903" s="119" t="str">
        <f>IFERROR(__xludf.DUMMYFUNCTION("""COMPUTED_VALUE"""),"Comunitario")</f>
        <v>Comunitario</v>
      </c>
      <c r="D903" s="1" t="str">
        <f>IFERROR(__xludf.DUMMYFUNCTION("""COMPUTED_VALUE"""),"ITAMAR KALLER")</f>
        <v>ITAMAR KALLER</v>
      </c>
      <c r="E903" s="119" t="str">
        <f>IFERROR(__xludf.DUMMYFUNCTION("""COMPUTED_VALUE"""),"Módulo 1 concluído")</f>
        <v>Módulo 1 concluído</v>
      </c>
      <c r="F903" s="1" t="str">
        <f>IFERROR(__xludf.DUMMYFUNCTION("""COMPUTED_VALUE"""),"473.244.810-00")</f>
        <v>473.244.810-00</v>
      </c>
      <c r="G903" s="1">
        <f>IFERROR(__xludf.DUMMYFUNCTION("""COMPUTED_VALUE"""),6036768064)</f>
        <v>6036768064</v>
      </c>
      <c r="H903" s="1" t="str">
        <f>IFERROR(__xludf.DUMMYFUNCTION("""COMPUTED_VALUE"""),"AUXILIAR DE LINHA / SOCORRISTA")</f>
        <v>AUXILIAR DE LINHA / SOCORRISTA</v>
      </c>
      <c r="I903" s="1" t="str">
        <f>IFERROR(__xludf.DUMMYFUNCTION("""COMPUTED_VALUE"""),"TECNICO EM SEGURANÇA DO TRABALHO")</f>
        <v>TECNICO EM SEGURANÇA DO TRABALHO</v>
      </c>
      <c r="J903" s="1" t="str">
        <f>IFERROR(__xludf.DUMMYFUNCTION("""COMPUTED_VALUE"""),"Sim")</f>
        <v>Sim</v>
      </c>
      <c r="K903" s="1" t="str">
        <f>IFERROR(__xludf.DUMMYFUNCTION("""COMPUTED_VALUE"""),"Sim")</f>
        <v>Sim</v>
      </c>
      <c r="L903" s="1" t="str">
        <f>IFERROR(__xludf.DUMMYFUNCTION("""COMPUTED_VALUE"""),"B+")</f>
        <v>B+</v>
      </c>
      <c r="M903" s="1" t="str">
        <f>IFERROR(__xludf.DUMMYFUNCTION("""COMPUTED_VALUE"""),"ITAMAR")</f>
        <v>ITAMAR</v>
      </c>
      <c r="N903" s="121">
        <f>IFERROR(__xludf.DUMMYFUNCTION("""COMPUTED_VALUE"""),24470)</f>
        <v>24470</v>
      </c>
      <c r="O903" s="1" t="str">
        <f>IFERROR(__xludf.DUMMYFUNCTION("""COMPUTED_VALUE"""),"Masculino")</f>
        <v>Masculino</v>
      </c>
      <c r="P903" s="1" t="str">
        <f>IFERROR(__xludf.DUMMYFUNCTION("""COMPUTED_VALUE"""),"Branca")</f>
        <v>Branca</v>
      </c>
      <c r="Q903" s="1" t="str">
        <f>IFERROR(__xludf.DUMMYFUNCTION("""COMPUTED_VALUE"""),"Ensino Médio")</f>
        <v>Ensino Médio</v>
      </c>
      <c r="R903" s="1" t="str">
        <f>IFERROR(__xludf.DUMMYFUNCTION("""COMPUTED_VALUE"""),"itamar.tst2015@gmail.com")</f>
        <v>itamar.tst2015@gmail.com</v>
      </c>
      <c r="S903" s="1" t="str">
        <f>IFERROR(__xludf.DUMMYFUNCTION("""COMPUTED_VALUE"""),"90kg")</f>
        <v>90kg</v>
      </c>
      <c r="T903" s="1" t="str">
        <f>IFERROR(__xludf.DUMMYFUNCTION("""COMPUTED_VALUE"""),"Entre 1,71m e 1,75m")</f>
        <v>Entre 1,71m e 1,75m</v>
      </c>
      <c r="U903" s="1"/>
      <c r="V903" s="1" t="str">
        <f>IFERROR(__xludf.DUMMYFUNCTION("""COMPUTED_VALUE"""),"(51)98508-2426")</f>
        <v>(51)98508-2426</v>
      </c>
      <c r="W903" s="1" t="str">
        <f>IFERROR(__xludf.DUMMYFUNCTION("""COMPUTED_VALUE"""),"(51)98453-5115")</f>
        <v>(51)98453-5115</v>
      </c>
      <c r="X903" s="1" t="str">
        <f>IFERROR(__xludf.DUMMYFUNCTION("""COMPUTED_VALUE"""),"RS")</f>
        <v>RS</v>
      </c>
      <c r="Y903" s="1" t="str">
        <f>IFERROR(__xludf.DUMMYFUNCTION("""COMPUTED_VALUE"""),"Gravataí")</f>
        <v>Gravataí</v>
      </c>
      <c r="Z903" s="1" t="str">
        <f>IFERROR(__xludf.DUMMYFUNCTION("""COMPUTED_VALUE"""),"94155-150")</f>
        <v>94155-150</v>
      </c>
      <c r="AA903" s="1" t="str">
        <f>IFERROR(__xludf.DUMMYFUNCTION("""COMPUTED_VALUE"""),"RUA CARLOS GARDEL, 535")</f>
        <v>RUA CARLOS GARDEL, 535</v>
      </c>
      <c r="AB903" s="1" t="str">
        <f>IFERROR(__xludf.DUMMYFUNCTION("""COMPUTED_VALUE"""),"SÃO VICENTE")</f>
        <v>SÃO VICENTE</v>
      </c>
      <c r="AC903" s="1" t="str">
        <f>IFERROR(__xludf.DUMMYFUNCTION("""COMPUTED_VALUE"""),"GG")</f>
        <v>GG</v>
      </c>
      <c r="AD903" s="1" t="str">
        <f>IFERROR(__xludf.DUMMYFUNCTION("""COMPUTED_VALUE"""),"GG")</f>
        <v>GG</v>
      </c>
      <c r="AE903" s="1" t="str">
        <f>IFERROR(__xludf.DUMMYFUNCTION("""COMPUTED_VALUE"""),"GG")</f>
        <v>GG</v>
      </c>
      <c r="AF903" s="1" t="str">
        <f>IFERROR(__xludf.DUMMYFUNCTION("""COMPUTED_VALUE"""),"GG")</f>
        <v>GG</v>
      </c>
      <c r="AG903" s="1" t="str">
        <f>IFERROR(__xludf.DUMMYFUNCTION("""COMPUTED_VALUE"""),"GG")</f>
        <v>GG</v>
      </c>
      <c r="AH903" s="1">
        <f>IFERROR(__xludf.DUMMYFUNCTION("""COMPUTED_VALUE"""),40)</f>
        <v>40</v>
      </c>
      <c r="AI903" s="1">
        <f>IFERROR(__xludf.DUMMYFUNCTION("""COMPUTED_VALUE"""),40)</f>
        <v>40</v>
      </c>
      <c r="AJ903" s="1">
        <f>IFERROR(__xludf.DUMMYFUNCTION("""COMPUTED_VALUE"""),40)</f>
        <v>40</v>
      </c>
      <c r="AK903" s="1">
        <f>IFERROR(__xludf.DUMMYFUNCTION("""COMPUTED_VALUE"""),40)</f>
        <v>40</v>
      </c>
      <c r="AL903" s="1" t="str">
        <f>IFERROR(__xludf.DUMMYFUNCTION("""COMPUTED_VALUE"""),"GG")</f>
        <v>GG</v>
      </c>
      <c r="AM903" s="1" t="str">
        <f>IFERROR(__xludf.DUMMYFUNCTION("""COMPUTED_VALUE"""),"GG")</f>
        <v>GG</v>
      </c>
      <c r="AN903" s="1" t="str">
        <f>IFERROR(__xludf.DUMMYFUNCTION("""COMPUTED_VALUE"""),"GG")</f>
        <v>GG</v>
      </c>
    </row>
    <row r="904" customHeight="1" spans="1:40">
      <c r="A904" s="1" t="str">
        <f>IFERROR(__xludf.DUMMYFUNCTION("""COMPUTED_VALUE"""),"08° BBM")</f>
        <v>08° BBM</v>
      </c>
      <c r="B904" s="1" t="str">
        <f>IFERROR(__xludf.DUMMYFUNCTION("""COMPUTED_VALUE"""),"Cachoeirinha")</f>
        <v>Cachoeirinha</v>
      </c>
      <c r="C904" s="119" t="str">
        <f>IFERROR(__xludf.DUMMYFUNCTION("""COMPUTED_VALUE"""),"Comunitario")</f>
        <v>Comunitario</v>
      </c>
      <c r="D904" s="1" t="str">
        <f>IFERROR(__xludf.DUMMYFUNCTION("""COMPUTED_VALUE"""),"JADER BUENO DE ALMEIDA")</f>
        <v>JADER BUENO DE ALMEIDA</v>
      </c>
      <c r="E904" s="119" t="str">
        <f>IFERROR(__xludf.DUMMYFUNCTION("""COMPUTED_VALUE"""),"Módulo 1 concluído")</f>
        <v>Módulo 1 concluído</v>
      </c>
      <c r="F904" s="1" t="str">
        <f>IFERROR(__xludf.DUMMYFUNCTION("""COMPUTED_VALUE"""),"033.863.010-45")</f>
        <v>033.863.010-45</v>
      </c>
      <c r="G904" s="1">
        <f>IFERROR(__xludf.DUMMYFUNCTION("""COMPUTED_VALUE"""),6113588443)</f>
        <v>6113588443</v>
      </c>
      <c r="H904" s="1" t="str">
        <f>IFERROR(__xludf.DUMMYFUNCTION("""COMPUTED_VALUE"""),"AUXILIAR")</f>
        <v>AUXILIAR</v>
      </c>
      <c r="I904" s="1" t="str">
        <f>IFERROR(__xludf.DUMMYFUNCTION("""COMPUTED_VALUE"""),"BOMBEIRO CIVIL")</f>
        <v>BOMBEIRO CIVIL</v>
      </c>
      <c r="J904" s="1" t="str">
        <f>IFERROR(__xludf.DUMMYFUNCTION("""COMPUTED_VALUE"""),"Não")</f>
        <v>Não</v>
      </c>
      <c r="K904" s="1" t="str">
        <f>IFERROR(__xludf.DUMMYFUNCTION("""COMPUTED_VALUE"""),"Sim")</f>
        <v>Sim</v>
      </c>
      <c r="L904" s="1" t="str">
        <f>IFERROR(__xludf.DUMMYFUNCTION("""COMPUTED_VALUE"""),"O+")</f>
        <v>O+</v>
      </c>
      <c r="M904" s="1" t="str">
        <f>IFERROR(__xludf.DUMMYFUNCTION("""COMPUTED_VALUE"""),"JADER")</f>
        <v>JADER</v>
      </c>
      <c r="N904" s="120">
        <f>IFERROR(__xludf.DUMMYFUNCTION("""COMPUTED_VALUE"""),34250)</f>
        <v>34250</v>
      </c>
      <c r="O904" s="1" t="str">
        <f>IFERROR(__xludf.DUMMYFUNCTION("""COMPUTED_VALUE"""),"Masculino")</f>
        <v>Masculino</v>
      </c>
      <c r="P904" s="1" t="str">
        <f>IFERROR(__xludf.DUMMYFUNCTION("""COMPUTED_VALUE"""),"Branca")</f>
        <v>Branca</v>
      </c>
      <c r="Q904" s="1" t="str">
        <f>IFERROR(__xludf.DUMMYFUNCTION("""COMPUTED_VALUE"""),"Ensino Médio")</f>
        <v>Ensino Médio</v>
      </c>
      <c r="R904" s="1" t="str">
        <f>IFERROR(__xludf.DUMMYFUNCTION("""COMPUTED_VALUE"""),"jaderbueno093@gmail.com")</f>
        <v>jaderbueno093@gmail.com</v>
      </c>
      <c r="S904" s="1">
        <f>IFERROR(__xludf.DUMMYFUNCTION("""COMPUTED_VALUE"""),105)</f>
        <v>105</v>
      </c>
      <c r="T904" s="1" t="str">
        <f>IFERROR(__xludf.DUMMYFUNCTION("""COMPUTED_VALUE"""),"Entre 1,76m e 1,80m")</f>
        <v>Entre 1,76m e 1,80m</v>
      </c>
      <c r="U904" s="1" t="str">
        <f>IFERROR(__xludf.DUMMYFUNCTION("""COMPUTED_VALUE"""),"(51) 990113726")</f>
        <v>(51) 990113726</v>
      </c>
      <c r="V904" s="1" t="str">
        <f>IFERROR(__xludf.DUMMYFUNCTION("""COMPUTED_VALUE"""),"(51) 990113726")</f>
        <v>(51) 990113726</v>
      </c>
      <c r="W904" s="1" t="str">
        <f>IFERROR(__xludf.DUMMYFUNCTION("""COMPUTED_VALUE"""),"(51) 998606677")</f>
        <v>(51) 998606677</v>
      </c>
      <c r="X904" s="1" t="str">
        <f>IFERROR(__xludf.DUMMYFUNCTION("""COMPUTED_VALUE"""),"RS")</f>
        <v>RS</v>
      </c>
      <c r="Y904" s="1" t="str">
        <f>IFERROR(__xludf.DUMMYFUNCTION("""COMPUTED_VALUE"""),"Gravataí")</f>
        <v>Gravataí</v>
      </c>
      <c r="Z904" s="1" t="str">
        <f>IFERROR(__xludf.DUMMYFUNCTION("""COMPUTED_VALUE"""),"94110-523")</f>
        <v>94110-523</v>
      </c>
      <c r="AA904" s="1" t="str">
        <f>IFERROR(__xludf.DUMMYFUNCTION("""COMPUTED_VALUE"""),"RUA ANGRA DOS REIS 173")</f>
        <v>RUA ANGRA DOS REIS 173</v>
      </c>
      <c r="AB904" s="1" t="str">
        <f>IFERROR(__xludf.DUMMYFUNCTION("""COMPUTED_VALUE"""),"PARQUE IPIRANGA")</f>
        <v>PARQUE IPIRANGA</v>
      </c>
      <c r="AC904" s="1" t="str">
        <f>IFERROR(__xludf.DUMMYFUNCTION("""COMPUTED_VALUE"""),"G")</f>
        <v>G</v>
      </c>
      <c r="AD904" s="1" t="str">
        <f>IFERROR(__xludf.DUMMYFUNCTION("""COMPUTED_VALUE"""),"G")</f>
        <v>G</v>
      </c>
      <c r="AE904" s="1" t="str">
        <f>IFERROR(__xludf.DUMMYFUNCTION("""COMPUTED_VALUE"""),"G")</f>
        <v>G</v>
      </c>
      <c r="AF904" s="1" t="str">
        <f>IFERROR(__xludf.DUMMYFUNCTION("""COMPUTED_VALUE"""),"G")</f>
        <v>G</v>
      </c>
      <c r="AG904" s="1" t="str">
        <f>IFERROR(__xludf.DUMMYFUNCTION("""COMPUTED_VALUE"""),"G")</f>
        <v>G</v>
      </c>
      <c r="AH904" s="1">
        <f>IFERROR(__xludf.DUMMYFUNCTION("""COMPUTED_VALUE"""),43)</f>
        <v>43</v>
      </c>
      <c r="AI904" s="1">
        <f>IFERROR(__xludf.DUMMYFUNCTION("""COMPUTED_VALUE"""),43)</f>
        <v>43</v>
      </c>
      <c r="AJ904" s="1">
        <f>IFERROR(__xludf.DUMMYFUNCTION("""COMPUTED_VALUE"""),43)</f>
        <v>43</v>
      </c>
      <c r="AK904" s="1">
        <f>IFERROR(__xludf.DUMMYFUNCTION("""COMPUTED_VALUE"""),44)</f>
        <v>44</v>
      </c>
      <c r="AL904" s="1" t="str">
        <f>IFERROR(__xludf.DUMMYFUNCTION("""COMPUTED_VALUE"""),"G")</f>
        <v>G</v>
      </c>
      <c r="AM904" s="1" t="str">
        <f>IFERROR(__xludf.DUMMYFUNCTION("""COMPUTED_VALUE"""),"G")</f>
        <v>G</v>
      </c>
      <c r="AN904" s="1" t="str">
        <f>IFERROR(__xludf.DUMMYFUNCTION("""COMPUTED_VALUE"""),"G")</f>
        <v>G</v>
      </c>
    </row>
    <row r="905" customHeight="1" spans="1:40">
      <c r="A905" s="1" t="str">
        <f>IFERROR(__xludf.DUMMYFUNCTION("""COMPUTED_VALUE"""),"08° BBM")</f>
        <v>08° BBM</v>
      </c>
      <c r="B905" s="1"/>
      <c r="C905" s="119"/>
      <c r="D905" s="1" t="str">
        <f>IFERROR(__xludf.DUMMYFUNCTION("""COMPUTED_VALUE"""),"JOSÉ RICARDO PEREIRA CUNHA")</f>
        <v>JOSÉ RICARDO PEREIRA CUNHA</v>
      </c>
      <c r="E905" s="119" t="str">
        <f>IFERROR(__xludf.DUMMYFUNCTION("""COMPUTED_VALUE"""),"")</f>
        <v/>
      </c>
      <c r="F905" s="1" t="str">
        <f>IFERROR(__xludf.DUMMYFUNCTION("""COMPUTED_VALUE"""),"676.007.270-72")</f>
        <v>676.007.270-72</v>
      </c>
      <c r="G905" s="1"/>
      <c r="H905" s="1"/>
      <c r="I905" s="1"/>
      <c r="J905" s="1"/>
      <c r="K905" s="1"/>
      <c r="L905" s="1"/>
      <c r="M905" s="1"/>
      <c r="N905" s="120"/>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row>
    <row r="906" customHeight="1" spans="1:40">
      <c r="A906" s="1" t="str">
        <f>IFERROR(__xludf.DUMMYFUNCTION("""COMPUTED_VALUE"""),"08° BBM")</f>
        <v>08° BBM</v>
      </c>
      <c r="B906" s="1" t="str">
        <f>IFERROR(__xludf.DUMMYFUNCTION("""COMPUTED_VALUE"""),"Gravataí")</f>
        <v>Gravataí</v>
      </c>
      <c r="C906" s="119" t="str">
        <f>IFERROR(__xludf.DUMMYFUNCTION("""COMPUTED_VALUE"""),"Comunitario")</f>
        <v>Comunitario</v>
      </c>
      <c r="D906" s="1" t="str">
        <f>IFERROR(__xludf.DUMMYFUNCTION("""COMPUTED_VALUE"""),"LEANDRO MACHADO")</f>
        <v>LEANDRO MACHADO</v>
      </c>
      <c r="E906" s="119" t="str">
        <f>IFERROR(__xludf.DUMMYFUNCTION("""COMPUTED_VALUE"""),"Módulo 2 e 3 concluído")</f>
        <v>Módulo 2 e 3 concluído</v>
      </c>
      <c r="F906" s="1" t="str">
        <f>IFERROR(__xludf.DUMMYFUNCTION("""COMPUTED_VALUE"""),"729.282.200-20")</f>
        <v>729.282.200-20</v>
      </c>
      <c r="G906" s="1">
        <f>IFERROR(__xludf.DUMMYFUNCTION("""COMPUTED_VALUE"""),1060864293)</f>
        <v>1060864293</v>
      </c>
      <c r="H906" s="1" t="str">
        <f>IFERROR(__xludf.DUMMYFUNCTION("""COMPUTED_VALUE"""),"AUXILIAR DE LINHA / SOCORRISTA")</f>
        <v>AUXILIAR DE LINHA / SOCORRISTA</v>
      </c>
      <c r="I906" s="1" t="str">
        <f>IFERROR(__xludf.DUMMYFUNCTION("""COMPUTED_VALUE"""),"TECNICO EM SEGURANÇA DO TRABALHO")</f>
        <v>TECNICO EM SEGURANÇA DO TRABALHO</v>
      </c>
      <c r="J906" s="1" t="str">
        <f>IFERROR(__xludf.DUMMYFUNCTION("""COMPUTED_VALUE"""),"Sim")</f>
        <v>Sim</v>
      </c>
      <c r="K906" s="1" t="str">
        <f>IFERROR(__xludf.DUMMYFUNCTION("""COMPUTED_VALUE"""),"Não")</f>
        <v>Não</v>
      </c>
      <c r="L906" s="1" t="str">
        <f>IFERROR(__xludf.DUMMYFUNCTION("""COMPUTED_VALUE"""),"B+")</f>
        <v>B+</v>
      </c>
      <c r="M906" s="1" t="str">
        <f>IFERROR(__xludf.DUMMYFUNCTION("""COMPUTED_VALUE"""),"LEANDRO")</f>
        <v>LEANDRO</v>
      </c>
      <c r="N906" s="120">
        <f>IFERROR(__xludf.DUMMYFUNCTION("""COMPUTED_VALUE"""),28148)</f>
        <v>28148</v>
      </c>
      <c r="O906" s="1" t="str">
        <f>IFERROR(__xludf.DUMMYFUNCTION("""COMPUTED_VALUE"""),"Masculino")</f>
        <v>Masculino</v>
      </c>
      <c r="P906" s="1" t="str">
        <f>IFERROR(__xludf.DUMMYFUNCTION("""COMPUTED_VALUE"""),"Preta")</f>
        <v>Preta</v>
      </c>
      <c r="Q906" s="1" t="str">
        <f>IFERROR(__xludf.DUMMYFUNCTION("""COMPUTED_VALUE"""),"Ensino Médio")</f>
        <v>Ensino Médio</v>
      </c>
      <c r="R906" s="1" t="str">
        <f>IFERROR(__xludf.DUMMYFUNCTION("""COMPUTED_VALUE"""),"leandro.machado2010@hotmail.com")</f>
        <v>leandro.machado2010@hotmail.com</v>
      </c>
      <c r="S906" s="1" t="str">
        <f>IFERROR(__xludf.DUMMYFUNCTION("""COMPUTED_VALUE"""),"130kg")</f>
        <v>130kg</v>
      </c>
      <c r="T906" s="1" t="str">
        <f>IFERROR(__xludf.DUMMYFUNCTION("""COMPUTED_VALUE"""),"Entre 1,86m e 1,90m")</f>
        <v>Entre 1,86m e 1,90m</v>
      </c>
      <c r="U906" s="1" t="str">
        <f>IFERROR(__xludf.DUMMYFUNCTION("""COMPUTED_VALUE"""),"(51) 3488-9361")</f>
        <v>(51) 3488-9361</v>
      </c>
      <c r="V906" s="1" t="str">
        <f>IFERROR(__xludf.DUMMYFUNCTION("""COMPUTED_VALUE"""),"(51)99712-2713")</f>
        <v>(51)99712-2713</v>
      </c>
      <c r="W906" s="1" t="str">
        <f>IFERROR(__xludf.DUMMYFUNCTION("""COMPUTED_VALUE"""),"(51)99937-1334")</f>
        <v>(51)99937-1334</v>
      </c>
      <c r="X906" s="1" t="str">
        <f>IFERROR(__xludf.DUMMYFUNCTION("""COMPUTED_VALUE"""),"RS")</f>
        <v>RS</v>
      </c>
      <c r="Y906" s="1" t="str">
        <f>IFERROR(__xludf.DUMMYFUNCTION("""COMPUTED_VALUE"""),"Gravataí")</f>
        <v>Gravataí</v>
      </c>
      <c r="Z906" s="1" t="str">
        <f>IFERROR(__xludf.DUMMYFUNCTION("""COMPUTED_VALUE"""),"94170-140")</f>
        <v>94170-140</v>
      </c>
      <c r="AA906" s="1" t="str">
        <f>IFERROR(__xludf.DUMMYFUNCTION("""COMPUTED_VALUE"""),"RUA SÃO FRANCISCO, 211")</f>
        <v>RUA SÃO FRANCISCO, 211</v>
      </c>
      <c r="AB906" s="1" t="str">
        <f>IFERROR(__xludf.DUMMYFUNCTION("""COMPUTED_VALUE"""),"SANTA CRUZ")</f>
        <v>SANTA CRUZ</v>
      </c>
      <c r="AC906" s="1" t="str">
        <f>IFERROR(__xludf.DUMMYFUNCTION("""COMPUTED_VALUE"""),"EXG")</f>
        <v>EXG</v>
      </c>
      <c r="AD906" s="1" t="str">
        <f>IFERROR(__xludf.DUMMYFUNCTION("""COMPUTED_VALUE"""),"EXG")</f>
        <v>EXG</v>
      </c>
      <c r="AE906" s="1" t="str">
        <f>IFERROR(__xludf.DUMMYFUNCTION("""COMPUTED_VALUE"""),"EXG")</f>
        <v>EXG</v>
      </c>
      <c r="AF906" s="1" t="str">
        <f>IFERROR(__xludf.DUMMYFUNCTION("""COMPUTED_VALUE"""),"EXG")</f>
        <v>EXG</v>
      </c>
      <c r="AG906" s="1" t="str">
        <f>IFERROR(__xludf.DUMMYFUNCTION("""COMPUTED_VALUE"""),"EXG")</f>
        <v>EXG</v>
      </c>
      <c r="AH906" s="1">
        <f>IFERROR(__xludf.DUMMYFUNCTION("""COMPUTED_VALUE"""),45)</f>
        <v>45</v>
      </c>
      <c r="AI906" s="1">
        <f>IFERROR(__xludf.DUMMYFUNCTION("""COMPUTED_VALUE"""),45)</f>
        <v>45</v>
      </c>
      <c r="AJ906" s="1">
        <f>IFERROR(__xludf.DUMMYFUNCTION("""COMPUTED_VALUE"""),45)</f>
        <v>45</v>
      </c>
      <c r="AK906" s="1">
        <f>IFERROR(__xludf.DUMMYFUNCTION("""COMPUTED_VALUE"""),45)</f>
        <v>45</v>
      </c>
      <c r="AL906" s="1" t="str">
        <f>IFERROR(__xludf.DUMMYFUNCTION("""COMPUTED_VALUE"""),"EXG")</f>
        <v>EXG</v>
      </c>
      <c r="AM906" s="1" t="str">
        <f>IFERROR(__xludf.DUMMYFUNCTION("""COMPUTED_VALUE"""),"EXG")</f>
        <v>EXG</v>
      </c>
      <c r="AN906" s="1" t="str">
        <f>IFERROR(__xludf.DUMMYFUNCTION("""COMPUTED_VALUE"""),"EXG")</f>
        <v>EXG</v>
      </c>
    </row>
    <row r="907" customHeight="1" spans="1:40">
      <c r="A907" s="1" t="str">
        <f>IFERROR(__xludf.DUMMYFUNCTION("""COMPUTED_VALUE"""),"08° BBM")</f>
        <v>08° BBM</v>
      </c>
      <c r="B907" s="1" t="str">
        <f>IFERROR(__xludf.DUMMYFUNCTION("""COMPUTED_VALUE"""),"Gravataí")</f>
        <v>Gravataí</v>
      </c>
      <c r="C907" s="119" t="str">
        <f>IFERROR(__xludf.DUMMYFUNCTION("""COMPUTED_VALUE"""),"Comunitario")</f>
        <v>Comunitario</v>
      </c>
      <c r="D907" s="1" t="str">
        <f>IFERROR(__xludf.DUMMYFUNCTION("""COMPUTED_VALUE"""),"LUIZ CARLOS ALBERTO PEREZ JUNIOR")</f>
        <v>LUIZ CARLOS ALBERTO PEREZ JUNIOR</v>
      </c>
      <c r="E907" s="119" t="str">
        <f>IFERROR(__xludf.DUMMYFUNCTION("""COMPUTED_VALUE"""),"Curso CAB operador concluído")</f>
        <v>Curso CAB operador concluído</v>
      </c>
      <c r="F907" s="1" t="str">
        <f>IFERROR(__xludf.DUMMYFUNCTION("""COMPUTED_VALUE"""),"023.453.320-00")</f>
        <v>023.453.320-00</v>
      </c>
      <c r="G907" s="1">
        <f>IFERROR(__xludf.DUMMYFUNCTION("""COMPUTED_VALUE"""),4096214004)</f>
        <v>4096214004</v>
      </c>
      <c r="H907" s="1" t="str">
        <f>IFERROR(__xludf.DUMMYFUNCTION("""COMPUTED_VALUE"""),"AUXILIAR DE LINHA / SOCORRISTA")</f>
        <v>AUXILIAR DE LINHA / SOCORRISTA</v>
      </c>
      <c r="I907" s="1" t="str">
        <f>IFERROR(__xludf.DUMMYFUNCTION("""COMPUTED_VALUE"""),"CINÓFILO / TÉCNICO DE SEGURANÇA DO TRABALHO")</f>
        <v>CINÓFILO / TÉCNICO DE SEGURANÇA DO TRABALHO</v>
      </c>
      <c r="J907" s="1" t="str">
        <f>IFERROR(__xludf.DUMMYFUNCTION("""COMPUTED_VALUE"""),"Sim")</f>
        <v>Sim</v>
      </c>
      <c r="K907" s="1" t="str">
        <f>IFERROR(__xludf.DUMMYFUNCTION("""COMPUTED_VALUE"""),"Não")</f>
        <v>Não</v>
      </c>
      <c r="L907" s="1" t="str">
        <f>IFERROR(__xludf.DUMMYFUNCTION("""COMPUTED_VALUE"""),"A-")</f>
        <v>A-</v>
      </c>
      <c r="M907" s="1" t="str">
        <f>IFERROR(__xludf.DUMMYFUNCTION("""COMPUTED_VALUE"""),"PEREZ")</f>
        <v>PEREZ</v>
      </c>
      <c r="N907" s="120">
        <f>IFERROR(__xludf.DUMMYFUNCTION("""COMPUTED_VALUE"""),33181)</f>
        <v>33181</v>
      </c>
      <c r="O907" s="1" t="str">
        <f>IFERROR(__xludf.DUMMYFUNCTION("""COMPUTED_VALUE"""),"Masculino")</f>
        <v>Masculino</v>
      </c>
      <c r="P907" s="1" t="str">
        <f>IFERROR(__xludf.DUMMYFUNCTION("""COMPUTED_VALUE"""),"Branca")</f>
        <v>Branca</v>
      </c>
      <c r="Q907" s="1" t="str">
        <f>IFERROR(__xludf.DUMMYFUNCTION("""COMPUTED_VALUE"""),"Ensino Superior Incompleto")</f>
        <v>Ensino Superior Incompleto</v>
      </c>
      <c r="R907" s="1" t="str">
        <f>IFERROR(__xludf.DUMMYFUNCTION("""COMPUTED_VALUE"""),"luizcaperezjr@gmail.com")</f>
        <v>luizcaperezjr@gmail.com</v>
      </c>
      <c r="S907" s="1" t="str">
        <f>IFERROR(__xludf.DUMMYFUNCTION("""COMPUTED_VALUE"""),"90kg")</f>
        <v>90kg</v>
      </c>
      <c r="T907" s="1" t="str">
        <f>IFERROR(__xludf.DUMMYFUNCTION("""COMPUTED_VALUE"""),"Entre 1,86m e 1,90m")</f>
        <v>Entre 1,86m e 1,90m</v>
      </c>
      <c r="U907" s="1"/>
      <c r="V907" s="1" t="str">
        <f>IFERROR(__xludf.DUMMYFUNCTION("""COMPUTED_VALUE"""),"(51)985863027")</f>
        <v>(51)985863027</v>
      </c>
      <c r="W907" s="1" t="str">
        <f>IFERROR(__xludf.DUMMYFUNCTION("""COMPUTED_VALUE"""),"(51)99333-1620")</f>
        <v>(51)99333-1620</v>
      </c>
      <c r="X907" s="1" t="str">
        <f>IFERROR(__xludf.DUMMYFUNCTION("""COMPUTED_VALUE"""),"RS")</f>
        <v>RS</v>
      </c>
      <c r="Y907" s="1" t="str">
        <f>IFERROR(__xludf.DUMMYFUNCTION("""COMPUTED_VALUE"""),"Gravataí")</f>
        <v>Gravataí</v>
      </c>
      <c r="Z907" s="1" t="str">
        <f>IFERROR(__xludf.DUMMYFUNCTION("""COMPUTED_VALUE"""),"94080-190")</f>
        <v>94080-190</v>
      </c>
      <c r="AA907" s="1" t="str">
        <f>IFERROR(__xludf.DUMMYFUNCTION("""COMPUTED_VALUE"""),"RUA ALIANÇA, 479")</f>
        <v>RUA ALIANÇA, 479</v>
      </c>
      <c r="AB907" s="1" t="str">
        <f>IFERROR(__xludf.DUMMYFUNCTION("""COMPUTED_VALUE"""),"MORADA DO VALE III")</f>
        <v>MORADA DO VALE III</v>
      </c>
      <c r="AC907" s="1" t="str">
        <f>IFERROR(__xludf.DUMMYFUNCTION("""COMPUTED_VALUE"""),"G")</f>
        <v>G</v>
      </c>
      <c r="AD907" s="1" t="str">
        <f>IFERROR(__xludf.DUMMYFUNCTION("""COMPUTED_VALUE"""),"G")</f>
        <v>G</v>
      </c>
      <c r="AE907" s="1" t="str">
        <f>IFERROR(__xludf.DUMMYFUNCTION("""COMPUTED_VALUE"""),"G")</f>
        <v>G</v>
      </c>
      <c r="AF907" s="1" t="str">
        <f>IFERROR(__xludf.DUMMYFUNCTION("""COMPUTED_VALUE"""),"G")</f>
        <v>G</v>
      </c>
      <c r="AG907" s="1" t="str">
        <f>IFERROR(__xludf.DUMMYFUNCTION("""COMPUTED_VALUE"""),"G")</f>
        <v>G</v>
      </c>
      <c r="AH907" s="1">
        <f>IFERROR(__xludf.DUMMYFUNCTION("""COMPUTED_VALUE"""),42)</f>
        <v>42</v>
      </c>
      <c r="AI907" s="1">
        <f>IFERROR(__xludf.DUMMYFUNCTION("""COMPUTED_VALUE"""),42)</f>
        <v>42</v>
      </c>
      <c r="AJ907" s="1">
        <f>IFERROR(__xludf.DUMMYFUNCTION("""COMPUTED_VALUE"""),42)</f>
        <v>42</v>
      </c>
      <c r="AK907" s="1">
        <f>IFERROR(__xludf.DUMMYFUNCTION("""COMPUTED_VALUE"""),42)</f>
        <v>42</v>
      </c>
      <c r="AL907" s="1" t="str">
        <f>IFERROR(__xludf.DUMMYFUNCTION("""COMPUTED_VALUE"""),"G")</f>
        <v>G</v>
      </c>
      <c r="AM907" s="1" t="str">
        <f>IFERROR(__xludf.DUMMYFUNCTION("""COMPUTED_VALUE"""),"G")</f>
        <v>G</v>
      </c>
      <c r="AN907" s="1" t="str">
        <f>IFERROR(__xludf.DUMMYFUNCTION("""COMPUTED_VALUE"""),"G")</f>
        <v>G</v>
      </c>
    </row>
    <row r="908" customHeight="1" spans="1:40">
      <c r="A908" s="1" t="str">
        <f>IFERROR(__xludf.DUMMYFUNCTION("""COMPUTED_VALUE"""),"6º BBM")</f>
        <v>6º BBM</v>
      </c>
      <c r="B908" s="1"/>
      <c r="C908" s="119"/>
      <c r="D908" s="1" t="str">
        <f>IFERROR(__xludf.DUMMYFUNCTION("""COMPUTED_VALUE"""),"MARCELO DE SOUZA NERES")</f>
        <v>MARCELO DE SOUZA NERES</v>
      </c>
      <c r="E908" s="119" t="str">
        <f>IFERROR(__xludf.DUMMYFUNCTION("""COMPUTED_VALUE"""),"")</f>
        <v/>
      </c>
      <c r="F908" s="1" t="str">
        <f>IFERROR(__xludf.DUMMYFUNCTION("""COMPUTED_VALUE"""),"519.126.860-15")</f>
        <v>519.126.860-15</v>
      </c>
      <c r="G908" s="1"/>
      <c r="H908" s="1"/>
      <c r="I908" s="1"/>
      <c r="J908" s="1"/>
      <c r="K908" s="1"/>
      <c r="L908" s="1"/>
      <c r="M908" s="1"/>
      <c r="N908" s="120"/>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row>
    <row r="909" customHeight="1" spans="1:40">
      <c r="A909" s="1" t="str">
        <f>IFERROR(__xludf.DUMMYFUNCTION("""COMPUTED_VALUE"""),"6º BBM")</f>
        <v>6º BBM</v>
      </c>
      <c r="B909" s="1"/>
      <c r="C909" s="119"/>
      <c r="D909" s="1" t="str">
        <f>IFERROR(__xludf.DUMMYFUNCTION("""COMPUTED_VALUE"""),"MÁRCIO ANDRÉ RODRIGUES PIRES")</f>
        <v>MÁRCIO ANDRÉ RODRIGUES PIRES</v>
      </c>
      <c r="E909" s="119" t="str">
        <f>IFERROR(__xludf.DUMMYFUNCTION("""COMPUTED_VALUE"""),"")</f>
        <v/>
      </c>
      <c r="F909" s="1" t="str">
        <f>IFERROR(__xludf.DUMMYFUNCTION("""COMPUTED_VALUE"""),"671.619.520-34")</f>
        <v>671.619.520-34</v>
      </c>
      <c r="G909" s="1"/>
      <c r="H909" s="1"/>
      <c r="I909" s="1"/>
      <c r="J909" s="1"/>
      <c r="K909" s="1"/>
      <c r="L909" s="1"/>
      <c r="M909" s="1"/>
      <c r="N909" s="120"/>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row>
    <row r="910" customHeight="1" spans="1:40">
      <c r="A910" s="1" t="str">
        <f>IFERROR(__xludf.DUMMYFUNCTION("""COMPUTED_VALUE"""),"08° BBM")</f>
        <v>08° BBM</v>
      </c>
      <c r="B910" s="1"/>
      <c r="C910" s="119"/>
      <c r="D910" s="1" t="str">
        <f>IFERROR(__xludf.DUMMYFUNCTION("""COMPUTED_VALUE"""),"MARCOS ROBERTO SILVA PEIXOTO")</f>
        <v>MARCOS ROBERTO SILVA PEIXOTO</v>
      </c>
      <c r="E910" s="119" t="str">
        <f>IFERROR(__xludf.DUMMYFUNCTION("""COMPUTED_VALUE"""),"")</f>
        <v/>
      </c>
      <c r="F910" s="1" t="str">
        <f>IFERROR(__xludf.DUMMYFUNCTION("""COMPUTED_VALUE"""),"751.535.250-91")</f>
        <v>751.535.250-91</v>
      </c>
      <c r="G910" s="1"/>
      <c r="H910" s="1"/>
      <c r="I910" s="1"/>
      <c r="J910" s="1"/>
      <c r="K910" s="1"/>
      <c r="L910" s="1"/>
      <c r="M910" s="1"/>
      <c r="N910" s="120"/>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row>
    <row r="911" customHeight="1" spans="1:40">
      <c r="A911" s="1" t="str">
        <f>IFERROR(__xludf.DUMMYFUNCTION("""COMPUTED_VALUE"""),"08°BBM")</f>
        <v>08°BBM</v>
      </c>
      <c r="B911" s="1" t="str">
        <f>IFERROR(__xludf.DUMMYFUNCTION("""COMPUTED_VALUE"""),"Nova Santa Rita")</f>
        <v>Nova Santa Rita</v>
      </c>
      <c r="C911" s="119" t="str">
        <f>IFERROR(__xludf.DUMMYFUNCTION("""COMPUTED_VALUE"""),"SCAB")</f>
        <v>SCAB</v>
      </c>
      <c r="D911" s="1" t="str">
        <f>IFERROR(__xludf.DUMMYFUNCTION("""COMPUTED_VALUE"""),"MAX GABRIEL ESCOUTO MELO DA SILVA")</f>
        <v>MAX GABRIEL ESCOUTO MELO DA SILVA</v>
      </c>
      <c r="E911" s="119" t="str">
        <f>IFERROR(__xludf.DUMMYFUNCTION("""COMPUTED_VALUE"""),"Curso CAB operador concluído")</f>
        <v>Curso CAB operador concluído</v>
      </c>
      <c r="F911" s="1" t="str">
        <f>IFERROR(__xludf.DUMMYFUNCTION("""COMPUTED_VALUE"""),"859.637.630-53")</f>
        <v>859.637.630-53</v>
      </c>
      <c r="G911" s="1">
        <f>IFERROR(__xludf.DUMMYFUNCTION("""COMPUTED_VALUE"""),8111498501)</f>
        <v>8111498501</v>
      </c>
      <c r="H911" s="1" t="str">
        <f>IFERROR(__xludf.DUMMYFUNCTION("""COMPUTED_VALUE"""),"OPERACIONAL")</f>
        <v>OPERACIONAL</v>
      </c>
      <c r="I911" s="1" t="str">
        <f>IFERROR(__xludf.DUMMYFUNCTION("""COMPUTED_VALUE"""),"CAB")</f>
        <v>CAB</v>
      </c>
      <c r="J911" s="1" t="str">
        <f>IFERROR(__xludf.DUMMYFUNCTION("""COMPUTED_VALUE"""),"Sim")</f>
        <v>Sim</v>
      </c>
      <c r="K911" s="1" t="str">
        <f>IFERROR(__xludf.DUMMYFUNCTION("""COMPUTED_VALUE"""),"Sim")</f>
        <v>Sim</v>
      </c>
      <c r="L911" s="1" t="str">
        <f>IFERROR(__xludf.DUMMYFUNCTION("""COMPUTED_VALUE"""),"A+")</f>
        <v>A+</v>
      </c>
      <c r="M911" s="1" t="str">
        <f>IFERROR(__xludf.DUMMYFUNCTION("""COMPUTED_VALUE"""),"MAX")</f>
        <v>MAX</v>
      </c>
      <c r="N911" s="120">
        <f>IFERROR(__xludf.DUMMYFUNCTION("""COMPUTED_VALUE"""),34934)</f>
        <v>34934</v>
      </c>
      <c r="O911" s="1" t="str">
        <f>IFERROR(__xludf.DUMMYFUNCTION("""COMPUTED_VALUE"""),"Masculino")</f>
        <v>Masculino</v>
      </c>
      <c r="P911" s="1" t="str">
        <f>IFERROR(__xludf.DUMMYFUNCTION("""COMPUTED_VALUE"""),"Negro")</f>
        <v>Negro</v>
      </c>
      <c r="Q911" s="1" t="str">
        <f>IFERROR(__xludf.DUMMYFUNCTION("""COMPUTED_VALUE"""),"ensino superior completo")</f>
        <v>ensino superior completo</v>
      </c>
      <c r="R911" s="123" t="str">
        <f>IFERROR(__xludf.DUMMYFUNCTION("""COMPUTED_VALUE"""),"gabriel.escouto59@gmail.com")</f>
        <v>gabriel.escouto59@gmail.com</v>
      </c>
      <c r="S911" s="1" t="str">
        <f>IFERROR(__xludf.DUMMYFUNCTION("""COMPUTED_VALUE"""),"96kg")</f>
        <v>96kg</v>
      </c>
      <c r="T911" s="1" t="str">
        <f>IFERROR(__xludf.DUMMYFUNCTION("""COMPUTED_VALUE"""),"Entre 178m")</f>
        <v>Entre 178m</v>
      </c>
      <c r="U911" s="1"/>
      <c r="V911" s="1" t="str">
        <f>IFERROR(__xludf.DUMMYFUNCTION("""COMPUTED_VALUE"""),"(51) 993531172")</f>
        <v>(51) 993531172</v>
      </c>
      <c r="W911" s="1" t="str">
        <f>IFERROR(__xludf.DUMMYFUNCTION("""COMPUTED_VALUE"""),"(51)989737528")</f>
        <v>(51)989737528</v>
      </c>
      <c r="X911" s="1" t="str">
        <f>IFERROR(__xludf.DUMMYFUNCTION("""COMPUTED_VALUE"""),"RS")</f>
        <v>RS</v>
      </c>
      <c r="Y911" s="1" t="str">
        <f>IFERROR(__xludf.DUMMYFUNCTION("""COMPUTED_VALUE"""),"Porto Alegre")</f>
        <v>Porto Alegre</v>
      </c>
      <c r="Z911" s="1">
        <f>IFERROR(__xludf.DUMMYFUNCTION("""COMPUTED_VALUE"""),90850421)</f>
        <v>90850421</v>
      </c>
      <c r="AA911" s="1" t="str">
        <f>IFERROR(__xludf.DUMMYFUNCTION("""COMPUTED_VALUE"""),"Rua nossa senhora do brasil, AL 5, 219")</f>
        <v>Rua nossa senhora do brasil, AL 5, 219</v>
      </c>
      <c r="AB911" s="1" t="str">
        <f>IFERROR(__xludf.DUMMYFUNCTION("""COMPUTED_VALUE"""),"santa teresa")</f>
        <v>santa teresa</v>
      </c>
      <c r="AC911" s="1" t="str">
        <f>IFERROR(__xludf.DUMMYFUNCTION("""COMPUTED_VALUE"""),"G")</f>
        <v>G</v>
      </c>
      <c r="AD911" s="1" t="str">
        <f>IFERROR(__xludf.DUMMYFUNCTION("""COMPUTED_VALUE"""),"G")</f>
        <v>G</v>
      </c>
      <c r="AE911" s="1" t="str">
        <f>IFERROR(__xludf.DUMMYFUNCTION("""COMPUTED_VALUE"""),"G")</f>
        <v>G</v>
      </c>
      <c r="AF911" s="1" t="str">
        <f>IFERROR(__xludf.DUMMYFUNCTION("""COMPUTED_VALUE"""),"G")</f>
        <v>G</v>
      </c>
      <c r="AG911" s="1" t="str">
        <f>IFERROR(__xludf.DUMMYFUNCTION("""COMPUTED_VALUE"""),"G")</f>
        <v>G</v>
      </c>
      <c r="AH911" s="1">
        <f>IFERROR(__xludf.DUMMYFUNCTION("""COMPUTED_VALUE"""),42)</f>
        <v>42</v>
      </c>
      <c r="AI911" s="1">
        <f>IFERROR(__xludf.DUMMYFUNCTION("""COMPUTED_VALUE"""),42)</f>
        <v>42</v>
      </c>
      <c r="AJ911" s="1">
        <f>IFERROR(__xludf.DUMMYFUNCTION("""COMPUTED_VALUE"""),42)</f>
        <v>42</v>
      </c>
      <c r="AK911" s="1">
        <f>IFERROR(__xludf.DUMMYFUNCTION("""COMPUTED_VALUE"""),42)</f>
        <v>42</v>
      </c>
      <c r="AL911" s="1" t="str">
        <f>IFERROR(__xludf.DUMMYFUNCTION("""COMPUTED_VALUE"""),"M")</f>
        <v>M</v>
      </c>
      <c r="AM911" s="1" t="str">
        <f>IFERROR(__xludf.DUMMYFUNCTION("""COMPUTED_VALUE"""),"G")</f>
        <v>G</v>
      </c>
      <c r="AN911" s="1" t="str">
        <f>IFERROR(__xludf.DUMMYFUNCTION("""COMPUTED_VALUE"""),"M")</f>
        <v>M</v>
      </c>
    </row>
    <row r="912" customHeight="1" spans="1:40">
      <c r="A912" s="1" t="str">
        <f>IFERROR(__xludf.DUMMYFUNCTION("""COMPUTED_VALUE"""),"6º BBM")</f>
        <v>6º BBM</v>
      </c>
      <c r="B912" s="1"/>
      <c r="C912" s="119"/>
      <c r="D912" s="1" t="str">
        <f>IFERROR(__xludf.DUMMYFUNCTION("""COMPUTED_VALUE"""),"MAYKON VIEIRA DOS SANTOS")</f>
        <v>MAYKON VIEIRA DOS SANTOS</v>
      </c>
      <c r="E912" s="119" t="str">
        <f>IFERROR(__xludf.DUMMYFUNCTION("""COMPUTED_VALUE"""),"Módulo 1 concluído")</f>
        <v>Módulo 1 concluído</v>
      </c>
      <c r="F912" s="1" t="str">
        <f>IFERROR(__xludf.DUMMYFUNCTION("""COMPUTED_VALUE"""),"023.976.300-95")</f>
        <v>023.976.300-95</v>
      </c>
      <c r="G912" s="1"/>
      <c r="H912" s="1"/>
      <c r="I912" s="1"/>
      <c r="J912" s="1"/>
      <c r="K912" s="1"/>
      <c r="L912" s="1"/>
      <c r="M912" s="1"/>
      <c r="N912" s="120"/>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row>
    <row r="913" customHeight="1" spans="1:40">
      <c r="A913" s="1"/>
      <c r="B913" s="1"/>
      <c r="C913" s="119"/>
      <c r="D913" s="1" t="str">
        <f>IFERROR(__xludf.DUMMYFUNCTION("""COMPUTED_VALUE"""),"NELSON NECKEL DA SILVA JUNIOR")</f>
        <v>NELSON NECKEL DA SILVA JUNIOR</v>
      </c>
      <c r="E913" s="119" t="str">
        <f>IFERROR(__xludf.DUMMYFUNCTION("""COMPUTED_VALUE"""),"Módulo 1 concluído")</f>
        <v>Módulo 1 concluído</v>
      </c>
      <c r="F913" s="1" t="str">
        <f>IFERROR(__xludf.DUMMYFUNCTION("""COMPUTED_VALUE"""),"033.604.930-79")</f>
        <v>033.604.930-79</v>
      </c>
      <c r="G913" s="1"/>
      <c r="H913" s="1"/>
      <c r="I913" s="1"/>
      <c r="J913" s="1"/>
      <c r="K913" s="1"/>
      <c r="L913" s="1"/>
      <c r="M913" s="1"/>
      <c r="N913" s="120"/>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row>
    <row r="914" customHeight="1" spans="1:40">
      <c r="A914" s="1" t="str">
        <f>IFERROR(__xludf.DUMMYFUNCTION("""COMPUTED_VALUE"""),"08° BBM")</f>
        <v>08° BBM</v>
      </c>
      <c r="B914" s="1"/>
      <c r="C914" s="119"/>
      <c r="D914" s="1" t="str">
        <f>IFERROR(__xludf.DUMMYFUNCTION("""COMPUTED_VALUE"""),"NICOLAS FLORES DE FLORES")</f>
        <v>NICOLAS FLORES DE FLORES</v>
      </c>
      <c r="E914" s="119" t="str">
        <f>IFERROR(__xludf.DUMMYFUNCTION("""COMPUTED_VALUE"""),"")</f>
        <v/>
      </c>
      <c r="F914" s="1" t="str">
        <f>IFERROR(__xludf.DUMMYFUNCTION("""COMPUTED_VALUE"""),"039.875.450-03")</f>
        <v>039.875.450-03</v>
      </c>
      <c r="G914" s="1"/>
      <c r="H914" s="1"/>
      <c r="I914" s="1"/>
      <c r="J914" s="1"/>
      <c r="K914" s="1"/>
      <c r="L914" s="1"/>
      <c r="M914" s="1"/>
      <c r="N914" s="120"/>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row>
    <row r="915" customHeight="1" spans="1:40">
      <c r="A915" s="1"/>
      <c r="B915" s="1"/>
      <c r="C915" s="119"/>
      <c r="D915" s="1" t="str">
        <f>IFERROR(__xludf.DUMMYFUNCTION("""COMPUTED_VALUE"""),"RANIERI SANTOS DOS SANTOS")</f>
        <v>RANIERI SANTOS DOS SANTOS</v>
      </c>
      <c r="E915" s="119" t="str">
        <f>IFERROR(__xludf.DUMMYFUNCTION("""COMPUTED_VALUE"""),"Módulo 1 concluído")</f>
        <v>Módulo 1 concluído</v>
      </c>
      <c r="F915" s="1" t="str">
        <f>IFERROR(__xludf.DUMMYFUNCTION("""COMPUTED_VALUE"""),"040.352.180-73")</f>
        <v>040.352.180-73</v>
      </c>
      <c r="G915" s="1"/>
      <c r="H915" s="1"/>
      <c r="I915" s="1"/>
      <c r="J915" s="1"/>
      <c r="K915" s="1"/>
      <c r="L915" s="1"/>
      <c r="M915" s="1"/>
      <c r="N915" s="120"/>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row>
    <row r="916" customHeight="1" spans="1:40">
      <c r="A916" s="1" t="str">
        <f>IFERROR(__xludf.DUMMYFUNCTION("""COMPUTED_VALUE"""),"08° BBM")</f>
        <v>08° BBM</v>
      </c>
      <c r="B916" s="1"/>
      <c r="C916" s="119"/>
      <c r="D916" s="1" t="str">
        <f>IFERROR(__xludf.DUMMYFUNCTION("""COMPUTED_VALUE"""),"REGINALDO ANTÔNIO MELO IANNONE")</f>
        <v>REGINALDO ANTÔNIO MELO IANNONE</v>
      </c>
      <c r="E916" s="119" t="str">
        <f>IFERROR(__xludf.DUMMYFUNCTION("""COMPUTED_VALUE"""),"Módulo 2 e 3 concluído")</f>
        <v>Módulo 2 e 3 concluído</v>
      </c>
      <c r="F916" s="1" t="str">
        <f>IFERROR(__xludf.DUMMYFUNCTION("""COMPUTED_VALUE"""),"992.451.400-91")</f>
        <v>992.451.400-91</v>
      </c>
      <c r="G916" s="1"/>
      <c r="H916" s="1"/>
      <c r="I916" s="1"/>
      <c r="J916" s="1"/>
      <c r="K916" s="1"/>
      <c r="L916" s="1"/>
      <c r="M916" s="1"/>
      <c r="N916" s="120"/>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row>
    <row r="917" customHeight="1" spans="1:40">
      <c r="A917" s="1" t="str">
        <f>IFERROR(__xludf.DUMMYFUNCTION("""COMPUTED_VALUE"""),"6º BBM")</f>
        <v>6º BBM</v>
      </c>
      <c r="B917" s="1"/>
      <c r="C917" s="119"/>
      <c r="D917" s="1" t="str">
        <f>IFERROR(__xludf.DUMMYFUNCTION("""COMPUTED_VALUE"""),"RENI LUIS CENTENO")</f>
        <v>RENI LUIS CENTENO</v>
      </c>
      <c r="E917" s="119" t="str">
        <f>IFERROR(__xludf.DUMMYFUNCTION("""COMPUTED_VALUE"""),"")</f>
        <v/>
      </c>
      <c r="F917" s="1" t="str">
        <f>IFERROR(__xludf.DUMMYFUNCTION("""COMPUTED_VALUE"""),"360.393.780-87")</f>
        <v>360.393.780-87</v>
      </c>
      <c r="G917" s="1"/>
      <c r="H917" s="1"/>
      <c r="I917" s="1"/>
      <c r="J917" s="1"/>
      <c r="K917" s="1"/>
      <c r="L917" s="1"/>
      <c r="M917" s="1"/>
      <c r="N917" s="120"/>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row>
    <row r="918" customHeight="1" spans="1:40">
      <c r="A918" s="1" t="str">
        <f>IFERROR(__xludf.DUMMYFUNCTION("""COMPUTED_VALUE"""),"08°BBM")</f>
        <v>08°BBM</v>
      </c>
      <c r="B918" s="1" t="str">
        <f>IFERROR(__xludf.DUMMYFUNCTION("""COMPUTED_VALUE"""),"Nova Santa Rita")</f>
        <v>Nova Santa Rita</v>
      </c>
      <c r="C918" s="119" t="str">
        <f>IFERROR(__xludf.DUMMYFUNCTION("""COMPUTED_VALUE"""),"SCAB")</f>
        <v>SCAB</v>
      </c>
      <c r="D918" s="1" t="str">
        <f>IFERROR(__xludf.DUMMYFUNCTION("""COMPUTED_VALUE"""),"ROBSON ORDOQUE OLIVEIRA")</f>
        <v>ROBSON ORDOQUE OLIVEIRA</v>
      </c>
      <c r="E918" s="119" t="str">
        <f>IFERROR(__xludf.DUMMYFUNCTION("""COMPUTED_VALUE"""),"Curso CAB operador concluído")</f>
        <v>Curso CAB operador concluído</v>
      </c>
      <c r="F918" s="1" t="str">
        <f>IFERROR(__xludf.DUMMYFUNCTION("""COMPUTED_VALUE"""),"038.244.020-09")</f>
        <v>038.244.020-09</v>
      </c>
      <c r="G918" s="1">
        <f>IFERROR(__xludf.DUMMYFUNCTION("""COMPUTED_VALUE"""),1105689192)</f>
        <v>1105689192</v>
      </c>
      <c r="H918" s="1" t="str">
        <f>IFERROR(__xludf.DUMMYFUNCTION("""COMPUTED_VALUE"""),"OPERACIONAL")</f>
        <v>OPERACIONAL</v>
      </c>
      <c r="I918" s="1" t="str">
        <f>IFERROR(__xludf.DUMMYFUNCTION("""COMPUTED_VALUE"""),"CAB")</f>
        <v>CAB</v>
      </c>
      <c r="J918" s="1" t="str">
        <f>IFERROR(__xludf.DUMMYFUNCTION("""COMPUTED_VALUE"""),"Sim")</f>
        <v>Sim</v>
      </c>
      <c r="K918" s="1" t="str">
        <f>IFERROR(__xludf.DUMMYFUNCTION("""COMPUTED_VALUE"""),"Sim")</f>
        <v>Sim</v>
      </c>
      <c r="L918" s="1"/>
      <c r="M918" s="1" t="str">
        <f>IFERROR(__xludf.DUMMYFUNCTION("""COMPUTED_VALUE"""),"ORDOQUI")</f>
        <v>ORDOQUI</v>
      </c>
      <c r="N918" s="120">
        <f>IFERROR(__xludf.DUMMYFUNCTION("""COMPUTED_VALUE"""),35391)</f>
        <v>35391</v>
      </c>
      <c r="O918" s="1" t="str">
        <f>IFERROR(__xludf.DUMMYFUNCTION("""COMPUTED_VALUE"""),"Masculino")</f>
        <v>Masculino</v>
      </c>
      <c r="P918" s="1" t="str">
        <f>IFERROR(__xludf.DUMMYFUNCTION("""COMPUTED_VALUE"""),"Branca")</f>
        <v>Branca</v>
      </c>
      <c r="Q918" s="1" t="str">
        <f>IFERROR(__xludf.DUMMYFUNCTION("""COMPUTED_VALUE"""),"ensino superior completo")</f>
        <v>ensino superior completo</v>
      </c>
      <c r="R918" s="123" t="str">
        <f>IFERROR(__xludf.DUMMYFUNCTION("""COMPUTED_VALUE"""),"robsonordoqui@gmail.com")</f>
        <v>robsonordoqui@gmail.com</v>
      </c>
      <c r="S918" s="1" t="str">
        <f>IFERROR(__xludf.DUMMYFUNCTION("""COMPUTED_VALUE"""),"80kg")</f>
        <v>80kg</v>
      </c>
      <c r="T918" s="1" t="str">
        <f>IFERROR(__xludf.DUMMYFUNCTION("""COMPUTED_VALUE"""),"entre 180m")</f>
        <v>entre 180m</v>
      </c>
      <c r="U918" s="1"/>
      <c r="V918" s="1" t="str">
        <f>IFERROR(__xludf.DUMMYFUNCTION("""COMPUTED_VALUE"""),"(51) 984763644")</f>
        <v>(51) 984763644</v>
      </c>
      <c r="W918" s="1" t="str">
        <f>IFERROR(__xludf.DUMMYFUNCTION("""COMPUTED_VALUE"""),"(51) 985701810")</f>
        <v>(51) 985701810</v>
      </c>
      <c r="X918" s="1" t="str">
        <f>IFERROR(__xludf.DUMMYFUNCTION("""COMPUTED_VALUE"""),"RS")</f>
        <v>RS</v>
      </c>
      <c r="Y918" s="1" t="str">
        <f>IFERROR(__xludf.DUMMYFUNCTION("""COMPUTED_VALUE"""),"Porto Alegre")</f>
        <v>Porto Alegre</v>
      </c>
      <c r="Z918" s="1">
        <f>IFERROR(__xludf.DUMMYFUNCTION("""COMPUTED_VALUE"""),91786299)</f>
        <v>91786299</v>
      </c>
      <c r="AA918" s="1" t="str">
        <f>IFERROR(__xludf.DUMMYFUNCTION("""COMPUTED_VALUE"""),"Rua edgar pires de castro.2901")</f>
        <v>Rua edgar pires de castro.2901</v>
      </c>
      <c r="AB918" s="1" t="str">
        <f>IFERROR(__xludf.DUMMYFUNCTION("""COMPUTED_VALUE"""),"aberta dos morros")</f>
        <v>aberta dos morros</v>
      </c>
      <c r="AC918" s="1" t="str">
        <f>IFERROR(__xludf.DUMMYFUNCTION("""COMPUTED_VALUE"""),"M")</f>
        <v>M</v>
      </c>
      <c r="AD918" s="1" t="str">
        <f>IFERROR(__xludf.DUMMYFUNCTION("""COMPUTED_VALUE"""),"M")</f>
        <v>M</v>
      </c>
      <c r="AE918" s="1" t="str">
        <f>IFERROR(__xludf.DUMMYFUNCTION("""COMPUTED_VALUE"""),"M")</f>
        <v>M</v>
      </c>
      <c r="AF918" s="1" t="str">
        <f>IFERROR(__xludf.DUMMYFUNCTION("""COMPUTED_VALUE"""),"M")</f>
        <v>M</v>
      </c>
      <c r="AG918" s="1" t="str">
        <f>IFERROR(__xludf.DUMMYFUNCTION("""COMPUTED_VALUE"""),"M")</f>
        <v>M</v>
      </c>
      <c r="AH918" s="1">
        <f>IFERROR(__xludf.DUMMYFUNCTION("""COMPUTED_VALUE"""),41)</f>
        <v>41</v>
      </c>
      <c r="AI918" s="1">
        <f>IFERROR(__xludf.DUMMYFUNCTION("""COMPUTED_VALUE"""),41)</f>
        <v>41</v>
      </c>
      <c r="AJ918" s="1">
        <f>IFERROR(__xludf.DUMMYFUNCTION("""COMPUTED_VALUE"""),41)</f>
        <v>41</v>
      </c>
      <c r="AK918" s="1">
        <f>IFERROR(__xludf.DUMMYFUNCTION("""COMPUTED_VALUE"""),41)</f>
        <v>41</v>
      </c>
      <c r="AL918" s="1" t="str">
        <f>IFERROR(__xludf.DUMMYFUNCTION("""COMPUTED_VALUE"""),"M")</f>
        <v>M</v>
      </c>
      <c r="AM918" s="1" t="str">
        <f>IFERROR(__xludf.DUMMYFUNCTION("""COMPUTED_VALUE"""),"M")</f>
        <v>M</v>
      </c>
      <c r="AN918" s="1" t="str">
        <f>IFERROR(__xludf.DUMMYFUNCTION("""COMPUTED_VALUE"""),"M")</f>
        <v>M</v>
      </c>
    </row>
    <row r="919" customHeight="1" spans="1:40">
      <c r="A919" s="1"/>
      <c r="B919" s="1"/>
      <c r="C919" s="119"/>
      <c r="D919" s="1" t="str">
        <f>IFERROR(__xludf.DUMMYFUNCTION("""COMPUTED_VALUE"""),"ROBSON SCHULTZ ARQUES")</f>
        <v>ROBSON SCHULTZ ARQUES</v>
      </c>
      <c r="E919" s="119" t="str">
        <f>IFERROR(__xludf.DUMMYFUNCTION("""COMPUTED_VALUE"""),"Módulo 1 concluído")</f>
        <v>Módulo 1 concluído</v>
      </c>
      <c r="F919" s="1" t="str">
        <f>IFERROR(__xludf.DUMMYFUNCTION("""COMPUTED_VALUE"""),"033.454.530-70")</f>
        <v>033.454.530-70</v>
      </c>
      <c r="G919" s="1"/>
      <c r="H919" s="1"/>
      <c r="I919" s="1"/>
      <c r="J919" s="1"/>
      <c r="K919" s="1"/>
      <c r="L919" s="1"/>
      <c r="M919" s="1"/>
      <c r="N919" s="120"/>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row>
    <row r="920" customHeight="1" spans="1:40">
      <c r="A920" s="1" t="str">
        <f>IFERROR(__xludf.DUMMYFUNCTION("""COMPUTED_VALUE"""),"6º BBM")</f>
        <v>6º BBM</v>
      </c>
      <c r="B920" s="1"/>
      <c r="C920" s="119"/>
      <c r="D920" s="1" t="str">
        <f>IFERROR(__xludf.DUMMYFUNCTION("""COMPUTED_VALUE"""),"RODRIGO DE SOUZA CENTENO")</f>
        <v>RODRIGO DE SOUZA CENTENO</v>
      </c>
      <c r="E920" s="119" t="str">
        <f>IFERROR(__xludf.DUMMYFUNCTION("""COMPUTED_VALUE"""),"")</f>
        <v/>
      </c>
      <c r="F920" s="1" t="str">
        <f>IFERROR(__xludf.DUMMYFUNCTION("""COMPUTED_VALUE"""),"626.581.660-87")</f>
        <v>626.581.660-87</v>
      </c>
      <c r="G920" s="1"/>
      <c r="H920" s="1"/>
      <c r="I920" s="1"/>
      <c r="J920" s="1"/>
      <c r="K920" s="1"/>
      <c r="L920" s="1"/>
      <c r="M920" s="1"/>
      <c r="N920" s="120"/>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row>
    <row r="921" customHeight="1" spans="1:40">
      <c r="A921" s="1" t="str">
        <f>IFERROR(__xludf.DUMMYFUNCTION("""COMPUTED_VALUE"""),"08° BBM")</f>
        <v>08° BBM</v>
      </c>
      <c r="B921" s="1"/>
      <c r="C921" s="119"/>
      <c r="D921" s="1" t="str">
        <f>IFERROR(__xludf.DUMMYFUNCTION("""COMPUTED_VALUE"""),"RODRIGO JOSÉ RODRIGUES")</f>
        <v>RODRIGO JOSÉ RODRIGUES</v>
      </c>
      <c r="E921" s="119" t="str">
        <f>IFERROR(__xludf.DUMMYFUNCTION("""COMPUTED_VALUE"""),"Módulo 1 concluído")</f>
        <v>Módulo 1 concluído</v>
      </c>
      <c r="F921" s="1" t="str">
        <f>IFERROR(__xludf.DUMMYFUNCTION("""COMPUTED_VALUE"""),"818.042.020-53")</f>
        <v>818.042.020-53</v>
      </c>
      <c r="G921" s="1"/>
      <c r="H921" s="1"/>
      <c r="I921" s="1"/>
      <c r="J921" s="1"/>
      <c r="K921" s="1"/>
      <c r="L921" s="1"/>
      <c r="M921" s="1"/>
      <c r="N921" s="120"/>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row>
    <row r="922" customHeight="1" spans="1:40">
      <c r="A922" s="1" t="str">
        <f>IFERROR(__xludf.DUMMYFUNCTION("""COMPUTED_VALUE"""),"08° BBM")</f>
        <v>08° BBM</v>
      </c>
      <c r="B922" s="1" t="str">
        <f>IFERROR(__xludf.DUMMYFUNCTION("""COMPUTED_VALUE"""),"Gravataí")</f>
        <v>Gravataí</v>
      </c>
      <c r="C922" s="119" t="str">
        <f>IFERROR(__xludf.DUMMYFUNCTION("""COMPUTED_VALUE"""),"Comunitario")</f>
        <v>Comunitario</v>
      </c>
      <c r="D922" s="1" t="str">
        <f>IFERROR(__xludf.DUMMYFUNCTION("""COMPUTED_VALUE"""),"RODRIGO JOSÉ RODRIGUES ")</f>
        <v>RODRIGO JOSÉ RODRIGUES </v>
      </c>
      <c r="E922" s="119" t="str">
        <f>IFERROR(__xludf.DUMMYFUNCTION("""COMPUTED_VALUE"""),"Módulo 1 concluído")</f>
        <v>Módulo 1 concluído</v>
      </c>
      <c r="F922" s="1" t="str">
        <f>IFERROR(__xludf.DUMMYFUNCTION("""COMPUTED_VALUE"""),"818.042.020-53")</f>
        <v>818.042.020-53</v>
      </c>
      <c r="G922" s="1">
        <f>IFERROR(__xludf.DUMMYFUNCTION("""COMPUTED_VALUE"""),3056506987)</f>
        <v>3056506987</v>
      </c>
      <c r="H922" s="1" t="str">
        <f>IFERROR(__xludf.DUMMYFUNCTION("""COMPUTED_VALUE"""),"AUXILIAR DE LINHA / SOCORRISTA")</f>
        <v>AUXILIAR DE LINHA / SOCORRISTA</v>
      </c>
      <c r="I922" s="1" t="str">
        <f>IFERROR(__xludf.DUMMYFUNCTION("""COMPUTED_VALUE"""),"TECNICO EM SEGURANÇA DO TRABALHO")</f>
        <v>TECNICO EM SEGURANÇA DO TRABALHO</v>
      </c>
      <c r="J922" s="1" t="str">
        <f>IFERROR(__xludf.DUMMYFUNCTION("""COMPUTED_VALUE"""),"Sim")</f>
        <v>Sim</v>
      </c>
      <c r="K922" s="1" t="str">
        <f>IFERROR(__xludf.DUMMYFUNCTION("""COMPUTED_VALUE"""),"Não")</f>
        <v>Não</v>
      </c>
      <c r="L922" s="1" t="str">
        <f>IFERROR(__xludf.DUMMYFUNCTION("""COMPUTED_VALUE"""),"AB+")</f>
        <v>AB+</v>
      </c>
      <c r="M922" s="1" t="str">
        <f>IFERROR(__xludf.DUMMYFUNCTION("""COMPUTED_VALUE"""),"RODRIGO")</f>
        <v>RODRIGO</v>
      </c>
      <c r="N922" s="120">
        <f>IFERROR(__xludf.DUMMYFUNCTION("""COMPUTED_VALUE"""),30319)</f>
        <v>30319</v>
      </c>
      <c r="O922" s="1" t="str">
        <f>IFERROR(__xludf.DUMMYFUNCTION("""COMPUTED_VALUE"""),"Masculino")</f>
        <v>Masculino</v>
      </c>
      <c r="P922" s="1" t="str">
        <f>IFERROR(__xludf.DUMMYFUNCTION("""COMPUTED_VALUE"""),"Branca")</f>
        <v>Branca</v>
      </c>
      <c r="Q922" s="1" t="str">
        <f>IFERROR(__xludf.DUMMYFUNCTION("""COMPUTED_VALUE"""),"Ensino Superior Incompleto")</f>
        <v>Ensino Superior Incompleto</v>
      </c>
      <c r="R922" s="1" t="str">
        <f>IFERROR(__xludf.DUMMYFUNCTION("""COMPUTED_VALUE"""),"rjrodrigues03@gmail.com")</f>
        <v>rjrodrigues03@gmail.com</v>
      </c>
      <c r="S922" s="1" t="str">
        <f>IFERROR(__xludf.DUMMYFUNCTION("""COMPUTED_VALUE"""),"110kg")</f>
        <v>110kg</v>
      </c>
      <c r="T922" s="1" t="str">
        <f>IFERROR(__xludf.DUMMYFUNCTION("""COMPUTED_VALUE"""),"Entre 1,71m e 1,75m")</f>
        <v>Entre 1,71m e 1,75m</v>
      </c>
      <c r="U922" s="1"/>
      <c r="V922" s="1" t="str">
        <f>IFERROR(__xludf.DUMMYFUNCTION("""COMPUTED_VALUE"""),"(51)99688-8582")</f>
        <v>(51)99688-8582</v>
      </c>
      <c r="W922" s="1" t="str">
        <f>IFERROR(__xludf.DUMMYFUNCTION("""COMPUTED_VALUE"""),"(51)99657-2915")</f>
        <v>(51)99657-2915</v>
      </c>
      <c r="X922" s="1" t="str">
        <f>IFERROR(__xludf.DUMMYFUNCTION("""COMPUTED_VALUE"""),"RS")</f>
        <v>RS</v>
      </c>
      <c r="Y922" s="1" t="str">
        <f>IFERROR(__xludf.DUMMYFUNCTION("""COMPUTED_VALUE"""),"Gravataí")</f>
        <v>Gravataí</v>
      </c>
      <c r="Z922" s="1" t="str">
        <f>IFERROR(__xludf.DUMMYFUNCTION("""COMPUTED_VALUE"""),"94199-709")</f>
        <v>94199-709</v>
      </c>
      <c r="AA922" s="1" t="str">
        <f>IFERROR(__xludf.DUMMYFUNCTION("""COMPUTED_VALUE"""),"RUA BERTOLDO SCHNEIDER,362")</f>
        <v>RUA BERTOLDO SCHNEIDER,362</v>
      </c>
      <c r="AB922" s="1" t="str">
        <f>IFERROR(__xludf.DUMMYFUNCTION("""COMPUTED_VALUE"""),"AUXILIADORA")</f>
        <v>AUXILIADORA</v>
      </c>
      <c r="AC922" s="1" t="str">
        <f>IFERROR(__xludf.DUMMYFUNCTION("""COMPUTED_VALUE"""),"EXG")</f>
        <v>EXG</v>
      </c>
      <c r="AD922" s="1" t="str">
        <f>IFERROR(__xludf.DUMMYFUNCTION("""COMPUTED_VALUE"""),"EXG")</f>
        <v>EXG</v>
      </c>
      <c r="AE922" s="1" t="str">
        <f>IFERROR(__xludf.DUMMYFUNCTION("""COMPUTED_VALUE"""),"EXG")</f>
        <v>EXG</v>
      </c>
      <c r="AF922" s="1" t="str">
        <f>IFERROR(__xludf.DUMMYFUNCTION("""COMPUTED_VALUE"""),"EXG")</f>
        <v>EXG</v>
      </c>
      <c r="AG922" s="1" t="str">
        <f>IFERROR(__xludf.DUMMYFUNCTION("""COMPUTED_VALUE"""),"EXG")</f>
        <v>EXG</v>
      </c>
      <c r="AH922" s="1">
        <f>IFERROR(__xludf.DUMMYFUNCTION("""COMPUTED_VALUE"""),45)</f>
        <v>45</v>
      </c>
      <c r="AI922" s="1">
        <f>IFERROR(__xludf.DUMMYFUNCTION("""COMPUTED_VALUE"""),45)</f>
        <v>45</v>
      </c>
      <c r="AJ922" s="1">
        <f>IFERROR(__xludf.DUMMYFUNCTION("""COMPUTED_VALUE"""),45)</f>
        <v>45</v>
      </c>
      <c r="AK922" s="1">
        <f>IFERROR(__xludf.DUMMYFUNCTION("""COMPUTED_VALUE"""),45)</f>
        <v>45</v>
      </c>
      <c r="AL922" s="1" t="str">
        <f>IFERROR(__xludf.DUMMYFUNCTION("""COMPUTED_VALUE"""),"EXG")</f>
        <v>EXG</v>
      </c>
      <c r="AM922" s="1" t="str">
        <f>IFERROR(__xludf.DUMMYFUNCTION("""COMPUTED_VALUE"""),"EXG")</f>
        <v>EXG</v>
      </c>
      <c r="AN922" s="1" t="str">
        <f>IFERROR(__xludf.DUMMYFUNCTION("""COMPUTED_VALUE"""),"EXG")</f>
        <v>EXG</v>
      </c>
    </row>
    <row r="923" customHeight="1" spans="1:40">
      <c r="A923" s="1" t="str">
        <f>IFERROR(__xludf.DUMMYFUNCTION("""COMPUTED_VALUE"""),"08°BBM")</f>
        <v>08°BBM</v>
      </c>
      <c r="B923" s="1" t="str">
        <f>IFERROR(__xludf.DUMMYFUNCTION("""COMPUTED_VALUE"""),"Nova Santa Rita")</f>
        <v>Nova Santa Rita</v>
      </c>
      <c r="C923" s="119" t="str">
        <f>IFERROR(__xludf.DUMMYFUNCTION("""COMPUTED_VALUE"""),"SCAB")</f>
        <v>SCAB</v>
      </c>
      <c r="D923" s="1" t="str">
        <f>IFERROR(__xludf.DUMMYFUNCTION("""COMPUTED_VALUE"""),"ROGER MALTA SOBROSA")</f>
        <v>ROGER MALTA SOBROSA</v>
      </c>
      <c r="E923" s="119" t="str">
        <f>IFERROR(__xludf.DUMMYFUNCTION("""COMPUTED_VALUE"""),"Curso CAB operador concluído")</f>
        <v>Curso CAB operador concluído</v>
      </c>
      <c r="F923" s="1" t="str">
        <f>IFERROR(__xludf.DUMMYFUNCTION("""COMPUTED_VALUE"""),"016.359.780-91")</f>
        <v>016.359.780-91</v>
      </c>
      <c r="G923" s="1">
        <f>IFERROR(__xludf.DUMMYFUNCTION("""COMPUTED_VALUE"""),9102588564)</f>
        <v>9102588564</v>
      </c>
      <c r="H923" s="1" t="str">
        <f>IFERROR(__xludf.DUMMYFUNCTION("""COMPUTED_VALUE"""),"OPERACIONAL")</f>
        <v>OPERACIONAL</v>
      </c>
      <c r="I923" s="1" t="str">
        <f>IFERROR(__xludf.DUMMYFUNCTION("""COMPUTED_VALUE"""),"BOMBEIRO CIVIL/CAB")</f>
        <v>BOMBEIRO CIVIL/CAB</v>
      </c>
      <c r="J923" s="1" t="str">
        <f>IFERROR(__xludf.DUMMYFUNCTION("""COMPUTED_VALUE"""),"Sim")</f>
        <v>Sim</v>
      </c>
      <c r="K923" s="1" t="str">
        <f>IFERROR(__xludf.DUMMYFUNCTION("""COMPUTED_VALUE"""),"Sim")</f>
        <v>Sim</v>
      </c>
      <c r="L923" s="1" t="str">
        <f>IFERROR(__xludf.DUMMYFUNCTION("""COMPUTED_VALUE"""),"O+")</f>
        <v>O+</v>
      </c>
      <c r="M923" s="1" t="str">
        <f>IFERROR(__xludf.DUMMYFUNCTION("""COMPUTED_VALUE"""),"MALTA")</f>
        <v>MALTA</v>
      </c>
      <c r="N923" s="120">
        <f>IFERROR(__xludf.DUMMYFUNCTION("""COMPUTED_VALUE"""),32198)</f>
        <v>32198</v>
      </c>
      <c r="O923" s="1" t="str">
        <f>IFERROR(__xludf.DUMMYFUNCTION("""COMPUTED_VALUE"""),"Masculino")</f>
        <v>Masculino</v>
      </c>
      <c r="P923" s="1" t="str">
        <f>IFERROR(__xludf.DUMMYFUNCTION("""COMPUTED_VALUE"""),"Branca")</f>
        <v>Branca</v>
      </c>
      <c r="Q923" s="1" t="str">
        <f>IFERROR(__xludf.DUMMYFUNCTION("""COMPUTED_VALUE"""),"Ensino Médio")</f>
        <v>Ensino Médio</v>
      </c>
      <c r="R923" s="123" t="str">
        <f>IFERROR(__xludf.DUMMYFUNCTION("""COMPUTED_VALUE"""),"roger_malta@hotmail.com")</f>
        <v>roger_malta@hotmail.com</v>
      </c>
      <c r="S923" s="1" t="str">
        <f>IFERROR(__xludf.DUMMYFUNCTION("""COMPUTED_VALUE"""),"81kg")</f>
        <v>81kg</v>
      </c>
      <c r="T923" s="1" t="str">
        <f>IFERROR(__xludf.DUMMYFUNCTION("""COMPUTED_VALUE"""),"Entre 1,71m e 1,75m")</f>
        <v>Entre 1,71m e 1,75m</v>
      </c>
      <c r="U923" s="1"/>
      <c r="V923" s="1" t="str">
        <f>IFERROR(__xludf.DUMMYFUNCTION("""COMPUTED_VALUE"""),"(51) 995594841")</f>
        <v>(51) 995594841</v>
      </c>
      <c r="W923" s="1" t="str">
        <f>IFERROR(__xludf.DUMMYFUNCTION("""COMPUTED_VALUE"""),"(51) 984467662")</f>
        <v>(51) 984467662</v>
      </c>
      <c r="X923" s="1" t="str">
        <f>IFERROR(__xludf.DUMMYFUNCTION("""COMPUTED_VALUE"""),"RS")</f>
        <v>RS</v>
      </c>
      <c r="Y923" s="1" t="str">
        <f>IFERROR(__xludf.DUMMYFUNCTION("""COMPUTED_VALUE"""),"Cachoeirinha")</f>
        <v>Cachoeirinha</v>
      </c>
      <c r="Z923" s="1">
        <f>IFERROR(__xludf.DUMMYFUNCTION("""COMPUTED_VALUE"""),94950540)</f>
        <v>94950540</v>
      </c>
      <c r="AA923" s="1" t="str">
        <f>IFERROR(__xludf.DUMMYFUNCTION("""COMPUTED_VALUE"""),"Rua cascavel,706")</f>
        <v>Rua cascavel,706</v>
      </c>
      <c r="AB923" s="1" t="str">
        <f>IFERROR(__xludf.DUMMYFUNCTION("""COMPUTED_VALUE"""),"parque da matriz")</f>
        <v>parque da matriz</v>
      </c>
      <c r="AC923" s="1" t="str">
        <f>IFERROR(__xludf.DUMMYFUNCTION("""COMPUTED_VALUE"""),"M")</f>
        <v>M</v>
      </c>
      <c r="AD923" s="1" t="str">
        <f>IFERROR(__xludf.DUMMYFUNCTION("""COMPUTED_VALUE"""),"M")</f>
        <v>M</v>
      </c>
      <c r="AE923" s="1" t="str">
        <f>IFERROR(__xludf.DUMMYFUNCTION("""COMPUTED_VALUE"""),"M")</f>
        <v>M</v>
      </c>
      <c r="AF923" s="1" t="str">
        <f>IFERROR(__xludf.DUMMYFUNCTION("""COMPUTED_VALUE"""),"M")</f>
        <v>M</v>
      </c>
      <c r="AG923" s="1" t="str">
        <f>IFERROR(__xludf.DUMMYFUNCTION("""COMPUTED_VALUE"""),"M")</f>
        <v>M</v>
      </c>
      <c r="AH923" s="1">
        <f>IFERROR(__xludf.DUMMYFUNCTION("""COMPUTED_VALUE"""),41)</f>
        <v>41</v>
      </c>
      <c r="AI923" s="1">
        <f>IFERROR(__xludf.DUMMYFUNCTION("""COMPUTED_VALUE"""),41)</f>
        <v>41</v>
      </c>
      <c r="AJ923" s="1">
        <f>IFERROR(__xludf.DUMMYFUNCTION("""COMPUTED_VALUE"""),41)</f>
        <v>41</v>
      </c>
      <c r="AK923" s="1">
        <f>IFERROR(__xludf.DUMMYFUNCTION("""COMPUTED_VALUE"""),41)</f>
        <v>41</v>
      </c>
      <c r="AL923" s="1" t="str">
        <f>IFERROR(__xludf.DUMMYFUNCTION("""COMPUTED_VALUE"""),"M")</f>
        <v>M</v>
      </c>
      <c r="AM923" s="1" t="str">
        <f>IFERROR(__xludf.DUMMYFUNCTION("""COMPUTED_VALUE"""),"M")</f>
        <v>M</v>
      </c>
      <c r="AN923" s="1" t="str">
        <f>IFERROR(__xludf.DUMMYFUNCTION("""COMPUTED_VALUE"""),"M")</f>
        <v>M</v>
      </c>
    </row>
    <row r="924" customHeight="1" spans="1:40">
      <c r="A924" s="1" t="str">
        <f>IFERROR(__xludf.DUMMYFUNCTION("""COMPUTED_VALUE"""),"08° BBM")</f>
        <v>08° BBM</v>
      </c>
      <c r="B924" s="1" t="str">
        <f>IFERROR(__xludf.DUMMYFUNCTION("""COMPUTED_VALUE"""),"Gravataí")</f>
        <v>Gravataí</v>
      </c>
      <c r="C924" s="119" t="str">
        <f>IFERROR(__xludf.DUMMYFUNCTION("""COMPUTED_VALUE"""),"Comunitario")</f>
        <v>Comunitario</v>
      </c>
      <c r="D924" s="1" t="str">
        <f>IFERROR(__xludf.DUMMYFUNCTION("""COMPUTED_VALUE"""),"RUTE DUTRA FERREIRA")</f>
        <v>RUTE DUTRA FERREIRA</v>
      </c>
      <c r="E924" s="119" t="str">
        <f>IFERROR(__xludf.DUMMYFUNCTION("""COMPUTED_VALUE"""),"Módulo 2 e 3 concluído")</f>
        <v>Módulo 2 e 3 concluído</v>
      </c>
      <c r="F924" s="1" t="str">
        <f>IFERROR(__xludf.DUMMYFUNCTION("""COMPUTED_VALUE"""),"007.852.900-01")</f>
        <v>007.852.900-01</v>
      </c>
      <c r="G924" s="1">
        <f>IFERROR(__xludf.DUMMYFUNCTION("""COMPUTED_VALUE"""),5087559679)</f>
        <v>5087559679</v>
      </c>
      <c r="H924" s="1" t="str">
        <f>IFERROR(__xludf.DUMMYFUNCTION("""COMPUTED_VALUE"""),"AUXILIAR DE LINHA / SOCORRISTA")</f>
        <v>AUXILIAR DE LINHA / SOCORRISTA</v>
      </c>
      <c r="I924" s="1" t="str">
        <f>IFERROR(__xludf.DUMMYFUNCTION("""COMPUTED_VALUE"""),"BOMBEIRO CIVIL")</f>
        <v>BOMBEIRO CIVIL</v>
      </c>
      <c r="J924" s="1" t="str">
        <f>IFERROR(__xludf.DUMMYFUNCTION("""COMPUTED_VALUE"""),"Sim")</f>
        <v>Sim</v>
      </c>
      <c r="K924" s="1" t="str">
        <f>IFERROR(__xludf.DUMMYFUNCTION("""COMPUTED_VALUE"""),"Sim")</f>
        <v>Sim</v>
      </c>
      <c r="L924" s="1" t="str">
        <f>IFERROR(__xludf.DUMMYFUNCTION("""COMPUTED_VALUE"""),"A+")</f>
        <v>A+</v>
      </c>
      <c r="M924" s="1" t="str">
        <f>IFERROR(__xludf.DUMMYFUNCTION("""COMPUTED_VALUE"""),"FERREIRA")</f>
        <v>FERREIRA</v>
      </c>
      <c r="N924" s="121">
        <f>IFERROR(__xludf.DUMMYFUNCTION("""COMPUTED_VALUE"""),30273)</f>
        <v>30273</v>
      </c>
      <c r="O924" s="1" t="str">
        <f>IFERROR(__xludf.DUMMYFUNCTION("""COMPUTED_VALUE"""),"Feminino")</f>
        <v>Feminino</v>
      </c>
      <c r="P924" s="1" t="str">
        <f>IFERROR(__xludf.DUMMYFUNCTION("""COMPUTED_VALUE"""),"Branca")</f>
        <v>Branca</v>
      </c>
      <c r="Q924" s="1" t="str">
        <f>IFERROR(__xludf.DUMMYFUNCTION("""COMPUTED_VALUE"""),"Ensino Médio")</f>
        <v>Ensino Médio</v>
      </c>
      <c r="R924" s="1" t="str">
        <f>IFERROR(__xludf.DUMMYFUNCTION("""COMPUTED_VALUE"""),"dutrarute474@gmail.com")</f>
        <v>dutrarute474@gmail.com</v>
      </c>
      <c r="S924" s="1" t="str">
        <f>IFERROR(__xludf.DUMMYFUNCTION("""COMPUTED_VALUE"""),"55kg")</f>
        <v>55kg</v>
      </c>
      <c r="T924" s="1" t="str">
        <f>IFERROR(__xludf.DUMMYFUNCTION("""COMPUTED_VALUE"""),"Entre 1,56m e 1,60m")</f>
        <v>Entre 1,56m e 1,60m</v>
      </c>
      <c r="U924" s="1"/>
      <c r="V924" s="1" t="str">
        <f>IFERROR(__xludf.DUMMYFUNCTION("""COMPUTED_VALUE"""),"(51)99686-8242")</f>
        <v>(51)99686-8242</v>
      </c>
      <c r="W924" s="1" t="str">
        <f>IFERROR(__xludf.DUMMYFUNCTION("""COMPUTED_VALUE"""),"(51)98652-3233")</f>
        <v>(51)98652-3233</v>
      </c>
      <c r="X924" s="1" t="str">
        <f>IFERROR(__xludf.DUMMYFUNCTION("""COMPUTED_VALUE"""),"RS")</f>
        <v>RS</v>
      </c>
      <c r="Y924" s="1" t="str">
        <f>IFERROR(__xludf.DUMMYFUNCTION("""COMPUTED_VALUE"""),"Gravataí")</f>
        <v>Gravataí</v>
      </c>
      <c r="Z924" s="1" t="str">
        <f>IFERROR(__xludf.DUMMYFUNCTION("""COMPUTED_VALUE"""),"94199-636")</f>
        <v>94199-636</v>
      </c>
      <c r="AA924" s="1" t="str">
        <f>IFERROR(__xludf.DUMMYFUNCTION("""COMPUTED_VALUE"""),"RUA DA PAZ, 28")</f>
        <v>RUA DA PAZ, 28</v>
      </c>
      <c r="AB924" s="1" t="str">
        <f>IFERROR(__xludf.DUMMYFUNCTION("""COMPUTED_VALUE"""),"NOVA CONQUISTA")</f>
        <v>NOVA CONQUISTA</v>
      </c>
      <c r="AC924" s="1" t="str">
        <f>IFERROR(__xludf.DUMMYFUNCTION("""COMPUTED_VALUE"""),"P")</f>
        <v>P</v>
      </c>
      <c r="AD924" s="1" t="str">
        <f>IFERROR(__xludf.DUMMYFUNCTION("""COMPUTED_VALUE"""),"P")</f>
        <v>P</v>
      </c>
      <c r="AE924" s="1" t="str">
        <f>IFERROR(__xludf.DUMMYFUNCTION("""COMPUTED_VALUE"""),"P")</f>
        <v>P</v>
      </c>
      <c r="AF924" s="1" t="str">
        <f>IFERROR(__xludf.DUMMYFUNCTION("""COMPUTED_VALUE"""),"P")</f>
        <v>P</v>
      </c>
      <c r="AG924" s="1" t="str">
        <f>IFERROR(__xludf.DUMMYFUNCTION("""COMPUTED_VALUE"""),"P")</f>
        <v>P</v>
      </c>
      <c r="AH924" s="1">
        <f>IFERROR(__xludf.DUMMYFUNCTION("""COMPUTED_VALUE"""),33)</f>
        <v>33</v>
      </c>
      <c r="AI924" s="1">
        <f>IFERROR(__xludf.DUMMYFUNCTION("""COMPUTED_VALUE"""),33)</f>
        <v>33</v>
      </c>
      <c r="AJ924" s="1">
        <f>IFERROR(__xludf.DUMMYFUNCTION("""COMPUTED_VALUE"""),33)</f>
        <v>33</v>
      </c>
      <c r="AK924" s="1">
        <f>IFERROR(__xludf.DUMMYFUNCTION("""COMPUTED_VALUE"""),33)</f>
        <v>33</v>
      </c>
      <c r="AL924" s="1" t="str">
        <f>IFERROR(__xludf.DUMMYFUNCTION("""COMPUTED_VALUE"""),"P")</f>
        <v>P</v>
      </c>
      <c r="AM924" s="1" t="str">
        <f>IFERROR(__xludf.DUMMYFUNCTION("""COMPUTED_VALUE"""),"P")</f>
        <v>P</v>
      </c>
      <c r="AN924" s="1" t="str">
        <f>IFERROR(__xludf.DUMMYFUNCTION("""COMPUTED_VALUE"""),"P")</f>
        <v>P</v>
      </c>
    </row>
    <row r="925" customHeight="1" spans="1:40">
      <c r="A925" s="1" t="str">
        <f>IFERROR(__xludf.DUMMYFUNCTION("""COMPUTED_VALUE"""),"08° BBM")</f>
        <v>08° BBM</v>
      </c>
      <c r="B925" s="1" t="str">
        <f>IFERROR(__xludf.DUMMYFUNCTION("""COMPUTED_VALUE"""),"Cachoeirinha")</f>
        <v>Cachoeirinha</v>
      </c>
      <c r="C925" s="119" t="str">
        <f>IFERROR(__xludf.DUMMYFUNCTION("""COMPUTED_VALUE"""),"Comunitario")</f>
        <v>Comunitario</v>
      </c>
      <c r="D925" s="1" t="str">
        <f>IFERROR(__xludf.DUMMYFUNCTION("""COMPUTED_VALUE"""),"SANDRO PEREIRA DOS SANTOS")</f>
        <v>SANDRO PEREIRA DOS SANTOS</v>
      </c>
      <c r="E925" s="119" t="str">
        <f>IFERROR(__xludf.DUMMYFUNCTION("""COMPUTED_VALUE"""),"Módulo 1 concluído")</f>
        <v>Módulo 1 concluído</v>
      </c>
      <c r="F925" s="1" t="str">
        <f>IFERROR(__xludf.DUMMYFUNCTION("""COMPUTED_VALUE"""),"741.015.440-34")</f>
        <v>741.015.440-34</v>
      </c>
      <c r="G925" s="1">
        <f>IFERROR(__xludf.DUMMYFUNCTION("""COMPUTED_VALUE"""),8058745038)</f>
        <v>8058745038</v>
      </c>
      <c r="H925" s="1" t="str">
        <f>IFERROR(__xludf.DUMMYFUNCTION("""COMPUTED_VALUE"""),"AUXILIAR")</f>
        <v>AUXILIAR</v>
      </c>
      <c r="I925" s="1" t="str">
        <f>IFERROR(__xludf.DUMMYFUNCTION("""COMPUTED_VALUE"""),"BOMBEIRO CIVIL")</f>
        <v>BOMBEIRO CIVIL</v>
      </c>
      <c r="J925" s="1" t="str">
        <f>IFERROR(__xludf.DUMMYFUNCTION("""COMPUTED_VALUE"""),"Não")</f>
        <v>Não</v>
      </c>
      <c r="K925" s="1" t="str">
        <f>IFERROR(__xludf.DUMMYFUNCTION("""COMPUTED_VALUE"""),"Sim")</f>
        <v>Sim</v>
      </c>
      <c r="L925" s="1" t="str">
        <f>IFERROR(__xludf.DUMMYFUNCTION("""COMPUTED_VALUE"""),"O+")</f>
        <v>O+</v>
      </c>
      <c r="M925" s="1" t="str">
        <f>IFERROR(__xludf.DUMMYFUNCTION("""COMPUTED_VALUE"""),"SANTOS")</f>
        <v>SANTOS</v>
      </c>
      <c r="N925" s="120">
        <f>IFERROR(__xludf.DUMMYFUNCTION("""COMPUTED_VALUE"""),28080)</f>
        <v>28080</v>
      </c>
      <c r="O925" s="1" t="str">
        <f>IFERROR(__xludf.DUMMYFUNCTION("""COMPUTED_VALUE"""),"Masculino")</f>
        <v>Masculino</v>
      </c>
      <c r="P925" s="1" t="str">
        <f>IFERROR(__xludf.DUMMYFUNCTION("""COMPUTED_VALUE"""),"Preta")</f>
        <v>Preta</v>
      </c>
      <c r="Q925" s="1" t="str">
        <f>IFERROR(__xludf.DUMMYFUNCTION("""COMPUTED_VALUE"""),"Ensino Médio")</f>
        <v>Ensino Médio</v>
      </c>
      <c r="R925" s="1" t="str">
        <f>IFERROR(__xludf.DUMMYFUNCTION("""COMPUTED_VALUE"""),"bombeirosantos@gmail.com")</f>
        <v>bombeirosantos@gmail.com</v>
      </c>
      <c r="S925" s="1">
        <f>IFERROR(__xludf.DUMMYFUNCTION("""COMPUTED_VALUE"""),78)</f>
        <v>78</v>
      </c>
      <c r="T925" s="1" t="str">
        <f>IFERROR(__xludf.DUMMYFUNCTION("""COMPUTED_VALUE"""),"Entre 1,76m e 1,80m")</f>
        <v>Entre 1,76m e 1,80m</v>
      </c>
      <c r="U925" s="1" t="str">
        <f>IFERROR(__xludf.DUMMYFUNCTION("""COMPUTED_VALUE"""),"(51) 996245927")</f>
        <v>(51) 996245927</v>
      </c>
      <c r="V925" s="1" t="str">
        <f>IFERROR(__xludf.DUMMYFUNCTION("""COMPUTED_VALUE"""),"(51) 996245927")</f>
        <v>(51) 996245927</v>
      </c>
      <c r="W925" s="1" t="str">
        <f>IFERROR(__xludf.DUMMYFUNCTION("""COMPUTED_VALUE"""),"(51)995347708")</f>
        <v>(51)995347708</v>
      </c>
      <c r="X925" s="1" t="str">
        <f>IFERROR(__xludf.DUMMYFUNCTION("""COMPUTED_VALUE"""),"RS")</f>
        <v>RS</v>
      </c>
      <c r="Y925" s="1" t="str">
        <f>IFERROR(__xludf.DUMMYFUNCTION("""COMPUTED_VALUE"""),"Cachoeirinha")</f>
        <v>Cachoeirinha</v>
      </c>
      <c r="Z925" s="1" t="str">
        <f>IFERROR(__xludf.DUMMYFUNCTION("""COMPUTED_VALUE"""),"94945-010")</f>
        <v>94945-010</v>
      </c>
      <c r="AA925" s="1" t="str">
        <f>IFERROR(__xludf.DUMMYFUNCTION("""COMPUTED_VALUE"""),"ABRAHÃO LINCOLN 222")</f>
        <v>ABRAHÃO LINCOLN 222</v>
      </c>
      <c r="AB925" s="1" t="str">
        <f>IFERROR(__xludf.DUMMYFUNCTION("""COMPUTED_VALUE"""),"VISTA ALEGRE")</f>
        <v>VISTA ALEGRE</v>
      </c>
      <c r="AC925" s="1" t="str">
        <f>IFERROR(__xludf.DUMMYFUNCTION("""COMPUTED_VALUE"""),"G")</f>
        <v>G</v>
      </c>
      <c r="AD925" s="1" t="str">
        <f>IFERROR(__xludf.DUMMYFUNCTION("""COMPUTED_VALUE"""),"G")</f>
        <v>G</v>
      </c>
      <c r="AE925" s="1" t="str">
        <f>IFERROR(__xludf.DUMMYFUNCTION("""COMPUTED_VALUE"""),"G")</f>
        <v>G</v>
      </c>
      <c r="AF925" s="1" t="str">
        <f>IFERROR(__xludf.DUMMYFUNCTION("""COMPUTED_VALUE"""),"G")</f>
        <v>G</v>
      </c>
      <c r="AG925" s="1" t="str">
        <f>IFERROR(__xludf.DUMMYFUNCTION("""COMPUTED_VALUE"""),"G")</f>
        <v>G</v>
      </c>
      <c r="AH925" s="1">
        <f>IFERROR(__xludf.DUMMYFUNCTION("""COMPUTED_VALUE"""),41)</f>
        <v>41</v>
      </c>
      <c r="AI925" s="1">
        <f>IFERROR(__xludf.DUMMYFUNCTION("""COMPUTED_VALUE"""),41)</f>
        <v>41</v>
      </c>
      <c r="AJ925" s="1">
        <f>IFERROR(__xludf.DUMMYFUNCTION("""COMPUTED_VALUE"""),41)</f>
        <v>41</v>
      </c>
      <c r="AK925" s="1">
        <f>IFERROR(__xludf.DUMMYFUNCTION("""COMPUTED_VALUE"""),43)</f>
        <v>43</v>
      </c>
      <c r="AL925" s="1" t="str">
        <f>IFERROR(__xludf.DUMMYFUNCTION("""COMPUTED_VALUE"""),"G")</f>
        <v>G</v>
      </c>
      <c r="AM925" s="1" t="str">
        <f>IFERROR(__xludf.DUMMYFUNCTION("""COMPUTED_VALUE"""),"G")</f>
        <v>G</v>
      </c>
      <c r="AN925" s="1" t="str">
        <f>IFERROR(__xludf.DUMMYFUNCTION("""COMPUTED_VALUE"""),"G")</f>
        <v>G</v>
      </c>
    </row>
    <row r="926" customHeight="1" spans="1:40">
      <c r="A926" s="1" t="str">
        <f>IFERROR(__xludf.DUMMYFUNCTION("""COMPUTED_VALUE"""),"08°BBM")</f>
        <v>08°BBM</v>
      </c>
      <c r="B926" s="1" t="str">
        <f>IFERROR(__xludf.DUMMYFUNCTION("""COMPUTED_VALUE"""),"Nova Santa Rita")</f>
        <v>Nova Santa Rita</v>
      </c>
      <c r="C926" s="119" t="str">
        <f>IFERROR(__xludf.DUMMYFUNCTION("""COMPUTED_VALUE"""),"SCAB")</f>
        <v>SCAB</v>
      </c>
      <c r="D926" s="1" t="str">
        <f>IFERROR(__xludf.DUMMYFUNCTION("""COMPUTED_VALUE"""),"SIDNEY RAIAN MENDES NOGUEIRA")</f>
        <v>SIDNEY RAIAN MENDES NOGUEIRA</v>
      </c>
      <c r="E926" s="119" t="str">
        <f>IFERROR(__xludf.DUMMYFUNCTION("""COMPUTED_VALUE"""),"Curso CAB operador concluído")</f>
        <v>Curso CAB operador concluído</v>
      </c>
      <c r="F926" s="1" t="str">
        <f>IFERROR(__xludf.DUMMYFUNCTION("""COMPUTED_VALUE"""),"036.137.590-55")</f>
        <v>036.137.590-55</v>
      </c>
      <c r="G926" s="1">
        <f>IFERROR(__xludf.DUMMYFUNCTION("""COMPUTED_VALUE"""),1115440388)</f>
        <v>1115440388</v>
      </c>
      <c r="H926" s="1" t="str">
        <f>IFERROR(__xludf.DUMMYFUNCTION("""COMPUTED_VALUE"""),"OPERACIONAL")</f>
        <v>OPERACIONAL</v>
      </c>
      <c r="I926" s="1" t="str">
        <f>IFERROR(__xludf.DUMMYFUNCTION("""COMPUTED_VALUE"""),"CAB")</f>
        <v>CAB</v>
      </c>
      <c r="J926" s="1" t="str">
        <f>IFERROR(__xludf.DUMMYFUNCTION("""COMPUTED_VALUE"""),"Sim")</f>
        <v>Sim</v>
      </c>
      <c r="K926" s="1" t="str">
        <f>IFERROR(__xludf.DUMMYFUNCTION("""COMPUTED_VALUE"""),"Sim")</f>
        <v>Sim</v>
      </c>
      <c r="L926" s="1" t="str">
        <f>IFERROR(__xludf.DUMMYFUNCTION("""COMPUTED_VALUE"""),"ab+")</f>
        <v>ab+</v>
      </c>
      <c r="M926" s="1" t="str">
        <f>IFERROR(__xludf.DUMMYFUNCTION("""COMPUTED_VALUE"""),"NOGUEIRA")</f>
        <v>NOGUEIRA</v>
      </c>
      <c r="N926" s="120">
        <f>IFERROR(__xludf.DUMMYFUNCTION("""COMPUTED_VALUE"""),35514)</f>
        <v>35514</v>
      </c>
      <c r="O926" s="1" t="str">
        <f>IFERROR(__xludf.DUMMYFUNCTION("""COMPUTED_VALUE"""),"Masculino")</f>
        <v>Masculino</v>
      </c>
      <c r="P926" s="1" t="str">
        <f>IFERROR(__xludf.DUMMYFUNCTION("""COMPUTED_VALUE"""),"Branca")</f>
        <v>Branca</v>
      </c>
      <c r="Q926" s="1" t="str">
        <f>IFERROR(__xludf.DUMMYFUNCTION("""COMPUTED_VALUE"""),"ensino superior completo")</f>
        <v>ensino superior completo</v>
      </c>
      <c r="R926" s="123" t="str">
        <f>IFERROR(__xludf.DUMMYFUNCTION("""COMPUTED_VALUE"""),"nogueraian@gmail.com")</f>
        <v>nogueraian@gmail.com</v>
      </c>
      <c r="S926" s="1" t="str">
        <f>IFERROR(__xludf.DUMMYFUNCTION("""COMPUTED_VALUE"""),"92kg")</f>
        <v>92kg</v>
      </c>
      <c r="T926" s="1" t="str">
        <f>IFERROR(__xludf.DUMMYFUNCTION("""COMPUTED_VALUE"""),"entre 175m")</f>
        <v>entre 175m</v>
      </c>
      <c r="U926" s="1"/>
      <c r="V926" s="1" t="str">
        <f>IFERROR(__xludf.DUMMYFUNCTION("""COMPUTED_VALUE"""),"(51)997772503")</f>
        <v>(51)997772503</v>
      </c>
      <c r="W926" s="1" t="str">
        <f>IFERROR(__xludf.DUMMYFUNCTION("""COMPUTED_VALUE"""),"(51) 994447743")</f>
        <v>(51) 994447743</v>
      </c>
      <c r="X926" s="1" t="str">
        <f>IFERROR(__xludf.DUMMYFUNCTION("""COMPUTED_VALUE"""),"RS")</f>
        <v>RS</v>
      </c>
      <c r="Y926" s="1" t="str">
        <f>IFERROR(__xludf.DUMMYFUNCTION("""COMPUTED_VALUE"""),"gravatai")</f>
        <v>gravatai</v>
      </c>
      <c r="Z926" s="1">
        <f>IFERROR(__xludf.DUMMYFUNCTION("""COMPUTED_VALUE"""),94199663)</f>
        <v>94199663</v>
      </c>
      <c r="AA926" s="1" t="str">
        <f>IFERROR(__xludf.DUMMYFUNCTION("""COMPUTED_VALUE"""),"rua tv bahia,35")</f>
        <v>rua tv bahia,35</v>
      </c>
      <c r="AB926" s="1"/>
      <c r="AC926" s="1" t="str">
        <f>IFERROR(__xludf.DUMMYFUNCTION("""COMPUTED_VALUE"""),"g")</f>
        <v>g</v>
      </c>
      <c r="AD926" s="1" t="str">
        <f>IFERROR(__xludf.DUMMYFUNCTION("""COMPUTED_VALUE"""),"G")</f>
        <v>G</v>
      </c>
      <c r="AE926" s="1" t="str">
        <f>IFERROR(__xludf.DUMMYFUNCTION("""COMPUTED_VALUE"""),"G")</f>
        <v>G</v>
      </c>
      <c r="AF926" s="1" t="str">
        <f>IFERROR(__xludf.DUMMYFUNCTION("""COMPUTED_VALUE"""),"G")</f>
        <v>G</v>
      </c>
      <c r="AG926" s="1" t="str">
        <f>IFERROR(__xludf.DUMMYFUNCTION("""COMPUTED_VALUE"""),"G")</f>
        <v>G</v>
      </c>
      <c r="AH926" s="1">
        <f>IFERROR(__xludf.DUMMYFUNCTION("""COMPUTED_VALUE"""),41)</f>
        <v>41</v>
      </c>
      <c r="AI926" s="1">
        <f>IFERROR(__xludf.DUMMYFUNCTION("""COMPUTED_VALUE"""),41)</f>
        <v>41</v>
      </c>
      <c r="AJ926" s="1">
        <f>IFERROR(__xludf.DUMMYFUNCTION("""COMPUTED_VALUE"""),41)</f>
        <v>41</v>
      </c>
      <c r="AK926" s="1">
        <f>IFERROR(__xludf.DUMMYFUNCTION("""COMPUTED_VALUE"""),41)</f>
        <v>41</v>
      </c>
      <c r="AL926" s="1" t="str">
        <f>IFERROR(__xludf.DUMMYFUNCTION("""COMPUTED_VALUE"""),"G")</f>
        <v>G</v>
      </c>
      <c r="AM926" s="1" t="str">
        <f>IFERROR(__xludf.DUMMYFUNCTION("""COMPUTED_VALUE"""),"G")</f>
        <v>G</v>
      </c>
      <c r="AN926" s="1" t="str">
        <f>IFERROR(__xludf.DUMMYFUNCTION("""COMPUTED_VALUE"""),"M")</f>
        <v>M</v>
      </c>
    </row>
    <row r="927" customHeight="1" spans="1:40">
      <c r="A927" s="1" t="str">
        <f>IFERROR(__xludf.DUMMYFUNCTION("""COMPUTED_VALUE"""),"08° BBM")</f>
        <v>08° BBM</v>
      </c>
      <c r="B927" s="1"/>
      <c r="C927" s="119"/>
      <c r="D927" s="1" t="str">
        <f>IFERROR(__xludf.DUMMYFUNCTION("""COMPUTED_VALUE"""),"SOLANGE BEATRIZ NUNES BARBOSA")</f>
        <v>SOLANGE BEATRIZ NUNES BARBOSA</v>
      </c>
      <c r="E927" s="119" t="str">
        <f>IFERROR(__xludf.DUMMYFUNCTION("""COMPUTED_VALUE"""),"")</f>
        <v/>
      </c>
      <c r="F927" s="1" t="str">
        <f>IFERROR(__xludf.DUMMYFUNCTION("""COMPUTED_VALUE"""),"651.094.730-72")</f>
        <v>651.094.730-72</v>
      </c>
      <c r="G927" s="1"/>
      <c r="H927" s="1"/>
      <c r="I927" s="1"/>
      <c r="J927" s="1"/>
      <c r="K927" s="1"/>
      <c r="L927" s="1"/>
      <c r="M927" s="1"/>
      <c r="N927" s="120"/>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row>
    <row r="928" customHeight="1" spans="1:40">
      <c r="A928" s="1" t="str">
        <f>IFERROR(__xludf.DUMMYFUNCTION("""COMPUTED_VALUE"""),"08° BBM")</f>
        <v>08° BBM</v>
      </c>
      <c r="B928" s="1" t="str">
        <f>IFERROR(__xludf.DUMMYFUNCTION("""COMPUTED_VALUE"""),"Esteio")</f>
        <v>Esteio</v>
      </c>
      <c r="C928" s="119" t="str">
        <f>IFERROR(__xludf.DUMMYFUNCTION("""COMPUTED_VALUE"""),"Comunitario")</f>
        <v>Comunitario</v>
      </c>
      <c r="D928" s="1" t="str">
        <f>IFERROR(__xludf.DUMMYFUNCTION("""COMPUTED_VALUE"""),"THIAGO DE ARAUJO CARDOSO")</f>
        <v>THIAGO DE ARAUJO CARDOSO</v>
      </c>
      <c r="E928" s="119" t="str">
        <f>IFERROR(__xludf.DUMMYFUNCTION("""COMPUTED_VALUE"""),"Curso CAB operador concluído")</f>
        <v>Curso CAB operador concluído</v>
      </c>
      <c r="F928" s="1" t="str">
        <f>IFERROR(__xludf.DUMMYFUNCTION("""COMPUTED_VALUE"""),"812.137.270-49")</f>
        <v>812.137.270-49</v>
      </c>
      <c r="G928" s="1">
        <f>IFERROR(__xludf.DUMMYFUNCTION("""COMPUTED_VALUE"""),3081564365)</f>
        <v>3081564365</v>
      </c>
      <c r="H928" s="1" t="str">
        <f>IFERROR(__xludf.DUMMYFUNCTION("""COMPUTED_VALUE"""),"Combatente Linha / socorrista")</f>
        <v>Combatente Linha / socorrista</v>
      </c>
      <c r="I928" s="1" t="str">
        <f>IFERROR(__xludf.DUMMYFUNCTION("""COMPUTED_VALUE"""),"Bombeiro Civil Classe I, Bombeiro Voluntário, Educação Fìsica, TST, Emergências Aquáticas, APH, Resgate em Locais Remotos, Veículo de Emergência Cat D")</f>
        <v>Bombeiro Civil Classe I, Bombeiro Voluntário, Educação Fìsica, TST, Emergências Aquáticas, APH, Resgate em Locais Remotos, Veículo de Emergência Cat D</v>
      </c>
      <c r="J928" s="1" t="str">
        <f>IFERROR(__xludf.DUMMYFUNCTION("""COMPUTED_VALUE"""),"Não")</f>
        <v>Não</v>
      </c>
      <c r="K928" s="1" t="str">
        <f>IFERROR(__xludf.DUMMYFUNCTION("""COMPUTED_VALUE"""),"Não")</f>
        <v>Não</v>
      </c>
      <c r="L928" s="1" t="str">
        <f>IFERROR(__xludf.DUMMYFUNCTION("""COMPUTED_VALUE"""),"A+")</f>
        <v>A+</v>
      </c>
      <c r="M928" s="1" t="str">
        <f>IFERROR(__xludf.DUMMYFUNCTION("""COMPUTED_VALUE"""),"Cardoso")</f>
        <v>Cardoso</v>
      </c>
      <c r="N928" s="120">
        <f>IFERROR(__xludf.DUMMYFUNCTION("""COMPUTED_VALUE"""),30411)</f>
        <v>30411</v>
      </c>
      <c r="O928" s="1" t="str">
        <f>IFERROR(__xludf.DUMMYFUNCTION("""COMPUTED_VALUE"""),"Masculino")</f>
        <v>Masculino</v>
      </c>
      <c r="P928" s="1" t="str">
        <f>IFERROR(__xludf.DUMMYFUNCTION("""COMPUTED_VALUE"""),"Branca")</f>
        <v>Branca</v>
      </c>
      <c r="Q928" s="1" t="str">
        <f>IFERROR(__xludf.DUMMYFUNCTION("""COMPUTED_VALUE"""),"Doutorado")</f>
        <v>Doutorado</v>
      </c>
      <c r="R928" s="1" t="str">
        <f>IFERROR(__xludf.DUMMYFUNCTION("""COMPUTED_VALUE"""),"profcardoso@profcardoso.com")</f>
        <v>profcardoso@profcardoso.com</v>
      </c>
      <c r="S928" s="1">
        <f>IFERROR(__xludf.DUMMYFUNCTION("""COMPUTED_VALUE"""),89)</f>
        <v>89</v>
      </c>
      <c r="T928" s="1" t="str">
        <f>IFERROR(__xludf.DUMMYFUNCTION("""COMPUTED_VALUE"""),"Entre 1,71m e 1,75m")</f>
        <v>Entre 1,71m e 1,75m</v>
      </c>
      <c r="U928" s="1"/>
      <c r="V928" s="1" t="str">
        <f>IFERROR(__xludf.DUMMYFUNCTION("""COMPUTED_VALUE"""),"(51)98182-6682")</f>
        <v>(51)98182-6682</v>
      </c>
      <c r="W928" s="1" t="str">
        <f>IFERROR(__xludf.DUMMYFUNCTION("""COMPUTED_VALUE"""),"(51)98408-3376")</f>
        <v>(51)98408-3376</v>
      </c>
      <c r="X928" s="1" t="str">
        <f>IFERROR(__xludf.DUMMYFUNCTION("""COMPUTED_VALUE"""),"RS")</f>
        <v>RS</v>
      </c>
      <c r="Y928" s="1" t="str">
        <f>IFERROR(__xludf.DUMMYFUNCTION("""COMPUTED_VALUE"""),"Porto Alegre")</f>
        <v>Porto Alegre</v>
      </c>
      <c r="Z928" s="1" t="str">
        <f>IFERROR(__xludf.DUMMYFUNCTION("""COMPUTED_VALUE"""),"90420-040")</f>
        <v>90420-040</v>
      </c>
      <c r="AA928" s="1" t="str">
        <f>IFERROR(__xludf.DUMMYFUNCTION("""COMPUTED_VALUE"""),"Rua Santa Cecília, 1900/203")</f>
        <v>Rua Santa Cecília, 1900/203</v>
      </c>
      <c r="AB928" s="1" t="str">
        <f>IFERROR(__xludf.DUMMYFUNCTION("""COMPUTED_VALUE"""),"Rio Branco")</f>
        <v>Rio Branco</v>
      </c>
      <c r="AC928" s="1" t="str">
        <f>IFERROR(__xludf.DUMMYFUNCTION("""COMPUTED_VALUE"""),"G")</f>
        <v>G</v>
      </c>
      <c r="AD928" s="1" t="str">
        <f>IFERROR(__xludf.DUMMYFUNCTION("""COMPUTED_VALUE"""),"G")</f>
        <v>G</v>
      </c>
      <c r="AE928" s="1" t="str">
        <f>IFERROR(__xludf.DUMMYFUNCTION("""COMPUTED_VALUE"""),"G")</f>
        <v>G</v>
      </c>
      <c r="AF928" s="1" t="str">
        <f>IFERROR(__xludf.DUMMYFUNCTION("""COMPUTED_VALUE"""),"G")</f>
        <v>G</v>
      </c>
      <c r="AG928" s="1" t="str">
        <f>IFERROR(__xludf.DUMMYFUNCTION("""COMPUTED_VALUE"""),"G")</f>
        <v>G</v>
      </c>
      <c r="AH928" s="1">
        <f>IFERROR(__xludf.DUMMYFUNCTION("""COMPUTED_VALUE"""),40)</f>
        <v>40</v>
      </c>
      <c r="AI928" s="1">
        <f>IFERROR(__xludf.DUMMYFUNCTION("""COMPUTED_VALUE"""),40)</f>
        <v>40</v>
      </c>
      <c r="AJ928" s="1">
        <f>IFERROR(__xludf.DUMMYFUNCTION("""COMPUTED_VALUE"""),40)</f>
        <v>40</v>
      </c>
      <c r="AK928" s="1">
        <f>IFERROR(__xludf.DUMMYFUNCTION("""COMPUTED_VALUE"""),40)</f>
        <v>40</v>
      </c>
      <c r="AL928" s="1" t="str">
        <f>IFERROR(__xludf.DUMMYFUNCTION("""COMPUTED_VALUE"""),"G")</f>
        <v>G</v>
      </c>
      <c r="AM928" s="1" t="str">
        <f>IFERROR(__xludf.DUMMYFUNCTION("""COMPUTED_VALUE"""),"G")</f>
        <v>G</v>
      </c>
      <c r="AN928" s="1" t="str">
        <f>IFERROR(__xludf.DUMMYFUNCTION("""COMPUTED_VALUE"""),"M")</f>
        <v>M</v>
      </c>
    </row>
    <row r="929" customHeight="1" spans="1:40">
      <c r="A929" s="1" t="str">
        <f>IFERROR(__xludf.DUMMYFUNCTION("""COMPUTED_VALUE"""),"08°BBM")</f>
        <v>08°BBM</v>
      </c>
      <c r="B929" s="1" t="str">
        <f>IFERROR(__xludf.DUMMYFUNCTION("""COMPUTED_VALUE"""),"Nova Santa Rita")</f>
        <v>Nova Santa Rita</v>
      </c>
      <c r="C929" s="119" t="str">
        <f>IFERROR(__xludf.DUMMYFUNCTION("""COMPUTED_VALUE"""),"SCAB")</f>
        <v>SCAB</v>
      </c>
      <c r="D929" s="1" t="str">
        <f>IFERROR(__xludf.DUMMYFUNCTION("""COMPUTED_VALUE"""),"UIL ROBSON ROCHA DE OLIVEIRA")</f>
        <v>UIL ROBSON ROCHA DE OLIVEIRA</v>
      </c>
      <c r="E929" s="119" t="str">
        <f>IFERROR(__xludf.DUMMYFUNCTION("""COMPUTED_VALUE"""),"Módulo 2 e 3 concluído")</f>
        <v>Módulo 2 e 3 concluído</v>
      </c>
      <c r="F929" s="1">
        <f>IFERROR(__xludf.DUMMYFUNCTION("""COMPUTED_VALUE"""),95416978015)</f>
        <v>95416978015</v>
      </c>
      <c r="G929" s="1">
        <f>IFERROR(__xludf.DUMMYFUNCTION("""COMPUTED_VALUE"""),1097429058)</f>
        <v>1097429058</v>
      </c>
      <c r="H929" s="1" t="str">
        <f>IFERROR(__xludf.DUMMYFUNCTION("""COMPUTED_VALUE"""),"OPERACIONAL")</f>
        <v>OPERACIONAL</v>
      </c>
      <c r="I929" s="1" t="str">
        <f>IFERROR(__xludf.DUMMYFUNCTION("""COMPUTED_VALUE"""),"CAB")</f>
        <v>CAB</v>
      </c>
      <c r="J929" s="1" t="str">
        <f>IFERROR(__xludf.DUMMYFUNCTION("""COMPUTED_VALUE"""),"Sim")</f>
        <v>Sim</v>
      </c>
      <c r="K929" s="1" t="str">
        <f>IFERROR(__xludf.DUMMYFUNCTION("""COMPUTED_VALUE"""),"Sim")</f>
        <v>Sim</v>
      </c>
      <c r="L929" s="1"/>
      <c r="M929" s="1" t="str">
        <f>IFERROR(__xludf.DUMMYFUNCTION("""COMPUTED_VALUE"""),"ROBSON")</f>
        <v>ROBSON</v>
      </c>
      <c r="N929" s="120">
        <f>IFERROR(__xludf.DUMMYFUNCTION("""COMPUTED_VALUE"""),28042)</f>
        <v>28042</v>
      </c>
      <c r="O929" s="1" t="str">
        <f>IFERROR(__xludf.DUMMYFUNCTION("""COMPUTED_VALUE"""),"Masculino")</f>
        <v>Masculino</v>
      </c>
      <c r="P929" s="1" t="str">
        <f>IFERROR(__xludf.DUMMYFUNCTION("""COMPUTED_VALUE"""),"Branca")</f>
        <v>Branca</v>
      </c>
      <c r="Q929" s="1" t="str">
        <f>IFERROR(__xludf.DUMMYFUNCTION("""COMPUTED_VALUE"""),"ensino medio")</f>
        <v>ensino medio</v>
      </c>
      <c r="R929" s="123" t="str">
        <f>IFERROR(__xludf.DUMMYFUNCTION("""COMPUTED_VALUE"""),"uilrobson193@gmail.com")</f>
        <v>uilrobson193@gmail.com</v>
      </c>
      <c r="S929" s="1" t="str">
        <f>IFERROR(__xludf.DUMMYFUNCTION("""COMPUTED_VALUE"""),"75kg")</f>
        <v>75kg</v>
      </c>
      <c r="T929" s="1" t="str">
        <f>IFERROR(__xludf.DUMMYFUNCTION("""COMPUTED_VALUE"""),"entre 170m")</f>
        <v>entre 170m</v>
      </c>
      <c r="U929" s="1"/>
      <c r="V929" s="1" t="str">
        <f>IFERROR(__xludf.DUMMYFUNCTION("""COMPUTED_VALUE"""),"(51) 998656798")</f>
        <v>(51) 998656798</v>
      </c>
      <c r="W929" s="1" t="str">
        <f>IFERROR(__xludf.DUMMYFUNCTION("""COMPUTED_VALUE"""),"(51) 980205008")</f>
        <v>(51) 980205008</v>
      </c>
      <c r="X929" s="1" t="str">
        <f>IFERROR(__xludf.DUMMYFUNCTION("""COMPUTED_VALUE"""),"RS")</f>
        <v>RS</v>
      </c>
      <c r="Y929" s="1" t="str">
        <f>IFERROR(__xludf.DUMMYFUNCTION("""COMPUTED_VALUE"""),"capela santana")</f>
        <v>capela santana</v>
      </c>
      <c r="Z929" s="1">
        <f>IFERROR(__xludf.DUMMYFUNCTION("""COMPUTED_VALUE"""),95745000)</f>
        <v>95745000</v>
      </c>
      <c r="AA929" s="1" t="str">
        <f>IFERROR(__xludf.DUMMYFUNCTION("""COMPUTED_VALUE"""),"Rua irai 252")</f>
        <v>Rua irai 252</v>
      </c>
      <c r="AB929" s="1" t="str">
        <f>IFERROR(__xludf.DUMMYFUNCTION("""COMPUTED_VALUE"""),"imigrante")</f>
        <v>imigrante</v>
      </c>
      <c r="AC929" s="1" t="str">
        <f>IFERROR(__xludf.DUMMYFUNCTION("""COMPUTED_VALUE"""),"M")</f>
        <v>M</v>
      </c>
      <c r="AD929" s="1" t="str">
        <f>IFERROR(__xludf.DUMMYFUNCTION("""COMPUTED_VALUE"""),"M")</f>
        <v>M</v>
      </c>
      <c r="AE929" s="1" t="str">
        <f>IFERROR(__xludf.DUMMYFUNCTION("""COMPUTED_VALUE"""),"M")</f>
        <v>M</v>
      </c>
      <c r="AF929" s="1" t="str">
        <f>IFERROR(__xludf.DUMMYFUNCTION("""COMPUTED_VALUE"""),"M")</f>
        <v>M</v>
      </c>
      <c r="AG929" s="1" t="str">
        <f>IFERROR(__xludf.DUMMYFUNCTION("""COMPUTED_VALUE"""),"M")</f>
        <v>M</v>
      </c>
      <c r="AH929" s="1">
        <f>IFERROR(__xludf.DUMMYFUNCTION("""COMPUTED_VALUE"""),40)</f>
        <v>40</v>
      </c>
      <c r="AI929" s="1">
        <f>IFERROR(__xludf.DUMMYFUNCTION("""COMPUTED_VALUE"""),40)</f>
        <v>40</v>
      </c>
      <c r="AJ929" s="1">
        <f>IFERROR(__xludf.DUMMYFUNCTION("""COMPUTED_VALUE"""),40)</f>
        <v>40</v>
      </c>
      <c r="AK929" s="1">
        <f>IFERROR(__xludf.DUMMYFUNCTION("""COMPUTED_VALUE"""),40)</f>
        <v>40</v>
      </c>
      <c r="AL929" s="1" t="str">
        <f>IFERROR(__xludf.DUMMYFUNCTION("""COMPUTED_VALUE"""),"M")</f>
        <v>M</v>
      </c>
      <c r="AM929" s="1" t="str">
        <f>IFERROR(__xludf.DUMMYFUNCTION("""COMPUTED_VALUE"""),"M")</f>
        <v>M</v>
      </c>
      <c r="AN929" s="1" t="str">
        <f>IFERROR(__xludf.DUMMYFUNCTION("""COMPUTED_VALUE"""),"M")</f>
        <v>M</v>
      </c>
    </row>
    <row r="930" customHeight="1" spans="1:40">
      <c r="A930" s="1" t="str">
        <f>IFERROR(__xludf.DUMMYFUNCTION("""COMPUTED_VALUE"""),"6º BBM")</f>
        <v>6º BBM</v>
      </c>
      <c r="B930" s="1"/>
      <c r="C930" s="119"/>
      <c r="D930" s="1" t="str">
        <f>IFERROR(__xludf.DUMMYFUNCTION("""COMPUTED_VALUE"""),"VAGNER ELPÍDIO SERRATTE")</f>
        <v>VAGNER ELPÍDIO SERRATTE</v>
      </c>
      <c r="E930" s="119" t="str">
        <f>IFERROR(__xludf.DUMMYFUNCTION("""COMPUTED_VALUE"""),"")</f>
        <v/>
      </c>
      <c r="F930" s="1" t="str">
        <f>IFERROR(__xludf.DUMMYFUNCTION("""COMPUTED_VALUE"""),"922.096.880-00")</f>
        <v>922.096.880-00</v>
      </c>
      <c r="G930" s="1"/>
      <c r="H930" s="1"/>
      <c r="I930" s="1"/>
      <c r="J930" s="1"/>
      <c r="K930" s="1"/>
      <c r="L930" s="1"/>
      <c r="M930" s="1"/>
      <c r="N930" s="120"/>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row>
    <row r="931" customHeight="1" spans="1:40">
      <c r="A931" s="1" t="str">
        <f>IFERROR(__xludf.DUMMYFUNCTION("""COMPUTED_VALUE"""),"6º BBM")</f>
        <v>6º BBM</v>
      </c>
      <c r="B931" s="1"/>
      <c r="C931" s="119"/>
      <c r="D931" s="1" t="str">
        <f>IFERROR(__xludf.DUMMYFUNCTION("""COMPUTED_VALUE"""),"VALMIR FAGUNDES DE FAGUNDES")</f>
        <v>VALMIR FAGUNDES DE FAGUNDES</v>
      </c>
      <c r="E931" s="119" t="str">
        <f>IFERROR(__xludf.DUMMYFUNCTION("""COMPUTED_VALUE"""),"")</f>
        <v/>
      </c>
      <c r="F931" s="1" t="str">
        <f>IFERROR(__xludf.DUMMYFUNCTION("""COMPUTED_VALUE"""),"505.662.530-20")</f>
        <v>505.662.530-20</v>
      </c>
      <c r="G931" s="1"/>
      <c r="H931" s="1"/>
      <c r="I931" s="1"/>
      <c r="J931" s="1"/>
      <c r="K931" s="1"/>
      <c r="L931" s="1"/>
      <c r="M931" s="1"/>
      <c r="N931" s="120"/>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row>
    <row r="932" customHeight="1" spans="1:40">
      <c r="A932" s="1" t="str">
        <f>IFERROR(__xludf.DUMMYFUNCTION("""COMPUTED_VALUE"""),"08° BBM")</f>
        <v>08° BBM</v>
      </c>
      <c r="B932" s="1" t="str">
        <f>IFERROR(__xludf.DUMMYFUNCTION("""COMPUTED_VALUE"""),"Esteio")</f>
        <v>Esteio</v>
      </c>
      <c r="C932" s="119" t="str">
        <f>IFERROR(__xludf.DUMMYFUNCTION("""COMPUTED_VALUE"""),"Comunitario")</f>
        <v>Comunitario</v>
      </c>
      <c r="D932" s="1" t="str">
        <f>IFERROR(__xludf.DUMMYFUNCTION("""COMPUTED_VALUE"""),"WILLIAM DE SOUZA OLIVEIRA")</f>
        <v>WILLIAM DE SOUZA OLIVEIRA</v>
      </c>
      <c r="E932" s="119" t="str">
        <f>IFERROR(__xludf.DUMMYFUNCTION("""COMPUTED_VALUE"""),"Módulo 1 concluído")</f>
        <v>Módulo 1 concluído</v>
      </c>
      <c r="F932" s="1" t="str">
        <f>IFERROR(__xludf.DUMMYFUNCTION("""COMPUTED_VALUE"""),"022.667.830-09")</f>
        <v>022.667.830-09</v>
      </c>
      <c r="G932" s="1">
        <f>IFERROR(__xludf.DUMMYFUNCTION("""COMPUTED_VALUE"""),8094374471)</f>
        <v>8094374471</v>
      </c>
      <c r="H932" s="1" t="str">
        <f>IFERROR(__xludf.DUMMYFUNCTION("""COMPUTED_VALUE"""),"Combatente Linha / socorrista")</f>
        <v>Combatente Linha / socorrista</v>
      </c>
      <c r="I932" s="1" t="str">
        <f>IFERROR(__xludf.DUMMYFUNCTION("""COMPUTED_VALUE"""),"bombeiro civil classe 1, Socorrista, APH tático, Stop The blead, Urgência e Emergência, NRs 35, 33, 20 e 10, Informática.")</f>
        <v>bombeiro civil classe 1, Socorrista, APH tático, Stop The blead, Urgência e Emergência, NRs 35, 33, 20 e 10, Informática.</v>
      </c>
      <c r="J932" s="1" t="str">
        <f>IFERROR(__xludf.DUMMYFUNCTION("""COMPUTED_VALUE"""),"Não")</f>
        <v>Não</v>
      </c>
      <c r="K932" s="1" t="str">
        <f>IFERROR(__xludf.DUMMYFUNCTION("""COMPUTED_VALUE"""),"Não")</f>
        <v>Não</v>
      </c>
      <c r="L932" s="1" t="str">
        <f>IFERROR(__xludf.DUMMYFUNCTION("""COMPUTED_VALUE"""),"O+")</f>
        <v>O+</v>
      </c>
      <c r="M932" s="1" t="str">
        <f>IFERROR(__xludf.DUMMYFUNCTION("""COMPUTED_VALUE"""),"Oliveira")</f>
        <v>Oliveira</v>
      </c>
      <c r="N932" s="120">
        <f>IFERROR(__xludf.DUMMYFUNCTION("""COMPUTED_VALUE"""),33576)</f>
        <v>33576</v>
      </c>
      <c r="O932" s="1" t="str">
        <f>IFERROR(__xludf.DUMMYFUNCTION("""COMPUTED_VALUE"""),"Masculino")</f>
        <v>Masculino</v>
      </c>
      <c r="P932" s="1" t="str">
        <f>IFERROR(__xludf.DUMMYFUNCTION("""COMPUTED_VALUE"""),"Branca")</f>
        <v>Branca</v>
      </c>
      <c r="Q932" s="1" t="str">
        <f>IFERROR(__xludf.DUMMYFUNCTION("""COMPUTED_VALUE"""),"Ensino Superior Incompleto")</f>
        <v>Ensino Superior Incompleto</v>
      </c>
      <c r="R932" s="1" t="str">
        <f>IFERROR(__xludf.DUMMYFUNCTION("""COMPUTED_VALUE"""),"williamoliveiraesteio@gmail.com")</f>
        <v>williamoliveiraesteio@gmail.com</v>
      </c>
      <c r="S932" s="1" t="str">
        <f>IFERROR(__xludf.DUMMYFUNCTION("""COMPUTED_VALUE"""),"83kg")</f>
        <v>83kg</v>
      </c>
      <c r="T932" s="1" t="str">
        <f>IFERROR(__xludf.DUMMYFUNCTION("""COMPUTED_VALUE"""),"Entre 1,71m e 1,75m")</f>
        <v>Entre 1,71m e 1,75m</v>
      </c>
      <c r="U932" s="1">
        <f>IFERROR(__xludf.DUMMYFUNCTION("""COMPUTED_VALUE"""),51980502429)</f>
        <v>51980502429</v>
      </c>
      <c r="V932" s="1">
        <f>IFERROR(__xludf.DUMMYFUNCTION("""COMPUTED_VALUE"""),51980502429)</f>
        <v>51980502429</v>
      </c>
      <c r="W932" s="1">
        <f>IFERROR(__xludf.DUMMYFUNCTION("""COMPUTED_VALUE"""),51985215874)</f>
        <v>51985215874</v>
      </c>
      <c r="X932" s="1" t="str">
        <f>IFERROR(__xludf.DUMMYFUNCTION("""COMPUTED_VALUE"""),"RS")</f>
        <v>RS</v>
      </c>
      <c r="Y932" s="1" t="str">
        <f>IFERROR(__xludf.DUMMYFUNCTION("""COMPUTED_VALUE"""),"Novo Hamburgo")</f>
        <v>Novo Hamburgo</v>
      </c>
      <c r="Z932" s="1" t="str">
        <f>IFERROR(__xludf.DUMMYFUNCTION("""COMPUTED_VALUE"""),"93490-390")</f>
        <v>93490-390</v>
      </c>
      <c r="AA932" s="1" t="str">
        <f>IFERROR(__xludf.DUMMYFUNCTION("""COMPUTED_VALUE"""),"Francisco Waldemar bohrer")</f>
        <v>Francisco Waldemar bohrer</v>
      </c>
      <c r="AB932" s="1" t="str">
        <f>IFERROR(__xludf.DUMMYFUNCTION("""COMPUTED_VALUE"""),"Lomba Grande")</f>
        <v>Lomba Grande</v>
      </c>
      <c r="AC932" s="1" t="str">
        <f>IFERROR(__xludf.DUMMYFUNCTION("""COMPUTED_VALUE"""),"G")</f>
        <v>G</v>
      </c>
      <c r="AD932" s="1" t="str">
        <f>IFERROR(__xludf.DUMMYFUNCTION("""COMPUTED_VALUE"""),"G")</f>
        <v>G</v>
      </c>
      <c r="AE932" s="1" t="str">
        <f>IFERROR(__xludf.DUMMYFUNCTION("""COMPUTED_VALUE"""),"G")</f>
        <v>G</v>
      </c>
      <c r="AF932" s="1" t="str">
        <f>IFERROR(__xludf.DUMMYFUNCTION("""COMPUTED_VALUE"""),"G")</f>
        <v>G</v>
      </c>
      <c r="AG932" s="1" t="str">
        <f>IFERROR(__xludf.DUMMYFUNCTION("""COMPUTED_VALUE"""),"G")</f>
        <v>G</v>
      </c>
      <c r="AH932" s="1">
        <f>IFERROR(__xludf.DUMMYFUNCTION("""COMPUTED_VALUE"""),39)</f>
        <v>39</v>
      </c>
      <c r="AI932" s="1">
        <f>IFERROR(__xludf.DUMMYFUNCTION("""COMPUTED_VALUE"""),39)</f>
        <v>39</v>
      </c>
      <c r="AJ932" s="1">
        <f>IFERROR(__xludf.DUMMYFUNCTION("""COMPUTED_VALUE"""),39)</f>
        <v>39</v>
      </c>
      <c r="AK932" s="1">
        <f>IFERROR(__xludf.DUMMYFUNCTION("""COMPUTED_VALUE"""),39)</f>
        <v>39</v>
      </c>
      <c r="AL932" s="1" t="str">
        <f>IFERROR(__xludf.DUMMYFUNCTION("""COMPUTED_VALUE"""),"G")</f>
        <v>G</v>
      </c>
      <c r="AM932" s="1" t="str">
        <f>IFERROR(__xludf.DUMMYFUNCTION("""COMPUTED_VALUE"""),"G")</f>
        <v>G</v>
      </c>
      <c r="AN932" s="1" t="str">
        <f>IFERROR(__xludf.DUMMYFUNCTION("""COMPUTED_VALUE"""),"G")</f>
        <v>G</v>
      </c>
    </row>
    <row r="959" customHeight="1" spans="1:1">
      <c r="A959" s="126"/>
    </row>
    <row r="1040" customHeight="1" spans="1:40">
      <c r="A1040" s="126" t="str">
        <f>IFERROR(__xludf.DUMMYFUNCTION("IMPORTRANGE(""1uCBYq_B1noXDnZ2hAWfjmyqidVGOrreR1eUpbj41kZg/edit?gid=516654854"",""9BBM!A2:AN"")"),"")</f>
        <v/>
      </c>
      <c r="B1040" s="1"/>
      <c r="C1040" s="119"/>
      <c r="D1040" s="1" t="str">
        <f>IFERROR(__xludf.DUMMYFUNCTION("""COMPUTED_VALUE"""),"ALESSANDRA MORAES DE ALMEIDA CARDOZO")</f>
        <v>ALESSANDRA MORAES DE ALMEIDA CARDOZO</v>
      </c>
      <c r="E1040" s="1" t="str">
        <f>IFERROR(__xludf.DUMMYFUNCTION("""COMPUTED_VALUE"""),"Módulo 1 concluído")</f>
        <v>Módulo 1 concluído</v>
      </c>
      <c r="F1040" s="1" t="str">
        <f>IFERROR(__xludf.DUMMYFUNCTION("""COMPUTED_VALUE"""),"047059400-40")</f>
        <v>047059400-40</v>
      </c>
      <c r="G1040" s="1"/>
      <c r="H1040" s="1"/>
      <c r="I1040" s="1"/>
      <c r="J1040" s="1"/>
      <c r="K1040" s="1"/>
      <c r="L1040" s="1"/>
      <c r="M1040" s="1"/>
      <c r="N1040" s="120"/>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row>
    <row r="1041" customHeight="1" spans="1:40">
      <c r="A1041" s="1" t="str">
        <f>IFERROR(__xludf.DUMMYFUNCTION("""COMPUTED_VALUE"""),"09° BBM")</f>
        <v>09° BBM</v>
      </c>
      <c r="B1041" s="1" t="str">
        <f>IFERROR(__xludf.DUMMYFUNCTION("""COMPUTED_VALUE"""),"Balneário Pinhal")</f>
        <v>Balneário Pinhal</v>
      </c>
      <c r="C1041" s="119" t="str">
        <f>IFERROR(__xludf.DUMMYFUNCTION("""COMPUTED_VALUE"""),"CAB")</f>
        <v>CAB</v>
      </c>
      <c r="D1041" s="1" t="str">
        <f>IFERROR(__xludf.DUMMYFUNCTION("""COMPUTED_VALUE"""),"ALETEIA DE SOUSA NUNES")</f>
        <v>ALETEIA DE SOUSA NUNES</v>
      </c>
      <c r="E1041" s="119" t="str">
        <f>IFERROR(__xludf.DUMMYFUNCTION("""COMPUTED_VALUE"""),"Curso CAB operador concluído")</f>
        <v>Curso CAB operador concluído</v>
      </c>
      <c r="F1041" s="1" t="str">
        <f>IFERROR(__xludf.DUMMYFUNCTION("""COMPUTED_VALUE"""),"983.757.840-87")</f>
        <v>983.757.840-87</v>
      </c>
      <c r="G1041" s="1">
        <f>IFERROR(__xludf.DUMMYFUNCTION("""COMPUTED_VALUE"""),4066831068)</f>
        <v>4066831068</v>
      </c>
      <c r="H1041" s="1" t="str">
        <f>IFERROR(__xludf.DUMMYFUNCTION("""COMPUTED_VALUE"""),"COMBATENTE")</f>
        <v>COMBATENTE</v>
      </c>
      <c r="I1041" s="1" t="str">
        <f>IFERROR(__xludf.DUMMYFUNCTION("""COMPUTED_VALUE"""),"APH; BLS; TÉCNICO DE ENFERMAGEM; TECNÓLOGO SEGURANÇA DO TRABALHO; RESGATE VEICULAR; BOMBEIRO CIVIL CLASSE I")</f>
        <v>APH; BLS; TÉCNICO DE ENFERMAGEM; TECNÓLOGO SEGURANÇA DO TRABALHO; RESGATE VEICULAR; BOMBEIRO CIVIL CLASSE I</v>
      </c>
      <c r="J1041" s="1" t="str">
        <f>IFERROR(__xludf.DUMMYFUNCTION("""COMPUTED_VALUE"""),"Sim")</f>
        <v>Sim</v>
      </c>
      <c r="K1041" s="1" t="str">
        <f>IFERROR(__xludf.DUMMYFUNCTION("""COMPUTED_VALUE"""),"Não")</f>
        <v>Não</v>
      </c>
      <c r="L1041" s="1" t="str">
        <f>IFERROR(__xludf.DUMMYFUNCTION("""COMPUTED_VALUE"""),"O+")</f>
        <v>O+</v>
      </c>
      <c r="M1041" s="1" t="str">
        <f>IFERROR(__xludf.DUMMYFUNCTION("""COMPUTED_VALUE"""),"ALETÉIA")</f>
        <v>ALETÉIA</v>
      </c>
      <c r="N1041" s="120">
        <f>IFERROR(__xludf.DUMMYFUNCTION("""COMPUTED_VALUE"""),28533)</f>
        <v>28533</v>
      </c>
      <c r="O1041" s="1" t="str">
        <f>IFERROR(__xludf.DUMMYFUNCTION("""COMPUTED_VALUE"""),"Feminino")</f>
        <v>Feminino</v>
      </c>
      <c r="P1041" s="1" t="str">
        <f>IFERROR(__xludf.DUMMYFUNCTION("""COMPUTED_VALUE"""),"Branca")</f>
        <v>Branca</v>
      </c>
      <c r="Q1041" s="1" t="str">
        <f>IFERROR(__xludf.DUMMYFUNCTION("""COMPUTED_VALUE"""),"Pós-graduação")</f>
        <v>Pós-graduação</v>
      </c>
      <c r="R1041" s="1" t="str">
        <f>IFERROR(__xludf.DUMMYFUNCTION("""COMPUTED_VALUE"""),"ALETEIANUNES@GMAIL.COM")</f>
        <v>ALETEIANUNES@GMAIL.COM</v>
      </c>
      <c r="S1041" s="1" t="str">
        <f>IFERROR(__xludf.DUMMYFUNCTION("""COMPUTED_VALUE"""),"88KG")</f>
        <v>88KG</v>
      </c>
      <c r="T1041" s="1" t="str">
        <f>IFERROR(__xludf.DUMMYFUNCTION("""COMPUTED_VALUE"""),"Entre 1,61m e 1,65m")</f>
        <v>Entre 1,61m e 1,65m</v>
      </c>
      <c r="U1041" s="1" t="str">
        <f>IFERROR(__xludf.DUMMYFUNCTION("""COMPUTED_VALUE"""),"Não POSSUI")</f>
        <v>Não POSSUI</v>
      </c>
      <c r="V1041" s="1">
        <f>IFERROR(__xludf.DUMMYFUNCTION("""COMPUTED_VALUE"""),51998576609)</f>
        <v>51998576609</v>
      </c>
      <c r="W1041" s="1" t="str">
        <f>IFERROR(__xludf.DUMMYFUNCTION("""COMPUTED_VALUE"""),"51996171734(RODRIGO)")</f>
        <v>51996171734(RODRIGO)</v>
      </c>
      <c r="X1041" s="1" t="str">
        <f>IFERROR(__xludf.DUMMYFUNCTION("""COMPUTED_VALUE"""),"RS")</f>
        <v>RS</v>
      </c>
      <c r="Y1041" s="1" t="str">
        <f>IFERROR(__xludf.DUMMYFUNCTION("""COMPUTED_VALUE"""),"Balneário Pinhal")</f>
        <v>Balneário Pinhal</v>
      </c>
      <c r="Z1041" s="1">
        <f>IFERROR(__xludf.DUMMYFUNCTION("""COMPUTED_VALUE"""),95599000)</f>
        <v>95599000</v>
      </c>
      <c r="AA1041" s="1" t="str">
        <f>IFERROR(__xludf.DUMMYFUNCTION("""COMPUTED_VALUE"""),"RUA TENENTE VIVIAN 1213")</f>
        <v>RUA TENENTE VIVIAN 1213</v>
      </c>
      <c r="AB1041" s="1" t="str">
        <f>IFERROR(__xludf.DUMMYFUNCTION("""COMPUTED_VALUE"""),"CENTRO")</f>
        <v>CENTRO</v>
      </c>
      <c r="AC1041" s="1" t="str">
        <f>IFERROR(__xludf.DUMMYFUNCTION("""COMPUTED_VALUE"""),"GG")</f>
        <v>GG</v>
      </c>
      <c r="AD1041" s="1" t="str">
        <f>IFERROR(__xludf.DUMMYFUNCTION("""COMPUTED_VALUE"""),"GG")</f>
        <v>GG</v>
      </c>
      <c r="AE1041" s="1" t="str">
        <f>IFERROR(__xludf.DUMMYFUNCTION("""COMPUTED_VALUE"""),"GG")</f>
        <v>GG</v>
      </c>
      <c r="AF1041" s="1" t="str">
        <f>IFERROR(__xludf.DUMMYFUNCTION("""COMPUTED_VALUE"""),"GG")</f>
        <v>GG</v>
      </c>
      <c r="AG1041" s="1" t="str">
        <f>IFERROR(__xludf.DUMMYFUNCTION("""COMPUTED_VALUE"""),"GG")</f>
        <v>GG</v>
      </c>
      <c r="AH1041" s="1">
        <f>IFERROR(__xludf.DUMMYFUNCTION("""COMPUTED_VALUE"""),38)</f>
        <v>38</v>
      </c>
      <c r="AI1041" s="1">
        <f>IFERROR(__xludf.DUMMYFUNCTION("""COMPUTED_VALUE"""),38)</f>
        <v>38</v>
      </c>
      <c r="AJ1041" s="1">
        <f>IFERROR(__xludf.DUMMYFUNCTION("""COMPUTED_VALUE"""),38)</f>
        <v>38</v>
      </c>
      <c r="AK1041" s="1">
        <f>IFERROR(__xludf.DUMMYFUNCTION("""COMPUTED_VALUE"""),38)</f>
        <v>38</v>
      </c>
      <c r="AL1041" s="1" t="str">
        <f>IFERROR(__xludf.DUMMYFUNCTION("""COMPUTED_VALUE"""),"GG")</f>
        <v>GG</v>
      </c>
      <c r="AM1041" s="1" t="str">
        <f>IFERROR(__xludf.DUMMYFUNCTION("""COMPUTED_VALUE"""),"GG")</f>
        <v>GG</v>
      </c>
      <c r="AN1041" s="1" t="str">
        <f>IFERROR(__xludf.DUMMYFUNCTION("""COMPUTED_VALUE"""),"G")</f>
        <v>G</v>
      </c>
    </row>
    <row r="1042" customHeight="1" spans="1:40">
      <c r="A1042" s="1"/>
      <c r="B1042" s="1"/>
      <c r="C1042" s="119"/>
      <c r="D1042" s="1" t="str">
        <f>IFERROR(__xludf.DUMMYFUNCTION("""COMPUTED_VALUE"""),"ALINE MARIANA CAMARATTA DA SILVEIRA")</f>
        <v>ALINE MARIANA CAMARATTA DA SILVEIRA</v>
      </c>
      <c r="E1042" s="1" t="str">
        <f>IFERROR(__xludf.DUMMYFUNCTION("""COMPUTED_VALUE"""),"Módulo 1 concluído")</f>
        <v>Módulo 1 concluído</v>
      </c>
      <c r="F1042" s="1" t="str">
        <f>IFERROR(__xludf.DUMMYFUNCTION("""COMPUTED_VALUE"""),"024926720-93")</f>
        <v>024926720-93</v>
      </c>
      <c r="G1042" s="1"/>
      <c r="H1042" s="1"/>
      <c r="I1042" s="1"/>
      <c r="J1042" s="1"/>
      <c r="K1042" s="1"/>
      <c r="L1042" s="1"/>
      <c r="M1042" s="1"/>
      <c r="N1042" s="120"/>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row>
    <row r="1043" customHeight="1" spans="1:40">
      <c r="A1043" s="1"/>
      <c r="B1043" s="1"/>
      <c r="C1043" s="119"/>
      <c r="D1043" s="1" t="str">
        <f>IFERROR(__xludf.DUMMYFUNCTION("""COMPUTED_VALUE"""),"ANDERSON PADILHA SCHARDOSIM")</f>
        <v>ANDERSON PADILHA SCHARDOSIM</v>
      </c>
      <c r="E1043" s="1" t="str">
        <f>IFERROR(__xludf.DUMMYFUNCTION("""COMPUTED_VALUE"""),"Módulo 1 concluído")</f>
        <v>Módulo 1 concluído</v>
      </c>
      <c r="F1043" s="1" t="str">
        <f>IFERROR(__xludf.DUMMYFUNCTION("""COMPUTED_VALUE"""),"028.780.960-96")</f>
        <v>028.780.960-96</v>
      </c>
      <c r="G1043" s="1"/>
      <c r="H1043" s="1"/>
      <c r="I1043" s="1"/>
      <c r="J1043" s="1"/>
      <c r="K1043" s="1"/>
      <c r="L1043" s="1"/>
      <c r="M1043" s="1"/>
      <c r="N1043" s="120"/>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row>
    <row r="1044" customHeight="1" spans="1:40">
      <c r="A1044" s="1" t="str">
        <f>IFERROR(__xludf.DUMMYFUNCTION("""COMPUTED_VALUE"""),"09° BBM")</f>
        <v>09° BBM</v>
      </c>
      <c r="B1044" s="1"/>
      <c r="C1044" s="119" t="str">
        <f>IFERROR(__xludf.DUMMYFUNCTION("""COMPUTED_VALUE"""),"Inativo")</f>
        <v>Inativo</v>
      </c>
      <c r="D1044" s="1" t="str">
        <f>IFERROR(__xludf.DUMMYFUNCTION("""COMPUTED_VALUE"""),"ANDERSON PADILHA SHARDOSim")</f>
        <v>ANDERSON PADILHA SHARDOSim</v>
      </c>
      <c r="E1044" s="119" t="str">
        <f>IFERROR(__xludf.DUMMYFUNCTION("""COMPUTED_VALUE"""),"")</f>
        <v/>
      </c>
      <c r="F1044" s="1" t="str">
        <f>IFERROR(__xludf.DUMMYFUNCTION("""COMPUTED_VALUE"""),"028.780960-96")</f>
        <v>028.780960-96</v>
      </c>
      <c r="G1044" s="1"/>
      <c r="H1044" s="1"/>
      <c r="I1044" s="1"/>
      <c r="J1044" s="1"/>
      <c r="K1044" s="1"/>
      <c r="L1044" s="1"/>
      <c r="M1044" s="1"/>
      <c r="N1044" s="120"/>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row>
    <row r="1045" customHeight="1" spans="1:40">
      <c r="A1045" s="1" t="str">
        <f>IFERROR(__xludf.DUMMYFUNCTION("""COMPUTED_VALUE"""),"09° BBM")</f>
        <v>09° BBM</v>
      </c>
      <c r="B1045" s="1" t="str">
        <f>IFERROR(__xludf.DUMMYFUNCTION("""COMPUTED_VALUE"""),"Balneário Pinhal")</f>
        <v>Balneário Pinhal</v>
      </c>
      <c r="C1045" s="119" t="str">
        <f>IFERROR(__xludf.DUMMYFUNCTION("""COMPUTED_VALUE"""),"CAB")</f>
        <v>CAB</v>
      </c>
      <c r="D1045" s="1" t="str">
        <f>IFERROR(__xludf.DUMMYFUNCTION("""COMPUTED_VALUE"""),"ANGELICA VERGINIA DA SILVA MARTINS")</f>
        <v>ANGELICA VERGINIA DA SILVA MARTINS</v>
      </c>
      <c r="E1045" s="119" t="str">
        <f>IFERROR(__xludf.DUMMYFUNCTION("""COMPUTED_VALUE"""),"")</f>
        <v/>
      </c>
      <c r="F1045" s="1" t="str">
        <f>IFERROR(__xludf.DUMMYFUNCTION("""COMPUTED_VALUE"""),"003.133.130-08")</f>
        <v>003.133.130-08</v>
      </c>
      <c r="G1045" s="1">
        <f>IFERROR(__xludf.DUMMYFUNCTION("""COMPUTED_VALUE"""),3086593047)</f>
        <v>3086593047</v>
      </c>
      <c r="H1045" s="1" t="str">
        <f>IFERROR(__xludf.DUMMYFUNCTION("""COMPUTED_VALUE"""),"SOCORRISTA")</f>
        <v>SOCORRISTA</v>
      </c>
      <c r="I1045" s="1" t="str">
        <f>IFERROR(__xludf.DUMMYFUNCTION("""COMPUTED_VALUE"""),"TEC. ENFERMAGEM")</f>
        <v>TEC. ENFERMAGEM</v>
      </c>
      <c r="J1045" s="1" t="str">
        <f>IFERROR(__xludf.DUMMYFUNCTION("""COMPUTED_VALUE"""),"Não")</f>
        <v>Não</v>
      </c>
      <c r="K1045" s="1" t="str">
        <f>IFERROR(__xludf.DUMMYFUNCTION("""COMPUTED_VALUE"""),"Não")</f>
        <v>Não</v>
      </c>
      <c r="L1045" s="1" t="str">
        <f>IFERROR(__xludf.DUMMYFUNCTION("""COMPUTED_VALUE"""),"B+")</f>
        <v>B+</v>
      </c>
      <c r="M1045" s="1" t="str">
        <f>IFERROR(__xludf.DUMMYFUNCTION("""COMPUTED_VALUE"""),"ANGÉLICA")</f>
        <v>ANGÉLICA</v>
      </c>
      <c r="N1045" s="120">
        <f>IFERROR(__xludf.DUMMYFUNCTION("""COMPUTED_VALUE"""),29557)</f>
        <v>29557</v>
      </c>
      <c r="O1045" s="1" t="str">
        <f>IFERROR(__xludf.DUMMYFUNCTION("""COMPUTED_VALUE"""),"Feminino")</f>
        <v>Feminino</v>
      </c>
      <c r="P1045" s="1" t="str">
        <f>IFERROR(__xludf.DUMMYFUNCTION("""COMPUTED_VALUE"""),"Branca")</f>
        <v>Branca</v>
      </c>
      <c r="Q1045" s="1" t="str">
        <f>IFERROR(__xludf.DUMMYFUNCTION("""COMPUTED_VALUE"""),"Ensino Superior Incompleto")</f>
        <v>Ensino Superior Incompleto</v>
      </c>
      <c r="R1045" s="1" t="str">
        <f>IFERROR(__xludf.DUMMYFUNCTION("""COMPUTED_VALUE"""),"MARTINSANGELICA76@GMAIL.COM")</f>
        <v>MARTINSANGELICA76@GMAIL.COM</v>
      </c>
      <c r="S1045" s="1" t="str">
        <f>IFERROR(__xludf.DUMMYFUNCTION("""COMPUTED_VALUE"""),"70KG")</f>
        <v>70KG</v>
      </c>
      <c r="T1045" s="1" t="str">
        <f>IFERROR(__xludf.DUMMYFUNCTION("""COMPUTED_VALUE"""),"Entre 1,61m e 1,65m")</f>
        <v>Entre 1,61m e 1,65m</v>
      </c>
      <c r="U1045" s="1" t="str">
        <f>IFERROR(__xludf.DUMMYFUNCTION("""COMPUTED_VALUE"""),"Não POSSUI")</f>
        <v>Não POSSUI</v>
      </c>
      <c r="V1045" s="1">
        <f>IFERROR(__xludf.DUMMYFUNCTION("""COMPUTED_VALUE"""),51980253121)</f>
        <v>51980253121</v>
      </c>
      <c r="W1045" s="1" t="str">
        <f>IFERROR(__xludf.DUMMYFUNCTION("""COMPUTED_VALUE"""),"51999538548(FRANCINE)")</f>
        <v>51999538548(FRANCINE)</v>
      </c>
      <c r="X1045" s="1" t="str">
        <f>IFERROR(__xludf.DUMMYFUNCTION("""COMPUTED_VALUE"""),"RS")</f>
        <v>RS</v>
      </c>
      <c r="Y1045" s="1" t="str">
        <f>IFERROR(__xludf.DUMMYFUNCTION("""COMPUTED_VALUE"""),"Balneário Pinhal")</f>
        <v>Balneário Pinhal</v>
      </c>
      <c r="Z1045" s="1">
        <f>IFERROR(__xludf.DUMMYFUNCTION("""COMPUTED_VALUE"""),95599000)</f>
        <v>95599000</v>
      </c>
      <c r="AA1045" s="1" t="str">
        <f>IFERROR(__xludf.DUMMYFUNCTION("""COMPUTED_VALUE"""),"OLMIRA PEREIRA GAMBA,42")</f>
        <v>OLMIRA PEREIRA GAMBA,42</v>
      </c>
      <c r="AB1045" s="1" t="str">
        <f>IFERROR(__xludf.DUMMYFUNCTION("""COMPUTED_VALUE"""),"CENTRO")</f>
        <v>CENTRO</v>
      </c>
      <c r="AC1045" s="1" t="str">
        <f>IFERROR(__xludf.DUMMYFUNCTION("""COMPUTED_VALUE"""),"M")</f>
        <v>M</v>
      </c>
      <c r="AD1045" s="1" t="str">
        <f>IFERROR(__xludf.DUMMYFUNCTION("""COMPUTED_VALUE"""),"M")</f>
        <v>M</v>
      </c>
      <c r="AE1045" s="1" t="str">
        <f>IFERROR(__xludf.DUMMYFUNCTION("""COMPUTED_VALUE"""),"M")</f>
        <v>M</v>
      </c>
      <c r="AF1045" s="1" t="str">
        <f>IFERROR(__xludf.DUMMYFUNCTION("""COMPUTED_VALUE"""),"M")</f>
        <v>M</v>
      </c>
      <c r="AG1045" s="1" t="str">
        <f>IFERROR(__xludf.DUMMYFUNCTION("""COMPUTED_VALUE"""),"M")</f>
        <v>M</v>
      </c>
      <c r="AH1045" s="1">
        <f>IFERROR(__xludf.DUMMYFUNCTION("""COMPUTED_VALUE"""),35)</f>
        <v>35</v>
      </c>
      <c r="AI1045" s="1">
        <f>IFERROR(__xludf.DUMMYFUNCTION("""COMPUTED_VALUE"""),35)</f>
        <v>35</v>
      </c>
      <c r="AJ1045" s="1">
        <f>IFERROR(__xludf.DUMMYFUNCTION("""COMPUTED_VALUE"""),35)</f>
        <v>35</v>
      </c>
      <c r="AK1045" s="1">
        <f>IFERROR(__xludf.DUMMYFUNCTION("""COMPUTED_VALUE"""),35)</f>
        <v>35</v>
      </c>
      <c r="AL1045" s="1" t="str">
        <f>IFERROR(__xludf.DUMMYFUNCTION("""COMPUTED_VALUE"""),"M")</f>
        <v>M</v>
      </c>
      <c r="AM1045" s="1" t="str">
        <f>IFERROR(__xludf.DUMMYFUNCTION("""COMPUTED_VALUE"""),"P")</f>
        <v>P</v>
      </c>
      <c r="AN1045" s="1" t="str">
        <f>IFERROR(__xludf.DUMMYFUNCTION("""COMPUTED_VALUE"""),"M")</f>
        <v>M</v>
      </c>
    </row>
    <row r="1046" customHeight="1" spans="1:40">
      <c r="A1046" s="1" t="str">
        <f>IFERROR(__xludf.DUMMYFUNCTION("""COMPUTED_VALUE"""),"09° BBM")</f>
        <v>09° BBM</v>
      </c>
      <c r="B1046" s="1" t="str">
        <f>IFERROR(__xludf.DUMMYFUNCTION("""COMPUTED_VALUE"""),"Balneário Pinhal")</f>
        <v>Balneário Pinhal</v>
      </c>
      <c r="C1046" s="119" t="str">
        <f>IFERROR(__xludf.DUMMYFUNCTION("""COMPUTED_VALUE"""),"CAB")</f>
        <v>CAB</v>
      </c>
      <c r="D1046" s="1" t="str">
        <f>IFERROR(__xludf.DUMMYFUNCTION("""COMPUTED_VALUE"""),"BRUNO FREITAS BLANCO")</f>
        <v>BRUNO FREITAS BLANCO</v>
      </c>
      <c r="E1046" s="119" t="str">
        <f>IFERROR(__xludf.DUMMYFUNCTION("""COMPUTED_VALUE"""),"")</f>
        <v/>
      </c>
      <c r="F1046" s="1" t="str">
        <f>IFERROR(__xludf.DUMMYFUNCTION("""COMPUTED_VALUE"""),"049873840-00
")</f>
        <v>049873840-00
</v>
      </c>
      <c r="G1046" s="1">
        <f>IFERROR(__xludf.DUMMYFUNCTION("""COMPUTED_VALUE"""),5087547062)</f>
        <v>5087547062</v>
      </c>
      <c r="H1046" s="1" t="str">
        <f>IFERROR(__xludf.DUMMYFUNCTION("""COMPUTED_VALUE"""),"SOCORRISTA")</f>
        <v>SOCORRISTA</v>
      </c>
      <c r="I1046" s="1" t="str">
        <f>IFERROR(__xludf.DUMMYFUNCTION("""COMPUTED_VALUE"""),"APH,BLS,TEC. ENFERMAGEM, BOMBEIRO CIVIL CLASSE I")</f>
        <v>APH,BLS,TEC. ENFERMAGEM, BOMBEIRO CIVIL CLASSE I</v>
      </c>
      <c r="J1046" s="1" t="str">
        <f>IFERROR(__xludf.DUMMYFUNCTION("""COMPUTED_VALUE"""),"Não")</f>
        <v>Não</v>
      </c>
      <c r="K1046" s="1" t="str">
        <f>IFERROR(__xludf.DUMMYFUNCTION("""COMPUTED_VALUE"""),"Não")</f>
        <v>Não</v>
      </c>
      <c r="L1046" s="1" t="str">
        <f>IFERROR(__xludf.DUMMYFUNCTION("""COMPUTED_VALUE"""),"O-")</f>
        <v>O-</v>
      </c>
      <c r="M1046" s="1" t="str">
        <f>IFERROR(__xludf.DUMMYFUNCTION("""COMPUTED_VALUE"""),"FREITAS")</f>
        <v>FREITAS</v>
      </c>
      <c r="N1046" s="120">
        <f>IFERROR(__xludf.DUMMYFUNCTION("""COMPUTED_VALUE"""),33266)</f>
        <v>33266</v>
      </c>
      <c r="O1046" s="1" t="str">
        <f>IFERROR(__xludf.DUMMYFUNCTION("""COMPUTED_VALUE"""),"Masculino")</f>
        <v>Masculino</v>
      </c>
      <c r="P1046" s="1" t="str">
        <f>IFERROR(__xludf.DUMMYFUNCTION("""COMPUTED_VALUE"""),"Branca")</f>
        <v>Branca</v>
      </c>
      <c r="Q1046" s="1" t="str">
        <f>IFERROR(__xludf.DUMMYFUNCTION("""COMPUTED_VALUE"""),"Ensino Médio")</f>
        <v>Ensino Médio</v>
      </c>
      <c r="R1046" s="1" t="str">
        <f>IFERROR(__xludf.DUMMYFUNCTION("""COMPUTED_VALUE"""),"FREITASBRUNO2801@GMAIL.COM")</f>
        <v>FREITASBRUNO2801@GMAIL.COM</v>
      </c>
      <c r="S1046" s="1" t="str">
        <f>IFERROR(__xludf.DUMMYFUNCTION("""COMPUTED_VALUE"""),"70KG")</f>
        <v>70KG</v>
      </c>
      <c r="T1046" s="1" t="str">
        <f>IFERROR(__xludf.DUMMYFUNCTION("""COMPUTED_VALUE"""),"Entre 1,81m e 1,85m")</f>
        <v>Entre 1,81m e 1,85m</v>
      </c>
      <c r="U1046" s="1" t="str">
        <f>IFERROR(__xludf.DUMMYFUNCTION("""COMPUTED_VALUE"""),"Não POSSUI")</f>
        <v>Não POSSUI</v>
      </c>
      <c r="V1046" s="1">
        <f>IFERROR(__xludf.DUMMYFUNCTION("""COMPUTED_VALUE"""),51991863504)</f>
        <v>51991863504</v>
      </c>
      <c r="W1046" s="1">
        <f>IFERROR(__xludf.DUMMYFUNCTION("""COMPUTED_VALUE"""),53981554472)</f>
        <v>53981554472</v>
      </c>
      <c r="X1046" s="1" t="str">
        <f>IFERROR(__xludf.DUMMYFUNCTION("""COMPUTED_VALUE"""),"RS")</f>
        <v>RS</v>
      </c>
      <c r="Y1046" s="1" t="str">
        <f>IFERROR(__xludf.DUMMYFUNCTION("""COMPUTED_VALUE"""),"Porto Alegre")</f>
        <v>Porto Alegre</v>
      </c>
      <c r="Z1046" s="1">
        <f>IFERROR(__xludf.DUMMYFUNCTION("""COMPUTED_VALUE"""),90560003)</f>
        <v>90560003</v>
      </c>
      <c r="AA1046" s="1" t="str">
        <f>IFERROR(__xludf.DUMMYFUNCTION("""COMPUTED_VALUE"""),"CRISTÓVÃO COLOMBO 283 AP 14")</f>
        <v>CRISTÓVÃO COLOMBO 283 AP 14</v>
      </c>
      <c r="AB1046" s="1" t="str">
        <f>IFERROR(__xludf.DUMMYFUNCTION("""COMPUTED_VALUE"""),"FLORESTA")</f>
        <v>FLORESTA</v>
      </c>
      <c r="AC1046" s="1" t="str">
        <f>IFERROR(__xludf.DUMMYFUNCTION("""COMPUTED_VALUE"""),"GG")</f>
        <v>GG</v>
      </c>
      <c r="AD1046" s="1" t="str">
        <f>IFERROR(__xludf.DUMMYFUNCTION("""COMPUTED_VALUE"""),"GG")</f>
        <v>GG</v>
      </c>
      <c r="AE1046" s="1" t="str">
        <f>IFERROR(__xludf.DUMMYFUNCTION("""COMPUTED_VALUE"""),"GG")</f>
        <v>GG</v>
      </c>
      <c r="AF1046" s="1" t="str">
        <f>IFERROR(__xludf.DUMMYFUNCTION("""COMPUTED_VALUE"""),"GG")</f>
        <v>GG</v>
      </c>
      <c r="AG1046" s="1" t="str">
        <f>IFERROR(__xludf.DUMMYFUNCTION("""COMPUTED_VALUE"""),"G")</f>
        <v>G</v>
      </c>
      <c r="AH1046" s="1">
        <f>IFERROR(__xludf.DUMMYFUNCTION("""COMPUTED_VALUE"""),41)</f>
        <v>41</v>
      </c>
      <c r="AI1046" s="1">
        <f>IFERROR(__xludf.DUMMYFUNCTION("""COMPUTED_VALUE"""),41)</f>
        <v>41</v>
      </c>
      <c r="AJ1046" s="1">
        <f>IFERROR(__xludf.DUMMYFUNCTION("""COMPUTED_VALUE"""),41)</f>
        <v>41</v>
      </c>
      <c r="AK1046" s="1">
        <f>IFERROR(__xludf.DUMMYFUNCTION("""COMPUTED_VALUE"""),41)</f>
        <v>41</v>
      </c>
      <c r="AL1046" s="1" t="str">
        <f>IFERROR(__xludf.DUMMYFUNCTION("""COMPUTED_VALUE"""),"G")</f>
        <v>G</v>
      </c>
      <c r="AM1046" s="1" t="str">
        <f>IFERROR(__xludf.DUMMYFUNCTION("""COMPUTED_VALUE"""),"G")</f>
        <v>G</v>
      </c>
      <c r="AN1046" s="1" t="str">
        <f>IFERROR(__xludf.DUMMYFUNCTION("""COMPUTED_VALUE"""),"G")</f>
        <v>G</v>
      </c>
    </row>
    <row r="1047" customHeight="1" spans="1:40">
      <c r="A1047" s="1" t="str">
        <f>IFERROR(__xludf.DUMMYFUNCTION("""COMPUTED_VALUE"""),"09° BBM")</f>
        <v>09° BBM</v>
      </c>
      <c r="B1047" s="1" t="str">
        <f>IFERROR(__xludf.DUMMYFUNCTION("""COMPUTED_VALUE"""),"Balneário Pinhal")</f>
        <v>Balneário Pinhal</v>
      </c>
      <c r="C1047" s="119" t="str">
        <f>IFERROR(__xludf.DUMMYFUNCTION("""COMPUTED_VALUE"""),"CAB")</f>
        <v>CAB</v>
      </c>
      <c r="D1047" s="1" t="str">
        <f>IFERROR(__xludf.DUMMYFUNCTION("""COMPUTED_VALUE"""),"CARLOS ALEXANDRE DE JESUS MACIEL")</f>
        <v>CARLOS ALEXANDRE DE JESUS MACIEL</v>
      </c>
      <c r="E1047" s="119" t="str">
        <f>IFERROR(__xludf.DUMMYFUNCTION("""COMPUTED_VALUE"""),"Módulo 2 e 3 concluído")</f>
        <v>Módulo 2 e 3 concluído</v>
      </c>
      <c r="F1047" s="1" t="str">
        <f>IFERROR(__xludf.DUMMYFUNCTION("""COMPUTED_VALUE"""),"730.266.030-15")</f>
        <v>730.266.030-15</v>
      </c>
      <c r="G1047" s="1">
        <f>IFERROR(__xludf.DUMMYFUNCTION("""COMPUTED_VALUE"""),4055905303)</f>
        <v>4055905303</v>
      </c>
      <c r="H1047" s="1" t="str">
        <f>IFERROR(__xludf.DUMMYFUNCTION("""COMPUTED_VALUE"""),"COMBATENTE")</f>
        <v>COMBATENTE</v>
      </c>
      <c r="I1047" s="1" t="str">
        <f>IFERROR(__xludf.DUMMYFUNCTION("""COMPUTED_VALUE"""),"APH; BLS; BOMBEIRO CIVIL CLASSE I")</f>
        <v>APH; BLS; BOMBEIRO CIVIL CLASSE I</v>
      </c>
      <c r="J1047" s="1" t="str">
        <f>IFERROR(__xludf.DUMMYFUNCTION("""COMPUTED_VALUE"""),"Não")</f>
        <v>Não</v>
      </c>
      <c r="K1047" s="1" t="str">
        <f>IFERROR(__xludf.DUMMYFUNCTION("""COMPUTED_VALUE"""),"Não")</f>
        <v>Não</v>
      </c>
      <c r="L1047" s="1" t="str">
        <f>IFERROR(__xludf.DUMMYFUNCTION("""COMPUTED_VALUE"""),"O+")</f>
        <v>O+</v>
      </c>
      <c r="M1047" s="1" t="str">
        <f>IFERROR(__xludf.DUMMYFUNCTION("""COMPUTED_VALUE"""),"MACIEL")</f>
        <v>MACIEL</v>
      </c>
      <c r="N1047" s="120">
        <f>IFERROR(__xludf.DUMMYFUNCTION("""COMPUTED_VALUE"""),27307)</f>
        <v>27307</v>
      </c>
      <c r="O1047" s="1" t="str">
        <f>IFERROR(__xludf.DUMMYFUNCTION("""COMPUTED_VALUE"""),"Masculino")</f>
        <v>Masculino</v>
      </c>
      <c r="P1047" s="1" t="str">
        <f>IFERROR(__xludf.DUMMYFUNCTION("""COMPUTED_VALUE"""),"Branca")</f>
        <v>Branca</v>
      </c>
      <c r="Q1047" s="1" t="str">
        <f>IFERROR(__xludf.DUMMYFUNCTION("""COMPUTED_VALUE"""),"Ensino Médio")</f>
        <v>Ensino Médio</v>
      </c>
      <c r="R1047" s="1" t="str">
        <f>IFERROR(__xludf.DUMMYFUNCTION("""COMPUTED_VALUE"""),"CAL.FORTE@HOTMAIL.COM")</f>
        <v>CAL.FORTE@HOTMAIL.COM</v>
      </c>
      <c r="S1047" s="1" t="str">
        <f>IFERROR(__xludf.DUMMYFUNCTION("""COMPUTED_VALUE"""),"112KG")</f>
        <v>112KG</v>
      </c>
      <c r="T1047" s="1" t="str">
        <f>IFERROR(__xludf.DUMMYFUNCTION("""COMPUTED_VALUE"""),"Entre 1,76m e 1,80m")</f>
        <v>Entre 1,76m e 1,80m</v>
      </c>
      <c r="U1047" s="1" t="str">
        <f>IFERROR(__xludf.DUMMYFUNCTION("""COMPUTED_VALUE"""),"Não POSSUI")</f>
        <v>Não POSSUI</v>
      </c>
      <c r="V1047" s="1">
        <f>IFERROR(__xludf.DUMMYFUNCTION("""COMPUTED_VALUE"""),51993990606)</f>
        <v>51993990606</v>
      </c>
      <c r="W1047" s="1">
        <f>IFERROR(__xludf.DUMMYFUNCTION("""COMPUTED_VALUE"""),51984424345)</f>
        <v>51984424345</v>
      </c>
      <c r="X1047" s="1" t="str">
        <f>IFERROR(__xludf.DUMMYFUNCTION("""COMPUTED_VALUE"""),"RS")</f>
        <v>RS</v>
      </c>
      <c r="Y1047" s="1" t="str">
        <f>IFERROR(__xludf.DUMMYFUNCTION("""COMPUTED_VALUE"""),"Viamão")</f>
        <v>Viamão</v>
      </c>
      <c r="Z1047" s="1">
        <f>IFERROR(__xludf.DUMMYFUNCTION("""COMPUTED_VALUE"""),94410620)</f>
        <v>94410620</v>
      </c>
      <c r="AA1047" s="1" t="str">
        <f>IFERROR(__xludf.DUMMYFUNCTION("""COMPUTED_VALUE"""),"RUA MOSTARDAS, 95")</f>
        <v>RUA MOSTARDAS, 95</v>
      </c>
      <c r="AB1047" s="1" t="str">
        <f>IFERROR(__xludf.DUMMYFUNCTION("""COMPUTED_VALUE"""),"CENTRO")</f>
        <v>CENTRO</v>
      </c>
      <c r="AC1047" s="1" t="str">
        <f>IFERROR(__xludf.DUMMYFUNCTION("""COMPUTED_VALUE"""),"EXG")</f>
        <v>EXG</v>
      </c>
      <c r="AD1047" s="1" t="str">
        <f>IFERROR(__xludf.DUMMYFUNCTION("""COMPUTED_VALUE"""),"EXG")</f>
        <v>EXG</v>
      </c>
      <c r="AE1047" s="1" t="str">
        <f>IFERROR(__xludf.DUMMYFUNCTION("""COMPUTED_VALUE"""),"EXG")</f>
        <v>EXG</v>
      </c>
      <c r="AF1047" s="1" t="str">
        <f>IFERROR(__xludf.DUMMYFUNCTION("""COMPUTED_VALUE"""),"EXG")</f>
        <v>EXG</v>
      </c>
      <c r="AG1047" s="1" t="str">
        <f>IFERROR(__xludf.DUMMYFUNCTION("""COMPUTED_VALUE"""),"EXG")</f>
        <v>EXG</v>
      </c>
      <c r="AH1047" s="1">
        <f>IFERROR(__xludf.DUMMYFUNCTION("""COMPUTED_VALUE"""),43)</f>
        <v>43</v>
      </c>
      <c r="AI1047" s="1">
        <f>IFERROR(__xludf.DUMMYFUNCTION("""COMPUTED_VALUE"""),43)</f>
        <v>43</v>
      </c>
      <c r="AJ1047" s="1">
        <f>IFERROR(__xludf.DUMMYFUNCTION("""COMPUTED_VALUE"""),43)</f>
        <v>43</v>
      </c>
      <c r="AK1047" s="1">
        <f>IFERROR(__xludf.DUMMYFUNCTION("""COMPUTED_VALUE"""),43)</f>
        <v>43</v>
      </c>
      <c r="AL1047" s="1" t="str">
        <f>IFERROR(__xludf.DUMMYFUNCTION("""COMPUTED_VALUE"""),"EXG")</f>
        <v>EXG</v>
      </c>
      <c r="AM1047" s="1" t="str">
        <f>IFERROR(__xludf.DUMMYFUNCTION("""COMPUTED_VALUE"""),"EXG")</f>
        <v>EXG</v>
      </c>
      <c r="AN1047" s="1" t="str">
        <f>IFERROR(__xludf.DUMMYFUNCTION("""COMPUTED_VALUE"""),"GG")</f>
        <v>GG</v>
      </c>
    </row>
    <row r="1048" customHeight="1" spans="1:40">
      <c r="A1048" s="1" t="str">
        <f>IFERROR(__xludf.DUMMYFUNCTION("""COMPUTED_VALUE"""),"09° BBM")</f>
        <v>09° BBM</v>
      </c>
      <c r="B1048" s="1"/>
      <c r="C1048" s="119" t="str">
        <f>IFERROR(__xludf.DUMMYFUNCTION("""COMPUTED_VALUE"""),"Inativo")</f>
        <v>Inativo</v>
      </c>
      <c r="D1048" s="1" t="str">
        <f>IFERROR(__xludf.DUMMYFUNCTION("""COMPUTED_VALUE"""),"CARLOS AUGUSTO ROLIAN DA CUNHA")</f>
        <v>CARLOS AUGUSTO ROLIAN DA CUNHA</v>
      </c>
      <c r="E1048" s="119" t="str">
        <f>IFERROR(__xludf.DUMMYFUNCTION("""COMPUTED_VALUE"""),"Módulo 1 concluído")</f>
        <v>Módulo 1 concluído</v>
      </c>
      <c r="F1048" s="1" t="str">
        <f>IFERROR(__xludf.DUMMYFUNCTION("""COMPUTED_VALUE"""),"024.279.240-59")</f>
        <v>024.279.240-59</v>
      </c>
      <c r="G1048" s="1"/>
      <c r="H1048" s="1"/>
      <c r="I1048" s="1"/>
      <c r="J1048" s="1"/>
      <c r="K1048" s="1"/>
      <c r="L1048" s="1"/>
      <c r="M1048" s="1"/>
      <c r="N1048" s="120"/>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row>
    <row r="1049" customHeight="1" spans="1:40">
      <c r="A1049" s="1" t="str">
        <f>IFERROR(__xludf.DUMMYFUNCTION("""COMPUTED_VALUE"""),"09° BBM")</f>
        <v>09° BBM</v>
      </c>
      <c r="B1049" s="1" t="str">
        <f>IFERROR(__xludf.DUMMYFUNCTION("""COMPUTED_VALUE"""),"Balneário Pinhal")</f>
        <v>Balneário Pinhal</v>
      </c>
      <c r="C1049" s="119" t="str">
        <f>IFERROR(__xludf.DUMMYFUNCTION("""COMPUTED_VALUE"""),"CAB")</f>
        <v>CAB</v>
      </c>
      <c r="D1049" s="1" t="str">
        <f>IFERROR(__xludf.DUMMYFUNCTION("""COMPUTED_VALUE"""),"CARLOS EDUARDO MOREYRA")</f>
        <v>CARLOS EDUARDO MOREYRA</v>
      </c>
      <c r="E1049" s="119" t="str">
        <f>IFERROR(__xludf.DUMMYFUNCTION("""COMPUTED_VALUE"""),"Módulo 1 concluído")</f>
        <v>Módulo 1 concluído</v>
      </c>
      <c r="F1049" s="1" t="str">
        <f>IFERROR(__xludf.DUMMYFUNCTION("""COMPUTED_VALUE"""),"017.594.460-17")</f>
        <v>017.594.460-17</v>
      </c>
      <c r="G1049" s="1">
        <f>IFERROR(__xludf.DUMMYFUNCTION("""COMPUTED_VALUE"""),7088854125)</f>
        <v>7088854125</v>
      </c>
      <c r="H1049" s="1" t="str">
        <f>IFERROR(__xludf.DUMMYFUNCTION("""COMPUTED_VALUE"""),"COMBATENTE")</f>
        <v>COMBATENTE</v>
      </c>
      <c r="I1049" s="1" t="str">
        <f>IFERROR(__xludf.DUMMYFUNCTION("""COMPUTED_VALUE"""),"APH; BLS; BOMBEIRO CIVIL CLASSE I")</f>
        <v>APH; BLS; BOMBEIRO CIVIL CLASSE I</v>
      </c>
      <c r="J1049" s="1" t="str">
        <f>IFERROR(__xludf.DUMMYFUNCTION("""COMPUTED_VALUE"""),"Não")</f>
        <v>Não</v>
      </c>
      <c r="K1049" s="1" t="str">
        <f>IFERROR(__xludf.DUMMYFUNCTION("""COMPUTED_VALUE"""),"Não")</f>
        <v>Não</v>
      </c>
      <c r="L1049" s="1"/>
      <c r="M1049" s="1" t="str">
        <f>IFERROR(__xludf.DUMMYFUNCTION("""COMPUTED_VALUE"""),"MOREYRA")</f>
        <v>MOREYRA</v>
      </c>
      <c r="N1049" s="120">
        <f>IFERROR(__xludf.DUMMYFUNCTION("""COMPUTED_VALUE"""),6569765)</f>
        <v>6569765</v>
      </c>
      <c r="O1049" s="1" t="str">
        <f>IFERROR(__xludf.DUMMYFUNCTION("""COMPUTED_VALUE"""),"Masculino")</f>
        <v>Masculino</v>
      </c>
      <c r="P1049" s="1" t="str">
        <f>IFERROR(__xludf.DUMMYFUNCTION("""COMPUTED_VALUE"""),"Branca")</f>
        <v>Branca</v>
      </c>
      <c r="Q1049" s="1" t="str">
        <f>IFERROR(__xludf.DUMMYFUNCTION("""COMPUTED_VALUE"""),"Ensino Médio")</f>
        <v>Ensino Médio</v>
      </c>
      <c r="R1049" s="1" t="str">
        <f>IFERROR(__xludf.DUMMYFUNCTION("""COMPUTED_VALUE"""),"MOREYRA220@GMAIL.COM")</f>
        <v>MOREYRA220@GMAIL.COM</v>
      </c>
      <c r="S1049" s="1" t="str">
        <f>IFERROR(__xludf.DUMMYFUNCTION("""COMPUTED_VALUE"""),"110KG")</f>
        <v>110KG</v>
      </c>
      <c r="T1049" s="1" t="str">
        <f>IFERROR(__xludf.DUMMYFUNCTION("""COMPUTED_VALUE"""),"Entre 1,71m e 1,75m")</f>
        <v>Entre 1,71m e 1,75m</v>
      </c>
      <c r="U1049" s="1" t="str">
        <f>IFERROR(__xludf.DUMMYFUNCTION("""COMPUTED_VALUE"""),"Não POSSUI")</f>
        <v>Não POSSUI</v>
      </c>
      <c r="V1049" s="1">
        <f>IFERROR(__xludf.DUMMYFUNCTION("""COMPUTED_VALUE"""),51995916979)</f>
        <v>51995916979</v>
      </c>
      <c r="W1049" s="1" t="str">
        <f>IFERROR(__xludf.DUMMYFUNCTION("""COMPUTED_VALUE"""),"51997055161(GRAZIELA)")</f>
        <v>51997055161(GRAZIELA)</v>
      </c>
      <c r="X1049" s="1" t="str">
        <f>IFERROR(__xludf.DUMMYFUNCTION("""COMPUTED_VALUE"""),"RS")</f>
        <v>RS</v>
      </c>
      <c r="Y1049" s="1" t="str">
        <f>IFERROR(__xludf.DUMMYFUNCTION("""COMPUTED_VALUE"""),"Imbé")</f>
        <v>Imbé</v>
      </c>
      <c r="Z1049" s="1">
        <f>IFERROR(__xludf.DUMMYFUNCTION("""COMPUTED_VALUE"""),95625000)</f>
        <v>95625000</v>
      </c>
      <c r="AA1049" s="1" t="str">
        <f>IFERROR(__xludf.DUMMYFUNCTION("""COMPUTED_VALUE"""),"SANTA ROSA 1231")</f>
        <v>SANTA ROSA 1231</v>
      </c>
      <c r="AB1049" s="1" t="str">
        <f>IFERROR(__xludf.DUMMYFUNCTION("""COMPUTED_VALUE"""),"MARILUZ")</f>
        <v>MARILUZ</v>
      </c>
      <c r="AC1049" s="1" t="str">
        <f>IFERROR(__xludf.DUMMYFUNCTION("""COMPUTED_VALUE"""),"GG")</f>
        <v>GG</v>
      </c>
      <c r="AD1049" s="1" t="str">
        <f>IFERROR(__xludf.DUMMYFUNCTION("""COMPUTED_VALUE"""),"GG")</f>
        <v>GG</v>
      </c>
      <c r="AE1049" s="1" t="str">
        <f>IFERROR(__xludf.DUMMYFUNCTION("""COMPUTED_VALUE"""),"GG")</f>
        <v>GG</v>
      </c>
      <c r="AF1049" s="1" t="str">
        <f>IFERROR(__xludf.DUMMYFUNCTION("""COMPUTED_VALUE"""),"GG")</f>
        <v>GG</v>
      </c>
      <c r="AG1049" s="1" t="str">
        <f>IFERROR(__xludf.DUMMYFUNCTION("""COMPUTED_VALUE"""),"GG")</f>
        <v>GG</v>
      </c>
      <c r="AH1049" s="1">
        <f>IFERROR(__xludf.DUMMYFUNCTION("""COMPUTED_VALUE"""),40)</f>
        <v>40</v>
      </c>
      <c r="AI1049" s="1">
        <f>IFERROR(__xludf.DUMMYFUNCTION("""COMPUTED_VALUE"""),40)</f>
        <v>40</v>
      </c>
      <c r="AJ1049" s="1">
        <f>IFERROR(__xludf.DUMMYFUNCTION("""COMPUTED_VALUE"""),40)</f>
        <v>40</v>
      </c>
      <c r="AK1049" s="1">
        <f>IFERROR(__xludf.DUMMYFUNCTION("""COMPUTED_VALUE"""),41)</f>
        <v>41</v>
      </c>
      <c r="AL1049" s="1" t="str">
        <f>IFERROR(__xludf.DUMMYFUNCTION("""COMPUTED_VALUE"""),"GG")</f>
        <v>GG</v>
      </c>
      <c r="AM1049" s="1" t="str">
        <f>IFERROR(__xludf.DUMMYFUNCTION("""COMPUTED_VALUE"""),"GG")</f>
        <v>GG</v>
      </c>
      <c r="AN1049" s="1" t="str">
        <f>IFERROR(__xludf.DUMMYFUNCTION("""COMPUTED_VALUE"""),"G")</f>
        <v>G</v>
      </c>
    </row>
    <row r="1050" customHeight="1" spans="1:40">
      <c r="A1050" s="1" t="str">
        <f>IFERROR(__xludf.DUMMYFUNCTION("""COMPUTED_VALUE"""),"09° BBM")</f>
        <v>09° BBM</v>
      </c>
      <c r="B1050" s="1" t="str">
        <f>IFERROR(__xludf.DUMMYFUNCTION("""COMPUTED_VALUE"""),"Balneário Pinhal")</f>
        <v>Balneário Pinhal</v>
      </c>
      <c r="C1050" s="119" t="str">
        <f>IFERROR(__xludf.DUMMYFUNCTION("""COMPUTED_VALUE"""),"CAB")</f>
        <v>CAB</v>
      </c>
      <c r="D1050" s="1" t="str">
        <f>IFERROR(__xludf.DUMMYFUNCTION("""COMPUTED_VALUE"""),"CARLOS ROBERTO TOLEDO")</f>
        <v>CARLOS ROBERTO TOLEDO</v>
      </c>
      <c r="E1050" s="119" t="str">
        <f>IFERROR(__xludf.DUMMYFUNCTION("""COMPUTED_VALUE"""),"Curso CAB operador concluído")</f>
        <v>Curso CAB operador concluído</v>
      </c>
      <c r="F1050" s="1" t="str">
        <f>IFERROR(__xludf.DUMMYFUNCTION("""COMPUTED_VALUE"""),"955.244.100-59")</f>
        <v>955.244.100-59</v>
      </c>
      <c r="G1050" s="1">
        <f>IFERROR(__xludf.DUMMYFUNCTION("""COMPUTED_VALUE"""),8015043055)</f>
        <v>8015043055</v>
      </c>
      <c r="H1050" s="1" t="str">
        <f>IFERROR(__xludf.DUMMYFUNCTION("""COMPUTED_VALUE"""),"CONDUTOR D")</f>
        <v>CONDUTOR D</v>
      </c>
      <c r="I1050" s="1" t="str">
        <f>IFERROR(__xludf.DUMMYFUNCTION("""COMPUTED_VALUE"""),"APH; BLS; CAT D e VEÍCULO DE EMERGÊNCIA; BOMBEIRO CIVIL CLASSE I")</f>
        <v>APH; BLS; CAT D e VEÍCULO DE EMERGÊNCIA; BOMBEIRO CIVIL CLASSE I</v>
      </c>
      <c r="J1050" s="1" t="str">
        <f>IFERROR(__xludf.DUMMYFUNCTION("""COMPUTED_VALUE"""),"Sim")</f>
        <v>Sim</v>
      </c>
      <c r="K1050" s="1" t="str">
        <f>IFERROR(__xludf.DUMMYFUNCTION("""COMPUTED_VALUE"""),"Não")</f>
        <v>Não</v>
      </c>
      <c r="L1050" s="1" t="str">
        <f>IFERROR(__xludf.DUMMYFUNCTION("""COMPUTED_VALUE"""),"A-")</f>
        <v>A-</v>
      </c>
      <c r="M1050" s="1" t="str">
        <f>IFERROR(__xludf.DUMMYFUNCTION("""COMPUTED_VALUE"""),"TOLEDO")</f>
        <v>TOLEDO</v>
      </c>
      <c r="N1050" s="120">
        <f>IFERROR(__xludf.DUMMYFUNCTION("""COMPUTED_VALUE"""),28680)</f>
        <v>28680</v>
      </c>
      <c r="O1050" s="1" t="str">
        <f>IFERROR(__xludf.DUMMYFUNCTION("""COMPUTED_VALUE"""),"Masculino")</f>
        <v>Masculino</v>
      </c>
      <c r="P1050" s="1" t="str">
        <f>IFERROR(__xludf.DUMMYFUNCTION("""COMPUTED_VALUE"""),"Branca")</f>
        <v>Branca</v>
      </c>
      <c r="Q1050" s="1" t="str">
        <f>IFERROR(__xludf.DUMMYFUNCTION("""COMPUTED_VALUE"""),"Ensino Médio")</f>
        <v>Ensino Médio</v>
      </c>
      <c r="R1050" s="1" t="str">
        <f>IFERROR(__xludf.DUMMYFUNCTION("""COMPUTED_VALUE"""),"CHIQUINHOTOLETO23@GMAIL.COM")</f>
        <v>CHIQUINHOTOLETO23@GMAIL.COM</v>
      </c>
      <c r="S1050" s="1" t="str">
        <f>IFERROR(__xludf.DUMMYFUNCTION("""COMPUTED_VALUE"""),"75KG")</f>
        <v>75KG</v>
      </c>
      <c r="T1050" s="1" t="str">
        <f>IFERROR(__xludf.DUMMYFUNCTION("""COMPUTED_VALUE"""),"Entre 1,56m e 1,60m")</f>
        <v>Entre 1,56m e 1,60m</v>
      </c>
      <c r="U1050" s="1" t="str">
        <f>IFERROR(__xludf.DUMMYFUNCTION("""COMPUTED_VALUE"""),"Não POSSUI")</f>
        <v>Não POSSUI</v>
      </c>
      <c r="V1050" s="1">
        <f>IFERROR(__xludf.DUMMYFUNCTION("""COMPUTED_VALUE"""),51997392880)</f>
        <v>51997392880</v>
      </c>
      <c r="W1050" s="1" t="str">
        <f>IFERROR(__xludf.DUMMYFUNCTION("""COMPUTED_VALUE"""),"51990085479(LILIAN)")</f>
        <v>51990085479(LILIAN)</v>
      </c>
      <c r="X1050" s="1" t="str">
        <f>IFERROR(__xludf.DUMMYFUNCTION("""COMPUTED_VALUE"""),"RS")</f>
        <v>RS</v>
      </c>
      <c r="Y1050" s="1" t="str">
        <f>IFERROR(__xludf.DUMMYFUNCTION("""COMPUTED_VALUE"""),"Balneário Pinhal")</f>
        <v>Balneário Pinhal</v>
      </c>
      <c r="Z1050" s="1">
        <f>IFERROR(__xludf.DUMMYFUNCTION("""COMPUTED_VALUE"""),95599000)</f>
        <v>95599000</v>
      </c>
      <c r="AA1050" s="1" t="str">
        <f>IFERROR(__xludf.DUMMYFUNCTION("""COMPUTED_VALUE"""),"TEREZA FORESTI 44")</f>
        <v>TEREZA FORESTI 44</v>
      </c>
      <c r="AB1050" s="1" t="str">
        <f>IFERROR(__xludf.DUMMYFUNCTION("""COMPUTED_VALUE"""),"PINHAL SUL")</f>
        <v>PINHAL SUL</v>
      </c>
      <c r="AC1050" s="1" t="str">
        <f>IFERROR(__xludf.DUMMYFUNCTION("""COMPUTED_VALUE"""),"G")</f>
        <v>G</v>
      </c>
      <c r="AD1050" s="1" t="str">
        <f>IFERROR(__xludf.DUMMYFUNCTION("""COMPUTED_VALUE"""),"G")</f>
        <v>G</v>
      </c>
      <c r="AE1050" s="1" t="str">
        <f>IFERROR(__xludf.DUMMYFUNCTION("""COMPUTED_VALUE"""),"G")</f>
        <v>G</v>
      </c>
      <c r="AF1050" s="1" t="str">
        <f>IFERROR(__xludf.DUMMYFUNCTION("""COMPUTED_VALUE"""),"G")</f>
        <v>G</v>
      </c>
      <c r="AG1050" s="1" t="str">
        <f>IFERROR(__xludf.DUMMYFUNCTION("""COMPUTED_VALUE"""),"G")</f>
        <v>G</v>
      </c>
      <c r="AH1050" s="1">
        <f>IFERROR(__xludf.DUMMYFUNCTION("""COMPUTED_VALUE"""),38)</f>
        <v>38</v>
      </c>
      <c r="AI1050" s="1">
        <f>IFERROR(__xludf.DUMMYFUNCTION("""COMPUTED_VALUE"""),38)</f>
        <v>38</v>
      </c>
      <c r="AJ1050" s="1">
        <f>IFERROR(__xludf.DUMMYFUNCTION("""COMPUTED_VALUE"""),38)</f>
        <v>38</v>
      </c>
      <c r="AK1050" s="1">
        <f>IFERROR(__xludf.DUMMYFUNCTION("""COMPUTED_VALUE"""),38)</f>
        <v>38</v>
      </c>
      <c r="AL1050" s="1" t="str">
        <f>IFERROR(__xludf.DUMMYFUNCTION("""COMPUTED_VALUE"""),"G")</f>
        <v>G</v>
      </c>
      <c r="AM1050" s="1" t="str">
        <f>IFERROR(__xludf.DUMMYFUNCTION("""COMPUTED_VALUE"""),"G")</f>
        <v>G</v>
      </c>
      <c r="AN1050" s="1" t="str">
        <f>IFERROR(__xludf.DUMMYFUNCTION("""COMPUTED_VALUE"""),"G")</f>
        <v>G</v>
      </c>
    </row>
    <row r="1051" customHeight="1" spans="1:40">
      <c r="A1051" s="1" t="str">
        <f>IFERROR(__xludf.DUMMYFUNCTION("""COMPUTED_VALUE"""),"09° BBM")</f>
        <v>09° BBM</v>
      </c>
      <c r="B1051" s="1" t="str">
        <f>IFERROR(__xludf.DUMMYFUNCTION("""COMPUTED_VALUE"""),"Arroio do Sal")</f>
        <v>Arroio do Sal</v>
      </c>
      <c r="C1051" s="119" t="str">
        <f>IFERROR(__xludf.DUMMYFUNCTION("""COMPUTED_VALUE"""),"CAB")</f>
        <v>CAB</v>
      </c>
      <c r="D1051" s="1" t="str">
        <f>IFERROR(__xludf.DUMMYFUNCTION("""COMPUTED_VALUE"""),"CARLOS VINICIOS LOPES MARTINS")</f>
        <v>CARLOS VINICIOS LOPES MARTINS</v>
      </c>
      <c r="E1051" s="119" t="str">
        <f>IFERROR(__xludf.DUMMYFUNCTION("""COMPUTED_VALUE"""),"")</f>
        <v/>
      </c>
      <c r="F1051" s="1" t="str">
        <f>IFERROR(__xludf.DUMMYFUNCTION("""COMPUTED_VALUE"""),"036.351.660-30")</f>
        <v>036.351.660-30</v>
      </c>
      <c r="G1051" s="1">
        <f>IFERROR(__xludf.DUMMYFUNCTION("""COMPUTED_VALUE"""),1132229152)</f>
        <v>1132229152</v>
      </c>
      <c r="H1051" s="1" t="str">
        <f>IFERROR(__xludf.DUMMYFUNCTION("""COMPUTED_VALUE"""),"COMBATENTE")</f>
        <v>COMBATENTE</v>
      </c>
      <c r="I1051" s="1" t="str">
        <f>IFERROR(__xludf.DUMMYFUNCTION("""COMPUTED_VALUE"""),"combate a incêndio-CBM/RS, APH, BLs, resgate veicular, nr 35, resgate ao solo-CBM/RS, Brec-CBM/RS.")</f>
        <v>combate a incêndio-CBM/RS, APH, BLs, resgate veicular, nr 35, resgate ao solo-CBM/RS, Brec-CBM/RS.</v>
      </c>
      <c r="J1051" s="1" t="str">
        <f>IFERROR(__xludf.DUMMYFUNCTION("""COMPUTED_VALUE"""),"Sim")</f>
        <v>Sim</v>
      </c>
      <c r="K1051" s="1" t="str">
        <f>IFERROR(__xludf.DUMMYFUNCTION("""COMPUTED_VALUE"""),"Sim")</f>
        <v>Sim</v>
      </c>
      <c r="L1051" s="1" t="str">
        <f>IFERROR(__xludf.DUMMYFUNCTION("""COMPUTED_VALUE"""),"A+")</f>
        <v>A+</v>
      </c>
      <c r="M1051" s="1" t="str">
        <f>IFERROR(__xludf.DUMMYFUNCTION("""COMPUTED_VALUE"""),"MARTINS")</f>
        <v>MARTINS</v>
      </c>
      <c r="N1051" s="120">
        <f>IFERROR(__xludf.DUMMYFUNCTION("""COMPUTED_VALUE"""),36734)</f>
        <v>36734</v>
      </c>
      <c r="O1051" s="1" t="str">
        <f>IFERROR(__xludf.DUMMYFUNCTION("""COMPUTED_VALUE"""),"Masculino")</f>
        <v>Masculino</v>
      </c>
      <c r="P1051" s="1" t="str">
        <f>IFERROR(__xludf.DUMMYFUNCTION("""COMPUTED_VALUE"""),"Morena")</f>
        <v>Morena</v>
      </c>
      <c r="Q1051" s="1"/>
      <c r="R1051" s="1" t="str">
        <f>IFERROR(__xludf.DUMMYFUNCTION("""COMPUTED_VALUE"""),"CARLOSVINICIOSLOPESMARTINS338@GMAIL.COM")</f>
        <v>CARLOSVINICIOSLOPESMARTINS338@GMAIL.COM</v>
      </c>
      <c r="S1051" s="1" t="str">
        <f>IFERROR(__xludf.DUMMYFUNCTION("""COMPUTED_VALUE"""),"93 KG")</f>
        <v>93 KG</v>
      </c>
      <c r="T1051" s="1" t="str">
        <f>IFERROR(__xludf.DUMMYFUNCTION("""COMPUTED_VALUE"""),"Entre 1,61m e 1,65m")</f>
        <v>Entre 1,61m e 1,65m</v>
      </c>
      <c r="U1051" s="1" t="str">
        <f>IFERROR(__xludf.DUMMYFUNCTION("""COMPUTED_VALUE"""),"NÃ0 POSSUI")</f>
        <v>NÃ0 POSSUI</v>
      </c>
      <c r="V1051" s="1" t="str">
        <f>IFERROR(__xludf.DUMMYFUNCTION("""COMPUTED_VALUE"""),"(51) 99591-5218")</f>
        <v>(51) 99591-5218</v>
      </c>
      <c r="W1051" s="1" t="str">
        <f>IFERROR(__xludf.DUMMYFUNCTION("""COMPUTED_VALUE"""),"Não POSSUI")</f>
        <v>Não POSSUI</v>
      </c>
      <c r="X1051" s="1" t="str">
        <f>IFERROR(__xludf.DUMMYFUNCTION("""COMPUTED_VALUE"""),"RS")</f>
        <v>RS</v>
      </c>
      <c r="Y1051" s="1" t="str">
        <f>IFERROR(__xludf.DUMMYFUNCTION("""COMPUTED_VALUE"""),"Capão da Canoa")</f>
        <v>Capão da Canoa</v>
      </c>
      <c r="Z1051" s="1" t="str">
        <f>IFERROR(__xludf.DUMMYFUNCTION("""COMPUTED_VALUE"""),"95555-000")</f>
        <v>95555-000</v>
      </c>
      <c r="AA1051" s="1" t="str">
        <f>IFERROR(__xludf.DUMMYFUNCTION("""COMPUTED_VALUE"""),"RUA CACIQUE")</f>
        <v>RUA CACIQUE</v>
      </c>
      <c r="AB1051" s="1" t="str">
        <f>IFERROR(__xludf.DUMMYFUNCTION("""COMPUTED_VALUE"""),"CURUMIM")</f>
        <v>CURUMIM</v>
      </c>
      <c r="AC1051" s="1" t="str">
        <f>IFERROR(__xludf.DUMMYFUNCTION("""COMPUTED_VALUE"""),"G")</f>
        <v>G</v>
      </c>
      <c r="AD1051" s="1" t="str">
        <f>IFERROR(__xludf.DUMMYFUNCTION("""COMPUTED_VALUE"""),"G")</f>
        <v>G</v>
      </c>
      <c r="AE1051" s="1" t="str">
        <f>IFERROR(__xludf.DUMMYFUNCTION("""COMPUTED_VALUE"""),"G")</f>
        <v>G</v>
      </c>
      <c r="AF1051" s="1" t="str">
        <f>IFERROR(__xludf.DUMMYFUNCTION("""COMPUTED_VALUE"""),"G")</f>
        <v>G</v>
      </c>
      <c r="AG1051" s="1" t="str">
        <f>IFERROR(__xludf.DUMMYFUNCTION("""COMPUTED_VALUE"""),"G")</f>
        <v>G</v>
      </c>
      <c r="AH1051" s="1">
        <f>IFERROR(__xludf.DUMMYFUNCTION("""COMPUTED_VALUE"""),41)</f>
        <v>41</v>
      </c>
      <c r="AI1051" s="1">
        <f>IFERROR(__xludf.DUMMYFUNCTION("""COMPUTED_VALUE"""),41)</f>
        <v>41</v>
      </c>
      <c r="AJ1051" s="1">
        <f>IFERROR(__xludf.DUMMYFUNCTION("""COMPUTED_VALUE"""),41)</f>
        <v>41</v>
      </c>
      <c r="AK1051" s="1">
        <f>IFERROR(__xludf.DUMMYFUNCTION("""COMPUTED_VALUE"""),41)</f>
        <v>41</v>
      </c>
      <c r="AL1051" s="1" t="str">
        <f>IFERROR(__xludf.DUMMYFUNCTION("""COMPUTED_VALUE"""),"G")</f>
        <v>G</v>
      </c>
      <c r="AM1051" s="1" t="str">
        <f>IFERROR(__xludf.DUMMYFUNCTION("""COMPUTED_VALUE"""),"G")</f>
        <v>G</v>
      </c>
      <c r="AN1051" s="1" t="str">
        <f>IFERROR(__xludf.DUMMYFUNCTION("""COMPUTED_VALUE"""),"M")</f>
        <v>M</v>
      </c>
    </row>
    <row r="1052" customHeight="1" spans="1:40">
      <c r="A1052" s="1" t="str">
        <f>IFERROR(__xludf.DUMMYFUNCTION("""COMPUTED_VALUE"""),"09° BBM")</f>
        <v>09° BBM</v>
      </c>
      <c r="B1052" s="1" t="str">
        <f>IFERROR(__xludf.DUMMYFUNCTION("""COMPUTED_VALUE"""),"Balneário Pinhal")</f>
        <v>Balneário Pinhal</v>
      </c>
      <c r="C1052" s="119" t="str">
        <f>IFERROR(__xludf.DUMMYFUNCTION("""COMPUTED_VALUE"""),"CAB")</f>
        <v>CAB</v>
      </c>
      <c r="D1052" s="1" t="str">
        <f>IFERROR(__xludf.DUMMYFUNCTION("""COMPUTED_VALUE"""),"CELITA DE OLIVEIRA RADINS")</f>
        <v>CELITA DE OLIVEIRA RADINS</v>
      </c>
      <c r="E1052" s="119" t="str">
        <f>IFERROR(__xludf.DUMMYFUNCTION("""COMPUTED_VALUE"""),"Módulo 1 concluído")</f>
        <v>Módulo 1 concluído</v>
      </c>
      <c r="F1052" s="1" t="str">
        <f>IFERROR(__xludf.DUMMYFUNCTION("""COMPUTED_VALUE"""),"676.402.490-15")</f>
        <v>676.402.490-15</v>
      </c>
      <c r="G1052" s="1">
        <f>IFERROR(__xludf.DUMMYFUNCTION("""COMPUTED_VALUE"""),7046315938)</f>
        <v>7046315938</v>
      </c>
      <c r="H1052" s="1" t="str">
        <f>IFERROR(__xludf.DUMMYFUNCTION("""COMPUTED_VALUE"""),"COMBATENTE")</f>
        <v>COMBATENTE</v>
      </c>
      <c r="I1052" s="1" t="str">
        <f>IFERROR(__xludf.DUMMYFUNCTION("""COMPUTED_VALUE"""),"APH; BLS; BOMBEIRO CIVIL CLASSE I")</f>
        <v>APH; BLS; BOMBEIRO CIVIL CLASSE I</v>
      </c>
      <c r="J1052" s="1" t="str">
        <f>IFERROR(__xludf.DUMMYFUNCTION("""COMPUTED_VALUE"""),"Sim")</f>
        <v>Sim</v>
      </c>
      <c r="K1052" s="1" t="str">
        <f>IFERROR(__xludf.DUMMYFUNCTION("""COMPUTED_VALUE"""),"Não")</f>
        <v>Não</v>
      </c>
      <c r="L1052" s="1" t="str">
        <f>IFERROR(__xludf.DUMMYFUNCTION("""COMPUTED_VALUE"""),"AB+")</f>
        <v>AB+</v>
      </c>
      <c r="M1052" s="1" t="str">
        <f>IFERROR(__xludf.DUMMYFUNCTION("""COMPUTED_VALUE"""),"RADINS")</f>
        <v>RADINS</v>
      </c>
      <c r="N1052" s="120">
        <f>IFERROR(__xludf.DUMMYFUNCTION("""COMPUTED_VALUE"""),27587)</f>
        <v>27587</v>
      </c>
      <c r="O1052" s="1" t="str">
        <f>IFERROR(__xludf.DUMMYFUNCTION("""COMPUTED_VALUE"""),"Feminino")</f>
        <v>Feminino</v>
      </c>
      <c r="P1052" s="1" t="str">
        <f>IFERROR(__xludf.DUMMYFUNCTION("""COMPUTED_VALUE"""),"Branca")</f>
        <v>Branca</v>
      </c>
      <c r="Q1052" s="1" t="str">
        <f>IFERROR(__xludf.DUMMYFUNCTION("""COMPUTED_VALUE"""),"Ensino Médio")</f>
        <v>Ensino Médio</v>
      </c>
      <c r="R1052" s="1" t="str">
        <f>IFERROR(__xludf.DUMMYFUNCTION("""COMPUTED_VALUE"""),"CELITARADINS@GMAIL.COM")</f>
        <v>CELITARADINS@GMAIL.COM</v>
      </c>
      <c r="S1052" s="1" t="str">
        <f>IFERROR(__xludf.DUMMYFUNCTION("""COMPUTED_VALUE"""),"101KG")</f>
        <v>101KG</v>
      </c>
      <c r="T1052" s="1" t="str">
        <f>IFERROR(__xludf.DUMMYFUNCTION("""COMPUTED_VALUE"""),"Entre 1,66m e 1,70m")</f>
        <v>Entre 1,66m e 1,70m</v>
      </c>
      <c r="U1052" s="1" t="str">
        <f>IFERROR(__xludf.DUMMYFUNCTION("""COMPUTED_VALUE"""),"Não POSSUI")</f>
        <v>Não POSSUI</v>
      </c>
      <c r="V1052" s="1">
        <f>IFERROR(__xludf.DUMMYFUNCTION("""COMPUTED_VALUE"""),51985587281)</f>
        <v>51985587281</v>
      </c>
      <c r="W1052" s="1" t="str">
        <f>IFERROR(__xludf.DUMMYFUNCTION("""COMPUTED_VALUE"""),"51992559781(DILNEI)")</f>
        <v>51992559781(DILNEI)</v>
      </c>
      <c r="X1052" s="1" t="str">
        <f>IFERROR(__xludf.DUMMYFUNCTION("""COMPUTED_VALUE"""),"RS")</f>
        <v>RS</v>
      </c>
      <c r="Y1052" s="1" t="str">
        <f>IFERROR(__xludf.DUMMYFUNCTION("""COMPUTED_VALUE"""),"Cidreira")</f>
        <v>Cidreira</v>
      </c>
      <c r="Z1052" s="1">
        <f>IFERROR(__xludf.DUMMYFUNCTION("""COMPUTED_VALUE"""),95595000)</f>
        <v>95595000</v>
      </c>
      <c r="AA1052" s="1" t="str">
        <f>IFERROR(__xludf.DUMMYFUNCTION("""COMPUTED_VALUE"""),"ARNALDO JOSÉ BERGER 638")</f>
        <v>ARNALDO JOSÉ BERGER 638</v>
      </c>
      <c r="AB1052" s="1" t="str">
        <f>IFERROR(__xludf.DUMMYFUNCTION("""COMPUTED_VALUE"""),"CENTRO")</f>
        <v>CENTRO</v>
      </c>
      <c r="AC1052" s="1" t="str">
        <f>IFERROR(__xludf.DUMMYFUNCTION("""COMPUTED_VALUE"""),"GG")</f>
        <v>GG</v>
      </c>
      <c r="AD1052" s="1" t="str">
        <f>IFERROR(__xludf.DUMMYFUNCTION("""COMPUTED_VALUE"""),"GG")</f>
        <v>GG</v>
      </c>
      <c r="AE1052" s="1" t="str">
        <f>IFERROR(__xludf.DUMMYFUNCTION("""COMPUTED_VALUE"""),"GG")</f>
        <v>GG</v>
      </c>
      <c r="AF1052" s="1" t="str">
        <f>IFERROR(__xludf.DUMMYFUNCTION("""COMPUTED_VALUE"""),"GG")</f>
        <v>GG</v>
      </c>
      <c r="AG1052" s="1" t="str">
        <f>IFERROR(__xludf.DUMMYFUNCTION("""COMPUTED_VALUE"""),"GG")</f>
        <v>GG</v>
      </c>
      <c r="AH1052" s="1">
        <f>IFERROR(__xludf.DUMMYFUNCTION("""COMPUTED_VALUE"""),39)</f>
        <v>39</v>
      </c>
      <c r="AI1052" s="1">
        <f>IFERROR(__xludf.DUMMYFUNCTION("""COMPUTED_VALUE"""),39)</f>
        <v>39</v>
      </c>
      <c r="AJ1052" s="1">
        <f>IFERROR(__xludf.DUMMYFUNCTION("""COMPUTED_VALUE"""),39)</f>
        <v>39</v>
      </c>
      <c r="AK1052" s="1">
        <f>IFERROR(__xludf.DUMMYFUNCTION("""COMPUTED_VALUE"""),39)</f>
        <v>39</v>
      </c>
      <c r="AL1052" s="1" t="str">
        <f>IFERROR(__xludf.DUMMYFUNCTION("""COMPUTED_VALUE"""),"GG")</f>
        <v>GG</v>
      </c>
      <c r="AM1052" s="1" t="str">
        <f>IFERROR(__xludf.DUMMYFUNCTION("""COMPUTED_VALUE"""),"GG")</f>
        <v>GG</v>
      </c>
      <c r="AN1052" s="1" t="str">
        <f>IFERROR(__xludf.DUMMYFUNCTION("""COMPUTED_VALUE"""),"M")</f>
        <v>M</v>
      </c>
    </row>
    <row r="1053" customHeight="1" spans="1:40">
      <c r="A1053" s="1" t="str">
        <f>IFERROR(__xludf.DUMMYFUNCTION("""COMPUTED_VALUE"""),"09° BBM")</f>
        <v>09° BBM</v>
      </c>
      <c r="B1053" s="1" t="str">
        <f>IFERROR(__xludf.DUMMYFUNCTION("""COMPUTED_VALUE"""),"Balneário Pinhal")</f>
        <v>Balneário Pinhal</v>
      </c>
      <c r="C1053" s="119" t="str">
        <f>IFERROR(__xludf.DUMMYFUNCTION("""COMPUTED_VALUE"""),"CAB")</f>
        <v>CAB</v>
      </c>
      <c r="D1053" s="1" t="str">
        <f>IFERROR(__xludf.DUMMYFUNCTION("""COMPUTED_VALUE"""),"CESAR MIRANDA DE LEME")</f>
        <v>CESAR MIRANDA DE LEME</v>
      </c>
      <c r="E1053" s="119" t="str">
        <f>IFERROR(__xludf.DUMMYFUNCTION("""COMPUTED_VALUE"""),"Módulo 1 concluído")</f>
        <v>Módulo 1 concluído</v>
      </c>
      <c r="F1053" s="1" t="str">
        <f>IFERROR(__xludf.DUMMYFUNCTION("""COMPUTED_VALUE"""),"019037940-56")</f>
        <v>019037940-56</v>
      </c>
      <c r="G1053" s="1">
        <f>IFERROR(__xludf.DUMMYFUNCTION("""COMPUTED_VALUE"""),8081932108)</f>
        <v>8081932108</v>
      </c>
      <c r="H1053" s="1" t="str">
        <f>IFERROR(__xludf.DUMMYFUNCTION("""COMPUTED_VALUE"""),"SOCORRISTA")</f>
        <v>SOCORRISTA</v>
      </c>
      <c r="I1053" s="1" t="str">
        <f>IFERROR(__xludf.DUMMYFUNCTION("""COMPUTED_VALUE"""),"APH, BLS, CAT D E VEÍCULO DE EMERGÊNCIA.")</f>
        <v>APH, BLS, CAT D E VEÍCULO DE EMERGÊNCIA.</v>
      </c>
      <c r="J1053" s="1" t="str">
        <f>IFERROR(__xludf.DUMMYFUNCTION("""COMPUTED_VALUE"""),"Não")</f>
        <v>Não</v>
      </c>
      <c r="K1053" s="1" t="str">
        <f>IFERROR(__xludf.DUMMYFUNCTION("""COMPUTED_VALUE"""),"Não")</f>
        <v>Não</v>
      </c>
      <c r="L1053" s="1" t="str">
        <f>IFERROR(__xludf.DUMMYFUNCTION("""COMPUTED_VALUE"""),"B+")</f>
        <v>B+</v>
      </c>
      <c r="M1053" s="1" t="str">
        <f>IFERROR(__xludf.DUMMYFUNCTION("""COMPUTED_VALUE"""),"LEME")</f>
        <v>LEME</v>
      </c>
      <c r="N1053" s="120">
        <f>IFERROR(__xludf.DUMMYFUNCTION("""COMPUTED_VALUE"""),31745)</f>
        <v>31745</v>
      </c>
      <c r="O1053" s="1" t="str">
        <f>IFERROR(__xludf.DUMMYFUNCTION("""COMPUTED_VALUE"""),"Masculino")</f>
        <v>Masculino</v>
      </c>
      <c r="P1053" s="1" t="str">
        <f>IFERROR(__xludf.DUMMYFUNCTION("""COMPUTED_VALUE"""),"Parda")</f>
        <v>Parda</v>
      </c>
      <c r="Q1053" s="1" t="str">
        <f>IFERROR(__xludf.DUMMYFUNCTION("""COMPUTED_VALUE"""),"Ensino Médio")</f>
        <v>Ensino Médio</v>
      </c>
      <c r="R1053" s="1" t="str">
        <f>IFERROR(__xludf.DUMMYFUNCTION("""COMPUTED_VALUE"""),"CERSC10@GMAIL.COM")</f>
        <v>CERSC10@GMAIL.COM</v>
      </c>
      <c r="S1053" s="1" t="str">
        <f>IFERROR(__xludf.DUMMYFUNCTION("""COMPUTED_VALUE"""),"100KG")</f>
        <v>100KG</v>
      </c>
      <c r="T1053" s="1" t="str">
        <f>IFERROR(__xludf.DUMMYFUNCTION("""COMPUTED_VALUE"""),"Entre 1,66m e 1,70m")</f>
        <v>Entre 1,66m e 1,70m</v>
      </c>
      <c r="U1053" s="1" t="str">
        <f>IFERROR(__xludf.DUMMYFUNCTION("""COMPUTED_VALUE"""),"Não POSSUI")</f>
        <v>Não POSSUI</v>
      </c>
      <c r="V1053" s="1">
        <f>IFERROR(__xludf.DUMMYFUNCTION("""COMPUTED_VALUE"""),51996376459)</f>
        <v>51996376459</v>
      </c>
      <c r="W1053" s="1" t="str">
        <f>IFERROR(__xludf.DUMMYFUNCTION("""COMPUTED_VALUE"""),"51994289702(TÂNIA)")</f>
        <v>51994289702(TÂNIA)</v>
      </c>
      <c r="X1053" s="1" t="str">
        <f>IFERROR(__xludf.DUMMYFUNCTION("""COMPUTED_VALUE"""),"RS")</f>
        <v>RS</v>
      </c>
      <c r="Y1053" s="1" t="str">
        <f>IFERROR(__xludf.DUMMYFUNCTION("""COMPUTED_VALUE"""),"Palmares do Sul")</f>
        <v>Palmares do Sul</v>
      </c>
      <c r="Z1053" s="1">
        <f>IFERROR(__xludf.DUMMYFUNCTION("""COMPUTED_VALUE"""),95548000)</f>
        <v>95548000</v>
      </c>
      <c r="AA1053" s="1" t="str">
        <f>IFERROR(__xludf.DUMMYFUNCTION("""COMPUTED_VALUE"""),"JOSÉ NERES FERREIRA 234")</f>
        <v>JOSÉ NERES FERREIRA 234</v>
      </c>
      <c r="AB1053" s="1" t="str">
        <f>IFERROR(__xludf.DUMMYFUNCTION("""COMPUTED_VALUE"""),"CENTRO")</f>
        <v>CENTRO</v>
      </c>
      <c r="AC1053" s="1" t="str">
        <f>IFERROR(__xludf.DUMMYFUNCTION("""COMPUTED_VALUE"""),"EXG")</f>
        <v>EXG</v>
      </c>
      <c r="AD1053" s="1" t="str">
        <f>IFERROR(__xludf.DUMMYFUNCTION("""COMPUTED_VALUE"""),"EXG")</f>
        <v>EXG</v>
      </c>
      <c r="AE1053" s="1" t="str">
        <f>IFERROR(__xludf.DUMMYFUNCTION("""COMPUTED_VALUE"""),"EXG")</f>
        <v>EXG</v>
      </c>
      <c r="AF1053" s="1" t="str">
        <f>IFERROR(__xludf.DUMMYFUNCTION("""COMPUTED_VALUE"""),"EXG")</f>
        <v>EXG</v>
      </c>
      <c r="AG1053" s="1" t="str">
        <f>IFERROR(__xludf.DUMMYFUNCTION("""COMPUTED_VALUE"""),"EXG")</f>
        <v>EXG</v>
      </c>
      <c r="AH1053" s="1">
        <f>IFERROR(__xludf.DUMMYFUNCTION("""COMPUTED_VALUE"""),42)</f>
        <v>42</v>
      </c>
      <c r="AI1053" s="1">
        <f>IFERROR(__xludf.DUMMYFUNCTION("""COMPUTED_VALUE"""),42)</f>
        <v>42</v>
      </c>
      <c r="AJ1053" s="1">
        <f>IFERROR(__xludf.DUMMYFUNCTION("""COMPUTED_VALUE"""),42)</f>
        <v>42</v>
      </c>
      <c r="AK1053" s="1">
        <f>IFERROR(__xludf.DUMMYFUNCTION("""COMPUTED_VALUE"""),42)</f>
        <v>42</v>
      </c>
      <c r="AL1053" s="1" t="str">
        <f>IFERROR(__xludf.DUMMYFUNCTION("""COMPUTED_VALUE"""),"EXG")</f>
        <v>EXG</v>
      </c>
      <c r="AM1053" s="1" t="str">
        <f>IFERROR(__xludf.DUMMYFUNCTION("""COMPUTED_VALUE"""),"EXG")</f>
        <v>EXG</v>
      </c>
      <c r="AN1053" s="1" t="str">
        <f>IFERROR(__xludf.DUMMYFUNCTION("""COMPUTED_VALUE"""),"G")</f>
        <v>G</v>
      </c>
    </row>
    <row r="1054" customHeight="1" spans="1:40">
      <c r="A1054" s="1" t="str">
        <f>IFERROR(__xludf.DUMMYFUNCTION("""COMPUTED_VALUE"""),"09° BBM")</f>
        <v>09° BBM</v>
      </c>
      <c r="B1054" s="1" t="str">
        <f>IFERROR(__xludf.DUMMYFUNCTION("""COMPUTED_VALUE"""),"Balneário Pinhal")</f>
        <v>Balneário Pinhal</v>
      </c>
      <c r="C1054" s="119" t="str">
        <f>IFERROR(__xludf.DUMMYFUNCTION("""COMPUTED_VALUE"""),"CAB")</f>
        <v>CAB</v>
      </c>
      <c r="D1054" s="1" t="str">
        <f>IFERROR(__xludf.DUMMYFUNCTION("""COMPUTED_VALUE"""),"CLAUDIA CRISTINA GERMANO LUZIA")</f>
        <v>CLAUDIA CRISTINA GERMANO LUZIA</v>
      </c>
      <c r="E1054" s="119" t="str">
        <f>IFERROR(__xludf.DUMMYFUNCTION("""COMPUTED_VALUE"""),"")</f>
        <v/>
      </c>
      <c r="F1054" s="1" t="str">
        <f>IFERROR(__xludf.DUMMYFUNCTION("""COMPUTED_VALUE"""),"037.300.789-25")</f>
        <v>037.300.789-25</v>
      </c>
      <c r="G1054" s="1" t="str">
        <f>IFERROR(__xludf.DUMMYFUNCTION("""COMPUTED_VALUE"""),"71617904/SESP/PR")</f>
        <v>71617904/SESP/PR</v>
      </c>
      <c r="H1054" s="1" t="str">
        <f>IFERROR(__xludf.DUMMYFUNCTION("""COMPUTED_VALUE"""),"SOCORRISTA")</f>
        <v>SOCORRISTA</v>
      </c>
      <c r="I1054" s="1" t="str">
        <f>IFERROR(__xludf.DUMMYFUNCTION("""COMPUTED_VALUE"""),"TEC. ENFERMAGEM")</f>
        <v>TEC. ENFERMAGEM</v>
      </c>
      <c r="J1054" s="1" t="str">
        <f>IFERROR(__xludf.DUMMYFUNCTION("""COMPUTED_VALUE"""),"Não")</f>
        <v>Não</v>
      </c>
      <c r="K1054" s="1" t="str">
        <f>IFERROR(__xludf.DUMMYFUNCTION("""COMPUTED_VALUE"""),"Não")</f>
        <v>Não</v>
      </c>
      <c r="L1054" s="1" t="str">
        <f>IFERROR(__xludf.DUMMYFUNCTION("""COMPUTED_VALUE"""),"B-")</f>
        <v>B-</v>
      </c>
      <c r="M1054" s="1" t="str">
        <f>IFERROR(__xludf.DUMMYFUNCTION("""COMPUTED_VALUE"""),"CLAUDIA LUZIA")</f>
        <v>CLAUDIA LUZIA</v>
      </c>
      <c r="N1054" s="120">
        <f>IFERROR(__xludf.DUMMYFUNCTION("""COMPUTED_VALUE"""),29965)</f>
        <v>29965</v>
      </c>
      <c r="O1054" s="1" t="str">
        <f>IFERROR(__xludf.DUMMYFUNCTION("""COMPUTED_VALUE"""),"Feminino")</f>
        <v>Feminino</v>
      </c>
      <c r="P1054" s="1" t="str">
        <f>IFERROR(__xludf.DUMMYFUNCTION("""COMPUTED_VALUE"""),"Branca")</f>
        <v>Branca</v>
      </c>
      <c r="Q1054" s="1" t="str">
        <f>IFERROR(__xludf.DUMMYFUNCTION("""COMPUTED_VALUE"""),"Ensino Superior Incompleto")</f>
        <v>Ensino Superior Incompleto</v>
      </c>
      <c r="R1054" s="1" t="str">
        <f>IFERROR(__xludf.DUMMYFUNCTION("""COMPUTED_VALUE"""),"CLAUDINHALUZIA@HOTMAIL.COM")</f>
        <v>CLAUDINHALUZIA@HOTMAIL.COM</v>
      </c>
      <c r="S1054" s="1" t="str">
        <f>IFERROR(__xludf.DUMMYFUNCTION("""COMPUTED_VALUE"""),"60KG")</f>
        <v>60KG</v>
      </c>
      <c r="T1054" s="1" t="str">
        <f>IFERROR(__xludf.DUMMYFUNCTION("""COMPUTED_VALUE"""),"Entre 1,61m e 1,65m")</f>
        <v>Entre 1,61m e 1,65m</v>
      </c>
      <c r="U1054" s="1" t="str">
        <f>IFERROR(__xludf.DUMMYFUNCTION("""COMPUTED_VALUE"""),"Não POSSUI")</f>
        <v>Não POSSUI</v>
      </c>
      <c r="V1054" s="1">
        <f>IFERROR(__xludf.DUMMYFUNCTION("""COMPUTED_VALUE"""),51996078772)</f>
        <v>51996078772</v>
      </c>
      <c r="W1054" s="1" t="str">
        <f>IFERROR(__xludf.DUMMYFUNCTION("""COMPUTED_VALUE"""),"51998671476(ALANNA)")</f>
        <v>51998671476(ALANNA)</v>
      </c>
      <c r="X1054" s="1" t="str">
        <f>IFERROR(__xludf.DUMMYFUNCTION("""COMPUTED_VALUE"""),"RS")</f>
        <v>RS</v>
      </c>
      <c r="Y1054" s="1" t="str">
        <f>IFERROR(__xludf.DUMMYFUNCTION("""COMPUTED_VALUE"""),"Tramandaí")</f>
        <v>Tramandaí</v>
      </c>
      <c r="Z1054" s="1">
        <f>IFERROR(__xludf.DUMMYFUNCTION("""COMPUTED_VALUE"""),95590000)</f>
        <v>95590000</v>
      </c>
      <c r="AA1054" s="1" t="str">
        <f>IFERROR(__xludf.DUMMYFUNCTION("""COMPUTED_VALUE"""),"EMANCIPAÇÃO 480")</f>
        <v>EMANCIPAÇÃO 480</v>
      </c>
      <c r="AB1054" s="1" t="str">
        <f>IFERROR(__xludf.DUMMYFUNCTION("""COMPUTED_VALUE"""),"CENTRO")</f>
        <v>CENTRO</v>
      </c>
      <c r="AC1054" s="1" t="str">
        <f>IFERROR(__xludf.DUMMYFUNCTION("""COMPUTED_VALUE"""),"P")</f>
        <v>P</v>
      </c>
      <c r="AD1054" s="1" t="str">
        <f>IFERROR(__xludf.DUMMYFUNCTION("""COMPUTED_VALUE"""),"P")</f>
        <v>P</v>
      </c>
      <c r="AE1054" s="1" t="str">
        <f>IFERROR(__xludf.DUMMYFUNCTION("""COMPUTED_VALUE"""),"P")</f>
        <v>P</v>
      </c>
      <c r="AF1054" s="1" t="str">
        <f>IFERROR(__xludf.DUMMYFUNCTION("""COMPUTED_VALUE"""),"P")</f>
        <v>P</v>
      </c>
      <c r="AG1054" s="1" t="str">
        <f>IFERROR(__xludf.DUMMYFUNCTION("""COMPUTED_VALUE"""),"P")</f>
        <v>P</v>
      </c>
      <c r="AH1054" s="1">
        <f>IFERROR(__xludf.DUMMYFUNCTION("""COMPUTED_VALUE"""),37)</f>
        <v>37</v>
      </c>
      <c r="AI1054" s="1">
        <f>IFERROR(__xludf.DUMMYFUNCTION("""COMPUTED_VALUE"""),37)</f>
        <v>37</v>
      </c>
      <c r="AJ1054" s="1">
        <f>IFERROR(__xludf.DUMMYFUNCTION("""COMPUTED_VALUE"""),37)</f>
        <v>37</v>
      </c>
      <c r="AK1054" s="1">
        <f>IFERROR(__xludf.DUMMYFUNCTION("""COMPUTED_VALUE"""),37)</f>
        <v>37</v>
      </c>
      <c r="AL1054" s="1" t="str">
        <f>IFERROR(__xludf.DUMMYFUNCTION("""COMPUTED_VALUE"""),"P")</f>
        <v>P</v>
      </c>
      <c r="AM1054" s="1" t="str">
        <f>IFERROR(__xludf.DUMMYFUNCTION("""COMPUTED_VALUE"""),"P")</f>
        <v>P</v>
      </c>
      <c r="AN1054" s="1" t="str">
        <f>IFERROR(__xludf.DUMMYFUNCTION("""COMPUTED_VALUE"""),"M")</f>
        <v>M</v>
      </c>
    </row>
    <row r="1055" customHeight="1" spans="1:40">
      <c r="A1055" s="1" t="str">
        <f>IFERROR(__xludf.DUMMYFUNCTION("""COMPUTED_VALUE"""),"09° BBM")</f>
        <v>09° BBM</v>
      </c>
      <c r="B1055" s="1"/>
      <c r="C1055" s="119" t="str">
        <f>IFERROR(__xludf.DUMMYFUNCTION("""COMPUTED_VALUE"""),"Inativo")</f>
        <v>Inativo</v>
      </c>
      <c r="D1055" s="1" t="str">
        <f>IFERROR(__xludf.DUMMYFUNCTION("""COMPUTED_VALUE"""),"DANIEL ANTONIO SCHALEMBERGER")</f>
        <v>DANIEL ANTONIO SCHALEMBERGER</v>
      </c>
      <c r="E1055" s="119" t="str">
        <f>IFERROR(__xludf.DUMMYFUNCTION("""COMPUTED_VALUE"""),"Módulo 1 concluído")</f>
        <v>Módulo 1 concluído</v>
      </c>
      <c r="F1055" s="1" t="str">
        <f>IFERROR(__xludf.DUMMYFUNCTION("""COMPUTED_VALUE"""),"826.355.360-15")</f>
        <v>826.355.360-15</v>
      </c>
      <c r="G1055" s="1"/>
      <c r="H1055" s="1"/>
      <c r="I1055" s="1"/>
      <c r="J1055" s="1"/>
      <c r="K1055" s="1"/>
      <c r="L1055" s="1"/>
      <c r="M1055" s="1"/>
      <c r="N1055" s="120"/>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row>
    <row r="1056" customHeight="1" spans="1:40">
      <c r="A1056" s="1" t="str">
        <f>IFERROR(__xludf.DUMMYFUNCTION("""COMPUTED_VALUE"""),"09° BBM")</f>
        <v>09° BBM</v>
      </c>
      <c r="B1056" s="1" t="str">
        <f>IFERROR(__xludf.DUMMYFUNCTION("""COMPUTED_VALUE"""),"Arroio do Sal")</f>
        <v>Arroio do Sal</v>
      </c>
      <c r="C1056" s="119" t="str">
        <f>IFERROR(__xludf.DUMMYFUNCTION("""COMPUTED_VALUE"""),"CAB")</f>
        <v>CAB</v>
      </c>
      <c r="D1056" s="1" t="str">
        <f>IFERROR(__xludf.DUMMYFUNCTION("""COMPUTED_VALUE"""),"DARCI ALESSANDRO MARQUES")</f>
        <v>DARCI ALESSANDRO MARQUES</v>
      </c>
      <c r="E1056" s="119" t="str">
        <f>IFERROR(__xludf.DUMMYFUNCTION("""COMPUTED_VALUE"""),"Módulo 1 concluído")</f>
        <v>Módulo 1 concluído</v>
      </c>
      <c r="F1056" s="1" t="str">
        <f>IFERROR(__xludf.DUMMYFUNCTION("""COMPUTED_VALUE"""),"052.036.668-14")</f>
        <v>052.036.668-14</v>
      </c>
      <c r="G1056" s="1">
        <f>IFERROR(__xludf.DUMMYFUNCTION("""COMPUTED_VALUE"""),21122119791)</f>
        <v>21122119791</v>
      </c>
      <c r="H1056" s="1" t="str">
        <f>IFERROR(__xludf.DUMMYFUNCTION("""COMPUTED_VALUE"""),"COMBATENTE")</f>
        <v>COMBATENTE</v>
      </c>
      <c r="I1056" s="1" t="str">
        <f>IFERROR(__xludf.DUMMYFUNCTION("""COMPUTED_VALUE"""),"mecânico, curso basico para bombeiros para civis auxiliares de bombeiros-operador cab.
 mecânico, curso basico para bombeiros para civis auxiliares de bombeiros-operador cab.")</f>
        <v>mecânico, curso basico para bombeiros para civis auxiliares de bombeiros-operador cab.
 mecânico, curso basico para bombeiros para civis auxiliares de bombeiros-operador cab.</v>
      </c>
      <c r="J1056" s="1" t="str">
        <f>IFERROR(__xludf.DUMMYFUNCTION("""COMPUTED_VALUE"""),"Sim")</f>
        <v>Sim</v>
      </c>
      <c r="K1056" s="1" t="str">
        <f>IFERROR(__xludf.DUMMYFUNCTION("""COMPUTED_VALUE"""),"Não")</f>
        <v>Não</v>
      </c>
      <c r="L1056" s="1" t="str">
        <f>IFERROR(__xludf.DUMMYFUNCTION("""COMPUTED_VALUE"""),"O+")</f>
        <v>O+</v>
      </c>
      <c r="M1056" s="1" t="str">
        <f>IFERROR(__xludf.DUMMYFUNCTION("""COMPUTED_VALUE"""),"MARQUES")</f>
        <v>MARQUES</v>
      </c>
      <c r="N1056" s="120">
        <f>IFERROR(__xludf.DUMMYFUNCTION("""COMPUTED_VALUE"""),30433)</f>
        <v>30433</v>
      </c>
      <c r="O1056" s="1" t="str">
        <f>IFERROR(__xludf.DUMMYFUNCTION("""COMPUTED_VALUE"""),"Masculino")</f>
        <v>Masculino</v>
      </c>
      <c r="P1056" s="1" t="str">
        <f>IFERROR(__xludf.DUMMYFUNCTION("""COMPUTED_VALUE"""),"Parda")</f>
        <v>Parda</v>
      </c>
      <c r="Q1056" s="1" t="str">
        <f>IFERROR(__xludf.DUMMYFUNCTION("""COMPUTED_VALUE"""),"Ensino Médio")</f>
        <v>Ensino Médio</v>
      </c>
      <c r="R1056" s="1" t="str">
        <f>IFERROR(__xludf.DUMMYFUNCTION("""COMPUTED_VALUE"""),"SANDROMARQUES1983@OUTLOOK.COM")</f>
        <v>SANDROMARQUES1983@OUTLOOK.COM</v>
      </c>
      <c r="S1056" s="1" t="str">
        <f>IFERROR(__xludf.DUMMYFUNCTION("""COMPUTED_VALUE"""),"70 KG")</f>
        <v>70 KG</v>
      </c>
      <c r="T1056" s="1" t="str">
        <f>IFERROR(__xludf.DUMMYFUNCTION("""COMPUTED_VALUE"""),"Entre 1,76m e 1,80m")</f>
        <v>Entre 1,76m e 1,80m</v>
      </c>
      <c r="U1056" s="1" t="str">
        <f>IFERROR(__xludf.DUMMYFUNCTION("""COMPUTED_VALUE"""),"Não POSSUI")</f>
        <v>Não POSSUI</v>
      </c>
      <c r="V1056" s="1" t="str">
        <f>IFERROR(__xludf.DUMMYFUNCTION("""COMPUTED_VALUE"""),"(51) 99792-8467")</f>
        <v>(51) 99792-8467</v>
      </c>
      <c r="W1056" s="1" t="str">
        <f>IFERROR(__xludf.DUMMYFUNCTION("""COMPUTED_VALUE"""),"(51) 99752-5032")</f>
        <v>(51) 99752-5032</v>
      </c>
      <c r="X1056" s="1" t="str">
        <f>IFERROR(__xludf.DUMMYFUNCTION("""COMPUTED_VALUE"""),"RS")</f>
        <v>RS</v>
      </c>
      <c r="Y1056" s="1" t="str">
        <f>IFERROR(__xludf.DUMMYFUNCTION("""COMPUTED_VALUE"""),"Arroio do Sal")</f>
        <v>Arroio do Sal</v>
      </c>
      <c r="Z1056" s="1" t="str">
        <f>IFERROR(__xludf.DUMMYFUNCTION("""COMPUTED_VALUE"""),"95585-000")</f>
        <v>95585-000</v>
      </c>
      <c r="AA1056" s="1" t="str">
        <f>IFERROR(__xludf.DUMMYFUNCTION("""COMPUTED_VALUE"""),"AV. ATLANTIDA")</f>
        <v>AV. ATLANTIDA</v>
      </c>
      <c r="AB1056" s="1" t="str">
        <f>IFERROR(__xludf.DUMMYFUNCTION("""COMPUTED_VALUE"""),"CENTRO")</f>
        <v>CENTRO</v>
      </c>
      <c r="AC1056" s="1" t="str">
        <f>IFERROR(__xludf.DUMMYFUNCTION("""COMPUTED_VALUE"""),"G")</f>
        <v>G</v>
      </c>
      <c r="AD1056" s="1" t="str">
        <f>IFERROR(__xludf.DUMMYFUNCTION("""COMPUTED_VALUE"""),"G")</f>
        <v>G</v>
      </c>
      <c r="AE1056" s="1" t="str">
        <f>IFERROR(__xludf.DUMMYFUNCTION("""COMPUTED_VALUE"""),"G")</f>
        <v>G</v>
      </c>
      <c r="AF1056" s="1" t="str">
        <f>IFERROR(__xludf.DUMMYFUNCTION("""COMPUTED_VALUE"""),"G")</f>
        <v>G</v>
      </c>
      <c r="AG1056" s="1" t="str">
        <f>IFERROR(__xludf.DUMMYFUNCTION("""COMPUTED_VALUE"""),"G")</f>
        <v>G</v>
      </c>
      <c r="AH1056" s="1">
        <f>IFERROR(__xludf.DUMMYFUNCTION("""COMPUTED_VALUE"""),40)</f>
        <v>40</v>
      </c>
      <c r="AI1056" s="1">
        <f>IFERROR(__xludf.DUMMYFUNCTION("""COMPUTED_VALUE"""),40)</f>
        <v>40</v>
      </c>
      <c r="AJ1056" s="1">
        <f>IFERROR(__xludf.DUMMYFUNCTION("""COMPUTED_VALUE"""),40)</f>
        <v>40</v>
      </c>
      <c r="AK1056" s="1">
        <f>IFERROR(__xludf.DUMMYFUNCTION("""COMPUTED_VALUE"""),40)</f>
        <v>40</v>
      </c>
      <c r="AL1056" s="1" t="str">
        <f>IFERROR(__xludf.DUMMYFUNCTION("""COMPUTED_VALUE"""),"G")</f>
        <v>G</v>
      </c>
      <c r="AM1056" s="1" t="str">
        <f>IFERROR(__xludf.DUMMYFUNCTION("""COMPUTED_VALUE"""),"G")</f>
        <v>G</v>
      </c>
      <c r="AN1056" s="1" t="str">
        <f>IFERROR(__xludf.DUMMYFUNCTION("""COMPUTED_VALUE"""),"M")</f>
        <v>M</v>
      </c>
    </row>
    <row r="1057" customHeight="1" spans="1:40">
      <c r="A1057" s="1" t="str">
        <f>IFERROR(__xludf.DUMMYFUNCTION("""COMPUTED_VALUE"""),"09° BBM")</f>
        <v>09° BBM</v>
      </c>
      <c r="B1057" s="1" t="str">
        <f>IFERROR(__xludf.DUMMYFUNCTION("""COMPUTED_VALUE"""),"Balneário Pinhal")</f>
        <v>Balneário Pinhal</v>
      </c>
      <c r="C1057" s="119" t="str">
        <f>IFERROR(__xludf.DUMMYFUNCTION("""COMPUTED_VALUE"""),"CAB")</f>
        <v>CAB</v>
      </c>
      <c r="D1057" s="1" t="str">
        <f>IFERROR(__xludf.DUMMYFUNCTION("""COMPUTED_VALUE"""),"DEMETRIO QUEIROZ FEIJO")</f>
        <v>DEMETRIO QUEIROZ FEIJO</v>
      </c>
      <c r="E1057" s="119" t="str">
        <f>IFERROR(__xludf.DUMMYFUNCTION("""COMPUTED_VALUE"""),"Curso CAB operador concluído")</f>
        <v>Curso CAB operador concluído</v>
      </c>
      <c r="F1057" s="1" t="str">
        <f>IFERROR(__xludf.DUMMYFUNCTION("""COMPUTED_VALUE"""),"003.939.580-43")</f>
        <v>003.939.580-43</v>
      </c>
      <c r="G1057" s="1">
        <f>IFERROR(__xludf.DUMMYFUNCTION("""COMPUTED_VALUE"""),8087795831)</f>
        <v>8087795831</v>
      </c>
      <c r="H1057" s="1" t="str">
        <f>IFERROR(__xludf.DUMMYFUNCTION("""COMPUTED_VALUE"""),"CONDUTOR D")</f>
        <v>CONDUTOR D</v>
      </c>
      <c r="I1057" s="1" t="str">
        <f>IFERROR(__xludf.DUMMYFUNCTION("""COMPUTED_VALUE"""),"APH; BLS; RESGATE VEICULAR; CAT D e VEÍCULO DE EMERGÊNCIA; BOMBEIRO CIVIL CLASSE I")</f>
        <v>APH; BLS; RESGATE VEICULAR; CAT D e VEÍCULO DE EMERGÊNCIA; BOMBEIRO CIVIL CLASSE I</v>
      </c>
      <c r="J1057" s="1" t="str">
        <f>IFERROR(__xludf.DUMMYFUNCTION("""COMPUTED_VALUE"""),"Sim")</f>
        <v>Sim</v>
      </c>
      <c r="K1057" s="1" t="str">
        <f>IFERROR(__xludf.DUMMYFUNCTION("""COMPUTED_VALUE"""),"Não")</f>
        <v>Não</v>
      </c>
      <c r="L1057" s="1" t="str">
        <f>IFERROR(__xludf.DUMMYFUNCTION("""COMPUTED_VALUE"""),"O+")</f>
        <v>O+</v>
      </c>
      <c r="M1057" s="1" t="str">
        <f>IFERROR(__xludf.DUMMYFUNCTION("""COMPUTED_VALUE"""),"QUEIROZ")</f>
        <v>QUEIROZ</v>
      </c>
      <c r="N1057" s="120">
        <f>IFERROR(__xludf.DUMMYFUNCTION("""COMPUTED_VALUE"""),29960)</f>
        <v>29960</v>
      </c>
      <c r="O1057" s="1" t="str">
        <f>IFERROR(__xludf.DUMMYFUNCTION("""COMPUTED_VALUE"""),"Masculino")</f>
        <v>Masculino</v>
      </c>
      <c r="P1057" s="1" t="str">
        <f>IFERROR(__xludf.DUMMYFUNCTION("""COMPUTED_VALUE"""),"Branca")</f>
        <v>Branca</v>
      </c>
      <c r="Q1057" s="1" t="str">
        <f>IFERROR(__xludf.DUMMYFUNCTION("""COMPUTED_VALUE"""),"Ensino Médio")</f>
        <v>Ensino Médio</v>
      </c>
      <c r="R1057" s="1" t="str">
        <f>IFERROR(__xludf.DUMMYFUNCTION("""COMPUTED_VALUE"""),"DEMETRIOFEIJO@GMAIL.COM")</f>
        <v>DEMETRIOFEIJO@GMAIL.COM</v>
      </c>
      <c r="S1057" s="1" t="str">
        <f>IFERROR(__xludf.DUMMYFUNCTION("""COMPUTED_VALUE"""),"84KG")</f>
        <v>84KG</v>
      </c>
      <c r="T1057" s="1" t="str">
        <f>IFERROR(__xludf.DUMMYFUNCTION("""COMPUTED_VALUE"""),"Entre 1,66m e 1,70m")</f>
        <v>Entre 1,66m e 1,70m</v>
      </c>
      <c r="U1057" s="1" t="str">
        <f>IFERROR(__xludf.DUMMYFUNCTION("""COMPUTED_VALUE"""),"Não POSSUI")</f>
        <v>Não POSSUI</v>
      </c>
      <c r="V1057" s="1">
        <f>IFERROR(__xludf.DUMMYFUNCTION("""COMPUTED_VALUE"""),51992159880)</f>
        <v>51992159880</v>
      </c>
      <c r="W1057" s="1" t="str">
        <f>IFERROR(__xludf.DUMMYFUNCTION("""COMPUTED_VALUE"""),"51994304469(MARIA CRISTINE)")</f>
        <v>51994304469(MARIA CRISTINE)</v>
      </c>
      <c r="X1057" s="1" t="str">
        <f>IFERROR(__xludf.DUMMYFUNCTION("""COMPUTED_VALUE"""),"RS")</f>
        <v>RS</v>
      </c>
      <c r="Y1057" s="1" t="str">
        <f>IFERROR(__xludf.DUMMYFUNCTION("""COMPUTED_VALUE"""),"Balneário Pinhal")</f>
        <v>Balneário Pinhal</v>
      </c>
      <c r="Z1057" s="1">
        <f>IFERROR(__xludf.DUMMYFUNCTION("""COMPUTED_VALUE"""),95599000)</f>
        <v>95599000</v>
      </c>
      <c r="AA1057" s="1" t="str">
        <f>IFERROR(__xludf.DUMMYFUNCTION("""COMPUTED_VALUE"""),"SANTIAGO 522")</f>
        <v>SANTIAGO 522</v>
      </c>
      <c r="AB1057" s="1" t="str">
        <f>IFERROR(__xludf.DUMMYFUNCTION("""COMPUTED_VALUE"""),"MAGISTÉRIO")</f>
        <v>MAGISTÉRIO</v>
      </c>
      <c r="AC1057" s="1" t="str">
        <f>IFERROR(__xludf.DUMMYFUNCTION("""COMPUTED_VALUE"""),"G")</f>
        <v>G</v>
      </c>
      <c r="AD1057" s="1" t="str">
        <f>IFERROR(__xludf.DUMMYFUNCTION("""COMPUTED_VALUE"""),"G")</f>
        <v>G</v>
      </c>
      <c r="AE1057" s="1" t="str">
        <f>IFERROR(__xludf.DUMMYFUNCTION("""COMPUTED_VALUE"""),"G")</f>
        <v>G</v>
      </c>
      <c r="AF1057" s="1" t="str">
        <f>IFERROR(__xludf.DUMMYFUNCTION("""COMPUTED_VALUE"""),"G")</f>
        <v>G</v>
      </c>
      <c r="AG1057" s="1" t="str">
        <f>IFERROR(__xludf.DUMMYFUNCTION("""COMPUTED_VALUE"""),"G")</f>
        <v>G</v>
      </c>
      <c r="AH1057" s="1">
        <f>IFERROR(__xludf.DUMMYFUNCTION("""COMPUTED_VALUE"""),40)</f>
        <v>40</v>
      </c>
      <c r="AI1057" s="1">
        <f>IFERROR(__xludf.DUMMYFUNCTION("""COMPUTED_VALUE"""),40)</f>
        <v>40</v>
      </c>
      <c r="AJ1057" s="1">
        <f>IFERROR(__xludf.DUMMYFUNCTION("""COMPUTED_VALUE"""),40)</f>
        <v>40</v>
      </c>
      <c r="AK1057" s="1">
        <f>IFERROR(__xludf.DUMMYFUNCTION("""COMPUTED_VALUE"""),40)</f>
        <v>40</v>
      </c>
      <c r="AL1057" s="1" t="str">
        <f>IFERROR(__xludf.DUMMYFUNCTION("""COMPUTED_VALUE"""),"G")</f>
        <v>G</v>
      </c>
      <c r="AM1057" s="1" t="str">
        <f>IFERROR(__xludf.DUMMYFUNCTION("""COMPUTED_VALUE"""),"G")</f>
        <v>G</v>
      </c>
      <c r="AN1057" s="1" t="str">
        <f>IFERROR(__xludf.DUMMYFUNCTION("""COMPUTED_VALUE"""),"G")</f>
        <v>G</v>
      </c>
    </row>
    <row r="1058" customHeight="1" spans="1:40">
      <c r="A1058" s="1" t="str">
        <f>IFERROR(__xludf.DUMMYFUNCTION("""COMPUTED_VALUE"""),"09° BBM")</f>
        <v>09° BBM</v>
      </c>
      <c r="B1058" s="1" t="str">
        <f>IFERROR(__xludf.DUMMYFUNCTION("""COMPUTED_VALUE"""),"Balneário Pinhal")</f>
        <v>Balneário Pinhal</v>
      </c>
      <c r="C1058" s="119" t="str">
        <f>IFERROR(__xludf.DUMMYFUNCTION("""COMPUTED_VALUE"""),"CAB")</f>
        <v>CAB</v>
      </c>
      <c r="D1058" s="1" t="str">
        <f>IFERROR(__xludf.DUMMYFUNCTION("""COMPUTED_VALUE"""),"DIEGO QUEIROZ FEIJO")</f>
        <v>DIEGO QUEIROZ FEIJO</v>
      </c>
      <c r="E1058" s="119" t="str">
        <f>IFERROR(__xludf.DUMMYFUNCTION("""COMPUTED_VALUE"""),"Curso CAB operador concluído")</f>
        <v>Curso CAB operador concluído</v>
      </c>
      <c r="F1058" s="1" t="str">
        <f>IFERROR(__xludf.DUMMYFUNCTION("""COMPUTED_VALUE"""),"824.281.820-72")</f>
        <v>824.281.820-72</v>
      </c>
      <c r="G1058" s="1">
        <f>IFERROR(__xludf.DUMMYFUNCTION("""COMPUTED_VALUE"""),2086328991)</f>
        <v>2086328991</v>
      </c>
      <c r="H1058" s="1" t="str">
        <f>IFERROR(__xludf.DUMMYFUNCTION("""COMPUTED_VALUE"""),"COMBATENTE")</f>
        <v>COMBATENTE</v>
      </c>
      <c r="I1058" s="1" t="str">
        <f>IFERROR(__xludf.DUMMYFUNCTION("""COMPUTED_VALUE"""),"APH; BLS; RESGATE VEICULAR; BOMBEIRO CIVIL CLASSE I")</f>
        <v>APH; BLS; RESGATE VEICULAR; BOMBEIRO CIVIL CLASSE I</v>
      </c>
      <c r="J1058" s="1" t="str">
        <f>IFERROR(__xludf.DUMMYFUNCTION("""COMPUTED_VALUE"""),"Sim")</f>
        <v>Sim</v>
      </c>
      <c r="K1058" s="1" t="str">
        <f>IFERROR(__xludf.DUMMYFUNCTION("""COMPUTED_VALUE"""),"Não")</f>
        <v>Não</v>
      </c>
      <c r="L1058" s="1" t="str">
        <f>IFERROR(__xludf.DUMMYFUNCTION("""COMPUTED_VALUE"""),"O+")</f>
        <v>O+</v>
      </c>
      <c r="M1058" s="1" t="str">
        <f>IFERROR(__xludf.DUMMYFUNCTION("""COMPUTED_VALUE"""),"FEIJÓ")</f>
        <v>FEIJÓ</v>
      </c>
      <c r="N1058" s="120">
        <f>IFERROR(__xludf.DUMMYFUNCTION("""COMPUTED_VALUE"""),29960)</f>
        <v>29960</v>
      </c>
      <c r="O1058" s="1" t="str">
        <f>IFERROR(__xludf.DUMMYFUNCTION("""COMPUTED_VALUE"""),"Masculino")</f>
        <v>Masculino</v>
      </c>
      <c r="P1058" s="1" t="str">
        <f>IFERROR(__xludf.DUMMYFUNCTION("""COMPUTED_VALUE"""),"Branca")</f>
        <v>Branca</v>
      </c>
      <c r="Q1058" s="1" t="str">
        <f>IFERROR(__xludf.DUMMYFUNCTION("""COMPUTED_VALUE"""),"Ensino Médio")</f>
        <v>Ensino Médio</v>
      </c>
      <c r="R1058" s="1" t="str">
        <f>IFERROR(__xludf.DUMMYFUNCTION("""COMPUTED_VALUE"""),"DIEGOQUEIROZ55@GMAIL.COM")</f>
        <v>DIEGOQUEIROZ55@GMAIL.COM</v>
      </c>
      <c r="S1058" s="1" t="str">
        <f>IFERROR(__xludf.DUMMYFUNCTION("""COMPUTED_VALUE"""),"84KG")</f>
        <v>84KG</v>
      </c>
      <c r="T1058" s="1" t="str">
        <f>IFERROR(__xludf.DUMMYFUNCTION("""COMPUTED_VALUE"""),"Entre 1,66m e 1,70m")</f>
        <v>Entre 1,66m e 1,70m</v>
      </c>
      <c r="U1058" s="1" t="str">
        <f>IFERROR(__xludf.DUMMYFUNCTION("""COMPUTED_VALUE"""),"Não POSSUI")</f>
        <v>Não POSSUI</v>
      </c>
      <c r="V1058" s="1">
        <f>IFERROR(__xludf.DUMMYFUNCTION("""COMPUTED_VALUE"""),51998833674)</f>
        <v>51998833674</v>
      </c>
      <c r="W1058" s="1" t="str">
        <f>IFERROR(__xludf.DUMMYFUNCTION("""COMPUTED_VALUE"""),"51996681306(GENECI)")</f>
        <v>51996681306(GENECI)</v>
      </c>
      <c r="X1058" s="1" t="str">
        <f>IFERROR(__xludf.DUMMYFUNCTION("""COMPUTED_VALUE"""),"RS")</f>
        <v>RS</v>
      </c>
      <c r="Y1058" s="1" t="str">
        <f>IFERROR(__xludf.DUMMYFUNCTION("""COMPUTED_VALUE"""),"Balneário Pinhal")</f>
        <v>Balneário Pinhal</v>
      </c>
      <c r="Z1058" s="1">
        <f>IFERROR(__xludf.DUMMYFUNCTION("""COMPUTED_VALUE"""),95599000)</f>
        <v>95599000</v>
      </c>
      <c r="AA1058" s="1" t="str">
        <f>IFERROR(__xludf.DUMMYFUNCTION("""COMPUTED_VALUE"""),"MONTENEGRO 204")</f>
        <v>MONTENEGRO 204</v>
      </c>
      <c r="AB1058" s="1" t="str">
        <f>IFERROR(__xludf.DUMMYFUNCTION("""COMPUTED_VALUE"""),"MAGISTÉRIO")</f>
        <v>MAGISTÉRIO</v>
      </c>
      <c r="AC1058" s="1" t="str">
        <f>IFERROR(__xludf.DUMMYFUNCTION("""COMPUTED_VALUE"""),"G")</f>
        <v>G</v>
      </c>
      <c r="AD1058" s="1" t="str">
        <f>IFERROR(__xludf.DUMMYFUNCTION("""COMPUTED_VALUE"""),"G")</f>
        <v>G</v>
      </c>
      <c r="AE1058" s="1" t="str">
        <f>IFERROR(__xludf.DUMMYFUNCTION("""COMPUTED_VALUE"""),"G")</f>
        <v>G</v>
      </c>
      <c r="AF1058" s="1" t="str">
        <f>IFERROR(__xludf.DUMMYFUNCTION("""COMPUTED_VALUE"""),"G")</f>
        <v>G</v>
      </c>
      <c r="AG1058" s="1" t="str">
        <f>IFERROR(__xludf.DUMMYFUNCTION("""COMPUTED_VALUE"""),"G")</f>
        <v>G</v>
      </c>
      <c r="AH1058" s="1">
        <f>IFERROR(__xludf.DUMMYFUNCTION("""COMPUTED_VALUE"""),40)</f>
        <v>40</v>
      </c>
      <c r="AI1058" s="1">
        <f>IFERROR(__xludf.DUMMYFUNCTION("""COMPUTED_VALUE"""),40)</f>
        <v>40</v>
      </c>
      <c r="AJ1058" s="1">
        <f>IFERROR(__xludf.DUMMYFUNCTION("""COMPUTED_VALUE"""),40)</f>
        <v>40</v>
      </c>
      <c r="AK1058" s="1">
        <f>IFERROR(__xludf.DUMMYFUNCTION("""COMPUTED_VALUE"""),40)</f>
        <v>40</v>
      </c>
      <c r="AL1058" s="1" t="str">
        <f>IFERROR(__xludf.DUMMYFUNCTION("""COMPUTED_VALUE"""),"G")</f>
        <v>G</v>
      </c>
      <c r="AM1058" s="1" t="str">
        <f>IFERROR(__xludf.DUMMYFUNCTION("""COMPUTED_VALUE"""),"G")</f>
        <v>G</v>
      </c>
      <c r="AN1058" s="1" t="str">
        <f>IFERROR(__xludf.DUMMYFUNCTION("""COMPUTED_VALUE"""),"G")</f>
        <v>G</v>
      </c>
    </row>
    <row r="1059" customHeight="1" spans="1:40">
      <c r="A1059" s="126" t="str">
        <f>IFERROR(__xludf.DUMMYFUNCTION("""COMPUTED_VALUE"""),"09° BBM")</f>
        <v>09° BBM</v>
      </c>
      <c r="B1059" s="1" t="str">
        <f>IFERROR(__xludf.DUMMYFUNCTION("""COMPUTED_VALUE"""),"Balneário Pinhal")</f>
        <v>Balneário Pinhal</v>
      </c>
      <c r="C1059" s="119" t="str">
        <f>IFERROR(__xludf.DUMMYFUNCTION("""COMPUTED_VALUE"""),"CAB")</f>
        <v>CAB</v>
      </c>
      <c r="D1059" s="1" t="str">
        <f>IFERROR(__xludf.DUMMYFUNCTION("""COMPUTED_VALUE"""),"DILNEI DA SILVA CUSTODIO")</f>
        <v>DILNEI DA SILVA CUSTODIO</v>
      </c>
      <c r="E1059" s="119" t="str">
        <f>IFERROR(__xludf.DUMMYFUNCTION("""COMPUTED_VALUE"""),"Módulo 1 concluído")</f>
        <v>Módulo 1 concluído</v>
      </c>
      <c r="F1059" s="1" t="str">
        <f>IFERROR(__xludf.DUMMYFUNCTION("""COMPUTED_VALUE"""),"003.145.220-50")</f>
        <v>003.145.220-50</v>
      </c>
      <c r="G1059" s="1">
        <f>IFERROR(__xludf.DUMMYFUNCTION("""COMPUTED_VALUE"""),1113090904)</f>
        <v>1113090904</v>
      </c>
      <c r="H1059" s="1" t="str">
        <f>IFERROR(__xludf.DUMMYFUNCTION("""COMPUTED_VALUE"""),"COMBATENTE")</f>
        <v>COMBATENTE</v>
      </c>
      <c r="I1059" s="1" t="str">
        <f>IFERROR(__xludf.DUMMYFUNCTION("""COMPUTED_VALUE"""),"APH; BLS; RESGATE VEICULAR; BOMBEIRO CIVIL CLASSE I")</f>
        <v>APH; BLS; RESGATE VEICULAR; BOMBEIRO CIVIL CLASSE I</v>
      </c>
      <c r="J1059" s="1" t="str">
        <f>IFERROR(__xludf.DUMMYFUNCTION("""COMPUTED_VALUE"""),"Sim")</f>
        <v>Sim</v>
      </c>
      <c r="K1059" s="1" t="str">
        <f>IFERROR(__xludf.DUMMYFUNCTION("""COMPUTED_VALUE"""),"Sim")</f>
        <v>Sim</v>
      </c>
      <c r="L1059" s="1" t="str">
        <f>IFERROR(__xludf.DUMMYFUNCTION("""COMPUTED_VALUE"""),"O-")</f>
        <v>O-</v>
      </c>
      <c r="M1059" s="1" t="str">
        <f>IFERROR(__xludf.DUMMYFUNCTION("""COMPUTED_VALUE"""),"DILNEI")</f>
        <v>DILNEI</v>
      </c>
      <c r="N1059" s="120">
        <f>IFERROR(__xludf.DUMMYFUNCTION("""COMPUTED_VALUE"""),29607)</f>
        <v>29607</v>
      </c>
      <c r="O1059" s="1" t="str">
        <f>IFERROR(__xludf.DUMMYFUNCTION("""COMPUTED_VALUE"""),"Masculino")</f>
        <v>Masculino</v>
      </c>
      <c r="P1059" s="1" t="str">
        <f>IFERROR(__xludf.DUMMYFUNCTION("""COMPUTED_VALUE"""),"Branca")</f>
        <v>Branca</v>
      </c>
      <c r="Q1059" s="1" t="str">
        <f>IFERROR(__xludf.DUMMYFUNCTION("""COMPUTED_VALUE"""),"Ensino Médio")</f>
        <v>Ensino Médio</v>
      </c>
      <c r="R1059" s="1" t="str">
        <f>IFERROR(__xludf.DUMMYFUNCTION("""COMPUTED_VALUE"""),"DILNEICUSTODIO1@GMAIL.COM")</f>
        <v>DILNEICUSTODIO1@GMAIL.COM</v>
      </c>
      <c r="S1059" s="1" t="str">
        <f>IFERROR(__xludf.DUMMYFUNCTION("""COMPUTED_VALUE"""),"84KG")</f>
        <v>84KG</v>
      </c>
      <c r="T1059" s="1" t="str">
        <f>IFERROR(__xludf.DUMMYFUNCTION("""COMPUTED_VALUE"""),"Entre 1,61m e 1,65m")</f>
        <v>Entre 1,61m e 1,65m</v>
      </c>
      <c r="U1059" s="1" t="str">
        <f>IFERROR(__xludf.DUMMYFUNCTION("""COMPUTED_VALUE"""),"Não POSSUI")</f>
        <v>Não POSSUI</v>
      </c>
      <c r="V1059" s="1">
        <f>IFERROR(__xludf.DUMMYFUNCTION("""COMPUTED_VALUE"""),51992559781)</f>
        <v>51992559781</v>
      </c>
      <c r="W1059" s="1" t="str">
        <f>IFERROR(__xludf.DUMMYFUNCTION("""COMPUTED_VALUE"""),"51985587281(CELITA)")</f>
        <v>51985587281(CELITA)</v>
      </c>
      <c r="X1059" s="1" t="str">
        <f>IFERROR(__xludf.DUMMYFUNCTION("""COMPUTED_VALUE"""),"RS")</f>
        <v>RS</v>
      </c>
      <c r="Y1059" s="1" t="str">
        <f>IFERROR(__xludf.DUMMYFUNCTION("""COMPUTED_VALUE"""),"Balneário Pinhal")</f>
        <v>Balneário Pinhal</v>
      </c>
      <c r="Z1059" s="1">
        <f>IFERROR(__xludf.DUMMYFUNCTION("""COMPUTED_VALUE"""),95599000)</f>
        <v>95599000</v>
      </c>
      <c r="AA1059" s="1" t="str">
        <f>IFERROR(__xludf.DUMMYFUNCTION("""COMPUTED_VALUE"""),"TRIUNFO 1046")</f>
        <v>TRIUNFO 1046</v>
      </c>
      <c r="AB1059" s="1" t="str">
        <f>IFERROR(__xludf.DUMMYFUNCTION("""COMPUTED_VALUE"""),"MAGISTÉRIO")</f>
        <v>MAGISTÉRIO</v>
      </c>
      <c r="AC1059" s="1" t="str">
        <f>IFERROR(__xludf.DUMMYFUNCTION("""COMPUTED_VALUE"""),"G")</f>
        <v>G</v>
      </c>
      <c r="AD1059" s="1" t="str">
        <f>IFERROR(__xludf.DUMMYFUNCTION("""COMPUTED_VALUE"""),"G")</f>
        <v>G</v>
      </c>
      <c r="AE1059" s="1" t="str">
        <f>IFERROR(__xludf.DUMMYFUNCTION("""COMPUTED_VALUE"""),"G")</f>
        <v>G</v>
      </c>
      <c r="AF1059" s="1" t="str">
        <f>IFERROR(__xludf.DUMMYFUNCTION("""COMPUTED_VALUE"""),"G")</f>
        <v>G</v>
      </c>
      <c r="AG1059" s="1" t="str">
        <f>IFERROR(__xludf.DUMMYFUNCTION("""COMPUTED_VALUE"""),"G")</f>
        <v>G</v>
      </c>
      <c r="AH1059" s="1">
        <f>IFERROR(__xludf.DUMMYFUNCTION("""COMPUTED_VALUE"""),39)</f>
        <v>39</v>
      </c>
      <c r="AI1059" s="1">
        <f>IFERROR(__xludf.DUMMYFUNCTION("""COMPUTED_VALUE"""),39)</f>
        <v>39</v>
      </c>
      <c r="AJ1059" s="1">
        <f>IFERROR(__xludf.DUMMYFUNCTION("""COMPUTED_VALUE"""),39)</f>
        <v>39</v>
      </c>
      <c r="AK1059" s="1">
        <f>IFERROR(__xludf.DUMMYFUNCTION("""COMPUTED_VALUE"""),39)</f>
        <v>39</v>
      </c>
      <c r="AL1059" s="1" t="str">
        <f>IFERROR(__xludf.DUMMYFUNCTION("""COMPUTED_VALUE"""),"G")</f>
        <v>G</v>
      </c>
      <c r="AM1059" s="1" t="str">
        <f>IFERROR(__xludf.DUMMYFUNCTION("""COMPUTED_VALUE"""),"G")</f>
        <v>G</v>
      </c>
      <c r="AN1059" s="1" t="str">
        <f>IFERROR(__xludf.DUMMYFUNCTION("""COMPUTED_VALUE"""),"G")</f>
        <v>G</v>
      </c>
    </row>
    <row r="1060" customHeight="1" spans="1:40">
      <c r="A1060" s="1" t="str">
        <f>IFERROR(__xludf.DUMMYFUNCTION("""COMPUTED_VALUE"""),"09° BBM")</f>
        <v>09° BBM</v>
      </c>
      <c r="B1060" s="1" t="str">
        <f>IFERROR(__xludf.DUMMYFUNCTION("""COMPUTED_VALUE"""),"Arroio do Sal")</f>
        <v>Arroio do Sal</v>
      </c>
      <c r="C1060" s="119" t="str">
        <f>IFERROR(__xludf.DUMMYFUNCTION("""COMPUTED_VALUE"""),"CAB")</f>
        <v>CAB</v>
      </c>
      <c r="D1060" s="1" t="str">
        <f>IFERROR(__xludf.DUMMYFUNCTION("""COMPUTED_VALUE"""),"DIONATHA NATALINO DA SILVA MACIEL")</f>
        <v>DIONATHA NATALINO DA SILVA MACIEL</v>
      </c>
      <c r="E1060" s="119" t="str">
        <f>IFERROR(__xludf.DUMMYFUNCTION("""COMPUTED_VALUE"""),"")</f>
        <v/>
      </c>
      <c r="F1060" s="1" t="str">
        <f>IFERROR(__xludf.DUMMYFUNCTION("""COMPUTED_VALUE"""),"600.816.500-43")</f>
        <v>600.816.500-43</v>
      </c>
      <c r="G1060" s="1">
        <f>IFERROR(__xludf.DUMMYFUNCTION("""COMPUTED_VALUE"""),8122538294)</f>
        <v>8122538294</v>
      </c>
      <c r="H1060" s="1" t="str">
        <f>IFERROR(__xludf.DUMMYFUNCTION("""COMPUTED_VALUE"""),"CONDUTOR D")</f>
        <v>CONDUTOR D</v>
      </c>
      <c r="I1060" s="1" t="str">
        <f>IFERROR(__xludf.DUMMYFUNCTION("""COMPUTED_VALUE"""),"APH, salvamento aquático-CBM/RS, BLs, bombeiro civil, NR35,curso de resgate e combate a incêndio")</f>
        <v>APH, salvamento aquático-CBM/RS, BLs, bombeiro civil, NR35,curso de resgate e combate a incêndio</v>
      </c>
      <c r="J1060" s="1" t="str">
        <f>IFERROR(__xludf.DUMMYFUNCTION("""COMPUTED_VALUE"""),"Sim")</f>
        <v>Sim</v>
      </c>
      <c r="K1060" s="1" t="str">
        <f>IFERROR(__xludf.DUMMYFUNCTION("""COMPUTED_VALUE"""),"Sim")</f>
        <v>Sim</v>
      </c>
      <c r="L1060" s="1" t="str">
        <f>IFERROR(__xludf.DUMMYFUNCTION("""COMPUTED_VALUE"""),"A+")</f>
        <v>A+</v>
      </c>
      <c r="M1060" s="1" t="str">
        <f>IFERROR(__xludf.DUMMYFUNCTION("""COMPUTED_VALUE"""),"MACIEL")</f>
        <v>MACIEL</v>
      </c>
      <c r="N1060" s="120">
        <f>IFERROR(__xludf.DUMMYFUNCTION("""COMPUTED_VALUE"""),35996)</f>
        <v>35996</v>
      </c>
      <c r="O1060" s="1" t="str">
        <f>IFERROR(__xludf.DUMMYFUNCTION("""COMPUTED_VALUE"""),"Masculino")</f>
        <v>Masculino</v>
      </c>
      <c r="P1060" s="1" t="str">
        <f>IFERROR(__xludf.DUMMYFUNCTION("""COMPUTED_VALUE"""),"Branca")</f>
        <v>Branca</v>
      </c>
      <c r="Q1060" s="1" t="str">
        <f>IFERROR(__xludf.DUMMYFUNCTION("""COMPUTED_VALUE"""),"Ensino Médio")</f>
        <v>Ensino Médio</v>
      </c>
      <c r="R1060" s="1" t="str">
        <f>IFERROR(__xludf.DUMMYFUNCTION("""COMPUTED_VALUE"""),"SILVADIONATHA1@GMAIL.COM")</f>
        <v>SILVADIONATHA1@GMAIL.COM</v>
      </c>
      <c r="S1060" s="1" t="str">
        <f>IFERROR(__xludf.DUMMYFUNCTION("""COMPUTED_VALUE"""),"83 KG")</f>
        <v>83 KG</v>
      </c>
      <c r="T1060" s="1" t="str">
        <f>IFERROR(__xludf.DUMMYFUNCTION("""COMPUTED_VALUE"""),"Entre 1,71m e 1,75m")</f>
        <v>Entre 1,71m e 1,75m</v>
      </c>
      <c r="U1060" s="1">
        <f>IFERROR(__xludf.DUMMYFUNCTION("""COMPUTED_VALUE"""),36254316)</f>
        <v>36254316</v>
      </c>
      <c r="V1060" s="1" t="str">
        <f>IFERROR(__xludf.DUMMYFUNCTION("""COMPUTED_VALUE"""),"(51) 99630-8682")</f>
        <v>(51) 99630-8682</v>
      </c>
      <c r="W1060" s="1" t="str">
        <f>IFERROR(__xludf.DUMMYFUNCTION("""COMPUTED_VALUE"""),"(51) 98130-4895")</f>
        <v>(51) 98130-4895</v>
      </c>
      <c r="X1060" s="1" t="str">
        <f>IFERROR(__xludf.DUMMYFUNCTION("""COMPUTED_VALUE"""),"RS")</f>
        <v>RS</v>
      </c>
      <c r="Y1060" s="1" t="str">
        <f>IFERROR(__xludf.DUMMYFUNCTION("""COMPUTED_VALUE"""),"Capão da Canoa")</f>
        <v>Capão da Canoa</v>
      </c>
      <c r="Z1060" s="1" t="str">
        <f>IFERROR(__xludf.DUMMYFUNCTION("""COMPUTED_VALUE"""),"95555-000")</f>
        <v>95555-000</v>
      </c>
      <c r="AA1060" s="1" t="str">
        <f>IFERROR(__xludf.DUMMYFUNCTION("""COMPUTED_VALUE"""),"AV. PARAGUASSU, N°140 LOJA 01")</f>
        <v>AV. PARAGUASSU, N°140 LOJA 01</v>
      </c>
      <c r="AB1060" s="1" t="str">
        <f>IFERROR(__xludf.DUMMYFUNCTION("""COMPUTED_VALUE"""),"ARAÇÁ")</f>
        <v>ARAÇÁ</v>
      </c>
      <c r="AC1060" s="1" t="str">
        <f>IFERROR(__xludf.DUMMYFUNCTION("""COMPUTED_VALUE"""),"P")</f>
        <v>P</v>
      </c>
      <c r="AD1060" s="1" t="str">
        <f>IFERROR(__xludf.DUMMYFUNCTION("""COMPUTED_VALUE"""),"M")</f>
        <v>M</v>
      </c>
      <c r="AE1060" s="1" t="str">
        <f>IFERROR(__xludf.DUMMYFUNCTION("""COMPUTED_VALUE"""),"M")</f>
        <v>M</v>
      </c>
      <c r="AF1060" s="1" t="str">
        <f>IFERROR(__xludf.DUMMYFUNCTION("""COMPUTED_VALUE"""),"M")</f>
        <v>M</v>
      </c>
      <c r="AG1060" s="1" t="str">
        <f>IFERROR(__xludf.DUMMYFUNCTION("""COMPUTED_VALUE"""),"M")</f>
        <v>M</v>
      </c>
      <c r="AH1060" s="1">
        <f>IFERROR(__xludf.DUMMYFUNCTION("""COMPUTED_VALUE"""),41)</f>
        <v>41</v>
      </c>
      <c r="AI1060" s="1">
        <f>IFERROR(__xludf.DUMMYFUNCTION("""COMPUTED_VALUE"""),41)</f>
        <v>41</v>
      </c>
      <c r="AJ1060" s="1">
        <f>IFERROR(__xludf.DUMMYFUNCTION("""COMPUTED_VALUE"""),41)</f>
        <v>41</v>
      </c>
      <c r="AK1060" s="1">
        <f>IFERROR(__xludf.DUMMYFUNCTION("""COMPUTED_VALUE"""),41)</f>
        <v>41</v>
      </c>
      <c r="AL1060" s="1" t="str">
        <f>IFERROR(__xludf.DUMMYFUNCTION("""COMPUTED_VALUE"""),"M")</f>
        <v>M</v>
      </c>
      <c r="AM1060" s="1" t="str">
        <f>IFERROR(__xludf.DUMMYFUNCTION("""COMPUTED_VALUE"""),"P")</f>
        <v>P</v>
      </c>
      <c r="AN1060" s="1" t="str">
        <f>IFERROR(__xludf.DUMMYFUNCTION("""COMPUTED_VALUE"""),"M")</f>
        <v>M</v>
      </c>
    </row>
    <row r="1061" customHeight="1" spans="1:40">
      <c r="A1061" s="1" t="str">
        <f>IFERROR(__xludf.DUMMYFUNCTION("""COMPUTED_VALUE"""),"09° BBM")</f>
        <v>09° BBM</v>
      </c>
      <c r="B1061" s="1" t="str">
        <f>IFERROR(__xludf.DUMMYFUNCTION("""COMPUTED_VALUE"""),"Balneário Pinhal")</f>
        <v>Balneário Pinhal</v>
      </c>
      <c r="C1061" s="119" t="str">
        <f>IFERROR(__xludf.DUMMYFUNCTION("""COMPUTED_VALUE"""),"CAB")</f>
        <v>CAB</v>
      </c>
      <c r="D1061" s="1" t="str">
        <f>IFERROR(__xludf.DUMMYFUNCTION("""COMPUTED_VALUE"""),"EDERSON LUIS DE OLIVEIRA CONCEIÇÃO")</f>
        <v>EDERSON LUIS DE OLIVEIRA CONCEIÇÃO</v>
      </c>
      <c r="E1061" s="119" t="str">
        <f>IFERROR(__xludf.DUMMYFUNCTION("""COMPUTED_VALUE"""),"Módulo 1 concluído")</f>
        <v>Módulo 1 concluído</v>
      </c>
      <c r="F1061" s="1" t="str">
        <f>IFERROR(__xludf.DUMMYFUNCTION("""COMPUTED_VALUE"""),"904.503.100-00")</f>
        <v>904.503.100-00</v>
      </c>
      <c r="G1061" s="1">
        <f>IFERROR(__xludf.DUMMYFUNCTION("""COMPUTED_VALUE"""),1052146568)</f>
        <v>1052146568</v>
      </c>
      <c r="H1061" s="1" t="str">
        <f>IFERROR(__xludf.DUMMYFUNCTION("""COMPUTED_VALUE"""),"CONDUTOR D")</f>
        <v>CONDUTOR D</v>
      </c>
      <c r="I1061" s="1" t="str">
        <f>IFERROR(__xludf.DUMMYFUNCTION("""COMPUTED_VALUE"""),"APH; BLS; RESGATE VEICULAR; CAT D e VEÍCULO DE EMERGÊNCIA; BOMBEIRO CIVIL CLASSE I")</f>
        <v>APH; BLS; RESGATE VEICULAR; CAT D e VEÍCULO DE EMERGÊNCIA; BOMBEIRO CIVIL CLASSE I</v>
      </c>
      <c r="J1061" s="1" t="str">
        <f>IFERROR(__xludf.DUMMYFUNCTION("""COMPUTED_VALUE"""),"Não")</f>
        <v>Não</v>
      </c>
      <c r="K1061" s="1" t="str">
        <f>IFERROR(__xludf.DUMMYFUNCTION("""COMPUTED_VALUE"""),"Não")</f>
        <v>Não</v>
      </c>
      <c r="L1061" s="1" t="str">
        <f>IFERROR(__xludf.DUMMYFUNCTION("""COMPUTED_VALUE"""),"O+")</f>
        <v>O+</v>
      </c>
      <c r="M1061" s="1" t="str">
        <f>IFERROR(__xludf.DUMMYFUNCTION("""COMPUTED_VALUE"""),"CONCEIÇÃO")</f>
        <v>CONCEIÇÃO</v>
      </c>
      <c r="N1061" s="120">
        <f>IFERROR(__xludf.DUMMYFUNCTION("""COMPUTED_VALUE"""),26887)</f>
        <v>26887</v>
      </c>
      <c r="O1061" s="1" t="str">
        <f>IFERROR(__xludf.DUMMYFUNCTION("""COMPUTED_VALUE"""),"Masculino")</f>
        <v>Masculino</v>
      </c>
      <c r="P1061" s="1" t="str">
        <f>IFERROR(__xludf.DUMMYFUNCTION("""COMPUTED_VALUE"""),"Branca")</f>
        <v>Branca</v>
      </c>
      <c r="Q1061" s="1" t="str">
        <f>IFERROR(__xludf.DUMMYFUNCTION("""COMPUTED_VALUE"""),"Ensino Médio")</f>
        <v>Ensino Médio</v>
      </c>
      <c r="R1061" s="1" t="str">
        <f>IFERROR(__xludf.DUMMYFUNCTION("""COMPUTED_VALUE"""),"LUISCONCEICAO16221@GMAIL.COM")</f>
        <v>LUISCONCEICAO16221@GMAIL.COM</v>
      </c>
      <c r="S1061" s="1" t="str">
        <f>IFERROR(__xludf.DUMMYFUNCTION("""COMPUTED_VALUE"""),"84KG")</f>
        <v>84KG</v>
      </c>
      <c r="T1061" s="1" t="str">
        <f>IFERROR(__xludf.DUMMYFUNCTION("""COMPUTED_VALUE"""),"Entre 1,81m e 1,85m")</f>
        <v>Entre 1,81m e 1,85m</v>
      </c>
      <c r="U1061" s="1" t="str">
        <f>IFERROR(__xludf.DUMMYFUNCTION("""COMPUTED_VALUE"""),"Não POSSUI")</f>
        <v>Não POSSUI</v>
      </c>
      <c r="V1061" s="1">
        <f>IFERROR(__xludf.DUMMYFUNCTION("""COMPUTED_VALUE"""),51995942264)</f>
        <v>51995942264</v>
      </c>
      <c r="W1061" s="1" t="str">
        <f>IFERROR(__xludf.DUMMYFUNCTION("""COMPUTED_VALUE"""),"51998271328(MARCIANO)")</f>
        <v>51998271328(MARCIANO)</v>
      </c>
      <c r="X1061" s="1" t="str">
        <f>IFERROR(__xludf.DUMMYFUNCTION("""COMPUTED_VALUE"""),"RS")</f>
        <v>RS</v>
      </c>
      <c r="Y1061" s="1" t="str">
        <f>IFERROR(__xludf.DUMMYFUNCTION("""COMPUTED_VALUE"""),"Balneário Pinhal")</f>
        <v>Balneário Pinhal</v>
      </c>
      <c r="Z1061" s="1">
        <f>IFERROR(__xludf.DUMMYFUNCTION("""COMPUTED_VALUE"""),95599000)</f>
        <v>95599000</v>
      </c>
      <c r="AA1061" s="1" t="str">
        <f>IFERROR(__xludf.DUMMYFUNCTION("""COMPUTED_VALUE"""),"JOSÉ ORLANDO DE FREITAS 1575")</f>
        <v>JOSÉ ORLANDO DE FREITAS 1575</v>
      </c>
      <c r="AB1061" s="1" t="str">
        <f>IFERROR(__xludf.DUMMYFUNCTION("""COMPUTED_VALUE"""),"CENTRO")</f>
        <v>CENTRO</v>
      </c>
      <c r="AC1061" s="1" t="str">
        <f>IFERROR(__xludf.DUMMYFUNCTION("""COMPUTED_VALUE"""),"EXG")</f>
        <v>EXG</v>
      </c>
      <c r="AD1061" s="1" t="str">
        <f>IFERROR(__xludf.DUMMYFUNCTION("""COMPUTED_VALUE"""),"EXG")</f>
        <v>EXG</v>
      </c>
      <c r="AE1061" s="1" t="str">
        <f>IFERROR(__xludf.DUMMYFUNCTION("""COMPUTED_VALUE"""),"EXG")</f>
        <v>EXG</v>
      </c>
      <c r="AF1061" s="1" t="str">
        <f>IFERROR(__xludf.DUMMYFUNCTION("""COMPUTED_VALUE"""),"EXG")</f>
        <v>EXG</v>
      </c>
      <c r="AG1061" s="1" t="str">
        <f>IFERROR(__xludf.DUMMYFUNCTION("""COMPUTED_VALUE"""),"EXG")</f>
        <v>EXG</v>
      </c>
      <c r="AH1061" s="1">
        <f>IFERROR(__xludf.DUMMYFUNCTION("""COMPUTED_VALUE"""),42)</f>
        <v>42</v>
      </c>
      <c r="AI1061" s="1">
        <f>IFERROR(__xludf.DUMMYFUNCTION("""COMPUTED_VALUE"""),42)</f>
        <v>42</v>
      </c>
      <c r="AJ1061" s="1">
        <f>IFERROR(__xludf.DUMMYFUNCTION("""COMPUTED_VALUE"""),42)</f>
        <v>42</v>
      </c>
      <c r="AK1061" s="1">
        <f>IFERROR(__xludf.DUMMYFUNCTION("""COMPUTED_VALUE"""),42)</f>
        <v>42</v>
      </c>
      <c r="AL1061" s="1" t="str">
        <f>IFERROR(__xludf.DUMMYFUNCTION("""COMPUTED_VALUE"""),"EXG")</f>
        <v>EXG</v>
      </c>
      <c r="AM1061" s="1" t="str">
        <f>IFERROR(__xludf.DUMMYFUNCTION("""COMPUTED_VALUE"""),"EXG")</f>
        <v>EXG</v>
      </c>
      <c r="AN1061" s="1" t="str">
        <f>IFERROR(__xludf.DUMMYFUNCTION("""COMPUTED_VALUE"""),"G")</f>
        <v>G</v>
      </c>
    </row>
    <row r="1062" customHeight="1" spans="1:40">
      <c r="A1062" s="1" t="str">
        <f>IFERROR(__xludf.DUMMYFUNCTION("""COMPUTED_VALUE"""),"09° BBM")</f>
        <v>09° BBM</v>
      </c>
      <c r="B1062" s="1" t="str">
        <f>IFERROR(__xludf.DUMMYFUNCTION("""COMPUTED_VALUE"""),"Balneário Pinhal")</f>
        <v>Balneário Pinhal</v>
      </c>
      <c r="C1062" s="119" t="str">
        <f>IFERROR(__xludf.DUMMYFUNCTION("""COMPUTED_VALUE"""),"CAB")</f>
        <v>CAB</v>
      </c>
      <c r="D1062" s="1" t="str">
        <f>IFERROR(__xludf.DUMMYFUNCTION("""COMPUTED_VALUE"""),"EDINARDO REGIS SEGATO")</f>
        <v>EDINARDO REGIS SEGATO</v>
      </c>
      <c r="E1062" s="119" t="str">
        <f>IFERROR(__xludf.DUMMYFUNCTION("""COMPUTED_VALUE"""),"Módulo 1 concluído")</f>
        <v>Módulo 1 concluído</v>
      </c>
      <c r="F1062" s="1" t="str">
        <f>IFERROR(__xludf.DUMMYFUNCTION("""COMPUTED_VALUE"""),"826.725.120-00")</f>
        <v>826.725.120-00</v>
      </c>
      <c r="G1062" s="1">
        <f>IFERROR(__xludf.DUMMYFUNCTION("""COMPUTED_VALUE"""),2066264835)</f>
        <v>2066264835</v>
      </c>
      <c r="H1062" s="1" t="str">
        <f>IFERROR(__xludf.DUMMYFUNCTION("""COMPUTED_VALUE"""),"CONDUTOR D")</f>
        <v>CONDUTOR D</v>
      </c>
      <c r="I1062" s="1" t="str">
        <f>IFERROR(__xludf.DUMMYFUNCTION("""COMPUTED_VALUE"""),"APH; BLS; CAT D e VEÍCULO DE EMERGÊNCIA;")</f>
        <v>APH; BLS; CAT D e VEÍCULO DE EMERGÊNCIA;</v>
      </c>
      <c r="J1062" s="1" t="str">
        <f>IFERROR(__xludf.DUMMYFUNCTION("""COMPUTED_VALUE"""),"Não")</f>
        <v>Não</v>
      </c>
      <c r="K1062" s="1" t="str">
        <f>IFERROR(__xludf.DUMMYFUNCTION("""COMPUTED_VALUE"""),"Não")</f>
        <v>Não</v>
      </c>
      <c r="L1062" s="1" t="str">
        <f>IFERROR(__xludf.DUMMYFUNCTION("""COMPUTED_VALUE"""),"AB+")</f>
        <v>AB+</v>
      </c>
      <c r="M1062" s="1" t="str">
        <f>IFERROR(__xludf.DUMMYFUNCTION("""COMPUTED_VALUE"""),"SEGATO")</f>
        <v>SEGATO</v>
      </c>
      <c r="N1062" s="120">
        <f>IFERROR(__xludf.DUMMYFUNCTION("""COMPUTED_VALUE"""),29397)</f>
        <v>29397</v>
      </c>
      <c r="O1062" s="1" t="str">
        <f>IFERROR(__xludf.DUMMYFUNCTION("""COMPUTED_VALUE"""),"Masculino")</f>
        <v>Masculino</v>
      </c>
      <c r="P1062" s="1" t="str">
        <f>IFERROR(__xludf.DUMMYFUNCTION("""COMPUTED_VALUE"""),"Preta")</f>
        <v>Preta</v>
      </c>
      <c r="Q1062" s="1" t="str">
        <f>IFERROR(__xludf.DUMMYFUNCTION("""COMPUTED_VALUE"""),"Ensino Médio")</f>
        <v>Ensino Médio</v>
      </c>
      <c r="R1062" s="1" t="str">
        <f>IFERROR(__xludf.DUMMYFUNCTION("""COMPUTED_VALUE"""),"EDINARDOREGISSEGATO@GMAIL.COM")</f>
        <v>EDINARDOREGISSEGATO@GMAIL.COM</v>
      </c>
      <c r="S1062" s="1" t="str">
        <f>IFERROR(__xludf.DUMMYFUNCTION("""COMPUTED_VALUE"""),"84KG")</f>
        <v>84KG</v>
      </c>
      <c r="T1062" s="1" t="str">
        <f>IFERROR(__xludf.DUMMYFUNCTION("""COMPUTED_VALUE"""),"Entre 1,66m e 1,70m")</f>
        <v>Entre 1,66m e 1,70m</v>
      </c>
      <c r="U1062" s="1" t="str">
        <f>IFERROR(__xludf.DUMMYFUNCTION("""COMPUTED_VALUE"""),"Não POSSUI")</f>
        <v>Não POSSUI</v>
      </c>
      <c r="V1062" s="1">
        <f>IFERROR(__xludf.DUMMYFUNCTION("""COMPUTED_VALUE"""),51984554505)</f>
        <v>51984554505</v>
      </c>
      <c r="W1062" s="1" t="str">
        <f>IFERROR(__xludf.DUMMYFUNCTION("""COMPUTED_VALUE"""),"519984733982(MIRELA)")</f>
        <v>519984733982(MIRELA)</v>
      </c>
      <c r="X1062" s="1" t="str">
        <f>IFERROR(__xludf.DUMMYFUNCTION("""COMPUTED_VALUE"""),"RS")</f>
        <v>RS</v>
      </c>
      <c r="Y1062" s="1" t="str">
        <f>IFERROR(__xludf.DUMMYFUNCTION("""COMPUTED_VALUE"""),"Balneário Pinhal")</f>
        <v>Balneário Pinhal</v>
      </c>
      <c r="Z1062" s="1">
        <f>IFERROR(__xludf.DUMMYFUNCTION("""COMPUTED_VALUE"""),95599000)</f>
        <v>95599000</v>
      </c>
      <c r="AA1062" s="1" t="str">
        <f>IFERROR(__xludf.DUMMYFUNCTION("""COMPUTED_VALUE"""),"JOSÉ ANTONIO  BRUNO 111")</f>
        <v>JOSÉ ANTONIO  BRUNO 111</v>
      </c>
      <c r="AB1062" s="1" t="str">
        <f>IFERROR(__xludf.DUMMYFUNCTION("""COMPUTED_VALUE"""),"SINDIPOLO")</f>
        <v>SINDIPOLO</v>
      </c>
      <c r="AC1062" s="1" t="str">
        <f>IFERROR(__xludf.DUMMYFUNCTION("""COMPUTED_VALUE"""),"EXG")</f>
        <v>EXG</v>
      </c>
      <c r="AD1062" s="1" t="str">
        <f>IFERROR(__xludf.DUMMYFUNCTION("""COMPUTED_VALUE"""),"EXG")</f>
        <v>EXG</v>
      </c>
      <c r="AE1062" s="1" t="str">
        <f>IFERROR(__xludf.DUMMYFUNCTION("""COMPUTED_VALUE"""),"EXG")</f>
        <v>EXG</v>
      </c>
      <c r="AF1062" s="1" t="str">
        <f>IFERROR(__xludf.DUMMYFUNCTION("""COMPUTED_VALUE"""),"EXG")</f>
        <v>EXG</v>
      </c>
      <c r="AG1062" s="1" t="str">
        <f>IFERROR(__xludf.DUMMYFUNCTION("""COMPUTED_VALUE"""),"EXG")</f>
        <v>EXG</v>
      </c>
      <c r="AH1062" s="1">
        <f>IFERROR(__xludf.DUMMYFUNCTION("""COMPUTED_VALUE"""),41)</f>
        <v>41</v>
      </c>
      <c r="AI1062" s="1">
        <f>IFERROR(__xludf.DUMMYFUNCTION("""COMPUTED_VALUE"""),41)</f>
        <v>41</v>
      </c>
      <c r="AJ1062" s="1">
        <f>IFERROR(__xludf.DUMMYFUNCTION("""COMPUTED_VALUE"""),41)</f>
        <v>41</v>
      </c>
      <c r="AK1062" s="1">
        <f>IFERROR(__xludf.DUMMYFUNCTION("""COMPUTED_VALUE"""),41)</f>
        <v>41</v>
      </c>
      <c r="AL1062" s="1" t="str">
        <f>IFERROR(__xludf.DUMMYFUNCTION("""COMPUTED_VALUE"""),"EXG")</f>
        <v>EXG</v>
      </c>
      <c r="AM1062" s="1" t="str">
        <f>IFERROR(__xludf.DUMMYFUNCTION("""COMPUTED_VALUE"""),"EXG")</f>
        <v>EXG</v>
      </c>
      <c r="AN1062" s="1" t="str">
        <f>IFERROR(__xludf.DUMMYFUNCTION("""COMPUTED_VALUE"""),"G")</f>
        <v>G</v>
      </c>
    </row>
    <row r="1063" customHeight="1" spans="1:40">
      <c r="A1063" s="1" t="str">
        <f>IFERROR(__xludf.DUMMYFUNCTION("""COMPUTED_VALUE"""),"09° BBM")</f>
        <v>09° BBM</v>
      </c>
      <c r="B1063" s="1" t="str">
        <f>IFERROR(__xludf.DUMMYFUNCTION("""COMPUTED_VALUE"""),"Balneário Pinhal")</f>
        <v>Balneário Pinhal</v>
      </c>
      <c r="C1063" s="119" t="str">
        <f>IFERROR(__xludf.DUMMYFUNCTION("""COMPUTED_VALUE"""),"CAB")</f>
        <v>CAB</v>
      </c>
      <c r="D1063" s="1" t="str">
        <f>IFERROR(__xludf.DUMMYFUNCTION("""COMPUTED_VALUE"""),"EDUARDO DAVID DE MORAES")</f>
        <v>EDUARDO DAVID DE MORAES</v>
      </c>
      <c r="E1063" s="119" t="str">
        <f>IFERROR(__xludf.DUMMYFUNCTION("""COMPUTED_VALUE"""),"")</f>
        <v/>
      </c>
      <c r="F1063" s="1" t="str">
        <f>IFERROR(__xludf.DUMMYFUNCTION("""COMPUTED_VALUE"""),"017.133.330-66")</f>
        <v>017.133.330-66</v>
      </c>
      <c r="G1063" s="1">
        <f>IFERROR(__xludf.DUMMYFUNCTION("""COMPUTED_VALUE"""),9086247526)</f>
        <v>9086247526</v>
      </c>
      <c r="H1063" s="1" t="str">
        <f>IFERROR(__xludf.DUMMYFUNCTION("""COMPUTED_VALUE"""),"COMBATENTE")</f>
        <v>COMBATENTE</v>
      </c>
      <c r="I1063" s="1" t="str">
        <f>IFERROR(__xludf.DUMMYFUNCTION("""COMPUTED_VALUE"""),"APH; BLS; BOMBEIRO CIVIL CLASSE I")</f>
        <v>APH; BLS; BOMBEIRO CIVIL CLASSE I</v>
      </c>
      <c r="J1063" s="1" t="str">
        <f>IFERROR(__xludf.DUMMYFUNCTION("""COMPUTED_VALUE"""),"Não")</f>
        <v>Não</v>
      </c>
      <c r="K1063" s="1" t="str">
        <f>IFERROR(__xludf.DUMMYFUNCTION("""COMPUTED_VALUE"""),"Não")</f>
        <v>Não</v>
      </c>
      <c r="L1063" s="1" t="str">
        <f>IFERROR(__xludf.DUMMYFUNCTION("""COMPUTED_VALUE"""),"A+")</f>
        <v>A+</v>
      </c>
      <c r="M1063" s="1" t="str">
        <f>IFERROR(__xludf.DUMMYFUNCTION("""COMPUTED_VALUE"""),"MORAES")</f>
        <v>MORAES</v>
      </c>
      <c r="N1063" s="121">
        <f>IFERROR(__xludf.DUMMYFUNCTION("""COMPUTED_VALUE"""),29583)</f>
        <v>29583</v>
      </c>
      <c r="O1063" s="1" t="str">
        <f>IFERROR(__xludf.DUMMYFUNCTION("""COMPUTED_VALUE"""),"Masculino")</f>
        <v>Masculino</v>
      </c>
      <c r="P1063" s="1" t="str">
        <f>IFERROR(__xludf.DUMMYFUNCTION("""COMPUTED_VALUE"""),"Branca")</f>
        <v>Branca</v>
      </c>
      <c r="Q1063" s="1" t="str">
        <f>IFERROR(__xludf.DUMMYFUNCTION("""COMPUTED_VALUE"""),"Ensino Médio")</f>
        <v>Ensino Médio</v>
      </c>
      <c r="R1063" s="1" t="str">
        <f>IFERROR(__xludf.DUMMYFUNCTION("""COMPUTED_VALUE"""),"YNDIODADO@GMAIL.COM")</f>
        <v>YNDIODADO@GMAIL.COM</v>
      </c>
      <c r="S1063" s="1" t="str">
        <f>IFERROR(__xludf.DUMMYFUNCTION("""COMPUTED_VALUE"""),"84KG")</f>
        <v>84KG</v>
      </c>
      <c r="T1063" s="1" t="str">
        <f>IFERROR(__xludf.DUMMYFUNCTION("""COMPUTED_VALUE"""),"Entre 1,71m e 1,75m")</f>
        <v>Entre 1,71m e 1,75m</v>
      </c>
      <c r="U1063" s="1" t="str">
        <f>IFERROR(__xludf.DUMMYFUNCTION("""COMPUTED_VALUE"""),"Não POSSUI")</f>
        <v>Não POSSUI</v>
      </c>
      <c r="V1063" s="1">
        <f>IFERROR(__xludf.DUMMYFUNCTION("""COMPUTED_VALUE"""),11973969770)</f>
        <v>11973969770</v>
      </c>
      <c r="W1063" s="1">
        <f>IFERROR(__xludf.DUMMYFUNCTION("""COMPUTED_VALUE"""),11973969770)</f>
        <v>11973969770</v>
      </c>
      <c r="X1063" s="1" t="str">
        <f>IFERROR(__xludf.DUMMYFUNCTION("""COMPUTED_VALUE"""),"RS")</f>
        <v>RS</v>
      </c>
      <c r="Y1063" s="1" t="str">
        <f>IFERROR(__xludf.DUMMYFUNCTION("""COMPUTED_VALUE"""),"Balneário Pinhal")</f>
        <v>Balneário Pinhal</v>
      </c>
      <c r="Z1063" s="1">
        <f>IFERROR(__xludf.DUMMYFUNCTION("""COMPUTED_VALUE"""),95599000)</f>
        <v>95599000</v>
      </c>
      <c r="AA1063" s="1" t="str">
        <f>IFERROR(__xludf.DUMMYFUNCTION("""COMPUTED_VALUE"""),"CACHOEIRA DO SUL 573")</f>
        <v>CACHOEIRA DO SUL 573</v>
      </c>
      <c r="AB1063" s="1" t="str">
        <f>IFERROR(__xludf.DUMMYFUNCTION("""COMPUTED_VALUE"""),"MAGISTÉRIO")</f>
        <v>MAGISTÉRIO</v>
      </c>
      <c r="AC1063" s="1" t="str">
        <f>IFERROR(__xludf.DUMMYFUNCTION("""COMPUTED_VALUE"""),"GG")</f>
        <v>GG</v>
      </c>
      <c r="AD1063" s="1" t="str">
        <f>IFERROR(__xludf.DUMMYFUNCTION("""COMPUTED_VALUE"""),"GG")</f>
        <v>GG</v>
      </c>
      <c r="AE1063" s="1" t="str">
        <f>IFERROR(__xludf.DUMMYFUNCTION("""COMPUTED_VALUE"""),"GG")</f>
        <v>GG</v>
      </c>
      <c r="AF1063" s="1" t="str">
        <f>IFERROR(__xludf.DUMMYFUNCTION("""COMPUTED_VALUE"""),"GG")</f>
        <v>GG</v>
      </c>
      <c r="AG1063" s="1" t="str">
        <f>IFERROR(__xludf.DUMMYFUNCTION("""COMPUTED_VALUE"""),"GG")</f>
        <v>GG</v>
      </c>
      <c r="AH1063" s="1">
        <f>IFERROR(__xludf.DUMMYFUNCTION("""COMPUTED_VALUE"""),42)</f>
        <v>42</v>
      </c>
      <c r="AI1063" s="1">
        <f>IFERROR(__xludf.DUMMYFUNCTION("""COMPUTED_VALUE"""),42)</f>
        <v>42</v>
      </c>
      <c r="AJ1063" s="1">
        <f>IFERROR(__xludf.DUMMYFUNCTION("""COMPUTED_VALUE"""),42)</f>
        <v>42</v>
      </c>
      <c r="AK1063" s="1">
        <f>IFERROR(__xludf.DUMMYFUNCTION("""COMPUTED_VALUE"""),42)</f>
        <v>42</v>
      </c>
      <c r="AL1063" s="1" t="str">
        <f>IFERROR(__xludf.DUMMYFUNCTION("""COMPUTED_VALUE"""),"GG")</f>
        <v>GG</v>
      </c>
      <c r="AM1063" s="1" t="str">
        <f>IFERROR(__xludf.DUMMYFUNCTION("""COMPUTED_VALUE"""),"GG")</f>
        <v>GG</v>
      </c>
      <c r="AN1063" s="1" t="str">
        <f>IFERROR(__xludf.DUMMYFUNCTION("""COMPUTED_VALUE"""),"G")</f>
        <v>G</v>
      </c>
    </row>
    <row r="1064" customHeight="1" spans="1:40">
      <c r="A1064" s="1" t="str">
        <f>IFERROR(__xludf.DUMMYFUNCTION("""COMPUTED_VALUE"""),"09° BBM")</f>
        <v>09° BBM</v>
      </c>
      <c r="B1064" s="1"/>
      <c r="C1064" s="119" t="str">
        <f>IFERROR(__xludf.DUMMYFUNCTION("""COMPUTED_VALUE"""),"Inativo")</f>
        <v>Inativo</v>
      </c>
      <c r="D1064" s="1" t="str">
        <f>IFERROR(__xludf.DUMMYFUNCTION("""COMPUTED_VALUE"""),"EVELLY MIRANDA DA SILVA")</f>
        <v>EVELLY MIRANDA DA SILVA</v>
      </c>
      <c r="E1064" s="119" t="str">
        <f>IFERROR(__xludf.DUMMYFUNCTION("""COMPUTED_VALUE"""),"Módulo 1 concluído")</f>
        <v>Módulo 1 concluído</v>
      </c>
      <c r="F1064" s="1" t="str">
        <f>IFERROR(__xludf.DUMMYFUNCTION("""COMPUTED_VALUE"""),"029.859.432-30")</f>
        <v>029.859.432-30</v>
      </c>
      <c r="G1064" s="1"/>
      <c r="H1064" s="1"/>
      <c r="I1064" s="1"/>
      <c r="J1064" s="1"/>
      <c r="K1064" s="1"/>
      <c r="L1064" s="1"/>
      <c r="M1064" s="1"/>
      <c r="N1064" s="120"/>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row>
    <row r="1065" customHeight="1" spans="1:40">
      <c r="A1065" s="1" t="str">
        <f>IFERROR(__xludf.DUMMYFUNCTION("""COMPUTED_VALUE"""),"09° BBM")</f>
        <v>09° BBM</v>
      </c>
      <c r="B1065" s="1" t="str">
        <f>IFERROR(__xludf.DUMMYFUNCTION("""COMPUTED_VALUE"""),"Balneário Pinhal")</f>
        <v>Balneário Pinhal</v>
      </c>
      <c r="C1065" s="119" t="str">
        <f>IFERROR(__xludf.DUMMYFUNCTION("""COMPUTED_VALUE"""),"CAB")</f>
        <v>CAB</v>
      </c>
      <c r="D1065" s="1" t="str">
        <f>IFERROR(__xludf.DUMMYFUNCTION("""COMPUTED_VALUE"""),"EVELLYN NAIUMI DA SILVA MORAIS")</f>
        <v>EVELLYN NAIUMI DA SILVA MORAIS</v>
      </c>
      <c r="E1065" s="119" t="str">
        <f>IFERROR(__xludf.DUMMYFUNCTION("""COMPUTED_VALUE"""),"")</f>
        <v/>
      </c>
      <c r="F1065" s="1" t="str">
        <f>IFERROR(__xludf.DUMMYFUNCTION("""COMPUTED_VALUE"""),"051111320-07")</f>
        <v>051111320-07</v>
      </c>
      <c r="G1065" s="1">
        <f>IFERROR(__xludf.DUMMYFUNCTION("""COMPUTED_VALUE"""),7132764163)</f>
        <v>7132764163</v>
      </c>
      <c r="H1065" s="1" t="str">
        <f>IFERROR(__xludf.DUMMYFUNCTION("""COMPUTED_VALUE"""),"SOCORRISTA")</f>
        <v>SOCORRISTA</v>
      </c>
      <c r="I1065" s="1" t="str">
        <f>IFERROR(__xludf.DUMMYFUNCTION("""COMPUTED_VALUE"""),"APH,BLS")</f>
        <v>APH,BLS</v>
      </c>
      <c r="J1065" s="1" t="str">
        <f>IFERROR(__xludf.DUMMYFUNCTION("""COMPUTED_VALUE"""),"Não")</f>
        <v>Não</v>
      </c>
      <c r="K1065" s="1" t="str">
        <f>IFERROR(__xludf.DUMMYFUNCTION("""COMPUTED_VALUE"""),"Não")</f>
        <v>Não</v>
      </c>
      <c r="L1065" s="1"/>
      <c r="M1065" s="1" t="str">
        <f>IFERROR(__xludf.DUMMYFUNCTION("""COMPUTED_VALUE"""),"EVELLYN")</f>
        <v>EVELLYN</v>
      </c>
      <c r="N1065" s="120">
        <f>IFERROR(__xludf.DUMMYFUNCTION("""COMPUTED_VALUE"""),37888)</f>
        <v>37888</v>
      </c>
      <c r="O1065" s="1" t="str">
        <f>IFERROR(__xludf.DUMMYFUNCTION("""COMPUTED_VALUE"""),"Feminino")</f>
        <v>Feminino</v>
      </c>
      <c r="P1065" s="1" t="str">
        <f>IFERROR(__xludf.DUMMYFUNCTION("""COMPUTED_VALUE"""),"Branca")</f>
        <v>Branca</v>
      </c>
      <c r="Q1065" s="1" t="str">
        <f>IFERROR(__xludf.DUMMYFUNCTION("""COMPUTED_VALUE"""),"Ensino Médio")</f>
        <v>Ensino Médio</v>
      </c>
      <c r="R1065" s="123" t="str">
        <f>IFERROR(__xludf.DUMMYFUNCTION("""COMPUTED_VALUE"""),"evellyn-ndsmorais@educar.rs.gov.br")</f>
        <v>evellyn-ndsmorais@educar.rs.gov.br</v>
      </c>
      <c r="S1065" s="1" t="str">
        <f>IFERROR(__xludf.DUMMYFUNCTION("""COMPUTED_VALUE"""),"84KG")</f>
        <v>84KG</v>
      </c>
      <c r="T1065" s="1" t="str">
        <f>IFERROR(__xludf.DUMMYFUNCTION("""COMPUTED_VALUE"""),"Entre 1,66m e 1,70m")</f>
        <v>Entre 1,66m e 1,70m</v>
      </c>
      <c r="U1065" s="1" t="str">
        <f>IFERROR(__xludf.DUMMYFUNCTION("""COMPUTED_VALUE"""),"Não POSSUI")</f>
        <v>Não POSSUI</v>
      </c>
      <c r="V1065" s="1">
        <f>IFERROR(__xludf.DUMMYFUNCTION("""COMPUTED_VALUE"""),51995377232)</f>
        <v>51995377232</v>
      </c>
      <c r="W1065" s="1">
        <f>IFERROR(__xludf.DUMMYFUNCTION("""COMPUTED_VALUE"""),51995377232)</f>
        <v>51995377232</v>
      </c>
      <c r="X1065" s="1" t="str">
        <f>IFERROR(__xludf.DUMMYFUNCTION("""COMPUTED_VALUE"""),"RS")</f>
        <v>RS</v>
      </c>
      <c r="Y1065" s="1" t="str">
        <f>IFERROR(__xludf.DUMMYFUNCTION("""COMPUTED_VALUE"""),"Balneário Pinhal")</f>
        <v>Balneário Pinhal</v>
      </c>
      <c r="Z1065" s="1">
        <f>IFERROR(__xludf.DUMMYFUNCTION("""COMPUTED_VALUE"""),95599000)</f>
        <v>95599000</v>
      </c>
      <c r="AA1065" s="1" t="str">
        <f>IFERROR(__xludf.DUMMYFUNCTION("""COMPUTED_VALUE"""),"Dilcemar Nascimento Pinheiro,1579")</f>
        <v>Dilcemar Nascimento Pinheiro,1579</v>
      </c>
      <c r="AB1065" s="1" t="str">
        <f>IFERROR(__xludf.DUMMYFUNCTION("""COMPUTED_VALUE"""),"CENTRO")</f>
        <v>CENTRO</v>
      </c>
      <c r="AC1065" s="1" t="str">
        <f>IFERROR(__xludf.DUMMYFUNCTION("""COMPUTED_VALUE"""),"G")</f>
        <v>G</v>
      </c>
      <c r="AD1065" s="1" t="str">
        <f>IFERROR(__xludf.DUMMYFUNCTION("""COMPUTED_VALUE"""),"G")</f>
        <v>G</v>
      </c>
      <c r="AE1065" s="1" t="str">
        <f>IFERROR(__xludf.DUMMYFUNCTION("""COMPUTED_VALUE"""),"M")</f>
        <v>M</v>
      </c>
      <c r="AF1065" s="1" t="str">
        <f>IFERROR(__xludf.DUMMYFUNCTION("""COMPUTED_VALUE"""),"M")</f>
        <v>M</v>
      </c>
      <c r="AG1065" s="1" t="str">
        <f>IFERROR(__xludf.DUMMYFUNCTION("""COMPUTED_VALUE"""),"G")</f>
        <v>G</v>
      </c>
      <c r="AH1065" s="1">
        <f>IFERROR(__xludf.DUMMYFUNCTION("""COMPUTED_VALUE"""),38)</f>
        <v>38</v>
      </c>
      <c r="AI1065" s="1">
        <f>IFERROR(__xludf.DUMMYFUNCTION("""COMPUTED_VALUE"""),38)</f>
        <v>38</v>
      </c>
      <c r="AJ1065" s="1">
        <f>IFERROR(__xludf.DUMMYFUNCTION("""COMPUTED_VALUE"""),38)</f>
        <v>38</v>
      </c>
      <c r="AK1065" s="1">
        <f>IFERROR(__xludf.DUMMYFUNCTION("""COMPUTED_VALUE"""),38)</f>
        <v>38</v>
      </c>
      <c r="AL1065" s="1" t="str">
        <f>IFERROR(__xludf.DUMMYFUNCTION("""COMPUTED_VALUE"""),"M")</f>
        <v>M</v>
      </c>
      <c r="AM1065" s="1" t="str">
        <f>IFERROR(__xludf.DUMMYFUNCTION("""COMPUTED_VALUE"""),"M")</f>
        <v>M</v>
      </c>
      <c r="AN1065" s="1" t="str">
        <f>IFERROR(__xludf.DUMMYFUNCTION("""COMPUTED_VALUE"""),"M")</f>
        <v>M</v>
      </c>
    </row>
    <row r="1066" customHeight="1" spans="1:40">
      <c r="A1066" s="1" t="str">
        <f>IFERROR(__xludf.DUMMYFUNCTION("""COMPUTED_VALUE"""),"09° BBM")</f>
        <v>09° BBM</v>
      </c>
      <c r="B1066" s="1" t="str">
        <f>IFERROR(__xludf.DUMMYFUNCTION("""COMPUTED_VALUE"""),"Balneário Pinhal")</f>
        <v>Balneário Pinhal</v>
      </c>
      <c r="C1066" s="119" t="str">
        <f>IFERROR(__xludf.DUMMYFUNCTION("""COMPUTED_VALUE"""),"CAB")</f>
        <v>CAB</v>
      </c>
      <c r="D1066" s="1" t="str">
        <f>IFERROR(__xludf.DUMMYFUNCTION("""COMPUTED_VALUE"""),"FABIANO DA SILVA MULLER")</f>
        <v>FABIANO DA SILVA MULLER</v>
      </c>
      <c r="E1066" s="119" t="str">
        <f>IFERROR(__xludf.DUMMYFUNCTION("""COMPUTED_VALUE"""),"")</f>
        <v/>
      </c>
      <c r="F1066" s="1" t="str">
        <f>IFERROR(__xludf.DUMMYFUNCTION("""COMPUTED_VALUE"""),"031.295.380-11")</f>
        <v>031.295.380-11</v>
      </c>
      <c r="G1066" s="1">
        <f>IFERROR(__xludf.DUMMYFUNCTION("""COMPUTED_VALUE"""),7107423779)</f>
        <v>7107423779</v>
      </c>
      <c r="H1066" s="1" t="str">
        <f>IFERROR(__xludf.DUMMYFUNCTION("""COMPUTED_VALUE"""),"COMBATENTE")</f>
        <v>COMBATENTE</v>
      </c>
      <c r="I1066" s="1" t="str">
        <f>IFERROR(__xludf.DUMMYFUNCTION("""COMPUTED_VALUE"""),"APH; BLS; BOMBEIRO CIVIL CLASSE I")</f>
        <v>APH; BLS; BOMBEIRO CIVIL CLASSE I</v>
      </c>
      <c r="J1066" s="1" t="str">
        <f>IFERROR(__xludf.DUMMYFUNCTION("""COMPUTED_VALUE"""),"Sim")</f>
        <v>Sim</v>
      </c>
      <c r="K1066" s="1" t="str">
        <f>IFERROR(__xludf.DUMMYFUNCTION("""COMPUTED_VALUE"""),"Não")</f>
        <v>Não</v>
      </c>
      <c r="L1066" s="1" t="str">
        <f>IFERROR(__xludf.DUMMYFUNCTION("""COMPUTED_VALUE"""),"O-")</f>
        <v>O-</v>
      </c>
      <c r="M1066" s="1" t="str">
        <f>IFERROR(__xludf.DUMMYFUNCTION("""COMPUTED_VALUE"""),"FABIANO")</f>
        <v>FABIANO</v>
      </c>
      <c r="N1066" s="120">
        <f>IFERROR(__xludf.DUMMYFUNCTION("""COMPUTED_VALUE"""),34643)</f>
        <v>34643</v>
      </c>
      <c r="O1066" s="1" t="str">
        <f>IFERROR(__xludf.DUMMYFUNCTION("""COMPUTED_VALUE"""),"Masculino")</f>
        <v>Masculino</v>
      </c>
      <c r="P1066" s="1" t="str">
        <f>IFERROR(__xludf.DUMMYFUNCTION("""COMPUTED_VALUE"""),"Branca")</f>
        <v>Branca</v>
      </c>
      <c r="Q1066" s="1" t="str">
        <f>IFERROR(__xludf.DUMMYFUNCTION("""COMPUTED_VALUE"""),"Ensino Médio")</f>
        <v>Ensino Médio</v>
      </c>
      <c r="R1066" s="1" t="str">
        <f>IFERROR(__xludf.DUMMYFUNCTION("""COMPUTED_VALUE"""),"FABIANOMULLER@GMAIL.COM")</f>
        <v>FABIANOMULLER@GMAIL.COM</v>
      </c>
      <c r="S1066" s="1" t="str">
        <f>IFERROR(__xludf.DUMMYFUNCTION("""COMPUTED_VALUE"""),"84KG")</f>
        <v>84KG</v>
      </c>
      <c r="T1066" s="1" t="str">
        <f>IFERROR(__xludf.DUMMYFUNCTION("""COMPUTED_VALUE"""),"Entre 1,71m e 1,75m")</f>
        <v>Entre 1,71m e 1,75m</v>
      </c>
      <c r="U1066" s="1" t="str">
        <f>IFERROR(__xludf.DUMMYFUNCTION("""COMPUTED_VALUE"""),"Não POSSUI")</f>
        <v>Não POSSUI</v>
      </c>
      <c r="V1066" s="1">
        <f>IFERROR(__xludf.DUMMYFUNCTION("""COMPUTED_VALUE"""),51992770580)</f>
        <v>51992770580</v>
      </c>
      <c r="W1066" s="1" t="str">
        <f>IFERROR(__xludf.DUMMYFUNCTION("""COMPUTED_VALUE"""),"51993795387(MARGIA)")</f>
        <v>51993795387(MARGIA)</v>
      </c>
      <c r="X1066" s="1" t="str">
        <f>IFERROR(__xludf.DUMMYFUNCTION("""COMPUTED_VALUE"""),"RS")</f>
        <v>RS</v>
      </c>
      <c r="Y1066" s="1" t="str">
        <f>IFERROR(__xludf.DUMMYFUNCTION("""COMPUTED_VALUE"""),"Balneário Pinhal")</f>
        <v>Balneário Pinhal</v>
      </c>
      <c r="Z1066" s="1">
        <f>IFERROR(__xludf.DUMMYFUNCTION("""COMPUTED_VALUE"""),95599000)</f>
        <v>95599000</v>
      </c>
      <c r="AA1066" s="1" t="str">
        <f>IFERROR(__xludf.DUMMYFUNCTION("""COMPUTED_VALUE"""),"ANTONIO DARCY DUARTE 582")</f>
        <v>ANTONIO DARCY DUARTE 582</v>
      </c>
      <c r="AB1066" s="1" t="str">
        <f>IFERROR(__xludf.DUMMYFUNCTION("""COMPUTED_VALUE"""),"CENTRO")</f>
        <v>CENTRO</v>
      </c>
      <c r="AC1066" s="1" t="str">
        <f>IFERROR(__xludf.DUMMYFUNCTION("""COMPUTED_VALUE"""),"GG")</f>
        <v>GG</v>
      </c>
      <c r="AD1066" s="1" t="str">
        <f>IFERROR(__xludf.DUMMYFUNCTION("""COMPUTED_VALUE"""),"GG")</f>
        <v>GG</v>
      </c>
      <c r="AE1066" s="1" t="str">
        <f>IFERROR(__xludf.DUMMYFUNCTION("""COMPUTED_VALUE"""),"GG")</f>
        <v>GG</v>
      </c>
      <c r="AF1066" s="1" t="str">
        <f>IFERROR(__xludf.DUMMYFUNCTION("""COMPUTED_VALUE"""),"GG")</f>
        <v>GG</v>
      </c>
      <c r="AG1066" s="1" t="str">
        <f>IFERROR(__xludf.DUMMYFUNCTION("""COMPUTED_VALUE"""),"GG")</f>
        <v>GG</v>
      </c>
      <c r="AH1066" s="1">
        <f>IFERROR(__xludf.DUMMYFUNCTION("""COMPUTED_VALUE"""),44)</f>
        <v>44</v>
      </c>
      <c r="AI1066" s="1">
        <f>IFERROR(__xludf.DUMMYFUNCTION("""COMPUTED_VALUE"""),44)</f>
        <v>44</v>
      </c>
      <c r="AJ1066" s="1">
        <f>IFERROR(__xludf.DUMMYFUNCTION("""COMPUTED_VALUE"""),44)</f>
        <v>44</v>
      </c>
      <c r="AK1066" s="1">
        <f>IFERROR(__xludf.DUMMYFUNCTION("""COMPUTED_VALUE"""),44)</f>
        <v>44</v>
      </c>
      <c r="AL1066" s="1" t="str">
        <f>IFERROR(__xludf.DUMMYFUNCTION("""COMPUTED_VALUE"""),"GG")</f>
        <v>GG</v>
      </c>
      <c r="AM1066" s="1" t="str">
        <f>IFERROR(__xludf.DUMMYFUNCTION("""COMPUTED_VALUE"""),"GG")</f>
        <v>GG</v>
      </c>
      <c r="AN1066" s="1" t="str">
        <f>IFERROR(__xludf.DUMMYFUNCTION("""COMPUTED_VALUE"""),"G")</f>
        <v>G</v>
      </c>
    </row>
    <row r="1067" customHeight="1" spans="1:40">
      <c r="A1067" s="1" t="str">
        <f>IFERROR(__xludf.DUMMYFUNCTION("""COMPUTED_VALUE"""),"09° BBM")</f>
        <v>09° BBM</v>
      </c>
      <c r="B1067" s="1"/>
      <c r="C1067" s="119" t="str">
        <f>IFERROR(__xludf.DUMMYFUNCTION("""COMPUTED_VALUE"""),"Inativo")</f>
        <v>Inativo</v>
      </c>
      <c r="D1067" s="1" t="str">
        <f>IFERROR(__xludf.DUMMYFUNCTION("""COMPUTED_VALUE"""),"FLAVIO HENRIQUE DA SILVA")</f>
        <v>FLAVIO HENRIQUE DA SILVA</v>
      </c>
      <c r="E1067" s="119" t="str">
        <f>IFERROR(__xludf.DUMMYFUNCTION("""COMPUTED_VALUE"""),"Módulo 1 concluído")</f>
        <v>Módulo 1 concluído</v>
      </c>
      <c r="F1067" s="1" t="str">
        <f>IFERROR(__xludf.DUMMYFUNCTION("""COMPUTED_VALUE"""),"010.247.020-06")</f>
        <v>010.247.020-06</v>
      </c>
      <c r="G1067" s="1"/>
      <c r="H1067" s="1"/>
      <c r="I1067" s="1"/>
      <c r="J1067" s="1"/>
      <c r="K1067" s="1"/>
      <c r="L1067" s="1"/>
      <c r="M1067" s="1"/>
      <c r="N1067" s="120"/>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row>
    <row r="1068" customHeight="1" spans="1:40">
      <c r="A1068" s="1" t="str">
        <f>IFERROR(__xludf.DUMMYFUNCTION("""COMPUTED_VALUE"""),"09° BBM")</f>
        <v>09° BBM</v>
      </c>
      <c r="B1068" s="1" t="str">
        <f>IFERROR(__xludf.DUMMYFUNCTION("""COMPUTED_VALUE"""),"Arroio do Sal")</f>
        <v>Arroio do Sal</v>
      </c>
      <c r="C1068" s="119" t="str">
        <f>IFERROR(__xludf.DUMMYFUNCTION("""COMPUTED_VALUE"""),"CAB")</f>
        <v>CAB</v>
      </c>
      <c r="D1068" s="1" t="str">
        <f>IFERROR(__xludf.DUMMYFUNCTION("""COMPUTED_VALUE"""),"GABRIEL PEREIRA CRAVO")</f>
        <v>GABRIEL PEREIRA CRAVO</v>
      </c>
      <c r="E1068" s="119" t="str">
        <f>IFERROR(__xludf.DUMMYFUNCTION("""COMPUTED_VALUE"""),"")</f>
        <v/>
      </c>
      <c r="F1068" s="1" t="str">
        <f>IFERROR(__xludf.DUMMYFUNCTION("""COMPUTED_VALUE"""),"078.455.509-57")</f>
        <v>078.455.509-57</v>
      </c>
      <c r="G1068" s="1">
        <f>IFERROR(__xludf.DUMMYFUNCTION("""COMPUTED_VALUE"""),2115831162)</f>
        <v>2115831162</v>
      </c>
      <c r="H1068" s="1" t="str">
        <f>IFERROR(__xludf.DUMMYFUNCTION("""COMPUTED_VALUE"""),"CONDUTOR D")</f>
        <v>CONDUTOR D</v>
      </c>
      <c r="I1068" s="1" t="str">
        <f>IFERROR(__xludf.DUMMYFUNCTION("""COMPUTED_VALUE"""),"instrutor de primeiros socorros, APH, curso avançado atendimento de emergência, prevention and fire fighting, Stop the bleed.")</f>
        <v>instrutor de primeiros socorros, APH, curso avançado atendimento de emergência, prevention and fire fighting, Stop the bleed.</v>
      </c>
      <c r="J1068" s="1" t="str">
        <f>IFERROR(__xludf.DUMMYFUNCTION("""COMPUTED_VALUE"""),"Sim")</f>
        <v>Sim</v>
      </c>
      <c r="K1068" s="1" t="str">
        <f>IFERROR(__xludf.DUMMYFUNCTION("""COMPUTED_VALUE"""),"Não")</f>
        <v>Não</v>
      </c>
      <c r="L1068" s="1" t="str">
        <f>IFERROR(__xludf.DUMMYFUNCTION("""COMPUTED_VALUE"""),"O+")</f>
        <v>O+</v>
      </c>
      <c r="M1068" s="1" t="str">
        <f>IFERROR(__xludf.DUMMYFUNCTION("""COMPUTED_VALUE"""),"CRAVO")</f>
        <v>CRAVO</v>
      </c>
      <c r="N1068" s="120">
        <f>IFERROR(__xludf.DUMMYFUNCTION("""COMPUTED_VALUE"""),33132)</f>
        <v>33132</v>
      </c>
      <c r="O1068" s="1" t="str">
        <f>IFERROR(__xludf.DUMMYFUNCTION("""COMPUTED_VALUE"""),"Masculino")</f>
        <v>Masculino</v>
      </c>
      <c r="P1068" s="1" t="str">
        <f>IFERROR(__xludf.DUMMYFUNCTION("""COMPUTED_VALUE"""),"Branca")</f>
        <v>Branca</v>
      </c>
      <c r="Q1068" s="1" t="str">
        <f>IFERROR(__xludf.DUMMYFUNCTION("""COMPUTED_VALUE"""),"Ensino Superior Completo")</f>
        <v>Ensino Superior Completo</v>
      </c>
      <c r="R1068" s="1" t="str">
        <f>IFERROR(__xludf.DUMMYFUNCTION("""COMPUTED_VALUE"""),"GABRIEL.CRAVO18@GMAIL.COM")</f>
        <v>GABRIEL.CRAVO18@GMAIL.COM</v>
      </c>
      <c r="S1068" s="1" t="str">
        <f>IFERROR(__xludf.DUMMYFUNCTION("""COMPUTED_VALUE"""),"100 KG")</f>
        <v>100 KG</v>
      </c>
      <c r="T1068" s="1" t="str">
        <f>IFERROR(__xludf.DUMMYFUNCTION("""COMPUTED_VALUE"""),"Entre 1,81m e 1,85m")</f>
        <v>Entre 1,81m e 1,85m</v>
      </c>
      <c r="U1068" s="1" t="str">
        <f>IFERROR(__xludf.DUMMYFUNCTION("""COMPUTED_VALUE"""),"Não POSSUI")</f>
        <v>Não POSSUI</v>
      </c>
      <c r="V1068" s="1" t="str">
        <f>IFERROR(__xludf.DUMMYFUNCTION("""COMPUTED_VALUE"""),"(51) 98195-9833")</f>
        <v>(51) 98195-9833</v>
      </c>
      <c r="W1068" s="1" t="str">
        <f>IFERROR(__xludf.DUMMYFUNCTION("""COMPUTED_VALUE"""),"(51) 98195-9833")</f>
        <v>(51) 98195-9833</v>
      </c>
      <c r="X1068" s="1" t="str">
        <f>IFERROR(__xludf.DUMMYFUNCTION("""COMPUTED_VALUE"""),"RS")</f>
        <v>RS</v>
      </c>
      <c r="Y1068" s="1" t="str">
        <f>IFERROR(__xludf.DUMMYFUNCTION("""COMPUTED_VALUE"""),"Arroio do Sal")</f>
        <v>Arroio do Sal</v>
      </c>
      <c r="Z1068" s="1" t="str">
        <f>IFERROR(__xludf.DUMMYFUNCTION("""COMPUTED_VALUE"""),"95985-000")</f>
        <v>95985-000</v>
      </c>
      <c r="AA1068" s="1" t="str">
        <f>IFERROR(__xludf.DUMMYFUNCTION("""COMPUTED_VALUE"""),"GEN CÂMARA")</f>
        <v>GEN CÂMARA</v>
      </c>
      <c r="AB1068" s="1" t="str">
        <f>IFERROR(__xludf.DUMMYFUNCTION("""COMPUTED_VALUE"""),"ARREIAS BRANCAS")</f>
        <v>ARREIAS BRANCAS</v>
      </c>
      <c r="AC1068" s="1" t="str">
        <f>IFERROR(__xludf.DUMMYFUNCTION("""COMPUTED_VALUE"""),"G")</f>
        <v>G</v>
      </c>
      <c r="AD1068" s="1" t="str">
        <f>IFERROR(__xludf.DUMMYFUNCTION("""COMPUTED_VALUE"""),"G")</f>
        <v>G</v>
      </c>
      <c r="AE1068" s="1" t="str">
        <f>IFERROR(__xludf.DUMMYFUNCTION("""COMPUTED_VALUE"""),"G")</f>
        <v>G</v>
      </c>
      <c r="AF1068" s="1" t="str">
        <f>IFERROR(__xludf.DUMMYFUNCTION("""COMPUTED_VALUE"""),"G")</f>
        <v>G</v>
      </c>
      <c r="AG1068" s="1" t="str">
        <f>IFERROR(__xludf.DUMMYFUNCTION("""COMPUTED_VALUE"""),"G")</f>
        <v>G</v>
      </c>
      <c r="AH1068" s="1">
        <f>IFERROR(__xludf.DUMMYFUNCTION("""COMPUTED_VALUE"""),43)</f>
        <v>43</v>
      </c>
      <c r="AI1068" s="1">
        <f>IFERROR(__xludf.DUMMYFUNCTION("""COMPUTED_VALUE"""),42)</f>
        <v>42</v>
      </c>
      <c r="AJ1068" s="1">
        <f>IFERROR(__xludf.DUMMYFUNCTION("""COMPUTED_VALUE"""),42)</f>
        <v>42</v>
      </c>
      <c r="AK1068" s="1">
        <f>IFERROR(__xludf.DUMMYFUNCTION("""COMPUTED_VALUE"""),42)</f>
        <v>42</v>
      </c>
      <c r="AL1068" s="1" t="str">
        <f>IFERROR(__xludf.DUMMYFUNCTION("""COMPUTED_VALUE"""),"G")</f>
        <v>G</v>
      </c>
      <c r="AM1068" s="1" t="str">
        <f>IFERROR(__xludf.DUMMYFUNCTION("""COMPUTED_VALUE"""),"G")</f>
        <v>G</v>
      </c>
      <c r="AN1068" s="1" t="str">
        <f>IFERROR(__xludf.DUMMYFUNCTION("""COMPUTED_VALUE"""),"G")</f>
        <v>G</v>
      </c>
    </row>
    <row r="1069" customHeight="1" spans="1:40">
      <c r="A1069" s="1" t="str">
        <f>IFERROR(__xludf.DUMMYFUNCTION("""COMPUTED_VALUE"""),"09° BBM")</f>
        <v>09° BBM</v>
      </c>
      <c r="B1069" s="1" t="str">
        <f>IFERROR(__xludf.DUMMYFUNCTION("""COMPUTED_VALUE"""),"Balneário Pinhal")</f>
        <v>Balneário Pinhal</v>
      </c>
      <c r="C1069" s="119" t="str">
        <f>IFERROR(__xludf.DUMMYFUNCTION("""COMPUTED_VALUE"""),"CAB")</f>
        <v>CAB</v>
      </c>
      <c r="D1069" s="1" t="str">
        <f>IFERROR(__xludf.DUMMYFUNCTION("""COMPUTED_VALUE"""),"GILMAR FRAGA NUNES")</f>
        <v>GILMAR FRAGA NUNES</v>
      </c>
      <c r="E1069" s="119" t="str">
        <f>IFERROR(__xludf.DUMMYFUNCTION("""COMPUTED_VALUE"""),"")</f>
        <v/>
      </c>
      <c r="F1069" s="1" t="str">
        <f>IFERROR(__xludf.DUMMYFUNCTION("""COMPUTED_VALUE"""),"263.483.220-68")</f>
        <v>263.483.220-68</v>
      </c>
      <c r="G1069" s="1">
        <f>IFERROR(__xludf.DUMMYFUNCTION("""COMPUTED_VALUE"""),1012015218)</f>
        <v>1012015218</v>
      </c>
      <c r="H1069" s="1" t="str">
        <f>IFERROR(__xludf.DUMMYFUNCTION("""COMPUTED_VALUE"""),"COMBATENTE")</f>
        <v>COMBATENTE</v>
      </c>
      <c r="I1069" s="1" t="str">
        <f>IFERROR(__xludf.DUMMYFUNCTION("""COMPUTED_VALUE"""),"APH e BLS")</f>
        <v>APH e BLS</v>
      </c>
      <c r="J1069" s="1" t="str">
        <f>IFERROR(__xludf.DUMMYFUNCTION("""COMPUTED_VALUE"""),"Sim")</f>
        <v>Sim</v>
      </c>
      <c r="K1069" s="1" t="str">
        <f>IFERROR(__xludf.DUMMYFUNCTION("""COMPUTED_VALUE"""),"Não")</f>
        <v>Não</v>
      </c>
      <c r="L1069" s="1" t="str">
        <f>IFERROR(__xludf.DUMMYFUNCTION("""COMPUTED_VALUE"""),"O-")</f>
        <v>O-</v>
      </c>
      <c r="M1069" s="1" t="str">
        <f>IFERROR(__xludf.DUMMYFUNCTION("""COMPUTED_VALUE"""),"FRAGA")</f>
        <v>FRAGA</v>
      </c>
      <c r="N1069" s="120">
        <f>IFERROR(__xludf.DUMMYFUNCTION("""COMPUTED_VALUE"""),21460)</f>
        <v>21460</v>
      </c>
      <c r="O1069" s="1" t="str">
        <f>IFERROR(__xludf.DUMMYFUNCTION("""COMPUTED_VALUE"""),"Masculino")</f>
        <v>Masculino</v>
      </c>
      <c r="P1069" s="1" t="str">
        <f>IFERROR(__xludf.DUMMYFUNCTION("""COMPUTED_VALUE"""),"Branca")</f>
        <v>Branca</v>
      </c>
      <c r="Q1069" s="1" t="str">
        <f>IFERROR(__xludf.DUMMYFUNCTION("""COMPUTED_VALUE"""),"Ensino Superior Completo")</f>
        <v>Ensino Superior Completo</v>
      </c>
      <c r="R1069" s="1" t="str">
        <f>IFERROR(__xludf.DUMMYFUNCTION("""COMPUTED_VALUE"""),"GILMARFRAGA193@GMAIL.COM")</f>
        <v>GILMARFRAGA193@GMAIL.COM</v>
      </c>
      <c r="S1069" s="1" t="str">
        <f>IFERROR(__xludf.DUMMYFUNCTION("""COMPUTED_VALUE"""),"84KG")</f>
        <v>84KG</v>
      </c>
      <c r="T1069" s="1" t="str">
        <f>IFERROR(__xludf.DUMMYFUNCTION("""COMPUTED_VALUE"""),"Entre 1,66m e 1,70m")</f>
        <v>Entre 1,66m e 1,70m</v>
      </c>
      <c r="U1069" s="1" t="str">
        <f>IFERROR(__xludf.DUMMYFUNCTION("""COMPUTED_VALUE"""),"Não POSSUI")</f>
        <v>Não POSSUI</v>
      </c>
      <c r="V1069" s="1">
        <f>IFERROR(__xludf.DUMMYFUNCTION("""COMPUTED_VALUE"""),51993100985)</f>
        <v>51993100985</v>
      </c>
      <c r="W1069" s="1">
        <f>IFERROR(__xludf.DUMMYFUNCTION("""COMPUTED_VALUE"""),51993510844)</f>
        <v>51993510844</v>
      </c>
      <c r="X1069" s="1" t="str">
        <f>IFERROR(__xludf.DUMMYFUNCTION("""COMPUTED_VALUE"""),"RS")</f>
        <v>RS</v>
      </c>
      <c r="Y1069" s="1" t="str">
        <f>IFERROR(__xludf.DUMMYFUNCTION("""COMPUTED_VALUE"""),"Imbé")</f>
        <v>Imbé</v>
      </c>
      <c r="Z1069" s="1">
        <f>IFERROR(__xludf.DUMMYFUNCTION("""COMPUTED_VALUE"""),95625000)</f>
        <v>95625000</v>
      </c>
      <c r="AA1069" s="1" t="str">
        <f>IFERROR(__xludf.DUMMYFUNCTION("""COMPUTED_VALUE"""),"SÃO BORJA 1998")</f>
        <v>SÃO BORJA 1998</v>
      </c>
      <c r="AB1069" s="1" t="str">
        <f>IFERROR(__xludf.DUMMYFUNCTION("""COMPUTED_VALUE"""),"CENTRO")</f>
        <v>CENTRO</v>
      </c>
      <c r="AC1069" s="1" t="str">
        <f>IFERROR(__xludf.DUMMYFUNCTION("""COMPUTED_VALUE"""),"P")</f>
        <v>P</v>
      </c>
      <c r="AD1069" s="1" t="str">
        <f>IFERROR(__xludf.DUMMYFUNCTION("""COMPUTED_VALUE"""),"M")</f>
        <v>M</v>
      </c>
      <c r="AE1069" s="1" t="str">
        <f>IFERROR(__xludf.DUMMYFUNCTION("""COMPUTED_VALUE"""),"M")</f>
        <v>M</v>
      </c>
      <c r="AF1069" s="1" t="str">
        <f>IFERROR(__xludf.DUMMYFUNCTION("""COMPUTED_VALUE"""),"M")</f>
        <v>M</v>
      </c>
      <c r="AG1069" s="1" t="str">
        <f>IFERROR(__xludf.DUMMYFUNCTION("""COMPUTED_VALUE"""),"M")</f>
        <v>M</v>
      </c>
      <c r="AH1069" s="1">
        <f>IFERROR(__xludf.DUMMYFUNCTION("""COMPUTED_VALUE"""),39)</f>
        <v>39</v>
      </c>
      <c r="AI1069" s="1">
        <f>IFERROR(__xludf.DUMMYFUNCTION("""COMPUTED_VALUE"""),39)</f>
        <v>39</v>
      </c>
      <c r="AJ1069" s="1">
        <f>IFERROR(__xludf.DUMMYFUNCTION("""COMPUTED_VALUE"""),39)</f>
        <v>39</v>
      </c>
      <c r="AK1069" s="1">
        <f>IFERROR(__xludf.DUMMYFUNCTION("""COMPUTED_VALUE"""),39)</f>
        <v>39</v>
      </c>
      <c r="AL1069" s="1" t="str">
        <f>IFERROR(__xludf.DUMMYFUNCTION("""COMPUTED_VALUE"""),"P")</f>
        <v>P</v>
      </c>
      <c r="AM1069" s="1" t="str">
        <f>IFERROR(__xludf.DUMMYFUNCTION("""COMPUTED_VALUE"""),"P")</f>
        <v>P</v>
      </c>
      <c r="AN1069" s="1" t="str">
        <f>IFERROR(__xludf.DUMMYFUNCTION("""COMPUTED_VALUE"""),"M")</f>
        <v>M</v>
      </c>
    </row>
    <row r="1070" customHeight="1" spans="1:40">
      <c r="A1070" s="1" t="str">
        <f>IFERROR(__xludf.DUMMYFUNCTION("""COMPUTED_VALUE"""),"09° BBM")</f>
        <v>09° BBM</v>
      </c>
      <c r="B1070" s="1" t="str">
        <f>IFERROR(__xludf.DUMMYFUNCTION("""COMPUTED_VALUE"""),"Balneário Pinhal")</f>
        <v>Balneário Pinhal</v>
      </c>
      <c r="C1070" s="119" t="str">
        <f>IFERROR(__xludf.DUMMYFUNCTION("""COMPUTED_VALUE"""),"CAB")</f>
        <v>CAB</v>
      </c>
      <c r="D1070" s="1" t="str">
        <f>IFERROR(__xludf.DUMMYFUNCTION("""COMPUTED_VALUE"""),"GIOVANE AUGUSTO DA SILVA")</f>
        <v>GIOVANE AUGUSTO DA SILVA</v>
      </c>
      <c r="E1070" s="119" t="str">
        <f>IFERROR(__xludf.DUMMYFUNCTION("""COMPUTED_VALUE"""),"Curso CAB operador concluído")</f>
        <v>Curso CAB operador concluído</v>
      </c>
      <c r="F1070" s="1" t="str">
        <f>IFERROR(__xludf.DUMMYFUNCTION("""COMPUTED_VALUE"""),"987.677.800-59")</f>
        <v>987.677.800-59</v>
      </c>
      <c r="G1070" s="1">
        <f>IFERROR(__xludf.DUMMYFUNCTION("""COMPUTED_VALUE"""),3083139026)</f>
        <v>3083139026</v>
      </c>
      <c r="H1070" s="1" t="str">
        <f>IFERROR(__xludf.DUMMYFUNCTION("""COMPUTED_VALUE"""),"COMBATENTE")</f>
        <v>COMBATENTE</v>
      </c>
      <c r="I1070" s="1" t="str">
        <f>IFERROR(__xludf.DUMMYFUNCTION("""COMPUTED_VALUE"""),"APH; BLS; RESGATE VEICULAR")</f>
        <v>APH; BLS; RESGATE VEICULAR</v>
      </c>
      <c r="J1070" s="1" t="str">
        <f>IFERROR(__xludf.DUMMYFUNCTION("""COMPUTED_VALUE"""),"Sim")</f>
        <v>Sim</v>
      </c>
      <c r="K1070" s="1" t="str">
        <f>IFERROR(__xludf.DUMMYFUNCTION("""COMPUTED_VALUE"""),"Não")</f>
        <v>Não</v>
      </c>
      <c r="L1070" s="1" t="str">
        <f>IFERROR(__xludf.DUMMYFUNCTION("""COMPUTED_VALUE"""),"A+")</f>
        <v>A+</v>
      </c>
      <c r="M1070" s="1" t="str">
        <f>IFERROR(__xludf.DUMMYFUNCTION("""COMPUTED_VALUE"""),"DA SILVA")</f>
        <v>DA SILVA</v>
      </c>
      <c r="N1070" s="120">
        <f>IFERROR(__xludf.DUMMYFUNCTION("""COMPUTED_VALUE"""),30093)</f>
        <v>30093</v>
      </c>
      <c r="O1070" s="1" t="str">
        <f>IFERROR(__xludf.DUMMYFUNCTION("""COMPUTED_VALUE"""),"Masculino")</f>
        <v>Masculino</v>
      </c>
      <c r="P1070" s="1" t="str">
        <f>IFERROR(__xludf.DUMMYFUNCTION("""COMPUTED_VALUE"""),"Branca")</f>
        <v>Branca</v>
      </c>
      <c r="Q1070" s="1" t="str">
        <f>IFERROR(__xludf.DUMMYFUNCTION("""COMPUTED_VALUE"""),"Ensino Médio")</f>
        <v>Ensino Médio</v>
      </c>
      <c r="R1070" s="123" t="str">
        <f>IFERROR(__xludf.DUMMYFUNCTION("""COMPUTED_VALUE"""),"silva.giovane@hotmail.com")</f>
        <v>silva.giovane@hotmail.com</v>
      </c>
      <c r="S1070" s="1" t="str">
        <f>IFERROR(__xludf.DUMMYFUNCTION("""COMPUTED_VALUE"""),"84KG")</f>
        <v>84KG</v>
      </c>
      <c r="T1070" s="1" t="str">
        <f>IFERROR(__xludf.DUMMYFUNCTION("""COMPUTED_VALUE"""),"Entre 1,81m e 1,85m")</f>
        <v>Entre 1,81m e 1,85m</v>
      </c>
      <c r="U1070" s="1" t="str">
        <f>IFERROR(__xludf.DUMMYFUNCTION("""COMPUTED_VALUE"""),"Não POSSUI")</f>
        <v>Não POSSUI</v>
      </c>
      <c r="V1070" s="1">
        <f>IFERROR(__xludf.DUMMYFUNCTION("""COMPUTED_VALUE"""),51991333873)</f>
        <v>51991333873</v>
      </c>
      <c r="W1070" s="1">
        <f>IFERROR(__xludf.DUMMYFUNCTION("""COMPUTED_VALUE"""),51991942217)</f>
        <v>51991942217</v>
      </c>
      <c r="X1070" s="1" t="str">
        <f>IFERROR(__xludf.DUMMYFUNCTION("""COMPUTED_VALUE"""),"RS")</f>
        <v>RS</v>
      </c>
      <c r="Y1070" s="1" t="str">
        <f>IFERROR(__xludf.DUMMYFUNCTION("""COMPUTED_VALUE"""),"Palmares do Sul")</f>
        <v>Palmares do Sul</v>
      </c>
      <c r="Z1070" s="1">
        <f>IFERROR(__xludf.DUMMYFUNCTION("""COMPUTED_VALUE"""),95540000)</f>
        <v>95540000</v>
      </c>
      <c r="AA1070" s="1" t="str">
        <f>IFERROR(__xludf.DUMMYFUNCTION("""COMPUTED_VALUE"""),"DOM PEDRO I 385")</f>
        <v>DOM PEDRO I 385</v>
      </c>
      <c r="AB1070" s="1" t="str">
        <f>IFERROR(__xludf.DUMMYFUNCTION("""COMPUTED_VALUE"""),"PRAIA DO FRADE")</f>
        <v>PRAIA DO FRADE</v>
      </c>
      <c r="AC1070" s="1" t="str">
        <f>IFERROR(__xludf.DUMMYFUNCTION("""COMPUTED_VALUE"""),"EXG")</f>
        <v>EXG</v>
      </c>
      <c r="AD1070" s="1" t="str">
        <f>IFERROR(__xludf.DUMMYFUNCTION("""COMPUTED_VALUE"""),"EXG")</f>
        <v>EXG</v>
      </c>
      <c r="AE1070" s="1" t="str">
        <f>IFERROR(__xludf.DUMMYFUNCTION("""COMPUTED_VALUE"""),"EXG")</f>
        <v>EXG</v>
      </c>
      <c r="AF1070" s="1" t="str">
        <f>IFERROR(__xludf.DUMMYFUNCTION("""COMPUTED_VALUE"""),"EXG")</f>
        <v>EXG</v>
      </c>
      <c r="AG1070" s="1" t="str">
        <f>IFERROR(__xludf.DUMMYFUNCTION("""COMPUTED_VALUE"""),"EXG")</f>
        <v>EXG</v>
      </c>
      <c r="AH1070" s="1">
        <f>IFERROR(__xludf.DUMMYFUNCTION("""COMPUTED_VALUE"""),42)</f>
        <v>42</v>
      </c>
      <c r="AI1070" s="1">
        <f>IFERROR(__xludf.DUMMYFUNCTION("""COMPUTED_VALUE"""),42)</f>
        <v>42</v>
      </c>
      <c r="AJ1070" s="1">
        <f>IFERROR(__xludf.DUMMYFUNCTION("""COMPUTED_VALUE"""),42)</f>
        <v>42</v>
      </c>
      <c r="AK1070" s="1">
        <f>IFERROR(__xludf.DUMMYFUNCTION("""COMPUTED_VALUE"""),43)</f>
        <v>43</v>
      </c>
      <c r="AL1070" s="1" t="str">
        <f>IFERROR(__xludf.DUMMYFUNCTION("""COMPUTED_VALUE"""),"EXG")</f>
        <v>EXG</v>
      </c>
      <c r="AM1070" s="1" t="str">
        <f>IFERROR(__xludf.DUMMYFUNCTION("""COMPUTED_VALUE"""),"EXG")</f>
        <v>EXG</v>
      </c>
      <c r="AN1070" s="1" t="str">
        <f>IFERROR(__xludf.DUMMYFUNCTION("""COMPUTED_VALUE"""),"G")</f>
        <v>G</v>
      </c>
    </row>
    <row r="1071" customHeight="1" spans="1:40">
      <c r="A1071" s="1" t="str">
        <f>IFERROR(__xludf.DUMMYFUNCTION("""COMPUTED_VALUE"""),"09° BBM")</f>
        <v>09° BBM</v>
      </c>
      <c r="B1071" s="1" t="str">
        <f>IFERROR(__xludf.DUMMYFUNCTION("""COMPUTED_VALUE"""),"Balneário Pinhal")</f>
        <v>Balneário Pinhal</v>
      </c>
      <c r="C1071" s="119" t="str">
        <f>IFERROR(__xludf.DUMMYFUNCTION("""COMPUTED_VALUE"""),"CAB")</f>
        <v>CAB</v>
      </c>
      <c r="D1071" s="1" t="str">
        <f>IFERROR(__xludf.DUMMYFUNCTION("""COMPUTED_VALUE"""),"GRAZIELE GAIER SILVEIRA")</f>
        <v>GRAZIELE GAIER SILVEIRA</v>
      </c>
      <c r="E1071" s="119" t="str">
        <f>IFERROR(__xludf.DUMMYFUNCTION("""COMPUTED_VALUE"""),"")</f>
        <v/>
      </c>
      <c r="F1071" s="1" t="str">
        <f>IFERROR(__xludf.DUMMYFUNCTION("""COMPUTED_VALUE"""),"837.198.650-53")</f>
        <v>837.198.650-53</v>
      </c>
      <c r="G1071" s="1">
        <f>IFERROR(__xludf.DUMMYFUNCTION("""COMPUTED_VALUE"""),1086202486)</f>
        <v>1086202486</v>
      </c>
      <c r="H1071" s="1" t="str">
        <f>IFERROR(__xludf.DUMMYFUNCTION("""COMPUTED_VALUE"""),"SOCORRISTA")</f>
        <v>SOCORRISTA</v>
      </c>
      <c r="I1071" s="1" t="str">
        <f>IFERROR(__xludf.DUMMYFUNCTION("""COMPUTED_VALUE"""),"APH; BLS; BOMBEIRO CIVIL")</f>
        <v>APH; BLS; BOMBEIRO CIVIL</v>
      </c>
      <c r="J1071" s="1" t="str">
        <f>IFERROR(__xludf.DUMMYFUNCTION("""COMPUTED_VALUE"""),"Não")</f>
        <v>Não</v>
      </c>
      <c r="K1071" s="1" t="str">
        <f>IFERROR(__xludf.DUMMYFUNCTION("""COMPUTED_VALUE"""),"Não")</f>
        <v>Não</v>
      </c>
      <c r="L1071" s="1" t="str">
        <f>IFERROR(__xludf.DUMMYFUNCTION("""COMPUTED_VALUE"""),"O+")</f>
        <v>O+</v>
      </c>
      <c r="M1071" s="1" t="str">
        <f>IFERROR(__xludf.DUMMYFUNCTION("""COMPUTED_VALUE"""),"GRAZIELLE")</f>
        <v>GRAZIELLE</v>
      </c>
      <c r="N1071" s="120">
        <f>IFERROR(__xludf.DUMMYFUNCTION("""COMPUTED_VALUE"""),31867)</f>
        <v>31867</v>
      </c>
      <c r="O1071" s="1" t="str">
        <f>IFERROR(__xludf.DUMMYFUNCTION("""COMPUTED_VALUE"""),"Feminino")</f>
        <v>Feminino</v>
      </c>
      <c r="P1071" s="1" t="str">
        <f>IFERROR(__xludf.DUMMYFUNCTION("""COMPUTED_VALUE"""),"Branca")</f>
        <v>Branca</v>
      </c>
      <c r="Q1071" s="1" t="str">
        <f>IFERROR(__xludf.DUMMYFUNCTION("""COMPUTED_VALUE"""),"Ensino Superior Incompleto")</f>
        <v>Ensino Superior Incompleto</v>
      </c>
      <c r="R1071" s="1" t="str">
        <f>IFERROR(__xludf.DUMMYFUNCTION("""COMPUTED_VALUE"""),"GRAZYGAYER@HOTMAIL.COM")</f>
        <v>GRAZYGAYER@HOTMAIL.COM</v>
      </c>
      <c r="S1071" s="1" t="str">
        <f>IFERROR(__xludf.DUMMYFUNCTION("""COMPUTED_VALUE"""),"84KG")</f>
        <v>84KG</v>
      </c>
      <c r="T1071" s="1" t="str">
        <f>IFERROR(__xludf.DUMMYFUNCTION("""COMPUTED_VALUE"""),"Entre 1,56m e 1,60m")</f>
        <v>Entre 1,56m e 1,60m</v>
      </c>
      <c r="U1071" s="1" t="str">
        <f>IFERROR(__xludf.DUMMYFUNCTION("""COMPUTED_VALUE"""),"Não POSSUI")</f>
        <v>Não POSSUI</v>
      </c>
      <c r="V1071" s="1">
        <f>IFERROR(__xludf.DUMMYFUNCTION("""COMPUTED_VALUE"""),51985608606)</f>
        <v>51985608606</v>
      </c>
      <c r="W1071" s="1" t="str">
        <f>IFERROR(__xludf.DUMMYFUNCTION("""COMPUTED_VALUE"""),"51989546480(RAFAEL)")</f>
        <v>51989546480(RAFAEL)</v>
      </c>
      <c r="X1071" s="1" t="str">
        <f>IFERROR(__xludf.DUMMYFUNCTION("""COMPUTED_VALUE"""),"RS")</f>
        <v>RS</v>
      </c>
      <c r="Y1071" s="1" t="str">
        <f>IFERROR(__xludf.DUMMYFUNCTION("""COMPUTED_VALUE"""),"Balneário Pinhal")</f>
        <v>Balneário Pinhal</v>
      </c>
      <c r="Z1071" s="1">
        <f>IFERROR(__xludf.DUMMYFUNCTION("""COMPUTED_VALUE"""),95599000)</f>
        <v>95599000</v>
      </c>
      <c r="AA1071" s="1" t="str">
        <f>IFERROR(__xludf.DUMMYFUNCTION("""COMPUTED_VALUE"""),"ORFELINO DUARTE 1480")</f>
        <v>ORFELINO DUARTE 1480</v>
      </c>
      <c r="AB1071" s="1" t="str">
        <f>IFERROR(__xludf.DUMMYFUNCTION("""COMPUTED_VALUE"""),"CENTRO")</f>
        <v>CENTRO</v>
      </c>
      <c r="AC1071" s="1" t="str">
        <f>IFERROR(__xludf.DUMMYFUNCTION("""COMPUTED_VALUE"""),"P")</f>
        <v>P</v>
      </c>
      <c r="AD1071" s="1" t="str">
        <f>IFERROR(__xludf.DUMMYFUNCTION("""COMPUTED_VALUE"""),"P")</f>
        <v>P</v>
      </c>
      <c r="AE1071" s="1" t="str">
        <f>IFERROR(__xludf.DUMMYFUNCTION("""COMPUTED_VALUE"""),"P")</f>
        <v>P</v>
      </c>
      <c r="AF1071" s="1" t="str">
        <f>IFERROR(__xludf.DUMMYFUNCTION("""COMPUTED_VALUE"""),"P")</f>
        <v>P</v>
      </c>
      <c r="AG1071" s="1" t="str">
        <f>IFERROR(__xludf.DUMMYFUNCTION("""COMPUTED_VALUE"""),"P")</f>
        <v>P</v>
      </c>
      <c r="AH1071" s="1">
        <f>IFERROR(__xludf.DUMMYFUNCTION("""COMPUTED_VALUE"""),34)</f>
        <v>34</v>
      </c>
      <c r="AI1071" s="1">
        <f>IFERROR(__xludf.DUMMYFUNCTION("""COMPUTED_VALUE"""),34)</f>
        <v>34</v>
      </c>
      <c r="AJ1071" s="1">
        <f>IFERROR(__xludf.DUMMYFUNCTION("""COMPUTED_VALUE"""),34)</f>
        <v>34</v>
      </c>
      <c r="AK1071" s="1">
        <f>IFERROR(__xludf.DUMMYFUNCTION("""COMPUTED_VALUE"""),35)</f>
        <v>35</v>
      </c>
      <c r="AL1071" s="1" t="str">
        <f>IFERROR(__xludf.DUMMYFUNCTION("""COMPUTED_VALUE"""),"P")</f>
        <v>P</v>
      </c>
      <c r="AM1071" s="1" t="str">
        <f>IFERROR(__xludf.DUMMYFUNCTION("""COMPUTED_VALUE"""),"P")</f>
        <v>P</v>
      </c>
      <c r="AN1071" s="1" t="str">
        <f>IFERROR(__xludf.DUMMYFUNCTION("""COMPUTED_VALUE"""),"M")</f>
        <v>M</v>
      </c>
    </row>
    <row r="1072" customHeight="1" spans="1:40">
      <c r="A1072" s="1" t="str">
        <f>IFERROR(__xludf.DUMMYFUNCTION("""COMPUTED_VALUE"""),"09° BBM")</f>
        <v>09° BBM</v>
      </c>
      <c r="B1072" s="1" t="str">
        <f>IFERROR(__xludf.DUMMYFUNCTION("""COMPUTED_VALUE"""),"Arroio do Sal")</f>
        <v>Arroio do Sal</v>
      </c>
      <c r="C1072" s="119" t="str">
        <f>IFERROR(__xludf.DUMMYFUNCTION("""COMPUTED_VALUE"""),"CAB")</f>
        <v>CAB</v>
      </c>
      <c r="D1072" s="1" t="str">
        <f>IFERROR(__xludf.DUMMYFUNCTION("""COMPUTED_VALUE"""),"GUILHERME MACHADO BEHENCH")</f>
        <v>GUILHERME MACHADO BEHENCH</v>
      </c>
      <c r="E1072" s="119" t="str">
        <f>IFERROR(__xludf.DUMMYFUNCTION("""COMPUTED_VALUE"""),"Curso CAB operador concluído")</f>
        <v>Curso CAB operador concluído</v>
      </c>
      <c r="F1072" s="1" t="str">
        <f>IFERROR(__xludf.DUMMYFUNCTION("""COMPUTED_VALUE"""),"040.154.890-20")</f>
        <v>040.154.890-20</v>
      </c>
      <c r="G1072" s="1">
        <f>IFERROR(__xludf.DUMMYFUNCTION("""COMPUTED_VALUE"""),9122978861)</f>
        <v>9122978861</v>
      </c>
      <c r="H1072" s="1" t="str">
        <f>IFERROR(__xludf.DUMMYFUNCTION("""COMPUTED_VALUE"""),"COMBATENTE")</f>
        <v>COMBATENTE</v>
      </c>
      <c r="I1072" s="1" t="str">
        <f>IFERROR(__xludf.DUMMYFUNCTION("""COMPUTED_VALUE"""),"RIT rápida intervenção tática, APH, Bls, bombeiro civil, curso basico para bombeiros para civis auxiliares de bombeiros-operador cab.")</f>
        <v>RIT rápida intervenção tática, APH, Bls, bombeiro civil, curso basico para bombeiros para civis auxiliares de bombeiros-operador cab.</v>
      </c>
      <c r="J1072" s="1" t="str">
        <f>IFERROR(__xludf.DUMMYFUNCTION("""COMPUTED_VALUE"""),"Sim")</f>
        <v>Sim</v>
      </c>
      <c r="K1072" s="1" t="str">
        <f>IFERROR(__xludf.DUMMYFUNCTION("""COMPUTED_VALUE"""),"Não")</f>
        <v>Não</v>
      </c>
      <c r="L1072" s="1" t="str">
        <f>IFERROR(__xludf.DUMMYFUNCTION("""COMPUTED_VALUE"""),"O+")</f>
        <v>O+</v>
      </c>
      <c r="M1072" s="1" t="str">
        <f>IFERROR(__xludf.DUMMYFUNCTION("""COMPUTED_VALUE"""),"BEHENCK")</f>
        <v>BEHENCK</v>
      </c>
      <c r="N1072" s="120">
        <f>IFERROR(__xludf.DUMMYFUNCTION("""COMPUTED_VALUE"""),37442)</f>
        <v>37442</v>
      </c>
      <c r="O1072" s="1" t="str">
        <f>IFERROR(__xludf.DUMMYFUNCTION("""COMPUTED_VALUE"""),"Masculino")</f>
        <v>Masculino</v>
      </c>
      <c r="P1072" s="1" t="str">
        <f>IFERROR(__xludf.DUMMYFUNCTION("""COMPUTED_VALUE"""),"Branca")</f>
        <v>Branca</v>
      </c>
      <c r="Q1072" s="1" t="str">
        <f>IFERROR(__xludf.DUMMYFUNCTION("""COMPUTED_VALUE"""),"Ensino Médio")</f>
        <v>Ensino Médio</v>
      </c>
      <c r="R1072" s="1" t="str">
        <f>IFERROR(__xludf.DUMMYFUNCTION("""COMPUTED_VALUE"""),"GUILHERMEBEHENCK@GMAIL.COM")</f>
        <v>GUILHERMEBEHENCK@GMAIL.COM</v>
      </c>
      <c r="S1072" s="1" t="str">
        <f>IFERROR(__xludf.DUMMYFUNCTION("""COMPUTED_VALUE"""),"81 KG")</f>
        <v>81 KG</v>
      </c>
      <c r="T1072" s="1" t="str">
        <f>IFERROR(__xludf.DUMMYFUNCTION("""COMPUTED_VALUE"""),"Entre 1,71m e 1,75m")</f>
        <v>Entre 1,71m e 1,75m</v>
      </c>
      <c r="U1072" s="1" t="str">
        <f>IFERROR(__xludf.DUMMYFUNCTION("""COMPUTED_VALUE"""),"Não POSSUI")</f>
        <v>Não POSSUI</v>
      </c>
      <c r="V1072" s="1" t="str">
        <f>IFERROR(__xludf.DUMMYFUNCTION("""COMPUTED_VALUE"""),"(51) 99940-5014")</f>
        <v>(51) 99940-5014</v>
      </c>
      <c r="W1072" s="1" t="str">
        <f>IFERROR(__xludf.DUMMYFUNCTION("""COMPUTED_VALUE"""),"(51) 98178-9942/ (51) 998827-7119")</f>
        <v>(51) 98178-9942/ (51) 998827-7119</v>
      </c>
      <c r="X1072" s="1" t="str">
        <f>IFERROR(__xludf.DUMMYFUNCTION("""COMPUTED_VALUE"""),"RS")</f>
        <v>RS</v>
      </c>
      <c r="Y1072" s="1" t="str">
        <f>IFERROR(__xludf.DUMMYFUNCTION("""COMPUTED_VALUE"""),"Três Cachoeiras")</f>
        <v>Três Cachoeiras</v>
      </c>
      <c r="Z1072" s="1" t="str">
        <f>IFERROR(__xludf.DUMMYFUNCTION("""COMPUTED_VALUE"""),"95580-000")</f>
        <v>95580-000</v>
      </c>
      <c r="AA1072" s="1" t="str">
        <f>IFERROR(__xludf.DUMMYFUNCTION("""COMPUTED_VALUE"""),"RUA DARCI DA PAZ CARDOSO")</f>
        <v>RUA DARCI DA PAZ CARDOSO</v>
      </c>
      <c r="AB1072" s="1" t="str">
        <f>IFERROR(__xludf.DUMMYFUNCTION("""COMPUTED_VALUE"""),"BELA VISTA")</f>
        <v>BELA VISTA</v>
      </c>
      <c r="AC1072" s="1" t="str">
        <f>IFERROR(__xludf.DUMMYFUNCTION("""COMPUTED_VALUE"""),"M")</f>
        <v>M</v>
      </c>
      <c r="AD1072" s="1" t="str">
        <f>IFERROR(__xludf.DUMMYFUNCTION("""COMPUTED_VALUE"""),"G")</f>
        <v>G</v>
      </c>
      <c r="AE1072" s="1" t="str">
        <f>IFERROR(__xludf.DUMMYFUNCTION("""COMPUTED_VALUE"""),"M")</f>
        <v>M</v>
      </c>
      <c r="AF1072" s="1" t="str">
        <f>IFERROR(__xludf.DUMMYFUNCTION("""COMPUTED_VALUE"""),"M")</f>
        <v>M</v>
      </c>
      <c r="AG1072" s="1" t="str">
        <f>IFERROR(__xludf.DUMMYFUNCTION("""COMPUTED_VALUE"""),"M")</f>
        <v>M</v>
      </c>
      <c r="AH1072" s="1">
        <f>IFERROR(__xludf.DUMMYFUNCTION("""COMPUTED_VALUE"""),41)</f>
        <v>41</v>
      </c>
      <c r="AI1072" s="1">
        <f>IFERROR(__xludf.DUMMYFUNCTION("""COMPUTED_VALUE"""),41)</f>
        <v>41</v>
      </c>
      <c r="AJ1072" s="1">
        <f>IFERROR(__xludf.DUMMYFUNCTION("""COMPUTED_VALUE"""),41)</f>
        <v>41</v>
      </c>
      <c r="AK1072" s="1">
        <f>IFERROR(__xludf.DUMMYFUNCTION("""COMPUTED_VALUE"""),41)</f>
        <v>41</v>
      </c>
      <c r="AL1072" s="1" t="str">
        <f>IFERROR(__xludf.DUMMYFUNCTION("""COMPUTED_VALUE"""),"M")</f>
        <v>M</v>
      </c>
      <c r="AM1072" s="1" t="str">
        <f>IFERROR(__xludf.DUMMYFUNCTION("""COMPUTED_VALUE"""),"M")</f>
        <v>M</v>
      </c>
      <c r="AN1072" s="1" t="str">
        <f>IFERROR(__xludf.DUMMYFUNCTION("""COMPUTED_VALUE"""),"M")</f>
        <v>M</v>
      </c>
    </row>
    <row r="1073" customHeight="1" spans="1:40">
      <c r="A1073" s="1" t="str">
        <f>IFERROR(__xludf.DUMMYFUNCTION("""COMPUTED_VALUE"""),"09° BBM")</f>
        <v>09° BBM</v>
      </c>
      <c r="B1073" s="1" t="str">
        <f>IFERROR(__xludf.DUMMYFUNCTION("""COMPUTED_VALUE"""),"Balneário Pinhal")</f>
        <v>Balneário Pinhal</v>
      </c>
      <c r="C1073" s="119" t="str">
        <f>IFERROR(__xludf.DUMMYFUNCTION("""COMPUTED_VALUE"""),"CAB")</f>
        <v>CAB</v>
      </c>
      <c r="D1073" s="1" t="str">
        <f>IFERROR(__xludf.DUMMYFUNCTION("""COMPUTED_VALUE"""),"GUILHERME PRAUCHNER")</f>
        <v>GUILHERME PRAUCHNER</v>
      </c>
      <c r="E1073" s="119" t="str">
        <f>IFERROR(__xludf.DUMMYFUNCTION("""COMPUTED_VALUE"""),"")</f>
        <v/>
      </c>
      <c r="F1073" s="1" t="str">
        <f>IFERROR(__xludf.DUMMYFUNCTION("""COMPUTED_VALUE"""),"003.181.230-96")</f>
        <v>003.181.230-96</v>
      </c>
      <c r="G1073" s="1">
        <f>IFERROR(__xludf.DUMMYFUNCTION("""COMPUTED_VALUE"""),7058613857)</f>
        <v>7058613857</v>
      </c>
      <c r="H1073" s="1" t="str">
        <f>IFERROR(__xludf.DUMMYFUNCTION("""COMPUTED_VALUE"""),"CONDUTOR D")</f>
        <v>CONDUTOR D</v>
      </c>
      <c r="I1073" s="1" t="str">
        <f>IFERROR(__xludf.DUMMYFUNCTION("""COMPUTED_VALUE"""),"APH; BLS; CAT D e VEÍCULO DE EMERGÊNCIA; BOMBEIRO CIVIL CLASSE I")</f>
        <v>APH; BLS; CAT D e VEÍCULO DE EMERGÊNCIA; BOMBEIRO CIVIL CLASSE I</v>
      </c>
      <c r="J1073" s="1" t="str">
        <f>IFERROR(__xludf.DUMMYFUNCTION("""COMPUTED_VALUE"""),"Não")</f>
        <v>Não</v>
      </c>
      <c r="K1073" s="1" t="str">
        <f>IFERROR(__xludf.DUMMYFUNCTION("""COMPUTED_VALUE"""),"Não")</f>
        <v>Não</v>
      </c>
      <c r="L1073" s="1" t="str">
        <f>IFERROR(__xludf.DUMMYFUNCTION("""COMPUTED_VALUE"""),"O+")</f>
        <v>O+</v>
      </c>
      <c r="M1073" s="1" t="str">
        <f>IFERROR(__xludf.DUMMYFUNCTION("""COMPUTED_VALUE"""),"PRAUNCHER")</f>
        <v>PRAUNCHER</v>
      </c>
      <c r="N1073" s="120">
        <f>IFERROR(__xludf.DUMMYFUNCTION("""COMPUTED_VALUE"""),30391)</f>
        <v>30391</v>
      </c>
      <c r="O1073" s="1" t="str">
        <f>IFERROR(__xludf.DUMMYFUNCTION("""COMPUTED_VALUE"""),"Masculino")</f>
        <v>Masculino</v>
      </c>
      <c r="P1073" s="1" t="str">
        <f>IFERROR(__xludf.DUMMYFUNCTION("""COMPUTED_VALUE"""),"Branca")</f>
        <v>Branca</v>
      </c>
      <c r="Q1073" s="1" t="str">
        <f>IFERROR(__xludf.DUMMYFUNCTION("""COMPUTED_VALUE"""),"Ensino Superior Incompleto")</f>
        <v>Ensino Superior Incompleto</v>
      </c>
      <c r="R1073" s="1" t="str">
        <f>IFERROR(__xludf.DUMMYFUNCTION("""COMPUTED_VALUE"""),"GUIPRAUNCHER@GMAIL.COM")</f>
        <v>GUIPRAUNCHER@GMAIL.COM</v>
      </c>
      <c r="S1073" s="1" t="str">
        <f>IFERROR(__xludf.DUMMYFUNCTION("""COMPUTED_VALUE"""),"84KG")</f>
        <v>84KG</v>
      </c>
      <c r="T1073" s="1" t="str">
        <f>IFERROR(__xludf.DUMMYFUNCTION("""COMPUTED_VALUE"""),"Entre 1,71m e 1,75m")</f>
        <v>Entre 1,71m e 1,75m</v>
      </c>
      <c r="U1073" s="1" t="str">
        <f>IFERROR(__xludf.DUMMYFUNCTION("""COMPUTED_VALUE"""),"Não POSSUI")</f>
        <v>Não POSSUI</v>
      </c>
      <c r="V1073" s="1">
        <f>IFERROR(__xludf.DUMMYFUNCTION("""COMPUTED_VALUE"""),51994157668)</f>
        <v>51994157668</v>
      </c>
      <c r="W1073" s="1">
        <f>IFERROR(__xludf.DUMMYFUNCTION("""COMPUTED_VALUE"""),5132497237)</f>
        <v>5132497237</v>
      </c>
      <c r="X1073" s="1" t="str">
        <f>IFERROR(__xludf.DUMMYFUNCTION("""COMPUTED_VALUE"""),"RS")</f>
        <v>RS</v>
      </c>
      <c r="Y1073" s="1" t="str">
        <f>IFERROR(__xludf.DUMMYFUNCTION("""COMPUTED_VALUE"""),"Porto Alegre")</f>
        <v>Porto Alegre</v>
      </c>
      <c r="Z1073" s="1">
        <f>IFERROR(__xludf.DUMMYFUNCTION("""COMPUTED_VALUE"""),90820180)</f>
        <v>90820180</v>
      </c>
      <c r="AA1073" s="1" t="str">
        <f>IFERROR(__xludf.DUMMYFUNCTION("""COMPUTED_VALUE"""),"JAGUARI 848")</f>
        <v>JAGUARI 848</v>
      </c>
      <c r="AB1073" s="1" t="str">
        <f>IFERROR(__xludf.DUMMYFUNCTION("""COMPUTED_VALUE"""),"CRISTAL")</f>
        <v>CRISTAL</v>
      </c>
      <c r="AC1073" s="1" t="str">
        <f>IFERROR(__xludf.DUMMYFUNCTION("""COMPUTED_VALUE"""),"EXG")</f>
        <v>EXG</v>
      </c>
      <c r="AD1073" s="1" t="str">
        <f>IFERROR(__xludf.DUMMYFUNCTION("""COMPUTED_VALUE"""),"G")</f>
        <v>G</v>
      </c>
      <c r="AE1073" s="1" t="str">
        <f>IFERROR(__xludf.DUMMYFUNCTION("""COMPUTED_VALUE"""),"G")</f>
        <v>G</v>
      </c>
      <c r="AF1073" s="1" t="str">
        <f>IFERROR(__xludf.DUMMYFUNCTION("""COMPUTED_VALUE"""),"G")</f>
        <v>G</v>
      </c>
      <c r="AG1073" s="1" t="str">
        <f>IFERROR(__xludf.DUMMYFUNCTION("""COMPUTED_VALUE"""),"G")</f>
        <v>G</v>
      </c>
      <c r="AH1073" s="1">
        <f>IFERROR(__xludf.DUMMYFUNCTION("""COMPUTED_VALUE"""),40)</f>
        <v>40</v>
      </c>
      <c r="AI1073" s="1">
        <f>IFERROR(__xludf.DUMMYFUNCTION("""COMPUTED_VALUE"""),40)</f>
        <v>40</v>
      </c>
      <c r="AJ1073" s="1">
        <f>IFERROR(__xludf.DUMMYFUNCTION("""COMPUTED_VALUE"""),40)</f>
        <v>40</v>
      </c>
      <c r="AK1073" s="1">
        <f>IFERROR(__xludf.DUMMYFUNCTION("""COMPUTED_VALUE"""),41)</f>
        <v>41</v>
      </c>
      <c r="AL1073" s="1" t="str">
        <f>IFERROR(__xludf.DUMMYFUNCTION("""COMPUTED_VALUE"""),"G")</f>
        <v>G</v>
      </c>
      <c r="AM1073" s="1" t="str">
        <f>IFERROR(__xludf.DUMMYFUNCTION("""COMPUTED_VALUE"""),"G")</f>
        <v>G</v>
      </c>
      <c r="AN1073" s="1" t="str">
        <f>IFERROR(__xludf.DUMMYFUNCTION("""COMPUTED_VALUE"""),"G")</f>
        <v>G</v>
      </c>
    </row>
    <row r="1074" customHeight="1" spans="1:40">
      <c r="A1074" s="1" t="str">
        <f>IFERROR(__xludf.DUMMYFUNCTION("""COMPUTED_VALUE"""),"09° BBM")</f>
        <v>09° BBM</v>
      </c>
      <c r="B1074" s="1" t="str">
        <f>IFERROR(__xludf.DUMMYFUNCTION("""COMPUTED_VALUE"""),"Arroio do Sal")</f>
        <v>Arroio do Sal</v>
      </c>
      <c r="C1074" s="119" t="str">
        <f>IFERROR(__xludf.DUMMYFUNCTION("""COMPUTED_VALUE"""),"CAB")</f>
        <v>CAB</v>
      </c>
      <c r="D1074" s="1" t="str">
        <f>IFERROR(__xludf.DUMMYFUNCTION("""COMPUTED_VALUE"""),"GUSTAVO DE FREITAS LIMA")</f>
        <v>GUSTAVO DE FREITAS LIMA</v>
      </c>
      <c r="E1074" s="119" t="str">
        <f>IFERROR(__xludf.DUMMYFUNCTION("""COMPUTED_VALUE"""),"Módulo 2 e 3 concluído")</f>
        <v>Módulo 2 e 3 concluído</v>
      </c>
      <c r="F1074" s="1" t="str">
        <f>IFERROR(__xludf.DUMMYFUNCTION("""COMPUTED_VALUE"""),"033.609.180-02")</f>
        <v>033.609.180-02</v>
      </c>
      <c r="G1074" s="1">
        <f>IFERROR(__xludf.DUMMYFUNCTION("""COMPUTED_VALUE"""),1117352417)</f>
        <v>1117352417</v>
      </c>
      <c r="H1074" s="1" t="str">
        <f>IFERROR(__xludf.DUMMYFUNCTION("""COMPUTED_VALUE"""),"COMBATENTE")</f>
        <v>COMBATENTE</v>
      </c>
      <c r="I1074" s="1" t="str">
        <f>IFERROR(__xludf.DUMMYFUNCTION("""COMPUTED_VALUE"""),"Apicultura- Emater/RS, Resgate em altura, Nr 35, Stop The bleed, Resgate veicular -cbm/RS, Montagem de tripé e nos e amarrações- cbm/RS, Salvamento aquático- cbm/rs, Combate a incêndio, Aph, Bls")</f>
        <v>Apicultura- Emater/RS, Resgate em altura, Nr 35, Stop The bleed, Resgate veicular -cbm/RS, Montagem de tripé e nos e amarrações- cbm/RS, Salvamento aquático- cbm/rs, Combate a incêndio, Aph, Bls</v>
      </c>
      <c r="J1074" s="1" t="str">
        <f>IFERROR(__xludf.DUMMYFUNCTION("""COMPUTED_VALUE"""),"Sim")</f>
        <v>Sim</v>
      </c>
      <c r="K1074" s="1" t="str">
        <f>IFERROR(__xludf.DUMMYFUNCTION("""COMPUTED_VALUE"""),"Não")</f>
        <v>Não</v>
      </c>
      <c r="L1074" s="1" t="str">
        <f>IFERROR(__xludf.DUMMYFUNCTION("""COMPUTED_VALUE"""),"O+")</f>
        <v>O+</v>
      </c>
      <c r="M1074" s="1" t="str">
        <f>IFERROR(__xludf.DUMMYFUNCTION("""COMPUTED_VALUE"""),"GUSTAVO")</f>
        <v>GUSTAVO</v>
      </c>
      <c r="N1074" s="120">
        <f>IFERROR(__xludf.DUMMYFUNCTION("""COMPUTED_VALUE"""),34472)</f>
        <v>34472</v>
      </c>
      <c r="O1074" s="1" t="str">
        <f>IFERROR(__xludf.DUMMYFUNCTION("""COMPUTED_VALUE"""),"Masculino")</f>
        <v>Masculino</v>
      </c>
      <c r="P1074" s="1" t="str">
        <f>IFERROR(__xludf.DUMMYFUNCTION("""COMPUTED_VALUE"""),"Branca")</f>
        <v>Branca</v>
      </c>
      <c r="Q1074" s="1"/>
      <c r="R1074" s="1" t="str">
        <f>IFERROR(__xludf.DUMMYFUNCTION("""COMPUTED_VALUE"""),"GUSTAVOLIMA180594@GMAIL.COM")</f>
        <v>GUSTAVOLIMA180594@GMAIL.COM</v>
      </c>
      <c r="S1074" s="1" t="str">
        <f>IFERROR(__xludf.DUMMYFUNCTION("""COMPUTED_VALUE"""),"85 KG")</f>
        <v>85 KG</v>
      </c>
      <c r="T1074" s="1" t="str">
        <f>IFERROR(__xludf.DUMMYFUNCTION("""COMPUTED_VALUE"""),"Entre 1,76m e 1,80m")</f>
        <v>Entre 1,76m e 1,80m</v>
      </c>
      <c r="U1074" s="1" t="str">
        <f>IFERROR(__xludf.DUMMYFUNCTION("""COMPUTED_VALUE"""),"Não POSSUI")</f>
        <v>Não POSSUI</v>
      </c>
      <c r="V1074" s="1" t="str">
        <f>IFERROR(__xludf.DUMMYFUNCTION("""COMPUTED_VALUE"""),"(54) 99963-0955")</f>
        <v>(54) 99963-0955</v>
      </c>
      <c r="W1074" s="1" t="str">
        <f>IFERROR(__xludf.DUMMYFUNCTION("""COMPUTED_VALUE"""),"(51) 8064-9035")</f>
        <v>(51) 8064-9035</v>
      </c>
      <c r="X1074" s="1" t="str">
        <f>IFERROR(__xludf.DUMMYFUNCTION("""COMPUTED_VALUE"""),"RS")</f>
        <v>RS</v>
      </c>
      <c r="Y1074" s="1" t="str">
        <f>IFERROR(__xludf.DUMMYFUNCTION("""COMPUTED_VALUE"""),"Arroio do Sal")</f>
        <v>Arroio do Sal</v>
      </c>
      <c r="Z1074" s="1" t="str">
        <f>IFERROR(__xludf.DUMMYFUNCTION("""COMPUTED_VALUE"""),"95585-000")</f>
        <v>95585-000</v>
      </c>
      <c r="AA1074" s="1" t="str">
        <f>IFERROR(__xludf.DUMMYFUNCTION("""COMPUTED_VALUE"""),"GUSTAVO RAUPP, N° 365")</f>
        <v>GUSTAVO RAUPP, N° 365</v>
      </c>
      <c r="AB1074" s="1" t="str">
        <f>IFERROR(__xludf.DUMMYFUNCTION("""COMPUTED_VALUE"""),"CENTRO")</f>
        <v>CENTRO</v>
      </c>
      <c r="AC1074" s="1" t="str">
        <f>IFERROR(__xludf.DUMMYFUNCTION("""COMPUTED_VALUE"""),"G")</f>
        <v>G</v>
      </c>
      <c r="AD1074" s="1" t="str">
        <f>IFERROR(__xludf.DUMMYFUNCTION("""COMPUTED_VALUE"""),"G")</f>
        <v>G</v>
      </c>
      <c r="AE1074" s="1" t="str">
        <f>IFERROR(__xludf.DUMMYFUNCTION("""COMPUTED_VALUE"""),"G")</f>
        <v>G</v>
      </c>
      <c r="AF1074" s="1" t="str">
        <f>IFERROR(__xludf.DUMMYFUNCTION("""COMPUTED_VALUE"""),"G")</f>
        <v>G</v>
      </c>
      <c r="AG1074" s="1" t="str">
        <f>IFERROR(__xludf.DUMMYFUNCTION("""COMPUTED_VALUE"""),"G")</f>
        <v>G</v>
      </c>
      <c r="AH1074" s="1">
        <f>IFERROR(__xludf.DUMMYFUNCTION("""COMPUTED_VALUE"""),41)</f>
        <v>41</v>
      </c>
      <c r="AI1074" s="1">
        <f>IFERROR(__xludf.DUMMYFUNCTION("""COMPUTED_VALUE"""),41)</f>
        <v>41</v>
      </c>
      <c r="AJ1074" s="1">
        <f>IFERROR(__xludf.DUMMYFUNCTION("""COMPUTED_VALUE"""),41)</f>
        <v>41</v>
      </c>
      <c r="AK1074" s="1">
        <f>IFERROR(__xludf.DUMMYFUNCTION("""COMPUTED_VALUE"""),41)</f>
        <v>41</v>
      </c>
      <c r="AL1074" s="1" t="str">
        <f>IFERROR(__xludf.DUMMYFUNCTION("""COMPUTED_VALUE"""),"G")</f>
        <v>G</v>
      </c>
      <c r="AM1074" s="1" t="str">
        <f>IFERROR(__xludf.DUMMYFUNCTION("""COMPUTED_VALUE"""),"G")</f>
        <v>G</v>
      </c>
      <c r="AN1074" s="1" t="str">
        <f>IFERROR(__xludf.DUMMYFUNCTION("""COMPUTED_VALUE"""),"G")</f>
        <v>G</v>
      </c>
    </row>
    <row r="1075" customHeight="1" spans="1:40">
      <c r="A1075" s="1" t="str">
        <f>IFERROR(__xludf.DUMMYFUNCTION("""COMPUTED_VALUE"""),"09° BBM")</f>
        <v>09° BBM</v>
      </c>
      <c r="B1075" s="1" t="str">
        <f>IFERROR(__xludf.DUMMYFUNCTION("""COMPUTED_VALUE"""),"Balneário Pinhal")</f>
        <v>Balneário Pinhal</v>
      </c>
      <c r="C1075" s="119" t="str">
        <f>IFERROR(__xludf.DUMMYFUNCTION("""COMPUTED_VALUE"""),"CAB")</f>
        <v>CAB</v>
      </c>
      <c r="D1075" s="1" t="str">
        <f>IFERROR(__xludf.DUMMYFUNCTION("""COMPUTED_VALUE"""),"GUSTAVO SOUZA DA SILVA")</f>
        <v>GUSTAVO SOUZA DA SILVA</v>
      </c>
      <c r="E1075" s="119" t="str">
        <f>IFERROR(__xludf.DUMMYFUNCTION("""COMPUTED_VALUE"""),"Módulo 1 concluído")</f>
        <v>Módulo 1 concluído</v>
      </c>
      <c r="F1075" s="1" t="str">
        <f>IFERROR(__xludf.DUMMYFUNCTION("""COMPUTED_VALUE"""),"041463380-69")</f>
        <v>041463380-69</v>
      </c>
      <c r="G1075" s="1">
        <f>IFERROR(__xludf.DUMMYFUNCTION("""COMPUTED_VALUE"""),9138160735)</f>
        <v>9138160735</v>
      </c>
      <c r="H1075" s="1" t="str">
        <f>IFERROR(__xludf.DUMMYFUNCTION("""COMPUTED_VALUE"""),"COMBATENTE")</f>
        <v>COMBATENTE</v>
      </c>
      <c r="I1075" s="1" t="str">
        <f>IFERROR(__xludf.DUMMYFUNCTION("""COMPUTED_VALUE"""),"APH,BLS")</f>
        <v>APH,BLS</v>
      </c>
      <c r="J1075" s="1" t="str">
        <f>IFERROR(__xludf.DUMMYFUNCTION("""COMPUTED_VALUE"""),"Não")</f>
        <v>Não</v>
      </c>
      <c r="K1075" s="1" t="str">
        <f>IFERROR(__xludf.DUMMYFUNCTION("""COMPUTED_VALUE"""),"Não")</f>
        <v>Não</v>
      </c>
      <c r="L1075" s="1" t="str">
        <f>IFERROR(__xludf.DUMMYFUNCTION("""COMPUTED_VALUE"""),"A+")</f>
        <v>A+</v>
      </c>
      <c r="M1075" s="1" t="str">
        <f>IFERROR(__xludf.DUMMYFUNCTION("""COMPUTED_VALUE"""),"SOUZA")</f>
        <v>SOUZA</v>
      </c>
      <c r="N1075" s="120">
        <f>IFERROR(__xludf.DUMMYFUNCTION("""COMPUTED_VALUE"""),38454)</f>
        <v>38454</v>
      </c>
      <c r="O1075" s="1" t="str">
        <f>IFERROR(__xludf.DUMMYFUNCTION("""COMPUTED_VALUE"""),"Masculino")</f>
        <v>Masculino</v>
      </c>
      <c r="P1075" s="1" t="str">
        <f>IFERROR(__xludf.DUMMYFUNCTION("""COMPUTED_VALUE"""),"Branca")</f>
        <v>Branca</v>
      </c>
      <c r="Q1075" s="1" t="str">
        <f>IFERROR(__xludf.DUMMYFUNCTION("""COMPUTED_VALUE"""),"Ensino Médio")</f>
        <v>Ensino Médio</v>
      </c>
      <c r="R1075" s="1" t="str">
        <f>IFERROR(__xludf.DUMMYFUNCTION("""COMPUTED_VALUE"""),"TRILHEIROGA@GMAIL.COM")</f>
        <v>TRILHEIROGA@GMAIL.COM</v>
      </c>
      <c r="S1075" s="1" t="str">
        <f>IFERROR(__xludf.DUMMYFUNCTION("""COMPUTED_VALUE"""),"84KG")</f>
        <v>84KG</v>
      </c>
      <c r="T1075" s="1" t="str">
        <f>IFERROR(__xludf.DUMMYFUNCTION("""COMPUTED_VALUE"""),"Entre 1,81m e 1,85m")</f>
        <v>Entre 1,81m e 1,85m</v>
      </c>
      <c r="U1075" s="1" t="str">
        <f>IFERROR(__xludf.DUMMYFUNCTION("""COMPUTED_VALUE"""),"Não POSSUI")</f>
        <v>Não POSSUI</v>
      </c>
      <c r="V1075" s="1">
        <f>IFERROR(__xludf.DUMMYFUNCTION("""COMPUTED_VALUE"""),51992492575)</f>
        <v>51992492575</v>
      </c>
      <c r="W1075" s="1">
        <f>IFERROR(__xludf.DUMMYFUNCTION("""COMPUTED_VALUE"""),51991736007)</f>
        <v>51991736007</v>
      </c>
      <c r="X1075" s="1" t="str">
        <f>IFERROR(__xludf.DUMMYFUNCTION("""COMPUTED_VALUE"""),"RS")</f>
        <v>RS</v>
      </c>
      <c r="Y1075" s="1" t="str">
        <f>IFERROR(__xludf.DUMMYFUNCTION("""COMPUTED_VALUE"""),"Tramandaí")</f>
        <v>Tramandaí</v>
      </c>
      <c r="Z1075" s="1">
        <f>IFERROR(__xludf.DUMMYFUNCTION("""COMPUTED_VALUE"""),95590000)</f>
        <v>95590000</v>
      </c>
      <c r="AA1075" s="1" t="str">
        <f>IFERROR(__xludf.DUMMYFUNCTION("""COMPUTED_VALUE"""),"CLAITON HOFFMEISTER 4605")</f>
        <v>CLAITON HOFFMEISTER 4605</v>
      </c>
      <c r="AB1075" s="1" t="str">
        <f>IFERROR(__xludf.DUMMYFUNCTION("""COMPUTED_VALUE"""),"CENTRO")</f>
        <v>CENTRO</v>
      </c>
      <c r="AC1075" s="1" t="str">
        <f>IFERROR(__xludf.DUMMYFUNCTION("""COMPUTED_VALUE"""),"EXG")</f>
        <v>EXG</v>
      </c>
      <c r="AD1075" s="1" t="str">
        <f>IFERROR(__xludf.DUMMYFUNCTION("""COMPUTED_VALUE"""),"EXG")</f>
        <v>EXG</v>
      </c>
      <c r="AE1075" s="1" t="str">
        <f>IFERROR(__xludf.DUMMYFUNCTION("""COMPUTED_VALUE"""),"EXG")</f>
        <v>EXG</v>
      </c>
      <c r="AF1075" s="1" t="str">
        <f>IFERROR(__xludf.DUMMYFUNCTION("""COMPUTED_VALUE"""),"EXG")</f>
        <v>EXG</v>
      </c>
      <c r="AG1075" s="1" t="str">
        <f>IFERROR(__xludf.DUMMYFUNCTION("""COMPUTED_VALUE"""),"EXG")</f>
        <v>EXG</v>
      </c>
      <c r="AH1075" s="1">
        <f>IFERROR(__xludf.DUMMYFUNCTION("""COMPUTED_VALUE"""),42)</f>
        <v>42</v>
      </c>
      <c r="AI1075" s="1">
        <f>IFERROR(__xludf.DUMMYFUNCTION("""COMPUTED_VALUE"""),42)</f>
        <v>42</v>
      </c>
      <c r="AJ1075" s="1">
        <f>IFERROR(__xludf.DUMMYFUNCTION("""COMPUTED_VALUE"""),42)</f>
        <v>42</v>
      </c>
      <c r="AK1075" s="1">
        <f>IFERROR(__xludf.DUMMYFUNCTION("""COMPUTED_VALUE"""),42)</f>
        <v>42</v>
      </c>
      <c r="AL1075" s="1" t="str">
        <f>IFERROR(__xludf.DUMMYFUNCTION("""COMPUTED_VALUE"""),"EXG")</f>
        <v>EXG</v>
      </c>
      <c r="AM1075" s="1" t="str">
        <f>IFERROR(__xludf.DUMMYFUNCTION("""COMPUTED_VALUE"""),"EXG")</f>
        <v>EXG</v>
      </c>
      <c r="AN1075" s="1" t="str">
        <f>IFERROR(__xludf.DUMMYFUNCTION("""COMPUTED_VALUE"""),"G")</f>
        <v>G</v>
      </c>
    </row>
    <row r="1076" customHeight="1" spans="1:40">
      <c r="A1076" s="1" t="str">
        <f>IFERROR(__xludf.DUMMYFUNCTION("""COMPUTED_VALUE"""),"09° BBM")</f>
        <v>09° BBM</v>
      </c>
      <c r="B1076" s="1" t="str">
        <f>IFERROR(__xludf.DUMMYFUNCTION("""COMPUTED_VALUE"""),"Arroio do Sal")</f>
        <v>Arroio do Sal</v>
      </c>
      <c r="C1076" s="119" t="str">
        <f>IFERROR(__xludf.DUMMYFUNCTION("""COMPUTED_VALUE"""),"CAB")</f>
        <v>CAB</v>
      </c>
      <c r="D1076" s="1" t="str">
        <f>IFERROR(__xludf.DUMMYFUNCTION("""COMPUTED_VALUE"""),"JANETE MENDES DOS SANTOS")</f>
        <v>JANETE MENDES DOS SANTOS</v>
      </c>
      <c r="E1076" s="119" t="str">
        <f>IFERROR(__xludf.DUMMYFUNCTION("""COMPUTED_VALUE"""),"Módulo 1 concluído")</f>
        <v>Módulo 1 concluído</v>
      </c>
      <c r="F1076" s="1" t="str">
        <f>IFERROR(__xludf.DUMMYFUNCTION("""COMPUTED_VALUE"""),"984.489.860-91")</f>
        <v>984.489.860-91</v>
      </c>
      <c r="G1076" s="1">
        <f>IFERROR(__xludf.DUMMYFUNCTION("""COMPUTED_VALUE"""),9075200395)</f>
        <v>9075200395</v>
      </c>
      <c r="H1076" s="1" t="str">
        <f>IFERROR(__xludf.DUMMYFUNCTION("""COMPUTED_VALUE"""),"COMBATENTE")</f>
        <v>COMBATENTE</v>
      </c>
      <c r="I1076" s="1" t="str">
        <f>IFERROR(__xludf.DUMMYFUNCTION("""COMPUTED_VALUE"""),"APH, BLS, enfermagem do trauma urgência e emergência, NR35, Resgate Veicular, combate a incêndio.")</f>
        <v>APH, BLS, enfermagem do trauma urgência e emergência, NR35, Resgate Veicular, combate a incêndio.</v>
      </c>
      <c r="J1076" s="1" t="str">
        <f>IFERROR(__xludf.DUMMYFUNCTION("""COMPUTED_VALUE"""),"Não")</f>
        <v>Não</v>
      </c>
      <c r="K1076" s="1" t="str">
        <f>IFERROR(__xludf.DUMMYFUNCTION("""COMPUTED_VALUE"""),"Sim")</f>
        <v>Sim</v>
      </c>
      <c r="L1076" s="1" t="str">
        <f>IFERROR(__xludf.DUMMYFUNCTION("""COMPUTED_VALUE"""),"AB+")</f>
        <v>AB+</v>
      </c>
      <c r="M1076" s="1" t="str">
        <f>IFERROR(__xludf.DUMMYFUNCTION("""COMPUTED_VALUE"""),"NETY")</f>
        <v>NETY</v>
      </c>
      <c r="N1076" s="120">
        <f>IFERROR(__xludf.DUMMYFUNCTION("""COMPUTED_VALUE"""),28334)</f>
        <v>28334</v>
      </c>
      <c r="O1076" s="1" t="str">
        <f>IFERROR(__xludf.DUMMYFUNCTION("""COMPUTED_VALUE"""),"Feminino")</f>
        <v>Feminino</v>
      </c>
      <c r="P1076" s="1" t="str">
        <f>IFERROR(__xludf.DUMMYFUNCTION("""COMPUTED_VALUE"""),"Branca")</f>
        <v>Branca</v>
      </c>
      <c r="Q1076" s="1" t="str">
        <f>IFERROR(__xludf.DUMMYFUNCTION("""COMPUTED_VALUE"""),"Ensino Médio")</f>
        <v>Ensino Médio</v>
      </c>
      <c r="R1076" s="1" t="str">
        <f>IFERROR(__xludf.DUMMYFUNCTION("""COMPUTED_VALUE"""),"NETYCAMILO994@GMAIL.COM")</f>
        <v>NETYCAMILO994@GMAIL.COM</v>
      </c>
      <c r="S1076" s="1" t="str">
        <f>IFERROR(__xludf.DUMMYFUNCTION("""COMPUTED_VALUE"""),"78 KG")</f>
        <v>78 KG</v>
      </c>
      <c r="T1076" s="1" t="str">
        <f>IFERROR(__xludf.DUMMYFUNCTION("""COMPUTED_VALUE"""),"Entre 1,61m e 1,65m")</f>
        <v>Entre 1,61m e 1,65m</v>
      </c>
      <c r="U1076" s="1" t="str">
        <f>IFERROR(__xludf.DUMMYFUNCTION("""COMPUTED_VALUE"""),"Não POSSUI")</f>
        <v>Não POSSUI</v>
      </c>
      <c r="V1076" s="1" t="str">
        <f>IFERROR(__xludf.DUMMYFUNCTION("""COMPUTED_VALUE"""),"(51) 99804-9279")</f>
        <v>(51) 99804-9279</v>
      </c>
      <c r="W1076" s="1" t="str">
        <f>IFERROR(__xludf.DUMMYFUNCTION("""COMPUTED_VALUE"""),"(51) 99428-1708")</f>
        <v>(51) 99428-1708</v>
      </c>
      <c r="X1076" s="1" t="str">
        <f>IFERROR(__xludf.DUMMYFUNCTION("""COMPUTED_VALUE"""),"RS")</f>
        <v>RS</v>
      </c>
      <c r="Y1076" s="1" t="str">
        <f>IFERROR(__xludf.DUMMYFUNCTION("""COMPUTED_VALUE"""),"Capão da Canoa")</f>
        <v>Capão da Canoa</v>
      </c>
      <c r="Z1076" s="1" t="str">
        <f>IFERROR(__xludf.DUMMYFUNCTION("""COMPUTED_VALUE"""),"95555-000")</f>
        <v>95555-000</v>
      </c>
      <c r="AA1076" s="1" t="str">
        <f>IFERROR(__xludf.DUMMYFUNCTION("""COMPUTED_VALUE"""),"RUA CATUIPE, N° 207")</f>
        <v>RUA CATUIPE, N° 207</v>
      </c>
      <c r="AB1076" s="1" t="str">
        <f>IFERROR(__xludf.DUMMYFUNCTION("""COMPUTED_VALUE"""),"PRAIA DO BARCO")</f>
        <v>PRAIA DO BARCO</v>
      </c>
      <c r="AC1076" s="1" t="str">
        <f>IFERROR(__xludf.DUMMYFUNCTION("""COMPUTED_VALUE"""),"G")</f>
        <v>G</v>
      </c>
      <c r="AD1076" s="1" t="str">
        <f>IFERROR(__xludf.DUMMYFUNCTION("""COMPUTED_VALUE"""),"G")</f>
        <v>G</v>
      </c>
      <c r="AE1076" s="1" t="str">
        <f>IFERROR(__xludf.DUMMYFUNCTION("""COMPUTED_VALUE"""),"M")</f>
        <v>M</v>
      </c>
      <c r="AF1076" s="1" t="str">
        <f>IFERROR(__xludf.DUMMYFUNCTION("""COMPUTED_VALUE"""),"G")</f>
        <v>G</v>
      </c>
      <c r="AG1076" s="1" t="str">
        <f>IFERROR(__xludf.DUMMYFUNCTION("""COMPUTED_VALUE"""),"G")</f>
        <v>G</v>
      </c>
      <c r="AH1076" s="1">
        <f>IFERROR(__xludf.DUMMYFUNCTION("""COMPUTED_VALUE"""),38)</f>
        <v>38</v>
      </c>
      <c r="AI1076" s="1">
        <f>IFERROR(__xludf.DUMMYFUNCTION("""COMPUTED_VALUE"""),36)</f>
        <v>36</v>
      </c>
      <c r="AJ1076" s="1">
        <f>IFERROR(__xludf.DUMMYFUNCTION("""COMPUTED_VALUE"""),37)</f>
        <v>37</v>
      </c>
      <c r="AK1076" s="1">
        <f>IFERROR(__xludf.DUMMYFUNCTION("""COMPUTED_VALUE"""),36)</f>
        <v>36</v>
      </c>
      <c r="AL1076" s="1" t="str">
        <f>IFERROR(__xludf.DUMMYFUNCTION("""COMPUTED_VALUE"""),"G")</f>
        <v>G</v>
      </c>
      <c r="AM1076" s="1" t="str">
        <f>IFERROR(__xludf.DUMMYFUNCTION("""COMPUTED_VALUE"""),"M")</f>
        <v>M</v>
      </c>
      <c r="AN1076" s="1" t="str">
        <f>IFERROR(__xludf.DUMMYFUNCTION("""COMPUTED_VALUE"""),"M")</f>
        <v>M</v>
      </c>
    </row>
    <row r="1077" customHeight="1" spans="1:40">
      <c r="A1077" s="1"/>
      <c r="B1077" s="1"/>
      <c r="C1077" s="119"/>
      <c r="D1077" s="1" t="str">
        <f>IFERROR(__xludf.DUMMYFUNCTION("""COMPUTED_VALUE"""),"JONATAN DOS SANTOS FERREIRA")</f>
        <v>JONATAN DOS SANTOS FERREIRA</v>
      </c>
      <c r="E1077" s="1" t="str">
        <f>IFERROR(__xludf.DUMMYFUNCTION("""COMPUTED_VALUE"""),"Módulo 1 concluído")</f>
        <v>Módulo 1 concluído</v>
      </c>
      <c r="F1077" s="1" t="str">
        <f>IFERROR(__xludf.DUMMYFUNCTION("""COMPUTED_VALUE"""),"998417890-00")</f>
        <v>998417890-00</v>
      </c>
      <c r="G1077" s="1"/>
      <c r="H1077" s="1"/>
      <c r="I1077" s="1"/>
      <c r="J1077" s="1"/>
      <c r="K1077" s="1"/>
      <c r="L1077" s="1"/>
      <c r="M1077" s="1"/>
      <c r="N1077" s="120"/>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row>
    <row r="1078" customHeight="1" spans="1:40">
      <c r="A1078" s="1" t="str">
        <f>IFERROR(__xludf.DUMMYFUNCTION("""COMPUTED_VALUE"""),"09° BBM")</f>
        <v>09° BBM</v>
      </c>
      <c r="B1078" s="1" t="str">
        <f>IFERROR(__xludf.DUMMYFUNCTION("""COMPUTED_VALUE"""),"Balneário Pinhal")</f>
        <v>Balneário Pinhal</v>
      </c>
      <c r="C1078" s="119" t="str">
        <f>IFERROR(__xludf.DUMMYFUNCTION("""COMPUTED_VALUE"""),"CAB")</f>
        <v>CAB</v>
      </c>
      <c r="D1078" s="1" t="str">
        <f>IFERROR(__xludf.DUMMYFUNCTION("""COMPUTED_VALUE"""),"JORGE ALEXANDRE LOPES DOS ANJOS")</f>
        <v>JORGE ALEXANDRE LOPES DOS ANJOS</v>
      </c>
      <c r="E1078" s="119" t="str">
        <f>IFERROR(__xludf.DUMMYFUNCTION("""COMPUTED_VALUE"""),"Módulo 1 concluído")</f>
        <v>Módulo 1 concluído</v>
      </c>
      <c r="F1078" s="1" t="str">
        <f>IFERROR(__xludf.DUMMYFUNCTION("""COMPUTED_VALUE"""),"522.726.990-49")</f>
        <v>522.726.990-49</v>
      </c>
      <c r="G1078" s="1">
        <f>IFERROR(__xludf.DUMMYFUNCTION("""COMPUTED_VALUE"""),5047679021)</f>
        <v>5047679021</v>
      </c>
      <c r="H1078" s="1" t="str">
        <f>IFERROR(__xludf.DUMMYFUNCTION("""COMPUTED_VALUE"""),"COMBATENTE")</f>
        <v>COMBATENTE</v>
      </c>
      <c r="I1078" s="1" t="str">
        <f>IFERROR(__xludf.DUMMYFUNCTION("""COMPUTED_VALUE"""),"APH; BLS; BOMBEIRO CIVIL CLASSE I")</f>
        <v>APH; BLS; BOMBEIRO CIVIL CLASSE I</v>
      </c>
      <c r="J1078" s="1" t="str">
        <f>IFERROR(__xludf.DUMMYFUNCTION("""COMPUTED_VALUE"""),"Sim")</f>
        <v>Sim</v>
      </c>
      <c r="K1078" s="1" t="str">
        <f>IFERROR(__xludf.DUMMYFUNCTION("""COMPUTED_VALUE"""),"Não")</f>
        <v>Não</v>
      </c>
      <c r="L1078" s="1" t="str">
        <f>IFERROR(__xludf.DUMMYFUNCTION("""COMPUTED_VALUE"""),"O+")</f>
        <v>O+</v>
      </c>
      <c r="M1078" s="1" t="str">
        <f>IFERROR(__xludf.DUMMYFUNCTION("""COMPUTED_VALUE"""),"DOS ANJOS")</f>
        <v>DOS ANJOS</v>
      </c>
      <c r="N1078" s="120">
        <f>IFERROR(__xludf.DUMMYFUNCTION("""COMPUTED_VALUE"""),26275)</f>
        <v>26275</v>
      </c>
      <c r="O1078" s="1" t="str">
        <f>IFERROR(__xludf.DUMMYFUNCTION("""COMPUTED_VALUE"""),"Masculino")</f>
        <v>Masculino</v>
      </c>
      <c r="P1078" s="1" t="str">
        <f>IFERROR(__xludf.DUMMYFUNCTION("""COMPUTED_VALUE"""),"Parda")</f>
        <v>Parda</v>
      </c>
      <c r="Q1078" s="1" t="str">
        <f>IFERROR(__xludf.DUMMYFUNCTION("""COMPUTED_VALUE"""),"Ensino Médio")</f>
        <v>Ensino Médio</v>
      </c>
      <c r="R1078" s="1" t="str">
        <f>IFERROR(__xludf.DUMMYFUNCTION("""COMPUTED_VALUE"""),"DOSANJOSA80@GMAIL.COM")</f>
        <v>DOSANJOSA80@GMAIL.COM</v>
      </c>
      <c r="S1078" s="1" t="str">
        <f>IFERROR(__xludf.DUMMYFUNCTION("""COMPUTED_VALUE"""),"84KG")</f>
        <v>84KG</v>
      </c>
      <c r="T1078" s="1" t="str">
        <f>IFERROR(__xludf.DUMMYFUNCTION("""COMPUTED_VALUE"""),"Entre 1,66m e 1,70m")</f>
        <v>Entre 1,66m e 1,70m</v>
      </c>
      <c r="U1078" s="1" t="str">
        <f>IFERROR(__xludf.DUMMYFUNCTION("""COMPUTED_VALUE"""),"Não POSSUI")</f>
        <v>Não POSSUI</v>
      </c>
      <c r="V1078" s="1">
        <f>IFERROR(__xludf.DUMMYFUNCTION("""COMPUTED_VALUE"""),51993484224)</f>
        <v>51993484224</v>
      </c>
      <c r="W1078" s="1">
        <f>IFERROR(__xludf.DUMMYFUNCTION("""COMPUTED_VALUE"""),51984679456)</f>
        <v>51984679456</v>
      </c>
      <c r="X1078" s="1" t="str">
        <f>IFERROR(__xludf.DUMMYFUNCTION("""COMPUTED_VALUE"""),"RS")</f>
        <v>RS</v>
      </c>
      <c r="Y1078" s="1" t="str">
        <f>IFERROR(__xludf.DUMMYFUNCTION("""COMPUTED_VALUE"""),"Balneário Pinhal")</f>
        <v>Balneário Pinhal</v>
      </c>
      <c r="Z1078" s="1">
        <f>IFERROR(__xludf.DUMMYFUNCTION("""COMPUTED_VALUE"""),95599000)</f>
        <v>95599000</v>
      </c>
      <c r="AA1078" s="1" t="str">
        <f>IFERROR(__xludf.DUMMYFUNCTION("""COMPUTED_VALUE"""),"DAVID CANABARRO 1761")</f>
        <v>DAVID CANABARRO 1761</v>
      </c>
      <c r="AB1078" s="1" t="str">
        <f>IFERROR(__xludf.DUMMYFUNCTION("""COMPUTED_VALUE"""),"CENTRO")</f>
        <v>CENTRO</v>
      </c>
      <c r="AC1078" s="1" t="str">
        <f>IFERROR(__xludf.DUMMYFUNCTION("""COMPUTED_VALUE"""),"M")</f>
        <v>M</v>
      </c>
      <c r="AD1078" s="1" t="str">
        <f>IFERROR(__xludf.DUMMYFUNCTION("""COMPUTED_VALUE"""),"M")</f>
        <v>M</v>
      </c>
      <c r="AE1078" s="1" t="str">
        <f>IFERROR(__xludf.DUMMYFUNCTION("""COMPUTED_VALUE"""),"G")</f>
        <v>G</v>
      </c>
      <c r="AF1078" s="1" t="str">
        <f>IFERROR(__xludf.DUMMYFUNCTION("""COMPUTED_VALUE"""),"G")</f>
        <v>G</v>
      </c>
      <c r="AG1078" s="1" t="str">
        <f>IFERROR(__xludf.DUMMYFUNCTION("""COMPUTED_VALUE"""),"M")</f>
        <v>M</v>
      </c>
      <c r="AH1078" s="1">
        <f>IFERROR(__xludf.DUMMYFUNCTION("""COMPUTED_VALUE"""),39)</f>
        <v>39</v>
      </c>
      <c r="AI1078" s="1">
        <f>IFERROR(__xludf.DUMMYFUNCTION("""COMPUTED_VALUE"""),39)</f>
        <v>39</v>
      </c>
      <c r="AJ1078" s="1">
        <f>IFERROR(__xludf.DUMMYFUNCTION("""COMPUTED_VALUE"""),39)</f>
        <v>39</v>
      </c>
      <c r="AK1078" s="1">
        <f>IFERROR(__xludf.DUMMYFUNCTION("""COMPUTED_VALUE"""),39)</f>
        <v>39</v>
      </c>
      <c r="AL1078" s="1" t="str">
        <f>IFERROR(__xludf.DUMMYFUNCTION("""COMPUTED_VALUE"""),"G")</f>
        <v>G</v>
      </c>
      <c r="AM1078" s="1" t="str">
        <f>IFERROR(__xludf.DUMMYFUNCTION("""COMPUTED_VALUE"""),"G")</f>
        <v>G</v>
      </c>
      <c r="AN1078" s="1" t="str">
        <f>IFERROR(__xludf.DUMMYFUNCTION("""COMPUTED_VALUE"""),"G")</f>
        <v>G</v>
      </c>
    </row>
    <row r="1079" customHeight="1" spans="1:40">
      <c r="A1079" s="1" t="str">
        <f>IFERROR(__xludf.DUMMYFUNCTION("""COMPUTED_VALUE"""),"09° BBM")</f>
        <v>09° BBM</v>
      </c>
      <c r="B1079" s="1" t="str">
        <f>IFERROR(__xludf.DUMMYFUNCTION("""COMPUTED_VALUE"""),"Balneário Pinhal")</f>
        <v>Balneário Pinhal</v>
      </c>
      <c r="C1079" s="119" t="str">
        <f>IFERROR(__xludf.DUMMYFUNCTION("""COMPUTED_VALUE"""),"CAB")</f>
        <v>CAB</v>
      </c>
      <c r="D1079" s="1" t="str">
        <f>IFERROR(__xludf.DUMMYFUNCTION("""COMPUTED_VALUE"""),"JOSE FRANCISCO CEZIMBRA")</f>
        <v>JOSE FRANCISCO CEZIMBRA</v>
      </c>
      <c r="E1079" s="119" t="str">
        <f>IFERROR(__xludf.DUMMYFUNCTION("""COMPUTED_VALUE"""),"")</f>
        <v/>
      </c>
      <c r="F1079" s="1" t="str">
        <f>IFERROR(__xludf.DUMMYFUNCTION("""COMPUTED_VALUE"""),"341.078.430-68")</f>
        <v>341.078.430-68</v>
      </c>
      <c r="G1079" s="1">
        <f>IFERROR(__xludf.DUMMYFUNCTION("""COMPUTED_VALUE"""),6037430649)</f>
        <v>6037430649</v>
      </c>
      <c r="H1079" s="1" t="str">
        <f>IFERROR(__xludf.DUMMYFUNCTION("""COMPUTED_VALUE"""),"CONDUTOR D")</f>
        <v>CONDUTOR D</v>
      </c>
      <c r="I1079" s="1" t="str">
        <f>IFERROR(__xludf.DUMMYFUNCTION("""COMPUTED_VALUE"""),"APH; BLS; CAT D e VEÍCULO DE EMERGÊNCIA;")</f>
        <v>APH; BLS; CAT D e VEÍCULO DE EMERGÊNCIA;</v>
      </c>
      <c r="J1079" s="1" t="str">
        <f>IFERROR(__xludf.DUMMYFUNCTION("""COMPUTED_VALUE"""),"Sim")</f>
        <v>Sim</v>
      </c>
      <c r="K1079" s="1" t="str">
        <f>IFERROR(__xludf.DUMMYFUNCTION("""COMPUTED_VALUE"""),"Não")</f>
        <v>Não</v>
      </c>
      <c r="L1079" s="1" t="str">
        <f>IFERROR(__xludf.DUMMYFUNCTION("""COMPUTED_VALUE"""),"A+")</f>
        <v>A+</v>
      </c>
      <c r="M1079" s="1" t="str">
        <f>IFERROR(__xludf.DUMMYFUNCTION("""COMPUTED_VALUE"""),"CEZIMBRA")</f>
        <v>CEZIMBRA</v>
      </c>
      <c r="N1079" s="120">
        <f>IFERROR(__xludf.DUMMYFUNCTION("""COMPUTED_VALUE"""),22030)</f>
        <v>22030</v>
      </c>
      <c r="O1079" s="1" t="str">
        <f>IFERROR(__xludf.DUMMYFUNCTION("""COMPUTED_VALUE"""),"Masculino")</f>
        <v>Masculino</v>
      </c>
      <c r="P1079" s="1" t="str">
        <f>IFERROR(__xludf.DUMMYFUNCTION("""COMPUTED_VALUE"""),"Branca")</f>
        <v>Branca</v>
      </c>
      <c r="Q1079" s="1" t="str">
        <f>IFERROR(__xludf.DUMMYFUNCTION("""COMPUTED_VALUE"""),"Ensino Médio")</f>
        <v>Ensino Médio</v>
      </c>
      <c r="R1079" s="1" t="str">
        <f>IFERROR(__xludf.DUMMYFUNCTION("""COMPUTED_VALUE"""),"JOSECEZIMBRA6559@GMAIL.COM")</f>
        <v>JOSECEZIMBRA6559@GMAIL.COM</v>
      </c>
      <c r="S1079" s="1" t="str">
        <f>IFERROR(__xludf.DUMMYFUNCTION("""COMPUTED_VALUE"""),"84KG")</f>
        <v>84KG</v>
      </c>
      <c r="T1079" s="1" t="str">
        <f>IFERROR(__xludf.DUMMYFUNCTION("""COMPUTED_VALUE"""),"Entre 1,66m e 1,70m")</f>
        <v>Entre 1,66m e 1,70m</v>
      </c>
      <c r="U1079" s="1" t="str">
        <f>IFERROR(__xludf.DUMMYFUNCTION("""COMPUTED_VALUE"""),"Não POSSUI")</f>
        <v>Não POSSUI</v>
      </c>
      <c r="V1079" s="1">
        <f>IFERROR(__xludf.DUMMYFUNCTION("""COMPUTED_VALUE"""),51996018748)</f>
        <v>51996018748</v>
      </c>
      <c r="W1079" s="1">
        <f>IFERROR(__xludf.DUMMYFUNCTION("""COMPUTED_VALUE"""),51996018748)</f>
        <v>51996018748</v>
      </c>
      <c r="X1079" s="1" t="str">
        <f>IFERROR(__xludf.DUMMYFUNCTION("""COMPUTED_VALUE"""),"RS")</f>
        <v>RS</v>
      </c>
      <c r="Y1079" s="1" t="str">
        <f>IFERROR(__xludf.DUMMYFUNCTION("""COMPUTED_VALUE"""),"Balneário Pinhal")</f>
        <v>Balneário Pinhal</v>
      </c>
      <c r="Z1079" s="1">
        <f>IFERROR(__xludf.DUMMYFUNCTION("""COMPUTED_VALUE"""),95599000)</f>
        <v>95599000</v>
      </c>
      <c r="AA1079" s="1" t="str">
        <f>IFERROR(__xludf.DUMMYFUNCTION("""COMPUTED_VALUE"""),"TENENTE PENHA 2115")</f>
        <v>TENENTE PENHA 2115</v>
      </c>
      <c r="AB1079" s="1" t="str">
        <f>IFERROR(__xludf.DUMMYFUNCTION("""COMPUTED_VALUE"""),"CENTRO")</f>
        <v>CENTRO</v>
      </c>
      <c r="AC1079" s="1" t="str">
        <f>IFERROR(__xludf.DUMMYFUNCTION("""COMPUTED_VALUE"""),"M")</f>
        <v>M</v>
      </c>
      <c r="AD1079" s="1" t="str">
        <f>IFERROR(__xludf.DUMMYFUNCTION("""COMPUTED_VALUE"""),"M")</f>
        <v>M</v>
      </c>
      <c r="AE1079" s="1" t="str">
        <f>IFERROR(__xludf.DUMMYFUNCTION("""COMPUTED_VALUE"""),"G")</f>
        <v>G</v>
      </c>
      <c r="AF1079" s="1" t="str">
        <f>IFERROR(__xludf.DUMMYFUNCTION("""COMPUTED_VALUE"""),"G")</f>
        <v>G</v>
      </c>
      <c r="AG1079" s="1" t="str">
        <f>IFERROR(__xludf.DUMMYFUNCTION("""COMPUTED_VALUE"""),"M")</f>
        <v>M</v>
      </c>
      <c r="AH1079" s="1">
        <f>IFERROR(__xludf.DUMMYFUNCTION("""COMPUTED_VALUE"""),39)</f>
        <v>39</v>
      </c>
      <c r="AI1079" s="1">
        <f>IFERROR(__xludf.DUMMYFUNCTION("""COMPUTED_VALUE"""),39)</f>
        <v>39</v>
      </c>
      <c r="AJ1079" s="1">
        <f>IFERROR(__xludf.DUMMYFUNCTION("""COMPUTED_VALUE"""),39)</f>
        <v>39</v>
      </c>
      <c r="AK1079" s="1">
        <f>IFERROR(__xludf.DUMMYFUNCTION("""COMPUTED_VALUE"""),39)</f>
        <v>39</v>
      </c>
      <c r="AL1079" s="1" t="str">
        <f>IFERROR(__xludf.DUMMYFUNCTION("""COMPUTED_VALUE"""),"G")</f>
        <v>G</v>
      </c>
      <c r="AM1079" s="1" t="str">
        <f>IFERROR(__xludf.DUMMYFUNCTION("""COMPUTED_VALUE"""),"G")</f>
        <v>G</v>
      </c>
      <c r="AN1079" s="1" t="str">
        <f>IFERROR(__xludf.DUMMYFUNCTION("""COMPUTED_VALUE"""),"G")</f>
        <v>G</v>
      </c>
    </row>
    <row r="1080" customHeight="1" spans="1:40">
      <c r="A1080" s="1" t="str">
        <f>IFERROR(__xludf.DUMMYFUNCTION("""COMPUTED_VALUE"""),"09° BBM")</f>
        <v>09° BBM</v>
      </c>
      <c r="B1080" s="1"/>
      <c r="C1080" s="119" t="str">
        <f>IFERROR(__xludf.DUMMYFUNCTION("""COMPUTED_VALUE"""),"Inativo")</f>
        <v>Inativo</v>
      </c>
      <c r="D1080" s="1" t="str">
        <f>IFERROR(__xludf.DUMMYFUNCTION("""COMPUTED_VALUE"""),"JOSELIA FABIANI GOULART DOMINGUES")</f>
        <v>JOSELIA FABIANI GOULART DOMINGUES</v>
      </c>
      <c r="E1080" s="119" t="str">
        <f>IFERROR(__xludf.DUMMYFUNCTION("""COMPUTED_VALUE"""),"Módulo 1 concluído")</f>
        <v>Módulo 1 concluído</v>
      </c>
      <c r="F1080" s="1" t="str">
        <f>IFERROR(__xludf.DUMMYFUNCTION("""COMPUTED_VALUE"""),"979.565.540-04")</f>
        <v>979.565.540-04</v>
      </c>
      <c r="G1080" s="1"/>
      <c r="H1080" s="1"/>
      <c r="I1080" s="1"/>
      <c r="J1080" s="1"/>
      <c r="K1080" s="1"/>
      <c r="L1080" s="1"/>
      <c r="M1080" s="1"/>
      <c r="N1080" s="120"/>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row>
    <row r="1081" customHeight="1" spans="1:40">
      <c r="A1081" s="1" t="str">
        <f>IFERROR(__xludf.DUMMYFUNCTION("""COMPUTED_VALUE"""),"09° BBM")</f>
        <v>09° BBM</v>
      </c>
      <c r="B1081" s="1" t="str">
        <f>IFERROR(__xludf.DUMMYFUNCTION("""COMPUTED_VALUE"""),"Balneário Pinhal")</f>
        <v>Balneário Pinhal</v>
      </c>
      <c r="C1081" s="119" t="str">
        <f>IFERROR(__xludf.DUMMYFUNCTION("""COMPUTED_VALUE"""),"CAB")</f>
        <v>CAB</v>
      </c>
      <c r="D1081" s="1" t="str">
        <f>IFERROR(__xludf.DUMMYFUNCTION("""COMPUTED_VALUE"""),"JOSIANE NUNES FEIJÓ")</f>
        <v>JOSIANE NUNES FEIJÓ</v>
      </c>
      <c r="E1081" s="119" t="str">
        <f>IFERROR(__xludf.DUMMYFUNCTION("""COMPUTED_VALUE"""),"")</f>
        <v/>
      </c>
      <c r="F1081" s="1" t="str">
        <f>IFERROR(__xludf.DUMMYFUNCTION("""COMPUTED_VALUE"""),"044.526.210-90")</f>
        <v>044.526.210-90</v>
      </c>
      <c r="G1081" s="1">
        <f>IFERROR(__xludf.DUMMYFUNCTION("""COMPUTED_VALUE"""),3127204455)</f>
        <v>3127204455</v>
      </c>
      <c r="H1081" s="1" t="str">
        <f>IFERROR(__xludf.DUMMYFUNCTION("""COMPUTED_VALUE"""),"COMBATENTE")</f>
        <v>COMBATENTE</v>
      </c>
      <c r="I1081" s="1" t="str">
        <f>IFERROR(__xludf.DUMMYFUNCTION("""COMPUTED_VALUE"""),"APH; BLS; BOMBEIRO CIVIL CLASSE I")</f>
        <v>APH; BLS; BOMBEIRO CIVIL CLASSE I</v>
      </c>
      <c r="J1081" s="1" t="str">
        <f>IFERROR(__xludf.DUMMYFUNCTION("""COMPUTED_VALUE"""),"Não")</f>
        <v>Não</v>
      </c>
      <c r="K1081" s="1" t="str">
        <f>IFERROR(__xludf.DUMMYFUNCTION("""COMPUTED_VALUE"""),"Não")</f>
        <v>Não</v>
      </c>
      <c r="L1081" s="1" t="str">
        <f>IFERROR(__xludf.DUMMYFUNCTION("""COMPUTED_VALUE"""),"A+")</f>
        <v>A+</v>
      </c>
      <c r="M1081" s="1" t="str">
        <f>IFERROR(__xludf.DUMMYFUNCTION("""COMPUTED_VALUE"""),"NUNES")</f>
        <v>NUNES</v>
      </c>
      <c r="N1081" s="120">
        <f>IFERROR(__xludf.DUMMYFUNCTION("""COMPUTED_VALUE"""),35923)</f>
        <v>35923</v>
      </c>
      <c r="O1081" s="1" t="str">
        <f>IFERROR(__xludf.DUMMYFUNCTION("""COMPUTED_VALUE"""),"Feminino")</f>
        <v>Feminino</v>
      </c>
      <c r="P1081" s="1" t="str">
        <f>IFERROR(__xludf.DUMMYFUNCTION("""COMPUTED_VALUE"""),"Branca")</f>
        <v>Branca</v>
      </c>
      <c r="Q1081" s="1"/>
      <c r="R1081" s="1" t="str">
        <f>IFERROR(__xludf.DUMMYFUNCTION("""COMPUTED_VALUE"""),"NUNESFEIJOJOSIANE@GMAIL.COM")</f>
        <v>NUNESFEIJOJOSIANE@GMAIL.COM</v>
      </c>
      <c r="S1081" s="1" t="str">
        <f>IFERROR(__xludf.DUMMYFUNCTION("""COMPUTED_VALUE"""),"84KG")</f>
        <v>84KG</v>
      </c>
      <c r="T1081" s="1" t="str">
        <f>IFERROR(__xludf.DUMMYFUNCTION("""COMPUTED_VALUE"""),"Entre 1,71m e 1,75m")</f>
        <v>Entre 1,71m e 1,75m</v>
      </c>
      <c r="U1081" s="1" t="str">
        <f>IFERROR(__xludf.DUMMYFUNCTION("""COMPUTED_VALUE"""),"Não POSSUI")</f>
        <v>Não POSSUI</v>
      </c>
      <c r="V1081" s="1">
        <f>IFERROR(__xludf.DUMMYFUNCTION("""COMPUTED_VALUE"""),51994309450)</f>
        <v>51994309450</v>
      </c>
      <c r="W1081" s="1">
        <f>IFERROR(__xludf.DUMMYFUNCTION("""COMPUTED_VALUE"""),51994194838)</f>
        <v>51994194838</v>
      </c>
      <c r="X1081" s="1" t="str">
        <f>IFERROR(__xludf.DUMMYFUNCTION("""COMPUTED_VALUE"""),"RS")</f>
        <v>RS</v>
      </c>
      <c r="Y1081" s="1" t="str">
        <f>IFERROR(__xludf.DUMMYFUNCTION("""COMPUTED_VALUE"""),"Balneário Pinhal")</f>
        <v>Balneário Pinhal</v>
      </c>
      <c r="Z1081" s="1">
        <f>IFERROR(__xludf.DUMMYFUNCTION("""COMPUTED_VALUE"""),95599000)</f>
        <v>95599000</v>
      </c>
      <c r="AA1081" s="1" t="str">
        <f>IFERROR(__xludf.DUMMYFUNCTION("""COMPUTED_VALUE"""),"SANTA ROSA 1727")</f>
        <v>SANTA ROSA 1727</v>
      </c>
      <c r="AB1081" s="1" t="str">
        <f>IFERROR(__xludf.DUMMYFUNCTION("""COMPUTED_VALUE"""),"MAGISTÉRIO")</f>
        <v>MAGISTÉRIO</v>
      </c>
      <c r="AC1081" s="1" t="str">
        <f>IFERROR(__xludf.DUMMYFUNCTION("""COMPUTED_VALUE"""),"GG")</f>
        <v>GG</v>
      </c>
      <c r="AD1081" s="1" t="str">
        <f>IFERROR(__xludf.DUMMYFUNCTION("""COMPUTED_VALUE"""),"GG")</f>
        <v>GG</v>
      </c>
      <c r="AE1081" s="1" t="str">
        <f>IFERROR(__xludf.DUMMYFUNCTION("""COMPUTED_VALUE"""),"GG")</f>
        <v>GG</v>
      </c>
      <c r="AF1081" s="1" t="str">
        <f>IFERROR(__xludf.DUMMYFUNCTION("""COMPUTED_VALUE"""),"GG")</f>
        <v>GG</v>
      </c>
      <c r="AG1081" s="1" t="str">
        <f>IFERROR(__xludf.DUMMYFUNCTION("""COMPUTED_VALUE"""),"GG")</f>
        <v>GG</v>
      </c>
      <c r="AH1081" s="1">
        <f>IFERROR(__xludf.DUMMYFUNCTION("""COMPUTED_VALUE"""),39)</f>
        <v>39</v>
      </c>
      <c r="AI1081" s="1">
        <f>IFERROR(__xludf.DUMMYFUNCTION("""COMPUTED_VALUE"""),39)</f>
        <v>39</v>
      </c>
      <c r="AJ1081" s="1">
        <f>IFERROR(__xludf.DUMMYFUNCTION("""COMPUTED_VALUE"""),39)</f>
        <v>39</v>
      </c>
      <c r="AK1081" s="1">
        <f>IFERROR(__xludf.DUMMYFUNCTION("""COMPUTED_VALUE"""),40)</f>
        <v>40</v>
      </c>
      <c r="AL1081" s="1" t="str">
        <f>IFERROR(__xludf.DUMMYFUNCTION("""COMPUTED_VALUE"""),"GG")</f>
        <v>GG</v>
      </c>
      <c r="AM1081" s="1" t="str">
        <f>IFERROR(__xludf.DUMMYFUNCTION("""COMPUTED_VALUE"""),"G")</f>
        <v>G</v>
      </c>
      <c r="AN1081" s="1" t="str">
        <f>IFERROR(__xludf.DUMMYFUNCTION("""COMPUTED_VALUE"""),"G")</f>
        <v>G</v>
      </c>
    </row>
    <row r="1082" customHeight="1" spans="1:40">
      <c r="A1082" s="1" t="str">
        <f>IFERROR(__xludf.DUMMYFUNCTION("""COMPUTED_VALUE"""),"09° BBM")</f>
        <v>09° BBM</v>
      </c>
      <c r="B1082" s="1" t="str">
        <f>IFERROR(__xludf.DUMMYFUNCTION("""COMPUTED_VALUE"""),"Balneário Pinhal")</f>
        <v>Balneário Pinhal</v>
      </c>
      <c r="C1082" s="119" t="str">
        <f>IFERROR(__xludf.DUMMYFUNCTION("""COMPUTED_VALUE"""),"CAB")</f>
        <v>CAB</v>
      </c>
      <c r="D1082" s="1" t="str">
        <f>IFERROR(__xludf.DUMMYFUNCTION("""COMPUTED_VALUE"""),"JUCIMARA BARRETO PEDROSO")</f>
        <v>JUCIMARA BARRETO PEDROSO</v>
      </c>
      <c r="E1082" s="119" t="str">
        <f>IFERROR(__xludf.DUMMYFUNCTION("""COMPUTED_VALUE"""),"Módulo 1 concluído")</f>
        <v>Módulo 1 concluído</v>
      </c>
      <c r="F1082" s="1" t="str">
        <f>IFERROR(__xludf.DUMMYFUNCTION("""COMPUTED_VALUE"""),"023042050-89")</f>
        <v>023042050-89</v>
      </c>
      <c r="G1082" s="1">
        <f>IFERROR(__xludf.DUMMYFUNCTION("""COMPUTED_VALUE"""),5105857411)</f>
        <v>5105857411</v>
      </c>
      <c r="H1082" s="1" t="str">
        <f>IFERROR(__xludf.DUMMYFUNCTION("""COMPUTED_VALUE"""),"SOCORRISTA")</f>
        <v>SOCORRISTA</v>
      </c>
      <c r="I1082" s="1" t="str">
        <f>IFERROR(__xludf.DUMMYFUNCTION("""COMPUTED_VALUE"""),"APH,BLS, BOMBEIRO CIVIL CLASSE I")</f>
        <v>APH,BLS, BOMBEIRO CIVIL CLASSE I</v>
      </c>
      <c r="J1082" s="1" t="str">
        <f>IFERROR(__xludf.DUMMYFUNCTION("""COMPUTED_VALUE"""),"Não")</f>
        <v>Não</v>
      </c>
      <c r="K1082" s="1" t="str">
        <f>IFERROR(__xludf.DUMMYFUNCTION("""COMPUTED_VALUE"""),"Não")</f>
        <v>Não</v>
      </c>
      <c r="L1082" s="1" t="str">
        <f>IFERROR(__xludf.DUMMYFUNCTION("""COMPUTED_VALUE"""),"O+")</f>
        <v>O+</v>
      </c>
      <c r="M1082" s="1" t="str">
        <f>IFERROR(__xludf.DUMMYFUNCTION("""COMPUTED_VALUE"""),"BARRETO")</f>
        <v>BARRETO</v>
      </c>
      <c r="N1082" s="120">
        <f>IFERROR(__xludf.DUMMYFUNCTION("""COMPUTED_VALUE"""),29238)</f>
        <v>29238</v>
      </c>
      <c r="O1082" s="1" t="str">
        <f>IFERROR(__xludf.DUMMYFUNCTION("""COMPUTED_VALUE"""),"Feminino")</f>
        <v>Feminino</v>
      </c>
      <c r="P1082" s="1" t="str">
        <f>IFERROR(__xludf.DUMMYFUNCTION("""COMPUTED_VALUE"""),"Branca")</f>
        <v>Branca</v>
      </c>
      <c r="Q1082" s="1" t="str">
        <f>IFERROR(__xludf.DUMMYFUNCTION("""COMPUTED_VALUE"""),"Ensino Superior Completo")</f>
        <v>Ensino Superior Completo</v>
      </c>
      <c r="R1082" s="123" t="str">
        <f>IFERROR(__xludf.DUMMYFUNCTION("""COMPUTED_VALUE"""),"jucimarabarretopedroso819@gmail.com")</f>
        <v>jucimarabarretopedroso819@gmail.com</v>
      </c>
      <c r="S1082" s="1" t="str">
        <f>IFERROR(__xludf.DUMMYFUNCTION("""COMPUTED_VALUE"""),"84KG")</f>
        <v>84KG</v>
      </c>
      <c r="T1082" s="1" t="str">
        <f>IFERROR(__xludf.DUMMYFUNCTION("""COMPUTED_VALUE"""),"Entre 1,61m e 1,65m")</f>
        <v>Entre 1,61m e 1,65m</v>
      </c>
      <c r="U1082" s="1" t="str">
        <f>IFERROR(__xludf.DUMMYFUNCTION("""COMPUTED_VALUE"""),"Não POSSUI")</f>
        <v>Não POSSUI</v>
      </c>
      <c r="V1082" s="1" t="str">
        <f>IFERROR(__xludf.DUMMYFUNCTION("""COMPUTED_VALUE"""),"(51)991616684")</f>
        <v>(51)991616684</v>
      </c>
      <c r="W1082" s="1" t="str">
        <f>IFERROR(__xludf.DUMMYFUNCTION("""COMPUTED_VALUE"""),"(51)981624981")</f>
        <v>(51)981624981</v>
      </c>
      <c r="X1082" s="1" t="str">
        <f>IFERROR(__xludf.DUMMYFUNCTION("""COMPUTED_VALUE"""),"RS")</f>
        <v>RS</v>
      </c>
      <c r="Y1082" s="1" t="str">
        <f>IFERROR(__xludf.DUMMYFUNCTION("""COMPUTED_VALUE"""),"Imbé")</f>
        <v>Imbé</v>
      </c>
      <c r="Z1082" s="1">
        <f>IFERROR(__xludf.DUMMYFUNCTION("""COMPUTED_VALUE"""),95625000)</f>
        <v>95625000</v>
      </c>
      <c r="AA1082" s="1" t="str">
        <f>IFERROR(__xludf.DUMMYFUNCTION("""COMPUTED_VALUE"""),"ROLANTE 832")</f>
        <v>ROLANTE 832</v>
      </c>
      <c r="AB1082" s="1" t="str">
        <f>IFERROR(__xludf.DUMMYFUNCTION("""COMPUTED_VALUE"""),"MARILUZ")</f>
        <v>MARILUZ</v>
      </c>
      <c r="AC1082" s="1" t="str">
        <f>IFERROR(__xludf.DUMMYFUNCTION("""COMPUTED_VALUE"""),"P")</f>
        <v>P</v>
      </c>
      <c r="AD1082" s="1" t="str">
        <f>IFERROR(__xludf.DUMMYFUNCTION("""COMPUTED_VALUE"""),"P")</f>
        <v>P</v>
      </c>
      <c r="AE1082" s="1" t="str">
        <f>IFERROR(__xludf.DUMMYFUNCTION("""COMPUTED_VALUE"""),"M")</f>
        <v>M</v>
      </c>
      <c r="AF1082" s="1" t="str">
        <f>IFERROR(__xludf.DUMMYFUNCTION("""COMPUTED_VALUE"""),"M")</f>
        <v>M</v>
      </c>
      <c r="AG1082" s="1" t="str">
        <f>IFERROR(__xludf.DUMMYFUNCTION("""COMPUTED_VALUE"""),"P")</f>
        <v>P</v>
      </c>
      <c r="AH1082" s="1">
        <f>IFERROR(__xludf.DUMMYFUNCTION("""COMPUTED_VALUE"""),36)</f>
        <v>36</v>
      </c>
      <c r="AI1082" s="1">
        <f>IFERROR(__xludf.DUMMYFUNCTION("""COMPUTED_VALUE"""),36)</f>
        <v>36</v>
      </c>
      <c r="AJ1082" s="1">
        <f>IFERROR(__xludf.DUMMYFUNCTION("""COMPUTED_VALUE"""),36)</f>
        <v>36</v>
      </c>
      <c r="AK1082" s="1">
        <f>IFERROR(__xludf.DUMMYFUNCTION("""COMPUTED_VALUE"""),36)</f>
        <v>36</v>
      </c>
      <c r="AL1082" s="1" t="str">
        <f>IFERROR(__xludf.DUMMYFUNCTION("""COMPUTED_VALUE"""),"M")</f>
        <v>M</v>
      </c>
      <c r="AM1082" s="1" t="str">
        <f>IFERROR(__xludf.DUMMYFUNCTION("""COMPUTED_VALUE"""),"M")</f>
        <v>M</v>
      </c>
      <c r="AN1082" s="1" t="str">
        <f>IFERROR(__xludf.DUMMYFUNCTION("""COMPUTED_VALUE"""),"M")</f>
        <v>M</v>
      </c>
    </row>
    <row r="1083" customHeight="1" spans="1:40">
      <c r="A1083" s="1" t="str">
        <f>IFERROR(__xludf.DUMMYFUNCTION("""COMPUTED_VALUE"""),"09° BBM")</f>
        <v>09° BBM</v>
      </c>
      <c r="B1083" s="1"/>
      <c r="C1083" s="119" t="str">
        <f>IFERROR(__xludf.DUMMYFUNCTION("""COMPUTED_VALUE"""),"Inativo")</f>
        <v>Inativo</v>
      </c>
      <c r="D1083" s="1" t="str">
        <f>IFERROR(__xludf.DUMMYFUNCTION("""COMPUTED_VALUE"""),"KALIANDRA DE ABREU")</f>
        <v>KALIANDRA DE ABREU</v>
      </c>
      <c r="E1083" s="119" t="str">
        <f>IFERROR(__xludf.DUMMYFUNCTION("""COMPUTED_VALUE"""),"Módulo 1 concluído")</f>
        <v>Módulo 1 concluído</v>
      </c>
      <c r="F1083" s="1" t="str">
        <f>IFERROR(__xludf.DUMMYFUNCTION("""COMPUTED_VALUE"""),"040.411.630-21")</f>
        <v>040.411.630-21</v>
      </c>
      <c r="G1083" s="1"/>
      <c r="H1083" s="1"/>
      <c r="I1083" s="1"/>
      <c r="J1083" s="1"/>
      <c r="K1083" s="1"/>
      <c r="L1083" s="1"/>
      <c r="M1083" s="1"/>
      <c r="N1083" s="120"/>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row>
    <row r="1084" customHeight="1" spans="1:40">
      <c r="A1084" s="1" t="str">
        <f>IFERROR(__xludf.DUMMYFUNCTION("""COMPUTED_VALUE"""),"09° BBM")</f>
        <v>09° BBM</v>
      </c>
      <c r="B1084" s="1"/>
      <c r="C1084" s="119" t="str">
        <f>IFERROR(__xludf.DUMMYFUNCTION("""COMPUTED_VALUE"""),"Inativo")</f>
        <v>Inativo</v>
      </c>
      <c r="D1084" s="1" t="str">
        <f>IFERROR(__xludf.DUMMYFUNCTION("""COMPUTED_VALUE"""),"KELSEN DE BEM RIBEIRO")</f>
        <v>KELSEN DE BEM RIBEIRO</v>
      </c>
      <c r="E1084" s="119" t="str">
        <f>IFERROR(__xludf.DUMMYFUNCTION("""COMPUTED_VALUE"""),"Módulo 1 concluído")</f>
        <v>Módulo 1 concluído</v>
      </c>
      <c r="F1084" s="1" t="str">
        <f>IFERROR(__xludf.DUMMYFUNCTION("""COMPUTED_VALUE"""),"848.299.820-04")</f>
        <v>848.299.820-04</v>
      </c>
      <c r="G1084" s="1"/>
      <c r="H1084" s="1"/>
      <c r="I1084" s="1"/>
      <c r="J1084" s="1"/>
      <c r="K1084" s="1"/>
      <c r="L1084" s="1"/>
      <c r="M1084" s="1"/>
      <c r="N1084" s="120"/>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row>
    <row r="1085" customHeight="1" spans="1:40">
      <c r="A1085" s="1" t="str">
        <f>IFERROR(__xludf.DUMMYFUNCTION("""COMPUTED_VALUE"""),"09° BBM")</f>
        <v>09° BBM</v>
      </c>
      <c r="B1085" s="1" t="str">
        <f>IFERROR(__xludf.DUMMYFUNCTION("""COMPUTED_VALUE"""),"Balneário Pinhal")</f>
        <v>Balneário Pinhal</v>
      </c>
      <c r="C1085" s="119" t="str">
        <f>IFERROR(__xludf.DUMMYFUNCTION("""COMPUTED_VALUE"""),"CAB")</f>
        <v>CAB</v>
      </c>
      <c r="D1085" s="1" t="str">
        <f>IFERROR(__xludf.DUMMYFUNCTION("""COMPUTED_VALUE"""),"LEANDRO DA SILVA MARTINS")</f>
        <v>LEANDRO DA SILVA MARTINS</v>
      </c>
      <c r="E1085" s="119" t="str">
        <f>IFERROR(__xludf.DUMMYFUNCTION("""COMPUTED_VALUE"""),"")</f>
        <v/>
      </c>
      <c r="F1085" s="1" t="str">
        <f>IFERROR(__xludf.DUMMYFUNCTION("""COMPUTED_VALUE"""),"039.204.710-16")</f>
        <v>039.204.710-16</v>
      </c>
      <c r="G1085" s="1">
        <f>IFERROR(__xludf.DUMMYFUNCTION("""COMPUTED_VALUE"""),1123130674)</f>
        <v>1123130674</v>
      </c>
      <c r="H1085" s="1" t="str">
        <f>IFERROR(__xludf.DUMMYFUNCTION("""COMPUTED_VALUE"""),"COMBATENTE")</f>
        <v>COMBATENTE</v>
      </c>
      <c r="I1085" s="1" t="str">
        <f>IFERROR(__xludf.DUMMYFUNCTION("""COMPUTED_VALUE"""),"APH; BLS; BOMBEIRO CIVIL CLASSE I")</f>
        <v>APH; BLS; BOMBEIRO CIVIL CLASSE I</v>
      </c>
      <c r="J1085" s="1" t="str">
        <f>IFERROR(__xludf.DUMMYFUNCTION("""COMPUTED_VALUE"""),"Sim")</f>
        <v>Sim</v>
      </c>
      <c r="K1085" s="1" t="str">
        <f>IFERROR(__xludf.DUMMYFUNCTION("""COMPUTED_VALUE"""),"Não")</f>
        <v>Não</v>
      </c>
      <c r="L1085" s="1" t="str">
        <f>IFERROR(__xludf.DUMMYFUNCTION("""COMPUTED_VALUE"""),"A+")</f>
        <v>A+</v>
      </c>
      <c r="M1085" s="1" t="str">
        <f>IFERROR(__xludf.DUMMYFUNCTION("""COMPUTED_VALUE"""),"MARTINS")</f>
        <v>MARTINS</v>
      </c>
      <c r="N1085" s="120">
        <f>IFERROR(__xludf.DUMMYFUNCTION("""COMPUTED_VALUE"""),34707)</f>
        <v>34707</v>
      </c>
      <c r="O1085" s="1" t="str">
        <f>IFERROR(__xludf.DUMMYFUNCTION("""COMPUTED_VALUE"""),"Masculino")</f>
        <v>Masculino</v>
      </c>
      <c r="P1085" s="1" t="str">
        <f>IFERROR(__xludf.DUMMYFUNCTION("""COMPUTED_VALUE"""),"Branca")</f>
        <v>Branca</v>
      </c>
      <c r="Q1085" s="1" t="str">
        <f>IFERROR(__xludf.DUMMYFUNCTION("""COMPUTED_VALUE"""),"Ensino Médio")</f>
        <v>Ensino Médio</v>
      </c>
      <c r="R1085" s="123" t="str">
        <f>IFERROR(__xludf.DUMMYFUNCTION("""COMPUTED_VALUE"""),"leandrosilva2695@gmail.com")</f>
        <v>leandrosilva2695@gmail.com</v>
      </c>
      <c r="S1085" s="1" t="str">
        <f>IFERROR(__xludf.DUMMYFUNCTION("""COMPUTED_VALUE"""),"84KG")</f>
        <v>84KG</v>
      </c>
      <c r="T1085" s="1" t="str">
        <f>IFERROR(__xludf.DUMMYFUNCTION("""COMPUTED_VALUE"""),"Entre 1,66m e 1,70m")</f>
        <v>Entre 1,66m e 1,70m</v>
      </c>
      <c r="U1085" s="1" t="str">
        <f>IFERROR(__xludf.DUMMYFUNCTION("""COMPUTED_VALUE"""),"Não POSSUI")</f>
        <v>Não POSSUI</v>
      </c>
      <c r="V1085" s="1" t="str">
        <f>IFERROR(__xludf.DUMMYFUNCTION("""COMPUTED_VALUE"""),"(51)980272428")</f>
        <v>(51)980272428</v>
      </c>
      <c r="W1085" s="1" t="str">
        <f>IFERROR(__xludf.DUMMYFUNCTION("""COMPUTED_VALUE"""),"(51)995481209")</f>
        <v>(51)995481209</v>
      </c>
      <c r="X1085" s="1" t="str">
        <f>IFERROR(__xludf.DUMMYFUNCTION("""COMPUTED_VALUE"""),"RS")</f>
        <v>RS</v>
      </c>
      <c r="Y1085" s="1" t="str">
        <f>IFERROR(__xludf.DUMMYFUNCTION("""COMPUTED_VALUE"""),"Balneário Pinhal")</f>
        <v>Balneário Pinhal</v>
      </c>
      <c r="Z1085" s="1">
        <f>IFERROR(__xludf.DUMMYFUNCTION("""COMPUTED_VALUE"""),95599000)</f>
        <v>95599000</v>
      </c>
      <c r="AA1085" s="1" t="str">
        <f>IFERROR(__xludf.DUMMYFUNCTION("""COMPUTED_VALUE"""),"OLMIRA PEREIRA GAMBA 42 ")</f>
        <v>OLMIRA PEREIRA GAMBA 42 </v>
      </c>
      <c r="AB1085" s="1" t="str">
        <f>IFERROR(__xludf.DUMMYFUNCTION("""COMPUTED_VALUE"""),"CENTRO")</f>
        <v>CENTRO</v>
      </c>
      <c r="AC1085" s="1" t="str">
        <f>IFERROR(__xludf.DUMMYFUNCTION("""COMPUTED_VALUE"""),"M")</f>
        <v>M</v>
      </c>
      <c r="AD1085" s="1" t="str">
        <f>IFERROR(__xludf.DUMMYFUNCTION("""COMPUTED_VALUE"""),"G")</f>
        <v>G</v>
      </c>
      <c r="AE1085" s="1" t="str">
        <f>IFERROR(__xludf.DUMMYFUNCTION("""COMPUTED_VALUE"""),"G")</f>
        <v>G</v>
      </c>
      <c r="AF1085" s="1" t="str">
        <f>IFERROR(__xludf.DUMMYFUNCTION("""COMPUTED_VALUE"""),"G")</f>
        <v>G</v>
      </c>
      <c r="AG1085" s="1" t="str">
        <f>IFERROR(__xludf.DUMMYFUNCTION("""COMPUTED_VALUE"""),"G")</f>
        <v>G</v>
      </c>
      <c r="AH1085" s="1">
        <f>IFERROR(__xludf.DUMMYFUNCTION("""COMPUTED_VALUE"""),40)</f>
        <v>40</v>
      </c>
      <c r="AI1085" s="1">
        <f>IFERROR(__xludf.DUMMYFUNCTION("""COMPUTED_VALUE"""),40)</f>
        <v>40</v>
      </c>
      <c r="AJ1085" s="1">
        <f>IFERROR(__xludf.DUMMYFUNCTION("""COMPUTED_VALUE"""),40)</f>
        <v>40</v>
      </c>
      <c r="AK1085" s="1">
        <f>IFERROR(__xludf.DUMMYFUNCTION("""COMPUTED_VALUE"""),40)</f>
        <v>40</v>
      </c>
      <c r="AL1085" s="1" t="str">
        <f>IFERROR(__xludf.DUMMYFUNCTION("""COMPUTED_VALUE"""),"G")</f>
        <v>G</v>
      </c>
      <c r="AM1085" s="1" t="str">
        <f>IFERROR(__xludf.DUMMYFUNCTION("""COMPUTED_VALUE"""),"M")</f>
        <v>M</v>
      </c>
      <c r="AN1085" s="1" t="str">
        <f>IFERROR(__xludf.DUMMYFUNCTION("""COMPUTED_VALUE"""),"G")</f>
        <v>G</v>
      </c>
    </row>
    <row r="1086" customHeight="1" spans="1:40">
      <c r="A1086" s="1" t="str">
        <f>IFERROR(__xludf.DUMMYFUNCTION("""COMPUTED_VALUE"""),"09° BBM")</f>
        <v>09° BBM</v>
      </c>
      <c r="B1086" s="1"/>
      <c r="C1086" s="119" t="str">
        <f>IFERROR(__xludf.DUMMYFUNCTION("""COMPUTED_VALUE"""),"Inativo")</f>
        <v>Inativo</v>
      </c>
      <c r="D1086" s="1" t="str">
        <f>IFERROR(__xludf.DUMMYFUNCTION("""COMPUTED_VALUE"""),"LEANDRO FERNANDES MACHADO")</f>
        <v>LEANDRO FERNANDES MACHADO</v>
      </c>
      <c r="E1086" s="119" t="str">
        <f>IFERROR(__xludf.DUMMYFUNCTION("""COMPUTED_VALUE"""),"")</f>
        <v/>
      </c>
      <c r="F1086" s="1" t="str">
        <f>IFERROR(__xludf.DUMMYFUNCTION("""COMPUTED_VALUE"""),"812.538.770-68")</f>
        <v>812.538.770-68</v>
      </c>
      <c r="G1086" s="1"/>
      <c r="H1086" s="1"/>
      <c r="I1086" s="1"/>
      <c r="J1086" s="1"/>
      <c r="K1086" s="1"/>
      <c r="L1086" s="1"/>
      <c r="M1086" s="1"/>
      <c r="N1086" s="120"/>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row>
    <row r="1087" customHeight="1" spans="1:40">
      <c r="A1087" s="1" t="str">
        <f>IFERROR(__xludf.DUMMYFUNCTION("""COMPUTED_VALUE"""),"09° BBM")</f>
        <v>09° BBM</v>
      </c>
      <c r="B1087" s="1" t="str">
        <f>IFERROR(__xludf.DUMMYFUNCTION("""COMPUTED_VALUE"""),"Balneário Pinhal")</f>
        <v>Balneário Pinhal</v>
      </c>
      <c r="C1087" s="119" t="str">
        <f>IFERROR(__xludf.DUMMYFUNCTION("""COMPUTED_VALUE"""),"CAB")</f>
        <v>CAB</v>
      </c>
      <c r="D1087" s="1" t="str">
        <f>IFERROR(__xludf.DUMMYFUNCTION("""COMPUTED_VALUE"""),"LEO RYAN CORBACHO COUTO")</f>
        <v>LEO RYAN CORBACHO COUTO</v>
      </c>
      <c r="E1087" s="119" t="str">
        <f>IFERROR(__xludf.DUMMYFUNCTION("""COMPUTED_VALUE"""),"Módulo 2 e 3 concluído")</f>
        <v>Módulo 2 e 3 concluído</v>
      </c>
      <c r="F1087" s="1" t="str">
        <f>IFERROR(__xludf.DUMMYFUNCTION("""COMPUTED_VALUE"""),"048.876.220-07")</f>
        <v>048.876.220-07</v>
      </c>
      <c r="G1087" s="1">
        <f>IFERROR(__xludf.DUMMYFUNCTION("""COMPUTED_VALUE"""),8124317101)</f>
        <v>8124317101</v>
      </c>
      <c r="H1087" s="1" t="str">
        <f>IFERROR(__xludf.DUMMYFUNCTION("""COMPUTED_VALUE"""),"COMBATENTE")</f>
        <v>COMBATENTE</v>
      </c>
      <c r="I1087" s="1" t="str">
        <f>IFERROR(__xludf.DUMMYFUNCTION("""COMPUTED_VALUE"""),"APH; BLS; BOMBEIRO CIVIL CLASSE I")</f>
        <v>APH; BLS; BOMBEIRO CIVIL CLASSE I</v>
      </c>
      <c r="J1087" s="1" t="str">
        <f>IFERROR(__xludf.DUMMYFUNCTION("""COMPUTED_VALUE"""),"Sim")</f>
        <v>Sim</v>
      </c>
      <c r="K1087" s="1" t="str">
        <f>IFERROR(__xludf.DUMMYFUNCTION("""COMPUTED_VALUE"""),"Não")</f>
        <v>Não</v>
      </c>
      <c r="L1087" s="1" t="str">
        <f>IFERROR(__xludf.DUMMYFUNCTION("""COMPUTED_VALUE"""),"O+")</f>
        <v>O+</v>
      </c>
      <c r="M1087" s="1" t="str">
        <f>IFERROR(__xludf.DUMMYFUNCTION("""COMPUTED_VALUE"""),"COUTO")</f>
        <v>COUTO</v>
      </c>
      <c r="N1087" s="120">
        <f>IFERROR(__xludf.DUMMYFUNCTION("""COMPUTED_VALUE"""),36922)</f>
        <v>36922</v>
      </c>
      <c r="O1087" s="1" t="str">
        <f>IFERROR(__xludf.DUMMYFUNCTION("""COMPUTED_VALUE"""),"Masculino")</f>
        <v>Masculino</v>
      </c>
      <c r="P1087" s="1" t="str">
        <f>IFERROR(__xludf.DUMMYFUNCTION("""COMPUTED_VALUE"""),"Branca")</f>
        <v>Branca</v>
      </c>
      <c r="Q1087" s="1" t="str">
        <f>IFERROR(__xludf.DUMMYFUNCTION("""COMPUTED_VALUE"""),"Ensino Médio")</f>
        <v>Ensino Médio</v>
      </c>
      <c r="R1087" s="1" t="str">
        <f>IFERROR(__xludf.DUMMYFUNCTION("""COMPUTED_VALUE"""),"LEORYANCORBACHO843@GMAIL.COM")</f>
        <v>LEORYANCORBACHO843@GMAIL.COM</v>
      </c>
      <c r="S1087" s="1" t="str">
        <f>IFERROR(__xludf.DUMMYFUNCTION("""COMPUTED_VALUE"""),"84KG")</f>
        <v>84KG</v>
      </c>
      <c r="T1087" s="1" t="str">
        <f>IFERROR(__xludf.DUMMYFUNCTION("""COMPUTED_VALUE"""),"Entre 1,66m e 1,70m")</f>
        <v>Entre 1,66m e 1,70m</v>
      </c>
      <c r="U1087" s="1" t="str">
        <f>IFERROR(__xludf.DUMMYFUNCTION("""COMPUTED_VALUE"""),"Não POSSUI")</f>
        <v>Não POSSUI</v>
      </c>
      <c r="V1087" s="1">
        <f>IFERROR(__xludf.DUMMYFUNCTION("""COMPUTED_VALUE"""),51991484749)</f>
        <v>51991484749</v>
      </c>
      <c r="W1087" s="1" t="str">
        <f>IFERROR(__xludf.DUMMYFUNCTION("""COMPUTED_VALUE"""),"51991479299(LUCI)")</f>
        <v>51991479299(LUCI)</v>
      </c>
      <c r="X1087" s="1" t="str">
        <f>IFERROR(__xludf.DUMMYFUNCTION("""COMPUTED_VALUE"""),"RS")</f>
        <v>RS</v>
      </c>
      <c r="Y1087" s="1" t="str">
        <f>IFERROR(__xludf.DUMMYFUNCTION("""COMPUTED_VALUE"""),"Tramandaí")</f>
        <v>Tramandaí</v>
      </c>
      <c r="Z1087" s="1">
        <f>IFERROR(__xludf.DUMMYFUNCTION("""COMPUTED_VALUE"""),95590000)</f>
        <v>95590000</v>
      </c>
      <c r="AA1087" s="1" t="str">
        <f>IFERROR(__xludf.DUMMYFUNCTION("""COMPUTED_VALUE"""),"OSMANI DA SILVA BARBOSA 105")</f>
        <v>OSMANI DA SILVA BARBOSA 105</v>
      </c>
      <c r="AB1087" s="1" t="str">
        <f>IFERROR(__xludf.DUMMYFUNCTION("""COMPUTED_VALUE"""),"CENTRO")</f>
        <v>CENTRO</v>
      </c>
      <c r="AC1087" s="1" t="str">
        <f>IFERROR(__xludf.DUMMYFUNCTION("""COMPUTED_VALUE"""),"P")</f>
        <v>P</v>
      </c>
      <c r="AD1087" s="1" t="str">
        <f>IFERROR(__xludf.DUMMYFUNCTION("""COMPUTED_VALUE"""),"M")</f>
        <v>M</v>
      </c>
      <c r="AE1087" s="1" t="str">
        <f>IFERROR(__xludf.DUMMYFUNCTION("""COMPUTED_VALUE"""),"M")</f>
        <v>M</v>
      </c>
      <c r="AF1087" s="1" t="str">
        <f>IFERROR(__xludf.DUMMYFUNCTION("""COMPUTED_VALUE"""),"M")</f>
        <v>M</v>
      </c>
      <c r="AG1087" s="1" t="str">
        <f>IFERROR(__xludf.DUMMYFUNCTION("""COMPUTED_VALUE"""),"P")</f>
        <v>P</v>
      </c>
      <c r="AH1087" s="1">
        <f>IFERROR(__xludf.DUMMYFUNCTION("""COMPUTED_VALUE"""),42)</f>
        <v>42</v>
      </c>
      <c r="AI1087" s="1">
        <f>IFERROR(__xludf.DUMMYFUNCTION("""COMPUTED_VALUE"""),42)</f>
        <v>42</v>
      </c>
      <c r="AJ1087" s="1">
        <f>IFERROR(__xludf.DUMMYFUNCTION("""COMPUTED_VALUE"""),42)</f>
        <v>42</v>
      </c>
      <c r="AK1087" s="1">
        <f>IFERROR(__xludf.DUMMYFUNCTION("""COMPUTED_VALUE"""),42)</f>
        <v>42</v>
      </c>
      <c r="AL1087" s="1" t="str">
        <f>IFERROR(__xludf.DUMMYFUNCTION("""COMPUTED_VALUE"""),"M")</f>
        <v>M</v>
      </c>
      <c r="AM1087" s="1" t="str">
        <f>IFERROR(__xludf.DUMMYFUNCTION("""COMPUTED_VALUE"""),"M")</f>
        <v>M</v>
      </c>
      <c r="AN1087" s="1" t="str">
        <f>IFERROR(__xludf.DUMMYFUNCTION("""COMPUTED_VALUE"""),"P")</f>
        <v>P</v>
      </c>
    </row>
    <row r="1088" customHeight="1" spans="1:40">
      <c r="A1088" s="1" t="str">
        <f>IFERROR(__xludf.DUMMYFUNCTION("""COMPUTED_VALUE"""),"09° BBM")</f>
        <v>09° BBM</v>
      </c>
      <c r="B1088" s="1" t="str">
        <f>IFERROR(__xludf.DUMMYFUNCTION("""COMPUTED_VALUE"""),"Arroio do Sal")</f>
        <v>Arroio do Sal</v>
      </c>
      <c r="C1088" s="119" t="str">
        <f>IFERROR(__xludf.DUMMYFUNCTION("""COMPUTED_VALUE"""),"CAB")</f>
        <v>CAB</v>
      </c>
      <c r="D1088" s="1" t="str">
        <f>IFERROR(__xludf.DUMMYFUNCTION("""COMPUTED_VALUE"""),"LEONARDO FAVERO ROSANELLI")</f>
        <v>LEONARDO FAVERO ROSANELLI</v>
      </c>
      <c r="E1088" s="119" t="str">
        <f>IFERROR(__xludf.DUMMYFUNCTION("""COMPUTED_VALUE"""),"Módulo 1 concluído")</f>
        <v>Módulo 1 concluído</v>
      </c>
      <c r="F1088" s="1" t="str">
        <f>IFERROR(__xludf.DUMMYFUNCTION("""COMPUTED_VALUE"""),"034.185.310-08")</f>
        <v>034.185.310-08</v>
      </c>
      <c r="G1088" s="1">
        <f>IFERROR(__xludf.DUMMYFUNCTION("""COMPUTED_VALUE"""),7105323311)</f>
        <v>7105323311</v>
      </c>
      <c r="H1088" s="1" t="str">
        <f>IFERROR(__xludf.DUMMYFUNCTION("""COMPUTED_VALUE"""),"COMBATENTE")</f>
        <v>COMBATENTE</v>
      </c>
      <c r="I1088" s="1" t="str">
        <f>IFERROR(__xludf.DUMMYFUNCTION("""COMPUTED_VALUE"""),"tec. enfermagem, Bls, APH, nr35, nr33, curso salva vidas, treinamento primeiros socorros, treinamento de prevenção e combate a incêndio, bombeiro civil,enfermagem urgência e emergência, enfermagem em serviços pediátricos e neonatais.")</f>
        <v>tec. enfermagem, Bls, APH, nr35, nr33, curso salva vidas, treinamento primeiros socorros, treinamento de prevenção e combate a incêndio, bombeiro civil,enfermagem urgência e emergência, enfermagem em serviços pediátricos e neonatais.</v>
      </c>
      <c r="J1088" s="1" t="str">
        <f>IFERROR(__xludf.DUMMYFUNCTION("""COMPUTED_VALUE"""),"Sim")</f>
        <v>Sim</v>
      </c>
      <c r="K1088" s="1" t="str">
        <f>IFERROR(__xludf.DUMMYFUNCTION("""COMPUTED_VALUE"""),"Não")</f>
        <v>Não</v>
      </c>
      <c r="L1088" s="1" t="str">
        <f>IFERROR(__xludf.DUMMYFUNCTION("""COMPUTED_VALUE"""),"A+")</f>
        <v>A+</v>
      </c>
      <c r="M1088" s="1" t="str">
        <f>IFERROR(__xludf.DUMMYFUNCTION("""COMPUTED_VALUE"""),"ROSANELLI")</f>
        <v>ROSANELLI</v>
      </c>
      <c r="N1088" s="120">
        <f>IFERROR(__xludf.DUMMYFUNCTION("""COMPUTED_VALUE"""),34734)</f>
        <v>34734</v>
      </c>
      <c r="O1088" s="1" t="str">
        <f>IFERROR(__xludf.DUMMYFUNCTION("""COMPUTED_VALUE"""),"Masculino")</f>
        <v>Masculino</v>
      </c>
      <c r="P1088" s="1" t="str">
        <f>IFERROR(__xludf.DUMMYFUNCTION("""COMPUTED_VALUE"""),"Branca")</f>
        <v>Branca</v>
      </c>
      <c r="Q1088" s="1" t="str">
        <f>IFERROR(__xludf.DUMMYFUNCTION("""COMPUTED_VALUE"""),"Ensino Superior Incompleto")</f>
        <v>Ensino Superior Incompleto</v>
      </c>
      <c r="R1088" s="1" t="str">
        <f>IFERROR(__xludf.DUMMYFUNCTION("""COMPUTED_VALUE"""),"LEONARDOROSANELLI951@GMAIL.COM")</f>
        <v>LEONARDOROSANELLI951@GMAIL.COM</v>
      </c>
      <c r="S1088" s="1" t="str">
        <f>IFERROR(__xludf.DUMMYFUNCTION("""COMPUTED_VALUE"""),"88 KG")</f>
        <v>88 KG</v>
      </c>
      <c r="T1088" s="1" t="str">
        <f>IFERROR(__xludf.DUMMYFUNCTION("""COMPUTED_VALUE"""),"Entre 1,86m e 1,90m")</f>
        <v>Entre 1,86m e 1,90m</v>
      </c>
      <c r="U1088" s="1" t="str">
        <f>IFERROR(__xludf.DUMMYFUNCTION("""COMPUTED_VALUE"""),"Não POSSUI")</f>
        <v>Não POSSUI</v>
      </c>
      <c r="V1088" s="1" t="str">
        <f>IFERROR(__xludf.DUMMYFUNCTION("""COMPUTED_VALUE"""),"(54) 99624-3124")</f>
        <v>(54) 99624-3124</v>
      </c>
      <c r="W1088" s="1" t="str">
        <f>IFERROR(__xludf.DUMMYFUNCTION("""COMPUTED_VALUE"""),"Não POSSUI")</f>
        <v>Não POSSUI</v>
      </c>
      <c r="X1088" s="1" t="str">
        <f>IFERROR(__xludf.DUMMYFUNCTION("""COMPUTED_VALUE"""),"RS")</f>
        <v>RS</v>
      </c>
      <c r="Y1088" s="1" t="str">
        <f>IFERROR(__xludf.DUMMYFUNCTION("""COMPUTED_VALUE"""),"Capão da Canoa")</f>
        <v>Capão da Canoa</v>
      </c>
      <c r="Z1088" s="1" t="str">
        <f>IFERROR(__xludf.DUMMYFUNCTION("""COMPUTED_VALUE"""),"95555-000")</f>
        <v>95555-000</v>
      </c>
      <c r="AA1088" s="1" t="str">
        <f>IFERROR(__xludf.DUMMYFUNCTION("""COMPUTED_VALUE"""),"RUA TUBIRAMA, N° 257 AP. 905")</f>
        <v>RUA TUBIRAMA, N° 257 AP. 905</v>
      </c>
      <c r="AB1088" s="1" t="str">
        <f>IFERROR(__xludf.DUMMYFUNCTION("""COMPUTED_VALUE"""),"CENTRO")</f>
        <v>CENTRO</v>
      </c>
      <c r="AC1088" s="1" t="str">
        <f>IFERROR(__xludf.DUMMYFUNCTION("""COMPUTED_VALUE"""),"M")</f>
        <v>M</v>
      </c>
      <c r="AD1088" s="1" t="str">
        <f>IFERROR(__xludf.DUMMYFUNCTION("""COMPUTED_VALUE"""),"M")</f>
        <v>M</v>
      </c>
      <c r="AE1088" s="1" t="str">
        <f>IFERROR(__xludf.DUMMYFUNCTION("""COMPUTED_VALUE"""),"M")</f>
        <v>M</v>
      </c>
      <c r="AF1088" s="1" t="str">
        <f>IFERROR(__xludf.DUMMYFUNCTION("""COMPUTED_VALUE"""),"M")</f>
        <v>M</v>
      </c>
      <c r="AG1088" s="1" t="str">
        <f>IFERROR(__xludf.DUMMYFUNCTION("""COMPUTED_VALUE"""),"M")</f>
        <v>M</v>
      </c>
      <c r="AH1088" s="1">
        <f>IFERROR(__xludf.DUMMYFUNCTION("""COMPUTED_VALUE"""),41)</f>
        <v>41</v>
      </c>
      <c r="AI1088" s="1">
        <f>IFERROR(__xludf.DUMMYFUNCTION("""COMPUTED_VALUE"""),41)</f>
        <v>41</v>
      </c>
      <c r="AJ1088" s="1">
        <f>IFERROR(__xludf.DUMMYFUNCTION("""COMPUTED_VALUE"""),41)</f>
        <v>41</v>
      </c>
      <c r="AK1088" s="1">
        <f>IFERROR(__xludf.DUMMYFUNCTION("""COMPUTED_VALUE"""),41)</f>
        <v>41</v>
      </c>
      <c r="AL1088" s="1" t="str">
        <f>IFERROR(__xludf.DUMMYFUNCTION("""COMPUTED_VALUE"""),"M")</f>
        <v>M</v>
      </c>
      <c r="AM1088" s="1" t="str">
        <f>IFERROR(__xludf.DUMMYFUNCTION("""COMPUTED_VALUE"""),"M")</f>
        <v>M</v>
      </c>
      <c r="AN1088" s="1" t="str">
        <f>IFERROR(__xludf.DUMMYFUNCTION("""COMPUTED_VALUE"""),"M")</f>
        <v>M</v>
      </c>
    </row>
    <row r="1089" customHeight="1" spans="1:40">
      <c r="A1089" s="1" t="str">
        <f>IFERROR(__xludf.DUMMYFUNCTION("""COMPUTED_VALUE"""),"09° BBM")</f>
        <v>09° BBM</v>
      </c>
      <c r="B1089" s="1"/>
      <c r="C1089" s="119" t="str">
        <f>IFERROR(__xludf.DUMMYFUNCTION("""COMPUTED_VALUE"""),"Inativo")</f>
        <v>Inativo</v>
      </c>
      <c r="D1089" s="1" t="str">
        <f>IFERROR(__xludf.DUMMYFUNCTION("""COMPUTED_VALUE"""),"LETÍCIA SOARES RIBEIRO")</f>
        <v>LETÍCIA SOARES RIBEIRO</v>
      </c>
      <c r="E1089" s="119" t="str">
        <f>IFERROR(__xludf.DUMMYFUNCTION("""COMPUTED_VALUE"""),"Módulo 1 concluído")</f>
        <v>Módulo 1 concluído</v>
      </c>
      <c r="F1089" s="1" t="str">
        <f>IFERROR(__xludf.DUMMYFUNCTION("""COMPUTED_VALUE"""),"070.086.739-22")</f>
        <v>070.086.739-22</v>
      </c>
      <c r="G1089" s="1"/>
      <c r="H1089" s="1"/>
      <c r="I1089" s="1"/>
      <c r="J1089" s="1"/>
      <c r="K1089" s="1"/>
      <c r="L1089" s="1"/>
      <c r="M1089" s="1"/>
      <c r="N1089" s="120"/>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row>
    <row r="1090" customHeight="1" spans="1:40">
      <c r="A1090" s="1" t="str">
        <f>IFERROR(__xludf.DUMMYFUNCTION("""COMPUTED_VALUE"""),"09° BBM")</f>
        <v>09° BBM</v>
      </c>
      <c r="B1090" s="1" t="str">
        <f>IFERROR(__xludf.DUMMYFUNCTION("""COMPUTED_VALUE"""),"Balneário Pinhal")</f>
        <v>Balneário Pinhal</v>
      </c>
      <c r="C1090" s="119" t="str">
        <f>IFERROR(__xludf.DUMMYFUNCTION("""COMPUTED_VALUE"""),"CAB")</f>
        <v>CAB</v>
      </c>
      <c r="D1090" s="1" t="str">
        <f>IFERROR(__xludf.DUMMYFUNCTION("""COMPUTED_VALUE"""),"LUCAS MAGNUS BAETA RECH")</f>
        <v>LUCAS MAGNUS BAETA RECH</v>
      </c>
      <c r="E1090" s="119" t="str">
        <f>IFERROR(__xludf.DUMMYFUNCTION("""COMPUTED_VALUE"""),"")</f>
        <v/>
      </c>
      <c r="F1090" s="1" t="str">
        <f>IFERROR(__xludf.DUMMYFUNCTION("""COMPUTED_VALUE"""),"848.051.610-00")</f>
        <v>848.051.610-00</v>
      </c>
      <c r="G1090" s="1">
        <f>IFERROR(__xludf.DUMMYFUNCTION("""COMPUTED_VALUE"""),1114817875)</f>
        <v>1114817875</v>
      </c>
      <c r="H1090" s="1" t="str">
        <f>IFERROR(__xludf.DUMMYFUNCTION("""COMPUTED_VALUE"""),"COMBATENTE")</f>
        <v>COMBATENTE</v>
      </c>
      <c r="I1090" s="1" t="str">
        <f>IFERROR(__xludf.DUMMYFUNCTION("""COMPUTED_VALUE"""),"APH; BLS; BOMBEIRO CIVIL CLASSE I")</f>
        <v>APH; BLS; BOMBEIRO CIVIL CLASSE I</v>
      </c>
      <c r="J1090" s="1" t="str">
        <f>IFERROR(__xludf.DUMMYFUNCTION("""COMPUTED_VALUE"""),"Não")</f>
        <v>Não</v>
      </c>
      <c r="K1090" s="1" t="str">
        <f>IFERROR(__xludf.DUMMYFUNCTION("""COMPUTED_VALUE"""),"Sim")</f>
        <v>Sim</v>
      </c>
      <c r="L1090" s="1" t="str">
        <f>IFERROR(__xludf.DUMMYFUNCTION("""COMPUTED_VALUE"""),"O+")</f>
        <v>O+</v>
      </c>
      <c r="M1090" s="1" t="str">
        <f>IFERROR(__xludf.DUMMYFUNCTION("""COMPUTED_VALUE"""),"RECH")</f>
        <v>RECH</v>
      </c>
      <c r="N1090" s="120">
        <f>IFERROR(__xludf.DUMMYFUNCTION("""COMPUTED_VALUE"""),34369)</f>
        <v>34369</v>
      </c>
      <c r="O1090" s="1" t="str">
        <f>IFERROR(__xludf.DUMMYFUNCTION("""COMPUTED_VALUE"""),"Masculino")</f>
        <v>Masculino</v>
      </c>
      <c r="P1090" s="1" t="str">
        <f>IFERROR(__xludf.DUMMYFUNCTION("""COMPUTED_VALUE"""),"Branca")</f>
        <v>Branca</v>
      </c>
      <c r="Q1090" s="1" t="str">
        <f>IFERROR(__xludf.DUMMYFUNCTION("""COMPUTED_VALUE"""),"Ensino Médio")</f>
        <v>Ensino Médio</v>
      </c>
      <c r="R1090" s="1" t="str">
        <f>IFERROR(__xludf.DUMMYFUNCTION("""COMPUTED_VALUE"""),"RECHLUCAS73@GMAIL.COM")</f>
        <v>RECHLUCAS73@GMAIL.COM</v>
      </c>
      <c r="S1090" s="1" t="str">
        <f>IFERROR(__xludf.DUMMYFUNCTION("""COMPUTED_VALUE"""),"84KG")</f>
        <v>84KG</v>
      </c>
      <c r="T1090" s="1" t="str">
        <f>IFERROR(__xludf.DUMMYFUNCTION("""COMPUTED_VALUE"""),"Entre 1,61m e 1,65m")</f>
        <v>Entre 1,61m e 1,65m</v>
      </c>
      <c r="U1090" s="1" t="str">
        <f>IFERROR(__xludf.DUMMYFUNCTION("""COMPUTED_VALUE"""),"Não POSSUI")</f>
        <v>Não POSSUI</v>
      </c>
      <c r="V1090" s="1">
        <f>IFERROR(__xludf.DUMMYFUNCTION("""COMPUTED_VALUE"""),5199600795)</f>
        <v>5199600795</v>
      </c>
      <c r="W1090" s="1">
        <f>IFERROR(__xludf.DUMMYFUNCTION("""COMPUTED_VALUE"""),51996281974)</f>
        <v>51996281974</v>
      </c>
      <c r="X1090" s="1" t="str">
        <f>IFERROR(__xludf.DUMMYFUNCTION("""COMPUTED_VALUE"""),"RS")</f>
        <v>RS</v>
      </c>
      <c r="Y1090" s="1" t="str">
        <f>IFERROR(__xludf.DUMMYFUNCTION("""COMPUTED_VALUE"""),"Balneário Pinhal")</f>
        <v>Balneário Pinhal</v>
      </c>
      <c r="Z1090" s="1">
        <f>IFERROR(__xludf.DUMMYFUNCTION("""COMPUTED_VALUE"""),95599000)</f>
        <v>95599000</v>
      </c>
      <c r="AA1090" s="1" t="str">
        <f>IFERROR(__xludf.DUMMYFUNCTION("""COMPUTED_VALUE"""),"VICTÓRIO SPEROTTO 1943")</f>
        <v>VICTÓRIO SPEROTTO 1943</v>
      </c>
      <c r="AB1090" s="1" t="str">
        <f>IFERROR(__xludf.DUMMYFUNCTION("""COMPUTED_VALUE"""),"CENTRO")</f>
        <v>CENTRO</v>
      </c>
      <c r="AC1090" s="1" t="str">
        <f>IFERROR(__xludf.DUMMYFUNCTION("""COMPUTED_VALUE"""),"EXG")</f>
        <v>EXG</v>
      </c>
      <c r="AD1090" s="1" t="str">
        <f>IFERROR(__xludf.DUMMYFUNCTION("""COMPUTED_VALUE"""),"EXG")</f>
        <v>EXG</v>
      </c>
      <c r="AE1090" s="1" t="str">
        <f>IFERROR(__xludf.DUMMYFUNCTION("""COMPUTED_VALUE"""),"EXG")</f>
        <v>EXG</v>
      </c>
      <c r="AF1090" s="1" t="str">
        <f>IFERROR(__xludf.DUMMYFUNCTION("""COMPUTED_VALUE"""),"EXG")</f>
        <v>EXG</v>
      </c>
      <c r="AG1090" s="1" t="str">
        <f>IFERROR(__xludf.DUMMYFUNCTION("""COMPUTED_VALUE"""),"EXG")</f>
        <v>EXG</v>
      </c>
      <c r="AH1090" s="1">
        <f>IFERROR(__xludf.DUMMYFUNCTION("""COMPUTED_VALUE"""),40)</f>
        <v>40</v>
      </c>
      <c r="AI1090" s="1">
        <f>IFERROR(__xludf.DUMMYFUNCTION("""COMPUTED_VALUE"""),40)</f>
        <v>40</v>
      </c>
      <c r="AJ1090" s="1">
        <f>IFERROR(__xludf.DUMMYFUNCTION("""COMPUTED_VALUE"""),40)</f>
        <v>40</v>
      </c>
      <c r="AK1090" s="1">
        <f>IFERROR(__xludf.DUMMYFUNCTION("""COMPUTED_VALUE"""),40)</f>
        <v>40</v>
      </c>
      <c r="AL1090" s="1" t="str">
        <f>IFERROR(__xludf.DUMMYFUNCTION("""COMPUTED_VALUE"""),"EXG")</f>
        <v>EXG</v>
      </c>
      <c r="AM1090" s="1" t="str">
        <f>IFERROR(__xludf.DUMMYFUNCTION("""COMPUTED_VALUE"""),"EXG")</f>
        <v>EXG</v>
      </c>
      <c r="AN1090" s="1" t="str">
        <f>IFERROR(__xludf.DUMMYFUNCTION("""COMPUTED_VALUE"""),"M")</f>
        <v>M</v>
      </c>
    </row>
    <row r="1091" customHeight="1" spans="1:40">
      <c r="A1091" s="1" t="str">
        <f>IFERROR(__xludf.DUMMYFUNCTION("""COMPUTED_VALUE"""),"09° BBM")</f>
        <v>09° BBM</v>
      </c>
      <c r="B1091" s="1" t="str">
        <f>IFERROR(__xludf.DUMMYFUNCTION("""COMPUTED_VALUE"""),"Arroio do Sal")</f>
        <v>Arroio do Sal</v>
      </c>
      <c r="C1091" s="119" t="str">
        <f>IFERROR(__xludf.DUMMYFUNCTION("""COMPUTED_VALUE"""),"CAB")</f>
        <v>CAB</v>
      </c>
      <c r="D1091" s="1" t="str">
        <f>IFERROR(__xludf.DUMMYFUNCTION("""COMPUTED_VALUE"""),"LUCAS MAGNUS SCHMITZ")</f>
        <v>LUCAS MAGNUS SCHMITZ</v>
      </c>
      <c r="E1091" s="119" t="str">
        <f>IFERROR(__xludf.DUMMYFUNCTION("""COMPUTED_VALUE"""),"Módulo 1 concluído")</f>
        <v>Módulo 1 concluído</v>
      </c>
      <c r="F1091" s="1" t="str">
        <f>IFERROR(__xludf.DUMMYFUNCTION("""COMPUTED_VALUE"""),"036.350.730-24")</f>
        <v>036.350.730-24</v>
      </c>
      <c r="G1091" s="1">
        <f>IFERROR(__xludf.DUMMYFUNCTION("""COMPUTED_VALUE"""),2114896737)</f>
        <v>2114896737</v>
      </c>
      <c r="H1091" s="1" t="str">
        <f>IFERROR(__xludf.DUMMYFUNCTION("""COMPUTED_VALUE"""),"COORDENADOR/CONDUTOR D")</f>
        <v>COORDENADOR/CONDUTOR D</v>
      </c>
      <c r="I1091" s="1" t="str">
        <f>IFERROR(__xludf.DUMMYFUNCTION("""COMPUTED_VALUE"""),"Apicultura- Emater/RS, Sar- Socorros em áreas remotas, Nr 35, Stop The bleed, Resgate veicular-cbm/RS, Covci- cbm/rs, Montagem de tripé e nos e amarrações- cbm/RS, Salvamento aquático- cbm/rs, Combate a incêndio, Aph, Bls.Graduando em gestão de segurança "&amp;"publica e privada")</f>
        <v>Apicultura- Emater/RS, Sar- Socorros em áreas remotas, Nr 35, Stop The bleed, Resgate veicular-cbm/RS, Covci- cbm/rs, Montagem de tripé e nos e amarrações- cbm/RS, Salvamento aquático- cbm/rs, Combate a incêndio, Aph, Bls.Graduando em gestão de segurança publica e privada</v>
      </c>
      <c r="J1091" s="1" t="str">
        <f>IFERROR(__xludf.DUMMYFUNCTION("""COMPUTED_VALUE"""),"Sim")</f>
        <v>Sim</v>
      </c>
      <c r="K1091" s="1" t="str">
        <f>IFERROR(__xludf.DUMMYFUNCTION("""COMPUTED_VALUE"""),"Sim")</f>
        <v>Sim</v>
      </c>
      <c r="L1091" s="1" t="str">
        <f>IFERROR(__xludf.DUMMYFUNCTION("""COMPUTED_VALUE"""),"A+")</f>
        <v>A+</v>
      </c>
      <c r="M1091" s="1" t="str">
        <f>IFERROR(__xludf.DUMMYFUNCTION("""COMPUTED_VALUE"""),"SCHIMITZ")</f>
        <v>SCHIMITZ</v>
      </c>
      <c r="N1091" s="120">
        <f>IFERROR(__xludf.DUMMYFUNCTION("""COMPUTED_VALUE"""),35499)</f>
        <v>35499</v>
      </c>
      <c r="O1091" s="1" t="str">
        <f>IFERROR(__xludf.DUMMYFUNCTION("""COMPUTED_VALUE"""),"Masculino")</f>
        <v>Masculino</v>
      </c>
      <c r="P1091" s="1" t="str">
        <f>IFERROR(__xludf.DUMMYFUNCTION("""COMPUTED_VALUE"""),"Branca")</f>
        <v>Branca</v>
      </c>
      <c r="Q1091" s="1" t="str">
        <f>IFERROR(__xludf.DUMMYFUNCTION("""COMPUTED_VALUE"""),"Ensino Superior Incompleto")</f>
        <v>Ensino Superior Incompleto</v>
      </c>
      <c r="R1091" s="1" t="str">
        <f>IFERROR(__xludf.DUMMYFUNCTION("""COMPUTED_VALUE"""),"LUCASMMSCHMITZ@HOTMAIL.COM")</f>
        <v>LUCASMMSCHMITZ@HOTMAIL.COM</v>
      </c>
      <c r="S1091" s="1" t="str">
        <f>IFERROR(__xludf.DUMMYFUNCTION("""COMPUTED_VALUE"""),"115 KG")</f>
        <v>115 KG</v>
      </c>
      <c r="T1091" s="1" t="str">
        <f>IFERROR(__xludf.DUMMYFUNCTION("""COMPUTED_VALUE"""),"Entre 1,71m e 1,75m")</f>
        <v>Entre 1,71m e 1,75m</v>
      </c>
      <c r="U1091" s="1" t="str">
        <f>IFERROR(__xludf.DUMMYFUNCTION("""COMPUTED_VALUE"""),"Não POSSUI")</f>
        <v>Não POSSUI</v>
      </c>
      <c r="V1091" s="1" t="str">
        <f>IFERROR(__xludf.DUMMYFUNCTION("""COMPUTED_VALUE"""),"(51) 99516-1835")</f>
        <v>(51) 99516-1835</v>
      </c>
      <c r="W1091" s="1" t="str">
        <f>IFERROR(__xludf.DUMMYFUNCTION("""COMPUTED_VALUE"""),"Não POSSUI")</f>
        <v>Não POSSUI</v>
      </c>
      <c r="X1091" s="1" t="str">
        <f>IFERROR(__xludf.DUMMYFUNCTION("""COMPUTED_VALUE"""),"RS")</f>
        <v>RS</v>
      </c>
      <c r="Y1091" s="1" t="str">
        <f>IFERROR(__xludf.DUMMYFUNCTION("""COMPUTED_VALUE"""),"Arroio do Sal")</f>
        <v>Arroio do Sal</v>
      </c>
      <c r="Z1091" s="1" t="str">
        <f>IFERROR(__xludf.DUMMYFUNCTION("""COMPUTED_VALUE"""),"95585-000")</f>
        <v>95585-000</v>
      </c>
      <c r="AA1091" s="1" t="str">
        <f>IFERROR(__xludf.DUMMYFUNCTION("""COMPUTED_VALUE"""),"RUA DAS FIGUEIRAS, N° 204")</f>
        <v>RUA DAS FIGUEIRAS, N° 204</v>
      </c>
      <c r="AB1091" s="1" t="str">
        <f>IFERROR(__xludf.DUMMYFUNCTION("""COMPUTED_VALUE"""),"QUATRO LAGOS")</f>
        <v>QUATRO LAGOS</v>
      </c>
      <c r="AC1091" s="1" t="str">
        <f>IFERROR(__xludf.DUMMYFUNCTION("""COMPUTED_VALUE"""),"GG")</f>
        <v>GG</v>
      </c>
      <c r="AD1091" s="1" t="str">
        <f>IFERROR(__xludf.DUMMYFUNCTION("""COMPUTED_VALUE"""),"XG")</f>
        <v>XG</v>
      </c>
      <c r="AE1091" s="1" t="str">
        <f>IFERROR(__xludf.DUMMYFUNCTION("""COMPUTED_VALUE"""),"XG")</f>
        <v>XG</v>
      </c>
      <c r="AF1091" s="1" t="str">
        <f>IFERROR(__xludf.DUMMYFUNCTION("""COMPUTED_VALUE"""),"XG")</f>
        <v>XG</v>
      </c>
      <c r="AG1091" s="1" t="str">
        <f>IFERROR(__xludf.DUMMYFUNCTION("""COMPUTED_VALUE"""),"XG")</f>
        <v>XG</v>
      </c>
      <c r="AH1091" s="1">
        <f>IFERROR(__xludf.DUMMYFUNCTION("""COMPUTED_VALUE"""),41)</f>
        <v>41</v>
      </c>
      <c r="AI1091" s="1">
        <f>IFERROR(__xludf.DUMMYFUNCTION("""COMPUTED_VALUE"""),41)</f>
        <v>41</v>
      </c>
      <c r="AJ1091" s="1">
        <f>IFERROR(__xludf.DUMMYFUNCTION("""COMPUTED_VALUE"""),41)</f>
        <v>41</v>
      </c>
      <c r="AK1091" s="1">
        <f>IFERROR(__xludf.DUMMYFUNCTION("""COMPUTED_VALUE"""),41)</f>
        <v>41</v>
      </c>
      <c r="AL1091" s="1" t="str">
        <f>IFERROR(__xludf.DUMMYFUNCTION("""COMPUTED_VALUE"""),"XG")</f>
        <v>XG</v>
      </c>
      <c r="AM1091" s="1" t="str">
        <f>IFERROR(__xludf.DUMMYFUNCTION("""COMPUTED_VALUE"""),"GG")</f>
        <v>GG</v>
      </c>
      <c r="AN1091" s="1" t="str">
        <f>IFERROR(__xludf.DUMMYFUNCTION("""COMPUTED_VALUE"""),"G")</f>
        <v>G</v>
      </c>
    </row>
    <row r="1092" customHeight="1" spans="1:40">
      <c r="A1092" s="1" t="str">
        <f>IFERROR(__xludf.DUMMYFUNCTION("""COMPUTED_VALUE"""),"09° BBM")</f>
        <v>09° BBM</v>
      </c>
      <c r="B1092" s="1"/>
      <c r="C1092" s="119" t="str">
        <f>IFERROR(__xludf.DUMMYFUNCTION("""COMPUTED_VALUE"""),"Inativo")</f>
        <v>Inativo</v>
      </c>
      <c r="D1092" s="1" t="str">
        <f>IFERROR(__xludf.DUMMYFUNCTION("""COMPUTED_VALUE"""),"LUCIANE DOS SANTOS PEREIRA")</f>
        <v>LUCIANE DOS SANTOS PEREIRA</v>
      </c>
      <c r="E1092" s="119" t="str">
        <f>IFERROR(__xludf.DUMMYFUNCTION("""COMPUTED_VALUE"""),"Módulo 1 concluído")</f>
        <v>Módulo 1 concluído</v>
      </c>
      <c r="F1092" s="1" t="str">
        <f>IFERROR(__xludf.DUMMYFUNCTION("""COMPUTED_VALUE"""),"014.517.290-22")</f>
        <v>014.517.290-22</v>
      </c>
      <c r="G1092" s="1"/>
      <c r="H1092" s="1"/>
      <c r="I1092" s="1"/>
      <c r="J1092" s="1"/>
      <c r="K1092" s="1"/>
      <c r="L1092" s="1"/>
      <c r="M1092" s="1"/>
      <c r="N1092" s="120"/>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row>
    <row r="1093" customHeight="1" spans="1:40">
      <c r="A1093" s="1" t="str">
        <f>IFERROR(__xludf.DUMMYFUNCTION("""COMPUTED_VALUE"""),"09° BBM")</f>
        <v>09° BBM</v>
      </c>
      <c r="B1093" s="1" t="str">
        <f>IFERROR(__xludf.DUMMYFUNCTION("""COMPUTED_VALUE"""),"Balneário Pinhal")</f>
        <v>Balneário Pinhal</v>
      </c>
      <c r="C1093" s="119" t="str">
        <f>IFERROR(__xludf.DUMMYFUNCTION("""COMPUTED_VALUE"""),"CAB")</f>
        <v>CAB</v>
      </c>
      <c r="D1093" s="1" t="str">
        <f>IFERROR(__xludf.DUMMYFUNCTION("""COMPUTED_VALUE"""),"LUCIANO DO AMARAL MACHADO")</f>
        <v>LUCIANO DO AMARAL MACHADO</v>
      </c>
      <c r="E1093" s="119" t="str">
        <f>IFERROR(__xludf.DUMMYFUNCTION("""COMPUTED_VALUE"""),"")</f>
        <v/>
      </c>
      <c r="F1093" s="1" t="str">
        <f>IFERROR(__xludf.DUMMYFUNCTION("""COMPUTED_VALUE"""),"754.735.340-15")</f>
        <v>754.735.340-15</v>
      </c>
      <c r="G1093" s="1">
        <f>IFERROR(__xludf.DUMMYFUNCTION("""COMPUTED_VALUE"""),1054355456)</f>
        <v>1054355456</v>
      </c>
      <c r="H1093" s="1" t="str">
        <f>IFERROR(__xludf.DUMMYFUNCTION("""COMPUTED_VALUE"""),"SOCORRISTA/CONDUTOR")</f>
        <v>SOCORRISTA/CONDUTOR</v>
      </c>
      <c r="I1093" s="1" t="str">
        <f>IFERROR(__xludf.DUMMYFUNCTION("""COMPUTED_VALUE"""),"APH; BLS; BOMBEIRO CIVIL CLASSE I")</f>
        <v>APH; BLS; BOMBEIRO CIVIL CLASSE I</v>
      </c>
      <c r="J1093" s="1" t="str">
        <f>IFERROR(__xludf.DUMMYFUNCTION("""COMPUTED_VALUE"""),"Não")</f>
        <v>Não</v>
      </c>
      <c r="K1093" s="1" t="str">
        <f>IFERROR(__xludf.DUMMYFUNCTION("""COMPUTED_VALUE"""),"Não")</f>
        <v>Não</v>
      </c>
      <c r="L1093" s="1" t="str">
        <f>IFERROR(__xludf.DUMMYFUNCTION("""COMPUTED_VALUE"""),"O+")</f>
        <v>O+</v>
      </c>
      <c r="M1093" s="1" t="str">
        <f>IFERROR(__xludf.DUMMYFUNCTION("""COMPUTED_VALUE"""),"AMARAL")</f>
        <v>AMARAL</v>
      </c>
      <c r="N1093" s="120">
        <f>IFERROR(__xludf.DUMMYFUNCTION("""COMPUTED_VALUE"""),28579)</f>
        <v>28579</v>
      </c>
      <c r="O1093" s="1" t="str">
        <f>IFERROR(__xludf.DUMMYFUNCTION("""COMPUTED_VALUE"""),"Masculino")</f>
        <v>Masculino</v>
      </c>
      <c r="P1093" s="1" t="str">
        <f>IFERROR(__xludf.DUMMYFUNCTION("""COMPUTED_VALUE"""),"Preta")</f>
        <v>Preta</v>
      </c>
      <c r="Q1093" s="1" t="str">
        <f>IFERROR(__xludf.DUMMYFUNCTION("""COMPUTED_VALUE"""),"Ensino Superior Completo")</f>
        <v>Ensino Superior Completo</v>
      </c>
      <c r="R1093" s="1" t="str">
        <f>IFERROR(__xludf.DUMMYFUNCTION("""COMPUTED_VALUE"""),"AMARAL-MACHADO@HOTMAIL.COM")</f>
        <v>AMARAL-MACHADO@HOTMAIL.COM</v>
      </c>
      <c r="S1093" s="1" t="str">
        <f>IFERROR(__xludf.DUMMYFUNCTION("""COMPUTED_VALUE"""),"84KG")</f>
        <v>84KG</v>
      </c>
      <c r="T1093" s="1" t="str">
        <f>IFERROR(__xludf.DUMMYFUNCTION("""COMPUTED_VALUE"""),"Entre 1,76m e 1,80m")</f>
        <v>Entre 1,76m e 1,80m</v>
      </c>
      <c r="U1093" s="1" t="str">
        <f>IFERROR(__xludf.DUMMYFUNCTION("""COMPUTED_VALUE"""),"Não POSSUI")</f>
        <v>Não POSSUI</v>
      </c>
      <c r="V1093" s="1">
        <f>IFERROR(__xludf.DUMMYFUNCTION("""COMPUTED_VALUE"""),51992478630)</f>
        <v>51992478630</v>
      </c>
      <c r="W1093" s="1">
        <f>IFERROR(__xludf.DUMMYFUNCTION("""COMPUTED_VALUE"""),51998240499)</f>
        <v>51998240499</v>
      </c>
      <c r="X1093" s="1" t="str">
        <f>IFERROR(__xludf.DUMMYFUNCTION("""COMPUTED_VALUE"""),"RS")</f>
        <v>RS</v>
      </c>
      <c r="Y1093" s="1" t="str">
        <f>IFERROR(__xludf.DUMMYFUNCTION("""COMPUTED_VALUE"""),"Esteio")</f>
        <v>Esteio</v>
      </c>
      <c r="Z1093" s="1">
        <f>IFERROR(__xludf.DUMMYFUNCTION("""COMPUTED_VALUE"""),93265000)</f>
        <v>93265000</v>
      </c>
      <c r="AA1093" s="1" t="str">
        <f>IFERROR(__xludf.DUMMYFUNCTION("""COMPUTED_VALUE"""),"RIO GRANDE 2255 AP411")</f>
        <v>RIO GRANDE 2255 AP411</v>
      </c>
      <c r="AB1093" s="1" t="str">
        <f>IFERROR(__xludf.DUMMYFUNCTION("""COMPUTED_VALUE"""),"CENTRO")</f>
        <v>CENTRO</v>
      </c>
      <c r="AC1093" s="1" t="str">
        <f>IFERROR(__xludf.DUMMYFUNCTION("""COMPUTED_VALUE"""),"GG")</f>
        <v>GG</v>
      </c>
      <c r="AD1093" s="1" t="str">
        <f>IFERROR(__xludf.DUMMYFUNCTION("""COMPUTED_VALUE"""),"GG")</f>
        <v>GG</v>
      </c>
      <c r="AE1093" s="1" t="str">
        <f>IFERROR(__xludf.DUMMYFUNCTION("""COMPUTED_VALUE"""),"GG")</f>
        <v>GG</v>
      </c>
      <c r="AF1093" s="1" t="str">
        <f>IFERROR(__xludf.DUMMYFUNCTION("""COMPUTED_VALUE"""),"GG")</f>
        <v>GG</v>
      </c>
      <c r="AG1093" s="1" t="str">
        <f>IFERROR(__xludf.DUMMYFUNCTION("""COMPUTED_VALUE"""),"GG")</f>
        <v>GG</v>
      </c>
      <c r="AH1093" s="1">
        <f>IFERROR(__xludf.DUMMYFUNCTION("""COMPUTED_VALUE"""),41)</f>
        <v>41</v>
      </c>
      <c r="AI1093" s="1">
        <f>IFERROR(__xludf.DUMMYFUNCTION("""COMPUTED_VALUE"""),41)</f>
        <v>41</v>
      </c>
      <c r="AJ1093" s="1">
        <f>IFERROR(__xludf.DUMMYFUNCTION("""COMPUTED_VALUE"""),41)</f>
        <v>41</v>
      </c>
      <c r="AK1093" s="1">
        <f>IFERROR(__xludf.DUMMYFUNCTION("""COMPUTED_VALUE"""),41)</f>
        <v>41</v>
      </c>
      <c r="AL1093" s="1" t="str">
        <f>IFERROR(__xludf.DUMMYFUNCTION("""COMPUTED_VALUE"""),"GG")</f>
        <v>GG</v>
      </c>
      <c r="AM1093" s="1" t="str">
        <f>IFERROR(__xludf.DUMMYFUNCTION("""COMPUTED_VALUE"""),"GG")</f>
        <v>GG</v>
      </c>
      <c r="AN1093" s="1" t="str">
        <f>IFERROR(__xludf.DUMMYFUNCTION("""COMPUTED_VALUE"""),"G")</f>
        <v>G</v>
      </c>
    </row>
    <row r="1094" customHeight="1" spans="1:40">
      <c r="A1094" s="1" t="str">
        <f>IFERROR(__xludf.DUMMYFUNCTION("""COMPUTED_VALUE"""),"09° BBM")</f>
        <v>09° BBM</v>
      </c>
      <c r="B1094" s="1"/>
      <c r="C1094" s="119" t="str">
        <f>IFERROR(__xludf.DUMMYFUNCTION("""COMPUTED_VALUE"""),"Inativo")</f>
        <v>Inativo</v>
      </c>
      <c r="D1094" s="1" t="str">
        <f>IFERROR(__xludf.DUMMYFUNCTION("""COMPUTED_VALUE"""),"LUIZ ANTONIO PADILHA SCHARDOSim")</f>
        <v>LUIZ ANTONIO PADILHA SCHARDOSim</v>
      </c>
      <c r="E1094" s="119" t="str">
        <f>IFERROR(__xludf.DUMMYFUNCTION("""COMPUTED_VALUE"""),"")</f>
        <v/>
      </c>
      <c r="F1094" s="1" t="str">
        <f>IFERROR(__xludf.DUMMYFUNCTION("""COMPUTED_VALUE"""),"029.000.270-20")</f>
        <v>029.000.270-20</v>
      </c>
      <c r="G1094" s="1"/>
      <c r="H1094" s="1"/>
      <c r="I1094" s="1"/>
      <c r="J1094" s="1"/>
      <c r="K1094" s="1"/>
      <c r="L1094" s="1"/>
      <c r="M1094" s="1"/>
      <c r="N1094" s="120"/>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row>
    <row r="1095" customHeight="1" spans="1:40">
      <c r="A1095" s="1" t="str">
        <f>IFERROR(__xludf.DUMMYFUNCTION("""COMPUTED_VALUE"""),"09° BBM")</f>
        <v>09° BBM</v>
      </c>
      <c r="B1095" s="1" t="str">
        <f>IFERROR(__xludf.DUMMYFUNCTION("""COMPUTED_VALUE"""),"Balneário Pinhal")</f>
        <v>Balneário Pinhal</v>
      </c>
      <c r="C1095" s="119" t="str">
        <f>IFERROR(__xludf.DUMMYFUNCTION("""COMPUTED_VALUE"""),"CAB")</f>
        <v>CAB</v>
      </c>
      <c r="D1095" s="1" t="str">
        <f>IFERROR(__xludf.DUMMYFUNCTION("""COMPUTED_VALUE"""),"MARCELO BARCELO VALIM")</f>
        <v>MARCELO BARCELO VALIM</v>
      </c>
      <c r="E1095" s="119" t="str">
        <f>IFERROR(__xludf.DUMMYFUNCTION("""COMPUTED_VALUE"""),"")</f>
        <v/>
      </c>
      <c r="F1095" s="1" t="str">
        <f>IFERROR(__xludf.DUMMYFUNCTION("""COMPUTED_VALUE"""),"953151950-15")</f>
        <v>953151950-15</v>
      </c>
      <c r="G1095" s="1">
        <f>IFERROR(__xludf.DUMMYFUNCTION("""COMPUTED_VALUE"""),5066490938)</f>
        <v>5066490938</v>
      </c>
      <c r="H1095" s="1" t="str">
        <f>IFERROR(__xludf.DUMMYFUNCTION("""COMPUTED_VALUE"""),"SOCORRISTA")</f>
        <v>SOCORRISTA</v>
      </c>
      <c r="I1095" s="1" t="str">
        <f>IFERROR(__xludf.DUMMYFUNCTION("""COMPUTED_VALUE"""),"APH,BLS,CAT D e VEÍCULO DE EMERGÊNCIA;")</f>
        <v>APH,BLS,CAT D e VEÍCULO DE EMERGÊNCIA;</v>
      </c>
      <c r="J1095" s="1" t="str">
        <f>IFERROR(__xludf.DUMMYFUNCTION("""COMPUTED_VALUE"""),"Não")</f>
        <v>Não</v>
      </c>
      <c r="K1095" s="1" t="str">
        <f>IFERROR(__xludf.DUMMYFUNCTION("""COMPUTED_VALUE"""),"Não")</f>
        <v>Não</v>
      </c>
      <c r="L1095" s="1" t="str">
        <f>IFERROR(__xludf.DUMMYFUNCTION("""COMPUTED_VALUE"""),"B+")</f>
        <v>B+</v>
      </c>
      <c r="M1095" s="1" t="str">
        <f>IFERROR(__xludf.DUMMYFUNCTION("""COMPUTED_VALUE"""),"VALIM")</f>
        <v>VALIM</v>
      </c>
      <c r="N1095" s="120">
        <f>IFERROR(__xludf.DUMMYFUNCTION("""COMPUTED_VALUE"""),28809)</f>
        <v>28809</v>
      </c>
      <c r="O1095" s="1" t="str">
        <f>IFERROR(__xludf.DUMMYFUNCTION("""COMPUTED_VALUE"""),"Masculino")</f>
        <v>Masculino</v>
      </c>
      <c r="P1095" s="1" t="str">
        <f>IFERROR(__xludf.DUMMYFUNCTION("""COMPUTED_VALUE"""),"Branca")</f>
        <v>Branca</v>
      </c>
      <c r="Q1095" s="1" t="str">
        <f>IFERROR(__xludf.DUMMYFUNCTION("""COMPUTED_VALUE"""),"Ensino Médio")</f>
        <v>Ensino Médio</v>
      </c>
      <c r="R1095" s="1" t="str">
        <f>IFERROR(__xludf.DUMMYFUNCTION("""COMPUTED_VALUE"""),"MARCELOBVALIM@GMAIL.COM")</f>
        <v>MARCELOBVALIM@GMAIL.COM</v>
      </c>
      <c r="S1095" s="1" t="str">
        <f>IFERROR(__xludf.DUMMYFUNCTION("""COMPUTED_VALUE"""),"84KG")</f>
        <v>84KG</v>
      </c>
      <c r="T1095" s="1" t="str">
        <f>IFERROR(__xludf.DUMMYFUNCTION("""COMPUTED_VALUE"""),"Entre 1,76m e 1,80m")</f>
        <v>Entre 1,76m e 1,80m</v>
      </c>
      <c r="U1095" s="1" t="str">
        <f>IFERROR(__xludf.DUMMYFUNCTION("""COMPUTED_VALUE"""),"Não POSSUI")</f>
        <v>Não POSSUI</v>
      </c>
      <c r="V1095" s="1">
        <f>IFERROR(__xludf.DUMMYFUNCTION("""COMPUTED_VALUE"""),51995959499)</f>
        <v>51995959499</v>
      </c>
      <c r="W1095" s="1">
        <f>IFERROR(__xludf.DUMMYFUNCTION("""COMPUTED_VALUE"""),51992759048)</f>
        <v>51992759048</v>
      </c>
      <c r="X1095" s="1" t="str">
        <f>IFERROR(__xludf.DUMMYFUNCTION("""COMPUTED_VALUE"""),"RS")</f>
        <v>RS</v>
      </c>
      <c r="Y1095" s="1" t="str">
        <f>IFERROR(__xludf.DUMMYFUNCTION("""COMPUTED_VALUE"""),"Palmares do Sul")</f>
        <v>Palmares do Sul</v>
      </c>
      <c r="Z1095" s="1">
        <f>IFERROR(__xludf.DUMMYFUNCTION("""COMPUTED_VALUE"""),95540000)</f>
        <v>95540000</v>
      </c>
      <c r="AA1095" s="1" t="str">
        <f>IFERROR(__xludf.DUMMYFUNCTION("""COMPUTED_VALUE"""),"PADRE ANTONIO VIEIRA 589")</f>
        <v>PADRE ANTONIO VIEIRA 589</v>
      </c>
      <c r="AB1095" s="1" t="str">
        <f>IFERROR(__xludf.DUMMYFUNCTION("""COMPUTED_VALUE"""),"REI DO PEIXE")</f>
        <v>REI DO PEIXE</v>
      </c>
      <c r="AC1095" s="1" t="str">
        <f>IFERROR(__xludf.DUMMYFUNCTION("""COMPUTED_VALUE"""),"G")</f>
        <v>G</v>
      </c>
      <c r="AD1095" s="1" t="str">
        <f>IFERROR(__xludf.DUMMYFUNCTION("""COMPUTED_VALUE"""),"G")</f>
        <v>G</v>
      </c>
      <c r="AE1095" s="1" t="str">
        <f>IFERROR(__xludf.DUMMYFUNCTION("""COMPUTED_VALUE"""),"G")</f>
        <v>G</v>
      </c>
      <c r="AF1095" s="1" t="str">
        <f>IFERROR(__xludf.DUMMYFUNCTION("""COMPUTED_VALUE"""),"G")</f>
        <v>G</v>
      </c>
      <c r="AG1095" s="1" t="str">
        <f>IFERROR(__xludf.DUMMYFUNCTION("""COMPUTED_VALUE"""),"G")</f>
        <v>G</v>
      </c>
      <c r="AH1095" s="1">
        <f>IFERROR(__xludf.DUMMYFUNCTION("""COMPUTED_VALUE"""),41)</f>
        <v>41</v>
      </c>
      <c r="AI1095" s="1">
        <f>IFERROR(__xludf.DUMMYFUNCTION("""COMPUTED_VALUE"""),41)</f>
        <v>41</v>
      </c>
      <c r="AJ1095" s="1">
        <f>IFERROR(__xludf.DUMMYFUNCTION("""COMPUTED_VALUE"""),41)</f>
        <v>41</v>
      </c>
      <c r="AK1095" s="1">
        <f>IFERROR(__xludf.DUMMYFUNCTION("""COMPUTED_VALUE"""),41)</f>
        <v>41</v>
      </c>
      <c r="AL1095" s="1" t="str">
        <f>IFERROR(__xludf.DUMMYFUNCTION("""COMPUTED_VALUE"""),"G")</f>
        <v>G</v>
      </c>
      <c r="AM1095" s="1" t="str">
        <f>IFERROR(__xludf.DUMMYFUNCTION("""COMPUTED_VALUE"""),"G")</f>
        <v>G</v>
      </c>
      <c r="AN1095" s="1" t="str">
        <f>IFERROR(__xludf.DUMMYFUNCTION("""COMPUTED_VALUE"""),"M")</f>
        <v>M</v>
      </c>
    </row>
    <row r="1096" customHeight="1" spans="1:40">
      <c r="A1096" s="1" t="str">
        <f>IFERROR(__xludf.DUMMYFUNCTION("""COMPUTED_VALUE"""),"09° BBM")</f>
        <v>09° BBM</v>
      </c>
      <c r="B1096" s="1" t="str">
        <f>IFERROR(__xludf.DUMMYFUNCTION("""COMPUTED_VALUE"""),"Balneário Pinhal")</f>
        <v>Balneário Pinhal</v>
      </c>
      <c r="C1096" s="119" t="str">
        <f>IFERROR(__xludf.DUMMYFUNCTION("""COMPUTED_VALUE"""),"CAB")</f>
        <v>CAB</v>
      </c>
      <c r="D1096" s="1" t="str">
        <f>IFERROR(__xludf.DUMMYFUNCTION("""COMPUTED_VALUE"""),"MARCIANE DE SOUZA")</f>
        <v>MARCIANE DE SOUZA</v>
      </c>
      <c r="E1096" s="119" t="str">
        <f>IFERROR(__xludf.DUMMYFUNCTION("""COMPUTED_VALUE"""),"Módulo 1 concluído")</f>
        <v>Módulo 1 concluído</v>
      </c>
      <c r="F1096" s="1" t="str">
        <f>IFERROR(__xludf.DUMMYFUNCTION("""COMPUTED_VALUE"""),"982.969.060-15")</f>
        <v>982.969.060-15</v>
      </c>
      <c r="G1096" s="1">
        <f>IFERROR(__xludf.DUMMYFUNCTION("""COMPUTED_VALUE"""),1083740488)</f>
        <v>1083740488</v>
      </c>
      <c r="H1096" s="1" t="str">
        <f>IFERROR(__xludf.DUMMYFUNCTION("""COMPUTED_VALUE"""),"COMBATENTE")</f>
        <v>COMBATENTE</v>
      </c>
      <c r="I1096" s="1" t="str">
        <f>IFERROR(__xludf.DUMMYFUNCTION("""COMPUTED_VALUE"""),"APH; BLS; TÉCNICO DE ENFERMAGEM; REAGATE VEICULAR; BOMBEIRO CIVIL CLASSE I")</f>
        <v>APH; BLS; TÉCNICO DE ENFERMAGEM; REAGATE VEICULAR; BOMBEIRO CIVIL CLASSE I</v>
      </c>
      <c r="J1096" s="1" t="str">
        <f>IFERROR(__xludf.DUMMYFUNCTION("""COMPUTED_VALUE"""),"Sim")</f>
        <v>Sim</v>
      </c>
      <c r="K1096" s="1" t="str">
        <f>IFERROR(__xludf.DUMMYFUNCTION("""COMPUTED_VALUE"""),"Não")</f>
        <v>Não</v>
      </c>
      <c r="L1096" s="1" t="str">
        <f>IFERROR(__xludf.DUMMYFUNCTION("""COMPUTED_VALUE"""),"A+")</f>
        <v>A+</v>
      </c>
      <c r="M1096" s="1" t="str">
        <f>IFERROR(__xludf.DUMMYFUNCTION("""COMPUTED_VALUE"""),"MARCIANE")</f>
        <v>MARCIANE</v>
      </c>
      <c r="N1096" s="120">
        <f>IFERROR(__xludf.DUMMYFUNCTION("""COMPUTED_VALUE"""),29302)</f>
        <v>29302</v>
      </c>
      <c r="O1096" s="1" t="str">
        <f>IFERROR(__xludf.DUMMYFUNCTION("""COMPUTED_VALUE"""),"Masculino")</f>
        <v>Masculino</v>
      </c>
      <c r="P1096" s="1" t="str">
        <f>IFERROR(__xludf.DUMMYFUNCTION("""COMPUTED_VALUE"""),"Branca")</f>
        <v>Branca</v>
      </c>
      <c r="Q1096" s="1" t="str">
        <f>IFERROR(__xludf.DUMMYFUNCTION("""COMPUTED_VALUE"""),"Ensino Superior Incompleto")</f>
        <v>Ensino Superior Incompleto</v>
      </c>
      <c r="R1096" s="1" t="str">
        <f>IFERROR(__xludf.DUMMYFUNCTION("""COMPUTED_VALUE"""),"MARCIANEACS@GMAIL.COM")</f>
        <v>MARCIANEACS@GMAIL.COM</v>
      </c>
      <c r="S1096" s="1" t="str">
        <f>IFERROR(__xludf.DUMMYFUNCTION("""COMPUTED_VALUE"""),"84KG")</f>
        <v>84KG</v>
      </c>
      <c r="T1096" s="1" t="str">
        <f>IFERROR(__xludf.DUMMYFUNCTION("""COMPUTED_VALUE"""),"Entre 1,56m e 1,60m")</f>
        <v>Entre 1,56m e 1,60m</v>
      </c>
      <c r="U1096" s="1" t="str">
        <f>IFERROR(__xludf.DUMMYFUNCTION("""COMPUTED_VALUE"""),"Não POSSUI")</f>
        <v>Não POSSUI</v>
      </c>
      <c r="V1096" s="1">
        <f>IFERROR(__xludf.DUMMYFUNCTION("""COMPUTED_VALUE"""),51998271328)</f>
        <v>51998271328</v>
      </c>
      <c r="W1096" s="1">
        <f>IFERROR(__xludf.DUMMYFUNCTION("""COMPUTED_VALUE"""),51995942264)</f>
        <v>51995942264</v>
      </c>
      <c r="X1096" s="1" t="str">
        <f>IFERROR(__xludf.DUMMYFUNCTION("""COMPUTED_VALUE"""),"RS")</f>
        <v>RS</v>
      </c>
      <c r="Y1096" s="1" t="str">
        <f>IFERROR(__xludf.DUMMYFUNCTION("""COMPUTED_VALUE"""),"Balneário Pinhal")</f>
        <v>Balneário Pinhal</v>
      </c>
      <c r="Z1096" s="1">
        <f>IFERROR(__xludf.DUMMYFUNCTION("""COMPUTED_VALUE"""),95599000)</f>
        <v>95599000</v>
      </c>
      <c r="AA1096" s="1" t="str">
        <f>IFERROR(__xludf.DUMMYFUNCTION("""COMPUTED_VALUE"""),"JOSÉ ORLANDO DE FREITAS 1575")</f>
        <v>JOSÉ ORLANDO DE FREITAS 1575</v>
      </c>
      <c r="AB1096" s="1" t="str">
        <f>IFERROR(__xludf.DUMMYFUNCTION("""COMPUTED_VALUE"""),"CENTRO")</f>
        <v>CENTRO</v>
      </c>
      <c r="AC1096" s="1" t="str">
        <f>IFERROR(__xludf.DUMMYFUNCTION("""COMPUTED_VALUE"""),"G")</f>
        <v>G</v>
      </c>
      <c r="AD1096" s="1" t="str">
        <f>IFERROR(__xludf.DUMMYFUNCTION("""COMPUTED_VALUE"""),"G")</f>
        <v>G</v>
      </c>
      <c r="AE1096" s="1" t="str">
        <f>IFERROR(__xludf.DUMMYFUNCTION("""COMPUTED_VALUE"""),"G")</f>
        <v>G</v>
      </c>
      <c r="AF1096" s="1" t="str">
        <f>IFERROR(__xludf.DUMMYFUNCTION("""COMPUTED_VALUE"""),"G")</f>
        <v>G</v>
      </c>
      <c r="AG1096" s="1" t="str">
        <f>IFERROR(__xludf.DUMMYFUNCTION("""COMPUTED_VALUE"""),"G")</f>
        <v>G</v>
      </c>
      <c r="AH1096" s="1">
        <f>IFERROR(__xludf.DUMMYFUNCTION("""COMPUTED_VALUE"""),37)</f>
        <v>37</v>
      </c>
      <c r="AI1096" s="1">
        <f>IFERROR(__xludf.DUMMYFUNCTION("""COMPUTED_VALUE"""),37)</f>
        <v>37</v>
      </c>
      <c r="AJ1096" s="1">
        <f>IFERROR(__xludf.DUMMYFUNCTION("""COMPUTED_VALUE"""),37)</f>
        <v>37</v>
      </c>
      <c r="AK1096" s="1">
        <f>IFERROR(__xludf.DUMMYFUNCTION("""COMPUTED_VALUE"""),37)</f>
        <v>37</v>
      </c>
      <c r="AL1096" s="1" t="str">
        <f>IFERROR(__xludf.DUMMYFUNCTION("""COMPUTED_VALUE"""),"G")</f>
        <v>G</v>
      </c>
      <c r="AM1096" s="1" t="str">
        <f>IFERROR(__xludf.DUMMYFUNCTION("""COMPUTED_VALUE"""),"G")</f>
        <v>G</v>
      </c>
      <c r="AN1096" s="1" t="str">
        <f>IFERROR(__xludf.DUMMYFUNCTION("""COMPUTED_VALUE"""),"M")</f>
        <v>M</v>
      </c>
    </row>
    <row r="1097" customHeight="1" spans="1:40">
      <c r="A1097" s="1" t="str">
        <f>IFERROR(__xludf.DUMMYFUNCTION("""COMPUTED_VALUE"""),"09° BBM")</f>
        <v>09° BBM</v>
      </c>
      <c r="B1097" s="1" t="str">
        <f>IFERROR(__xludf.DUMMYFUNCTION("""COMPUTED_VALUE"""),"Balneário Pinhal")</f>
        <v>Balneário Pinhal</v>
      </c>
      <c r="C1097" s="119" t="str">
        <f>IFERROR(__xludf.DUMMYFUNCTION("""COMPUTED_VALUE"""),"CAB")</f>
        <v>CAB</v>
      </c>
      <c r="D1097" s="1" t="str">
        <f>IFERROR(__xludf.DUMMYFUNCTION("""COMPUTED_VALUE"""),"MARCOS VINICIUS PIRES DA SILVA")</f>
        <v>MARCOS VINICIUS PIRES DA SILVA</v>
      </c>
      <c r="E1097" s="119" t="str">
        <f>IFERROR(__xludf.DUMMYFUNCTION("""COMPUTED_VALUE"""),"Módulo 1 concluído")</f>
        <v>Módulo 1 concluído</v>
      </c>
      <c r="F1097" s="1" t="str">
        <f>IFERROR(__xludf.DUMMYFUNCTION("""COMPUTED_VALUE"""),"013.487.590-70")</f>
        <v>013.487.590-70</v>
      </c>
      <c r="G1097" s="1">
        <f>IFERROR(__xludf.DUMMYFUNCTION("""COMPUTED_VALUE"""),7085362791)</f>
        <v>7085362791</v>
      </c>
      <c r="H1097" s="1" t="str">
        <f>IFERROR(__xludf.DUMMYFUNCTION("""COMPUTED_VALUE"""),"CONDUTOR D")</f>
        <v>CONDUTOR D</v>
      </c>
      <c r="I1097" s="1" t="str">
        <f>IFERROR(__xludf.DUMMYFUNCTION("""COMPUTED_VALUE"""),"APH; BLS; TECNÓLOGO SEGURANÇA DO TRABALHO; CAT D e VEÍCULO DE EMERGÊNCIA; BOMBEIRO CIVIL CLASSE I")</f>
        <v>APH; BLS; TECNÓLOGO SEGURANÇA DO TRABALHO; CAT D e VEÍCULO DE EMERGÊNCIA; BOMBEIRO CIVIL CLASSE I</v>
      </c>
      <c r="J1097" s="1" t="str">
        <f>IFERROR(__xludf.DUMMYFUNCTION("""COMPUTED_VALUE"""),"Não")</f>
        <v>Não</v>
      </c>
      <c r="K1097" s="1" t="str">
        <f>IFERROR(__xludf.DUMMYFUNCTION("""COMPUTED_VALUE"""),"Não")</f>
        <v>Não</v>
      </c>
      <c r="L1097" s="1" t="str">
        <f>IFERROR(__xludf.DUMMYFUNCTION("""COMPUTED_VALUE"""),"O+")</f>
        <v>O+</v>
      </c>
      <c r="M1097" s="1" t="str">
        <f>IFERROR(__xludf.DUMMYFUNCTION("""COMPUTED_VALUE"""),"MARCOS")</f>
        <v>MARCOS</v>
      </c>
      <c r="N1097" s="120">
        <f>IFERROR(__xludf.DUMMYFUNCTION("""COMPUTED_VALUE"""),31176)</f>
        <v>31176</v>
      </c>
      <c r="O1097" s="1" t="str">
        <f>IFERROR(__xludf.DUMMYFUNCTION("""COMPUTED_VALUE"""),"Masculino")</f>
        <v>Masculino</v>
      </c>
      <c r="P1097" s="1" t="str">
        <f>IFERROR(__xludf.DUMMYFUNCTION("""COMPUTED_VALUE"""),"Branca")</f>
        <v>Branca</v>
      </c>
      <c r="Q1097" s="1" t="str">
        <f>IFERROR(__xludf.DUMMYFUNCTION("""COMPUTED_VALUE"""),"Ensino Superior Completo")</f>
        <v>Ensino Superior Completo</v>
      </c>
      <c r="R1097" s="1" t="str">
        <f>IFERROR(__xludf.DUMMYFUNCTION("""COMPUTED_VALUE"""),"MARCOSVINIPIRES@HOTMAIL")</f>
        <v>MARCOSVINIPIRES@HOTMAIL</v>
      </c>
      <c r="S1097" s="1" t="str">
        <f>IFERROR(__xludf.DUMMYFUNCTION("""COMPUTED_VALUE"""),"84KG")</f>
        <v>84KG</v>
      </c>
      <c r="T1097" s="1" t="str">
        <f>IFERROR(__xludf.DUMMYFUNCTION("""COMPUTED_VALUE"""),"Entre 1,61m e 1,65m")</f>
        <v>Entre 1,61m e 1,65m</v>
      </c>
      <c r="U1097" s="1" t="str">
        <f>IFERROR(__xludf.DUMMYFUNCTION("""COMPUTED_VALUE"""),"Não POSSUI")</f>
        <v>Não POSSUI</v>
      </c>
      <c r="V1097" s="1" t="str">
        <f>IFERROR(__xludf.DUMMYFUNCTION("""COMPUTED_VALUE"""),"51 999127493")</f>
        <v>51 999127493</v>
      </c>
      <c r="W1097" s="1" t="str">
        <f>IFERROR(__xludf.DUMMYFUNCTION("""COMPUTED_VALUE"""),"51 996952385")</f>
        <v>51 996952385</v>
      </c>
      <c r="X1097" s="1" t="str">
        <f>IFERROR(__xludf.DUMMYFUNCTION("""COMPUTED_VALUE"""),"RS")</f>
        <v>RS</v>
      </c>
      <c r="Y1097" s="1" t="str">
        <f>IFERROR(__xludf.DUMMYFUNCTION("""COMPUTED_VALUE"""),"Balneário Pinhal")</f>
        <v>Balneário Pinhal</v>
      </c>
      <c r="Z1097" s="1">
        <f>IFERROR(__xludf.DUMMYFUNCTION("""COMPUTED_VALUE"""),95599000)</f>
        <v>95599000</v>
      </c>
      <c r="AA1097" s="1" t="str">
        <f>IFERROR(__xludf.DUMMYFUNCTION("""COMPUTED_VALUE"""),"BEZERRA DE MENEZES 994")</f>
        <v>BEZERRA DE MENEZES 994</v>
      </c>
      <c r="AB1097" s="1" t="str">
        <f>IFERROR(__xludf.DUMMYFUNCTION("""COMPUTED_VALUE"""),"CENTRO")</f>
        <v>CENTRO</v>
      </c>
      <c r="AC1097" s="1" t="str">
        <f>IFERROR(__xludf.DUMMYFUNCTION("""COMPUTED_VALUE"""),"G")</f>
        <v>G</v>
      </c>
      <c r="AD1097" s="1" t="str">
        <f>IFERROR(__xludf.DUMMYFUNCTION("""COMPUTED_VALUE"""),"G")</f>
        <v>G</v>
      </c>
      <c r="AE1097" s="1" t="str">
        <f>IFERROR(__xludf.DUMMYFUNCTION("""COMPUTED_VALUE"""),"G")</f>
        <v>G</v>
      </c>
      <c r="AF1097" s="1" t="str">
        <f>IFERROR(__xludf.DUMMYFUNCTION("""COMPUTED_VALUE"""),"G")</f>
        <v>G</v>
      </c>
      <c r="AG1097" s="1" t="str">
        <f>IFERROR(__xludf.DUMMYFUNCTION("""COMPUTED_VALUE"""),"G")</f>
        <v>G</v>
      </c>
      <c r="AH1097" s="1">
        <f>IFERROR(__xludf.DUMMYFUNCTION("""COMPUTED_VALUE"""),39)</f>
        <v>39</v>
      </c>
      <c r="AI1097" s="1">
        <f>IFERROR(__xludf.DUMMYFUNCTION("""COMPUTED_VALUE"""),39)</f>
        <v>39</v>
      </c>
      <c r="AJ1097" s="1">
        <f>IFERROR(__xludf.DUMMYFUNCTION("""COMPUTED_VALUE"""),39)</f>
        <v>39</v>
      </c>
      <c r="AK1097" s="1">
        <f>IFERROR(__xludf.DUMMYFUNCTION("""COMPUTED_VALUE"""),39)</f>
        <v>39</v>
      </c>
      <c r="AL1097" s="1" t="str">
        <f>IFERROR(__xludf.DUMMYFUNCTION("""COMPUTED_VALUE"""),"G")</f>
        <v>G</v>
      </c>
      <c r="AM1097" s="1" t="str">
        <f>IFERROR(__xludf.DUMMYFUNCTION("""COMPUTED_VALUE"""),"G")</f>
        <v>G</v>
      </c>
      <c r="AN1097" s="1" t="str">
        <f>IFERROR(__xludf.DUMMYFUNCTION("""COMPUTED_VALUE"""),"G")</f>
        <v>G</v>
      </c>
    </row>
    <row r="1098" customHeight="1" spans="1:40">
      <c r="A1098" s="1" t="str">
        <f>IFERROR(__xludf.DUMMYFUNCTION("""COMPUTED_VALUE"""),"09° BBM")</f>
        <v>09° BBM</v>
      </c>
      <c r="B1098" s="1" t="str">
        <f>IFERROR(__xludf.DUMMYFUNCTION("""COMPUTED_VALUE"""),"Balneário Pinhal")</f>
        <v>Balneário Pinhal</v>
      </c>
      <c r="C1098" s="119" t="str">
        <f>IFERROR(__xludf.DUMMYFUNCTION("""COMPUTED_VALUE"""),"CAB")</f>
        <v>CAB</v>
      </c>
      <c r="D1098" s="1" t="str">
        <f>IFERROR(__xludf.DUMMYFUNCTION("""COMPUTED_VALUE"""),"MARIA CRISTINE GOTTARDI")</f>
        <v>MARIA CRISTINE GOTTARDI</v>
      </c>
      <c r="E1098" s="119" t="str">
        <f>IFERROR(__xludf.DUMMYFUNCTION("""COMPUTED_VALUE"""),"Curso CAB operador concluído")</f>
        <v>Curso CAB operador concluído</v>
      </c>
      <c r="F1098" s="1" t="str">
        <f>IFERROR(__xludf.DUMMYFUNCTION("""COMPUTED_VALUE"""),"009.154.190-50")</f>
        <v>009.154.190-50</v>
      </c>
      <c r="G1098" s="1">
        <f>IFERROR(__xludf.DUMMYFUNCTION("""COMPUTED_VALUE"""),4073278154)</f>
        <v>4073278154</v>
      </c>
      <c r="H1098" s="1" t="str">
        <f>IFERROR(__xludf.DUMMYFUNCTION("""COMPUTED_VALUE"""),"SOCORRISTA")</f>
        <v>SOCORRISTA</v>
      </c>
      <c r="I1098" s="1" t="str">
        <f>IFERROR(__xludf.DUMMYFUNCTION("""COMPUTED_VALUE"""),"APH e BLS; FISIOYERAPEUTA")</f>
        <v>APH e BLS; FISIOYERAPEUTA</v>
      </c>
      <c r="J1098" s="1" t="str">
        <f>IFERROR(__xludf.DUMMYFUNCTION("""COMPUTED_VALUE"""),"Não")</f>
        <v>Não</v>
      </c>
      <c r="K1098" s="1" t="str">
        <f>IFERROR(__xludf.DUMMYFUNCTION("""COMPUTED_VALUE"""),"Não")</f>
        <v>Não</v>
      </c>
      <c r="L1098" s="1" t="str">
        <f>IFERROR(__xludf.DUMMYFUNCTION("""COMPUTED_VALUE"""),"A+")</f>
        <v>A+</v>
      </c>
      <c r="M1098" s="1" t="str">
        <f>IFERROR(__xludf.DUMMYFUNCTION("""COMPUTED_VALUE"""),"GOTTARDI")</f>
        <v>GOTTARDI</v>
      </c>
      <c r="N1098" s="120">
        <f>IFERROR(__xludf.DUMMYFUNCTION("""COMPUTED_VALUE"""),31810)</f>
        <v>31810</v>
      </c>
      <c r="O1098" s="1" t="str">
        <f>IFERROR(__xludf.DUMMYFUNCTION("""COMPUTED_VALUE"""),"Feminino")</f>
        <v>Feminino</v>
      </c>
      <c r="P1098" s="1" t="str">
        <f>IFERROR(__xludf.DUMMYFUNCTION("""COMPUTED_VALUE"""),"Branca")</f>
        <v>Branca</v>
      </c>
      <c r="Q1098" s="1" t="str">
        <f>IFERROR(__xludf.DUMMYFUNCTION("""COMPUTED_VALUE"""),"Ensino Superior Completo")</f>
        <v>Ensino Superior Completo</v>
      </c>
      <c r="R1098" s="1" t="str">
        <f>IFERROR(__xludf.DUMMYFUNCTION("""COMPUTED_VALUE"""),"MCGOTTARDI@GMAIL.COM")</f>
        <v>MCGOTTARDI@GMAIL.COM</v>
      </c>
      <c r="S1098" s="1" t="str">
        <f>IFERROR(__xludf.DUMMYFUNCTION("""COMPUTED_VALUE"""),"84KG")</f>
        <v>84KG</v>
      </c>
      <c r="T1098" s="1" t="str">
        <f>IFERROR(__xludf.DUMMYFUNCTION("""COMPUTED_VALUE"""),"Entre 1,56m e 1,60m")</f>
        <v>Entre 1,56m e 1,60m</v>
      </c>
      <c r="U1098" s="1" t="str">
        <f>IFERROR(__xludf.DUMMYFUNCTION("""COMPUTED_VALUE"""),"Não POSSUI")</f>
        <v>Não POSSUI</v>
      </c>
      <c r="V1098" s="1">
        <f>IFERROR(__xludf.DUMMYFUNCTION("""COMPUTED_VALUE"""),51994304469)</f>
        <v>51994304469</v>
      </c>
      <c r="W1098" s="1" t="str">
        <f>IFERROR(__xludf.DUMMYFUNCTION("""COMPUTED_VALUE"""),"51 992159880")</f>
        <v>51 992159880</v>
      </c>
      <c r="X1098" s="1" t="str">
        <f>IFERROR(__xludf.DUMMYFUNCTION("""COMPUTED_VALUE"""),"RS")</f>
        <v>RS</v>
      </c>
      <c r="Y1098" s="1" t="str">
        <f>IFERROR(__xludf.DUMMYFUNCTION("""COMPUTED_VALUE"""),"Balneário Pinhal")</f>
        <v>Balneário Pinhal</v>
      </c>
      <c r="Z1098" s="1">
        <f>IFERROR(__xludf.DUMMYFUNCTION("""COMPUTED_VALUE"""),95599000)</f>
        <v>95599000</v>
      </c>
      <c r="AA1098" s="1" t="str">
        <f>IFERROR(__xludf.DUMMYFUNCTION("""COMPUTED_VALUE"""),"SANTIAGO 522")</f>
        <v>SANTIAGO 522</v>
      </c>
      <c r="AB1098" s="1" t="str">
        <f>IFERROR(__xludf.DUMMYFUNCTION("""COMPUTED_VALUE"""),"MAGISTÉRIO")</f>
        <v>MAGISTÉRIO</v>
      </c>
      <c r="AC1098" s="1" t="str">
        <f>IFERROR(__xludf.DUMMYFUNCTION("""COMPUTED_VALUE"""),"M")</f>
        <v>M</v>
      </c>
      <c r="AD1098" s="1" t="str">
        <f>IFERROR(__xludf.DUMMYFUNCTION("""COMPUTED_VALUE"""),"M")</f>
        <v>M</v>
      </c>
      <c r="AE1098" s="1" t="str">
        <f>IFERROR(__xludf.DUMMYFUNCTION("""COMPUTED_VALUE"""),"G")</f>
        <v>G</v>
      </c>
      <c r="AF1098" s="1" t="str">
        <f>IFERROR(__xludf.DUMMYFUNCTION("""COMPUTED_VALUE"""),"G")</f>
        <v>G</v>
      </c>
      <c r="AG1098" s="1" t="str">
        <f>IFERROR(__xludf.DUMMYFUNCTION("""COMPUTED_VALUE"""),"M")</f>
        <v>M</v>
      </c>
      <c r="AH1098" s="1">
        <f>IFERROR(__xludf.DUMMYFUNCTION("""COMPUTED_VALUE"""),36)</f>
        <v>36</v>
      </c>
      <c r="AI1098" s="1">
        <f>IFERROR(__xludf.DUMMYFUNCTION("""COMPUTED_VALUE"""),36)</f>
        <v>36</v>
      </c>
      <c r="AJ1098" s="1">
        <f>IFERROR(__xludf.DUMMYFUNCTION("""COMPUTED_VALUE"""),36)</f>
        <v>36</v>
      </c>
      <c r="AK1098" s="1">
        <f>IFERROR(__xludf.DUMMYFUNCTION("""COMPUTED_VALUE"""),36)</f>
        <v>36</v>
      </c>
      <c r="AL1098" s="1" t="str">
        <f>IFERROR(__xludf.DUMMYFUNCTION("""COMPUTED_VALUE"""),"M")</f>
        <v>M</v>
      </c>
      <c r="AM1098" s="1" t="str">
        <f>IFERROR(__xludf.DUMMYFUNCTION("""COMPUTED_VALUE"""),"P")</f>
        <v>P</v>
      </c>
      <c r="AN1098" s="1" t="str">
        <f>IFERROR(__xludf.DUMMYFUNCTION("""COMPUTED_VALUE"""),"M")</f>
        <v>M</v>
      </c>
    </row>
    <row r="1099" customHeight="1" spans="1:40">
      <c r="A1099" s="1"/>
      <c r="B1099" s="1"/>
      <c r="C1099" s="119"/>
      <c r="D1099" s="1" t="str">
        <f>IFERROR(__xludf.DUMMYFUNCTION("""COMPUTED_VALUE"""),"MATEUS MIRANDA DA SILVA")</f>
        <v>MATEUS MIRANDA DA SILVA</v>
      </c>
      <c r="E1099" s="1" t="str">
        <f>IFERROR(__xludf.DUMMYFUNCTION("""COMPUTED_VALUE"""),"Módulo 1 concluído")</f>
        <v>Módulo 1 concluído</v>
      </c>
      <c r="F1099" s="1" t="str">
        <f>IFERROR(__xludf.DUMMYFUNCTION("""COMPUTED_VALUE"""),"097160809-13")</f>
        <v>097160809-13</v>
      </c>
      <c r="G1099" s="1"/>
      <c r="H1099" s="1"/>
      <c r="I1099" s="1"/>
      <c r="J1099" s="1"/>
      <c r="K1099" s="1"/>
      <c r="L1099" s="1"/>
      <c r="M1099" s="1"/>
      <c r="N1099" s="120"/>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row>
    <row r="1100" customHeight="1" spans="1:40">
      <c r="A1100" s="1"/>
      <c r="B1100" s="1"/>
      <c r="C1100" s="119"/>
      <c r="D1100" s="1" t="str">
        <f>IFERROR(__xludf.DUMMYFUNCTION("""COMPUTED_VALUE"""),"MATHEUS FERREIRA MAGNI")</f>
        <v>MATHEUS FERREIRA MAGNI</v>
      </c>
      <c r="E1100" s="1" t="str">
        <f>IFERROR(__xludf.DUMMYFUNCTION("""COMPUTED_VALUE"""),"Módulo 1 concluído")</f>
        <v>Módulo 1 concluído</v>
      </c>
      <c r="F1100" s="1" t="str">
        <f>IFERROR(__xludf.DUMMYFUNCTION("""COMPUTED_VALUE"""),"046529060-48")</f>
        <v>046529060-48</v>
      </c>
      <c r="G1100" s="1"/>
      <c r="H1100" s="1"/>
      <c r="I1100" s="1"/>
      <c r="J1100" s="1"/>
      <c r="K1100" s="1"/>
      <c r="L1100" s="1"/>
      <c r="M1100" s="1"/>
      <c r="N1100" s="120"/>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row>
    <row r="1101" customHeight="1" spans="1:40">
      <c r="A1101" s="1" t="str">
        <f>IFERROR(__xludf.DUMMYFUNCTION("""COMPUTED_VALUE"""),"09° BBM")</f>
        <v>09° BBM</v>
      </c>
      <c r="B1101" s="1" t="str">
        <f>IFERROR(__xludf.DUMMYFUNCTION("""COMPUTED_VALUE"""),"Balneário Pinhal")</f>
        <v>Balneário Pinhal</v>
      </c>
      <c r="C1101" s="119" t="str">
        <f>IFERROR(__xludf.DUMMYFUNCTION("""COMPUTED_VALUE"""),"CAB")</f>
        <v>CAB</v>
      </c>
      <c r="D1101" s="1" t="str">
        <f>IFERROR(__xludf.DUMMYFUNCTION("""COMPUTED_VALUE"""),"MAURICIO TATSCH PINHEIRO")</f>
        <v>MAURICIO TATSCH PINHEIRO</v>
      </c>
      <c r="E1101" s="119" t="str">
        <f>IFERROR(__xludf.DUMMYFUNCTION("""COMPUTED_VALUE"""),"Módulo 1 concluído")</f>
        <v>Módulo 1 concluído</v>
      </c>
      <c r="F1101" s="1" t="str">
        <f>IFERROR(__xludf.DUMMYFUNCTION("""COMPUTED_VALUE"""),"015.365.790-17")</f>
        <v>015.365.790-17</v>
      </c>
      <c r="G1101" s="1">
        <f>IFERROR(__xludf.DUMMYFUNCTION("""COMPUTED_VALUE"""),1095728182)</f>
        <v>1095728182</v>
      </c>
      <c r="H1101" s="1" t="str">
        <f>IFERROR(__xludf.DUMMYFUNCTION("""COMPUTED_VALUE"""),"COMBATENTE")</f>
        <v>COMBATENTE</v>
      </c>
      <c r="I1101" s="1" t="str">
        <f>IFERROR(__xludf.DUMMYFUNCTION("""COMPUTED_VALUE"""),"APH e BLS; BOMBEIRO CIVIL CLASSE I")</f>
        <v>APH e BLS; BOMBEIRO CIVIL CLASSE I</v>
      </c>
      <c r="J1101" s="1" t="str">
        <f>IFERROR(__xludf.DUMMYFUNCTION("""COMPUTED_VALUE"""),"Não")</f>
        <v>Não</v>
      </c>
      <c r="K1101" s="1" t="str">
        <f>IFERROR(__xludf.DUMMYFUNCTION("""COMPUTED_VALUE"""),"Não")</f>
        <v>Não</v>
      </c>
      <c r="L1101" s="1"/>
      <c r="M1101" s="1" t="str">
        <f>IFERROR(__xludf.DUMMYFUNCTION("""COMPUTED_VALUE"""),"TATSCH")</f>
        <v>TATSCH</v>
      </c>
      <c r="N1101" s="120">
        <f>IFERROR(__xludf.DUMMYFUNCTION("""COMPUTED_VALUE"""),32535)</f>
        <v>32535</v>
      </c>
      <c r="O1101" s="1" t="str">
        <f>IFERROR(__xludf.DUMMYFUNCTION("""COMPUTED_VALUE"""),"Masculino")</f>
        <v>Masculino</v>
      </c>
      <c r="P1101" s="1" t="str">
        <f>IFERROR(__xludf.DUMMYFUNCTION("""COMPUTED_VALUE"""),"Branca")</f>
        <v>Branca</v>
      </c>
      <c r="Q1101" s="1" t="str">
        <f>IFERROR(__xludf.DUMMYFUNCTION("""COMPUTED_VALUE"""),"Ensino Médio")</f>
        <v>Ensino Médio</v>
      </c>
      <c r="R1101" s="1" t="str">
        <f>IFERROR(__xludf.DUMMYFUNCTION("""COMPUTED_VALUE"""),"MAURICIOPINHEIRO2701@GMAIL.COM")</f>
        <v>MAURICIOPINHEIRO2701@GMAIL.COM</v>
      </c>
      <c r="S1101" s="1" t="str">
        <f>IFERROR(__xludf.DUMMYFUNCTION("""COMPUTED_VALUE"""),"84KG")</f>
        <v>84KG</v>
      </c>
      <c r="T1101" s="1" t="str">
        <f>IFERROR(__xludf.DUMMYFUNCTION("""COMPUTED_VALUE"""),"Entre 1,71m e 1,75m")</f>
        <v>Entre 1,71m e 1,75m</v>
      </c>
      <c r="U1101" s="1" t="str">
        <f>IFERROR(__xludf.DUMMYFUNCTION("""COMPUTED_VALUE"""),"Não POSSUI")</f>
        <v>Não POSSUI</v>
      </c>
      <c r="V1101" s="1" t="str">
        <f>IFERROR(__xludf.DUMMYFUNCTION("""COMPUTED_VALUE"""),"51 994151631")</f>
        <v>51 994151631</v>
      </c>
      <c r="W1101" s="1" t="str">
        <f>IFERROR(__xludf.DUMMYFUNCTION("""COMPUTED_VALUE"""),"51 999295098")</f>
        <v>51 999295098</v>
      </c>
      <c r="X1101" s="1" t="str">
        <f>IFERROR(__xludf.DUMMYFUNCTION("""COMPUTED_VALUE"""),"RS")</f>
        <v>RS</v>
      </c>
      <c r="Y1101" s="1" t="str">
        <f>IFERROR(__xludf.DUMMYFUNCTION("""COMPUTED_VALUE"""),"Balneário Pinhal")</f>
        <v>Balneário Pinhal</v>
      </c>
      <c r="Z1101" s="1">
        <f>IFERROR(__xludf.DUMMYFUNCTION("""COMPUTED_VALUE"""),95599000)</f>
        <v>95599000</v>
      </c>
      <c r="AA1101" s="1" t="str">
        <f>IFERROR(__xludf.DUMMYFUNCTION("""COMPUTED_VALUE"""),"OPERARIOS ")</f>
        <v>OPERARIOS </v>
      </c>
      <c r="AB1101" s="1" t="str">
        <f>IFERROR(__xludf.DUMMYFUNCTION("""COMPUTED_VALUE"""),"TUNEL VERDE")</f>
        <v>TUNEL VERDE</v>
      </c>
      <c r="AC1101" s="1" t="str">
        <f>IFERROR(__xludf.DUMMYFUNCTION("""COMPUTED_VALUE"""),"EXG")</f>
        <v>EXG</v>
      </c>
      <c r="AD1101" s="1" t="str">
        <f>IFERROR(__xludf.DUMMYFUNCTION("""COMPUTED_VALUE"""),"EXG")</f>
        <v>EXG</v>
      </c>
      <c r="AE1101" s="1" t="str">
        <f>IFERROR(__xludf.DUMMYFUNCTION("""COMPUTED_VALUE"""),"EXG")</f>
        <v>EXG</v>
      </c>
      <c r="AF1101" s="1" t="str">
        <f>IFERROR(__xludf.DUMMYFUNCTION("""COMPUTED_VALUE"""),"EXG")</f>
        <v>EXG</v>
      </c>
      <c r="AG1101" s="1" t="str">
        <f>IFERROR(__xludf.DUMMYFUNCTION("""COMPUTED_VALUE"""),"EXG")</f>
        <v>EXG</v>
      </c>
      <c r="AH1101" s="1">
        <f>IFERROR(__xludf.DUMMYFUNCTION("""COMPUTED_VALUE"""),40)</f>
        <v>40</v>
      </c>
      <c r="AI1101" s="1">
        <f>IFERROR(__xludf.DUMMYFUNCTION("""COMPUTED_VALUE"""),40)</f>
        <v>40</v>
      </c>
      <c r="AJ1101" s="1">
        <f>IFERROR(__xludf.DUMMYFUNCTION("""COMPUTED_VALUE"""),40)</f>
        <v>40</v>
      </c>
      <c r="AK1101" s="1">
        <f>IFERROR(__xludf.DUMMYFUNCTION("""COMPUTED_VALUE"""),41)</f>
        <v>41</v>
      </c>
      <c r="AL1101" s="1" t="str">
        <f>IFERROR(__xludf.DUMMYFUNCTION("""COMPUTED_VALUE"""),"EXG")</f>
        <v>EXG</v>
      </c>
      <c r="AM1101" s="1" t="str">
        <f>IFERROR(__xludf.DUMMYFUNCTION("""COMPUTED_VALUE"""),"EXG")</f>
        <v>EXG</v>
      </c>
      <c r="AN1101" s="1" t="str">
        <f>IFERROR(__xludf.DUMMYFUNCTION("""COMPUTED_VALUE"""),"G")</f>
        <v>G</v>
      </c>
    </row>
    <row r="1102" customHeight="1" spans="1:40">
      <c r="A1102" s="1" t="str">
        <f>IFERROR(__xludf.DUMMYFUNCTION("""COMPUTED_VALUE"""),"09° BBM")</f>
        <v>09° BBM</v>
      </c>
      <c r="B1102" s="1" t="str">
        <f>IFERROR(__xludf.DUMMYFUNCTION("""COMPUTED_VALUE"""),"Balneário Pinhal")</f>
        <v>Balneário Pinhal</v>
      </c>
      <c r="C1102" s="119" t="str">
        <f>IFERROR(__xludf.DUMMYFUNCTION("""COMPUTED_VALUE"""),"CAB")</f>
        <v>CAB</v>
      </c>
      <c r="D1102" s="1" t="str">
        <f>IFERROR(__xludf.DUMMYFUNCTION("""COMPUTED_VALUE"""),"MORGANA CHRISTINA MALLMANN")</f>
        <v>MORGANA CHRISTINA MALLMANN</v>
      </c>
      <c r="E1102" s="119" t="str">
        <f>IFERROR(__xludf.DUMMYFUNCTION("""COMPUTED_VALUE"""),"Módulo 1 concluído")</f>
        <v>Módulo 1 concluído</v>
      </c>
      <c r="F1102" s="1" t="str">
        <f>IFERROR(__xludf.DUMMYFUNCTION("""COMPUTED_VALUE"""),"017.335.450-50")</f>
        <v>017.335.450-50</v>
      </c>
      <c r="G1102" s="1">
        <f>IFERROR(__xludf.DUMMYFUNCTION("""COMPUTED_VALUE"""),3085581654)</f>
        <v>3085581654</v>
      </c>
      <c r="H1102" s="1" t="str">
        <f>IFERROR(__xludf.DUMMYFUNCTION("""COMPUTED_VALUE"""),"COMBATENTE")</f>
        <v>COMBATENTE</v>
      </c>
      <c r="I1102" s="1" t="str">
        <f>IFERROR(__xludf.DUMMYFUNCTION("""COMPUTED_VALUE"""),"APH e BLS")</f>
        <v>APH e BLS</v>
      </c>
      <c r="J1102" s="1" t="str">
        <f>IFERROR(__xludf.DUMMYFUNCTION("""COMPUTED_VALUE"""),"Não")</f>
        <v>Não</v>
      </c>
      <c r="K1102" s="1" t="str">
        <f>IFERROR(__xludf.DUMMYFUNCTION("""COMPUTED_VALUE"""),"Não")</f>
        <v>Não</v>
      </c>
      <c r="L1102" s="1" t="str">
        <f>IFERROR(__xludf.DUMMYFUNCTION("""COMPUTED_VALUE"""),"O-")</f>
        <v>O-</v>
      </c>
      <c r="M1102" s="1" t="str">
        <f>IFERROR(__xludf.DUMMYFUNCTION("""COMPUTED_VALUE"""),"MALLMANN")</f>
        <v>MALLMANN</v>
      </c>
      <c r="N1102" s="120">
        <f>IFERROR(__xludf.DUMMYFUNCTION("""COMPUTED_VALUE"""),32157)</f>
        <v>32157</v>
      </c>
      <c r="O1102" s="1" t="str">
        <f>IFERROR(__xludf.DUMMYFUNCTION("""COMPUTED_VALUE"""),"Feminino")</f>
        <v>Feminino</v>
      </c>
      <c r="P1102" s="1" t="str">
        <f>IFERROR(__xludf.DUMMYFUNCTION("""COMPUTED_VALUE"""),"Branca")</f>
        <v>Branca</v>
      </c>
      <c r="Q1102" s="1" t="str">
        <f>IFERROR(__xludf.DUMMYFUNCTION("""COMPUTED_VALUE"""),"Ensino Superior Completo")</f>
        <v>Ensino Superior Completo</v>
      </c>
      <c r="R1102" s="1" t="str">
        <f>IFERROR(__xludf.DUMMYFUNCTION("""COMPUTED_VALUE"""),"ADVICEMALLMANN@GMAIL.COM")</f>
        <v>ADVICEMALLMANN@GMAIL.COM</v>
      </c>
      <c r="S1102" s="1" t="str">
        <f>IFERROR(__xludf.DUMMYFUNCTION("""COMPUTED_VALUE"""),"84KG")</f>
        <v>84KG</v>
      </c>
      <c r="T1102" s="1" t="str">
        <f>IFERROR(__xludf.DUMMYFUNCTION("""COMPUTED_VALUE"""),"Entre 1,71m e 1,75m")</f>
        <v>Entre 1,71m e 1,75m</v>
      </c>
      <c r="U1102" s="1" t="str">
        <f>IFERROR(__xludf.DUMMYFUNCTION("""COMPUTED_VALUE"""),"Não POSSUI")</f>
        <v>Não POSSUI</v>
      </c>
      <c r="V1102" s="1" t="str">
        <f>IFERROR(__xludf.DUMMYFUNCTION("""COMPUTED_VALUE"""),"51 991942217")</f>
        <v>51 991942217</v>
      </c>
      <c r="W1102" s="1" t="str">
        <f>IFERROR(__xludf.DUMMYFUNCTION("""COMPUTED_VALUE"""),"51 991333873")</f>
        <v>51 991333873</v>
      </c>
      <c r="X1102" s="1" t="str">
        <f>IFERROR(__xludf.DUMMYFUNCTION("""COMPUTED_VALUE"""),"RS")</f>
        <v>RS</v>
      </c>
      <c r="Y1102" s="1" t="str">
        <f>IFERROR(__xludf.DUMMYFUNCTION("""COMPUTED_VALUE"""),"Palmares do Sul")</f>
        <v>Palmares do Sul</v>
      </c>
      <c r="Z1102" s="1">
        <f>IFERROR(__xludf.DUMMYFUNCTION("""COMPUTED_VALUE"""),95540000)</f>
        <v>95540000</v>
      </c>
      <c r="AA1102" s="1" t="str">
        <f>IFERROR(__xludf.DUMMYFUNCTION("""COMPUTED_VALUE"""),"DOM PEDRO 1, 385")</f>
        <v>DOM PEDRO 1, 385</v>
      </c>
      <c r="AB1102" s="1" t="str">
        <f>IFERROR(__xludf.DUMMYFUNCTION("""COMPUTED_VALUE"""),"PRAIA DO FRADE")</f>
        <v>PRAIA DO FRADE</v>
      </c>
      <c r="AC1102" s="1" t="str">
        <f>IFERROR(__xludf.DUMMYFUNCTION("""COMPUTED_VALUE"""),"G")</f>
        <v>G</v>
      </c>
      <c r="AD1102" s="1" t="str">
        <f>IFERROR(__xludf.DUMMYFUNCTION("""COMPUTED_VALUE"""),"G")</f>
        <v>G</v>
      </c>
      <c r="AE1102" s="1" t="str">
        <f>IFERROR(__xludf.DUMMYFUNCTION("""COMPUTED_VALUE"""),"M")</f>
        <v>M</v>
      </c>
      <c r="AF1102" s="1" t="str">
        <f>IFERROR(__xludf.DUMMYFUNCTION("""COMPUTED_VALUE"""),"M")</f>
        <v>M</v>
      </c>
      <c r="AG1102" s="1" t="str">
        <f>IFERROR(__xludf.DUMMYFUNCTION("""COMPUTED_VALUE"""),"G")</f>
        <v>G</v>
      </c>
      <c r="AH1102" s="1">
        <f>IFERROR(__xludf.DUMMYFUNCTION("""COMPUTED_VALUE"""),38)</f>
        <v>38</v>
      </c>
      <c r="AI1102" s="1">
        <f>IFERROR(__xludf.DUMMYFUNCTION("""COMPUTED_VALUE"""),38)</f>
        <v>38</v>
      </c>
      <c r="AJ1102" s="1">
        <f>IFERROR(__xludf.DUMMYFUNCTION("""COMPUTED_VALUE"""),38)</f>
        <v>38</v>
      </c>
      <c r="AK1102" s="1">
        <f>IFERROR(__xludf.DUMMYFUNCTION("""COMPUTED_VALUE"""),39)</f>
        <v>39</v>
      </c>
      <c r="AL1102" s="1" t="str">
        <f>IFERROR(__xludf.DUMMYFUNCTION("""COMPUTED_VALUE"""),"M")</f>
        <v>M</v>
      </c>
      <c r="AM1102" s="1" t="str">
        <f>IFERROR(__xludf.DUMMYFUNCTION("""COMPUTED_VALUE"""),"M")</f>
        <v>M</v>
      </c>
      <c r="AN1102" s="1" t="str">
        <f>IFERROR(__xludf.DUMMYFUNCTION("""COMPUTED_VALUE"""),"M")</f>
        <v>M</v>
      </c>
    </row>
    <row r="1103" customHeight="1" spans="1:40">
      <c r="A1103" s="1" t="str">
        <f>IFERROR(__xludf.DUMMYFUNCTION("""COMPUTED_VALUE"""),"09° BBM")</f>
        <v>09° BBM</v>
      </c>
      <c r="B1103" s="1" t="str">
        <f>IFERROR(__xludf.DUMMYFUNCTION("""COMPUTED_VALUE"""),"Arroio do Sal")</f>
        <v>Arroio do Sal</v>
      </c>
      <c r="C1103" s="119" t="str">
        <f>IFERROR(__xludf.DUMMYFUNCTION("""COMPUTED_VALUE"""),"CAB")</f>
        <v>CAB</v>
      </c>
      <c r="D1103" s="1" t="str">
        <f>IFERROR(__xludf.DUMMYFUNCTION("""COMPUTED_VALUE"""),"NICOLAS LIMA DE AVEIRO")</f>
        <v>NICOLAS LIMA DE AVEIRO</v>
      </c>
      <c r="E1103" s="119" t="str">
        <f>IFERROR(__xludf.DUMMYFUNCTION("""COMPUTED_VALUE"""),"Módulo 1 concluído")</f>
        <v>Módulo 1 concluído</v>
      </c>
      <c r="F1103" s="1" t="str">
        <f>IFERROR(__xludf.DUMMYFUNCTION("""COMPUTED_VALUE"""),"058.603.550-84")</f>
        <v>058.603.550-84</v>
      </c>
      <c r="G1103" s="1">
        <f>IFERROR(__xludf.DUMMYFUNCTION("""COMPUTED_VALUE"""),9136046936)</f>
        <v>9136046936</v>
      </c>
      <c r="H1103" s="1" t="str">
        <f>IFERROR(__xludf.DUMMYFUNCTION("""COMPUTED_VALUE"""),"COMBATENTE")</f>
        <v>COMBATENTE</v>
      </c>
      <c r="I1103" s="1" t="str">
        <f>IFERROR(__xludf.DUMMYFUNCTION("""COMPUTED_VALUE"""),"Resgate veicular, amarrações, Combate a incêndio, Aph, Bls, Nr 35")</f>
        <v>Resgate veicular, amarrações, Combate a incêndio, Aph, Bls, Nr 35</v>
      </c>
      <c r="J1103" s="1" t="str">
        <f>IFERROR(__xludf.DUMMYFUNCTION("""COMPUTED_VALUE"""),"Sim")</f>
        <v>Sim</v>
      </c>
      <c r="K1103" s="1" t="str">
        <f>IFERROR(__xludf.DUMMYFUNCTION("""COMPUTED_VALUE"""),"Não")</f>
        <v>Não</v>
      </c>
      <c r="L1103" s="1" t="str">
        <f>IFERROR(__xludf.DUMMYFUNCTION("""COMPUTED_VALUE"""),"O+")</f>
        <v>O+</v>
      </c>
      <c r="M1103" s="1" t="str">
        <f>IFERROR(__xludf.DUMMYFUNCTION("""COMPUTED_VALUE"""),"LIMA")</f>
        <v>LIMA</v>
      </c>
      <c r="N1103" s="120">
        <f>IFERROR(__xludf.DUMMYFUNCTION("""COMPUTED_VALUE"""),37358)</f>
        <v>37358</v>
      </c>
      <c r="O1103" s="1" t="str">
        <f>IFERROR(__xludf.DUMMYFUNCTION("""COMPUTED_VALUE"""),"Masculino")</f>
        <v>Masculino</v>
      </c>
      <c r="P1103" s="1" t="str">
        <f>IFERROR(__xludf.DUMMYFUNCTION("""COMPUTED_VALUE"""),"Branca")</f>
        <v>Branca</v>
      </c>
      <c r="Q1103" s="1" t="str">
        <f>IFERROR(__xludf.DUMMYFUNCTION("""COMPUTED_VALUE"""),"Ensino Médio")</f>
        <v>Ensino Médio</v>
      </c>
      <c r="R1103" s="1" t="str">
        <f>IFERROR(__xludf.DUMMYFUNCTION("""COMPUTED_VALUE"""),"NICOLASLIMADEAVEIRO@GMAIL.COM")</f>
        <v>NICOLASLIMADEAVEIRO@GMAIL.COM</v>
      </c>
      <c r="S1103" s="1" t="str">
        <f>IFERROR(__xludf.DUMMYFUNCTION("""COMPUTED_VALUE"""),"115 KG")</f>
        <v>115 KG</v>
      </c>
      <c r="T1103" s="1" t="str">
        <f>IFERROR(__xludf.DUMMYFUNCTION("""COMPUTED_VALUE"""),"Entre 1,81m e 1,85m")</f>
        <v>Entre 1,81m e 1,85m</v>
      </c>
      <c r="U1103" s="1" t="str">
        <f>IFERROR(__xludf.DUMMYFUNCTION("""COMPUTED_VALUE"""),"Não POSSUI")</f>
        <v>Não POSSUI</v>
      </c>
      <c r="V1103" s="1" t="str">
        <f>IFERROR(__xludf.DUMMYFUNCTION("""COMPUTED_VALUE"""),"(51) 99574-0728")</f>
        <v>(51) 99574-0728</v>
      </c>
      <c r="W1103" s="1" t="str">
        <f>IFERROR(__xludf.DUMMYFUNCTION("""COMPUTED_VALUE"""),"(51) 98445-1186")</f>
        <v>(51) 98445-1186</v>
      </c>
      <c r="X1103" s="1" t="str">
        <f>IFERROR(__xludf.DUMMYFUNCTION("""COMPUTED_VALUE"""),"RS")</f>
        <v>RS</v>
      </c>
      <c r="Y1103" s="1" t="str">
        <f>IFERROR(__xludf.DUMMYFUNCTION("""COMPUTED_VALUE"""),"Arroio do Sal")</f>
        <v>Arroio do Sal</v>
      </c>
      <c r="Z1103" s="1" t="str">
        <f>IFERROR(__xludf.DUMMYFUNCTION("""COMPUTED_VALUE"""),"95585-000")</f>
        <v>95585-000</v>
      </c>
      <c r="AA1103" s="1" t="str">
        <f>IFERROR(__xludf.DUMMYFUNCTION("""COMPUTED_VALUE"""),"RUA DOS PLATANOS, N°1123")</f>
        <v>RUA DOS PLATANOS, N°1123</v>
      </c>
      <c r="AB1103" s="1" t="str">
        <f>IFERROR(__xludf.DUMMYFUNCTION("""COMPUTED_VALUE"""),"QUATRO LAGOS")</f>
        <v>QUATRO LAGOS</v>
      </c>
      <c r="AC1103" s="1" t="str">
        <f>IFERROR(__xludf.DUMMYFUNCTION("""COMPUTED_VALUE"""),"GG")</f>
        <v>GG</v>
      </c>
      <c r="AD1103" s="1" t="str">
        <f>IFERROR(__xludf.DUMMYFUNCTION("""COMPUTED_VALUE"""),"XG")</f>
        <v>XG</v>
      </c>
      <c r="AE1103" s="1" t="str">
        <f>IFERROR(__xludf.DUMMYFUNCTION("""COMPUTED_VALUE"""),"XG")</f>
        <v>XG</v>
      </c>
      <c r="AF1103" s="1" t="str">
        <f>IFERROR(__xludf.DUMMYFUNCTION("""COMPUTED_VALUE"""),"XG")</f>
        <v>XG</v>
      </c>
      <c r="AG1103" s="1" t="str">
        <f>IFERROR(__xludf.DUMMYFUNCTION("""COMPUTED_VALUE"""),"XG")</f>
        <v>XG</v>
      </c>
      <c r="AH1103" s="1">
        <f>IFERROR(__xludf.DUMMYFUNCTION("""COMPUTED_VALUE"""),42)</f>
        <v>42</v>
      </c>
      <c r="AI1103" s="1">
        <f>IFERROR(__xludf.DUMMYFUNCTION("""COMPUTED_VALUE"""),42)</f>
        <v>42</v>
      </c>
      <c r="AJ1103" s="1">
        <f>IFERROR(__xludf.DUMMYFUNCTION("""COMPUTED_VALUE"""),42)</f>
        <v>42</v>
      </c>
      <c r="AK1103" s="1">
        <f>IFERROR(__xludf.DUMMYFUNCTION("""COMPUTED_VALUE"""),42)</f>
        <v>42</v>
      </c>
      <c r="AL1103" s="1" t="str">
        <f>IFERROR(__xludf.DUMMYFUNCTION("""COMPUTED_VALUE"""),"XG")</f>
        <v>XG</v>
      </c>
      <c r="AM1103" s="1" t="str">
        <f>IFERROR(__xludf.DUMMYFUNCTION("""COMPUTED_VALUE"""),"GG")</f>
        <v>GG</v>
      </c>
      <c r="AN1103" s="1" t="str">
        <f>IFERROR(__xludf.DUMMYFUNCTION("""COMPUTED_VALUE"""),"G")</f>
        <v>G</v>
      </c>
    </row>
    <row r="1104" customHeight="1" spans="1:40">
      <c r="A1104" s="1" t="str">
        <f>IFERROR(__xludf.DUMMYFUNCTION("""COMPUTED_VALUE"""),"09° BBM")</f>
        <v>09° BBM</v>
      </c>
      <c r="B1104" s="1" t="str">
        <f>IFERROR(__xludf.DUMMYFUNCTION("""COMPUTED_VALUE"""),"Balneário Pinhal")</f>
        <v>Balneário Pinhal</v>
      </c>
      <c r="C1104" s="119" t="str">
        <f>IFERROR(__xludf.DUMMYFUNCTION("""COMPUTED_VALUE"""),"CAB")</f>
        <v>CAB</v>
      </c>
      <c r="D1104" s="1" t="str">
        <f>IFERROR(__xludf.DUMMYFUNCTION("""COMPUTED_VALUE"""),"NUBIA SANTANA RODRIGUES")</f>
        <v>NUBIA SANTANA RODRIGUES</v>
      </c>
      <c r="E1104" s="119" t="str">
        <f>IFERROR(__xludf.DUMMYFUNCTION("""COMPUTED_VALUE"""),"")</f>
        <v/>
      </c>
      <c r="F1104" s="1" t="str">
        <f>IFERROR(__xludf.DUMMYFUNCTION("""COMPUTED_VALUE"""),"037.639.360-25")</f>
        <v>037.639.360-25</v>
      </c>
      <c r="G1104" s="1">
        <f>IFERROR(__xludf.DUMMYFUNCTION("""COMPUTED_VALUE"""),7121903186)</f>
        <v>7121903186</v>
      </c>
      <c r="H1104" s="1" t="str">
        <f>IFERROR(__xludf.DUMMYFUNCTION("""COMPUTED_VALUE"""),"SOCORRISTA")</f>
        <v>SOCORRISTA</v>
      </c>
      <c r="I1104" s="1" t="str">
        <f>IFERROR(__xludf.DUMMYFUNCTION("""COMPUTED_VALUE"""),"APH e BLS; TEC. SEGURANÇA DO TRABALHO")</f>
        <v>APH e BLS; TEC. SEGURANÇA DO TRABALHO</v>
      </c>
      <c r="J1104" s="1" t="str">
        <f>IFERROR(__xludf.DUMMYFUNCTION("""COMPUTED_VALUE"""),"Não")</f>
        <v>Não</v>
      </c>
      <c r="K1104" s="1" t="str">
        <f>IFERROR(__xludf.DUMMYFUNCTION("""COMPUTED_VALUE"""),"Não")</f>
        <v>Não</v>
      </c>
      <c r="L1104" s="1" t="str">
        <f>IFERROR(__xludf.DUMMYFUNCTION("""COMPUTED_VALUE"""),"O+")</f>
        <v>O+</v>
      </c>
      <c r="M1104" s="1" t="str">
        <f>IFERROR(__xludf.DUMMYFUNCTION("""COMPUTED_VALUE"""),"RODRIGUES")</f>
        <v>RODRIGUES</v>
      </c>
      <c r="N1104" s="120">
        <f>IFERROR(__xludf.DUMMYFUNCTION("""COMPUTED_VALUE"""),35290)</f>
        <v>35290</v>
      </c>
      <c r="O1104" s="1" t="str">
        <f>IFERROR(__xludf.DUMMYFUNCTION("""COMPUTED_VALUE"""),"Feminino")</f>
        <v>Feminino</v>
      </c>
      <c r="P1104" s="1" t="str">
        <f>IFERROR(__xludf.DUMMYFUNCTION("""COMPUTED_VALUE"""),"Branca")</f>
        <v>Branca</v>
      </c>
      <c r="Q1104" s="1" t="str">
        <f>IFERROR(__xludf.DUMMYFUNCTION("""COMPUTED_VALUE"""),"Ensino Médio")</f>
        <v>Ensino Médio</v>
      </c>
      <c r="R1104" s="1" t="str">
        <f>IFERROR(__xludf.DUMMYFUNCTION("""COMPUTED_VALUE"""),"NUBIASANTANNA131327@GMAIL.COM")</f>
        <v>NUBIASANTANNA131327@GMAIL.COM</v>
      </c>
      <c r="S1104" s="1" t="str">
        <f>IFERROR(__xludf.DUMMYFUNCTION("""COMPUTED_VALUE"""),"84KG")</f>
        <v>84KG</v>
      </c>
      <c r="T1104" s="1" t="str">
        <f>IFERROR(__xludf.DUMMYFUNCTION("""COMPUTED_VALUE"""),"Entre 1,61m e 1,65m")</f>
        <v>Entre 1,61m e 1,65m</v>
      </c>
      <c r="U1104" s="1" t="str">
        <f>IFERROR(__xludf.DUMMYFUNCTION("""COMPUTED_VALUE"""),"Não POSSUI")</f>
        <v>Não POSSUI</v>
      </c>
      <c r="V1104" s="1" t="str">
        <f>IFERROR(__xludf.DUMMYFUNCTION("""COMPUTED_VALUE"""),"51 9879546627")</f>
        <v>51 9879546627</v>
      </c>
      <c r="W1104" s="1" t="str">
        <f>IFERROR(__xludf.DUMMYFUNCTION("""COMPUTED_VALUE"""),"51 94446190")</f>
        <v>51 94446190</v>
      </c>
      <c r="X1104" s="1" t="str">
        <f>IFERROR(__xludf.DUMMYFUNCTION("""COMPUTED_VALUE"""),"RS")</f>
        <v>RS</v>
      </c>
      <c r="Y1104" s="1" t="str">
        <f>IFERROR(__xludf.DUMMYFUNCTION("""COMPUTED_VALUE"""),"Balneário Pinhal")</f>
        <v>Balneário Pinhal</v>
      </c>
      <c r="Z1104" s="1">
        <f>IFERROR(__xludf.DUMMYFUNCTION("""COMPUTED_VALUE"""),95599000)</f>
        <v>95599000</v>
      </c>
      <c r="AA1104" s="1" t="str">
        <f>IFERROR(__xludf.DUMMYFUNCTION("""COMPUTED_VALUE"""),"RONDONIA 276")</f>
        <v>RONDONIA 276</v>
      </c>
      <c r="AB1104" s="1" t="str">
        <f>IFERROR(__xludf.DUMMYFUNCTION("""COMPUTED_VALUE"""),"TUNEL VERDE")</f>
        <v>TUNEL VERDE</v>
      </c>
      <c r="AC1104" s="1" t="str">
        <f>IFERROR(__xludf.DUMMYFUNCTION("""COMPUTED_VALUE"""),"G")</f>
        <v>G</v>
      </c>
      <c r="AD1104" s="1" t="str">
        <f>IFERROR(__xludf.DUMMYFUNCTION("""COMPUTED_VALUE"""),"G")</f>
        <v>G</v>
      </c>
      <c r="AE1104" s="1" t="str">
        <f>IFERROR(__xludf.DUMMYFUNCTION("""COMPUTED_VALUE"""),"G")</f>
        <v>G</v>
      </c>
      <c r="AF1104" s="1" t="str">
        <f>IFERROR(__xludf.DUMMYFUNCTION("""COMPUTED_VALUE"""),"G")</f>
        <v>G</v>
      </c>
      <c r="AG1104" s="1" t="str">
        <f>IFERROR(__xludf.DUMMYFUNCTION("""COMPUTED_VALUE"""),"G")</f>
        <v>G</v>
      </c>
      <c r="AH1104" s="1">
        <f>IFERROR(__xludf.DUMMYFUNCTION("""COMPUTED_VALUE"""),38)</f>
        <v>38</v>
      </c>
      <c r="AI1104" s="1">
        <f>IFERROR(__xludf.DUMMYFUNCTION("""COMPUTED_VALUE"""),38)</f>
        <v>38</v>
      </c>
      <c r="AJ1104" s="1">
        <f>IFERROR(__xludf.DUMMYFUNCTION("""COMPUTED_VALUE"""),38)</f>
        <v>38</v>
      </c>
      <c r="AK1104" s="1">
        <f>IFERROR(__xludf.DUMMYFUNCTION("""COMPUTED_VALUE"""),38)</f>
        <v>38</v>
      </c>
      <c r="AL1104" s="1" t="str">
        <f>IFERROR(__xludf.DUMMYFUNCTION("""COMPUTED_VALUE"""),"G")</f>
        <v>G</v>
      </c>
      <c r="AM1104" s="1" t="str">
        <f>IFERROR(__xludf.DUMMYFUNCTION("""COMPUTED_VALUE"""),"M")</f>
        <v>M</v>
      </c>
      <c r="AN1104" s="1" t="str">
        <f>IFERROR(__xludf.DUMMYFUNCTION("""COMPUTED_VALUE"""),"M")</f>
        <v>M</v>
      </c>
    </row>
    <row r="1105" customHeight="1" spans="1:40">
      <c r="A1105" s="1" t="str">
        <f>IFERROR(__xludf.DUMMYFUNCTION("""COMPUTED_VALUE"""),"09° BBM")</f>
        <v>09° BBM</v>
      </c>
      <c r="B1105" s="1" t="str">
        <f>IFERROR(__xludf.DUMMYFUNCTION("""COMPUTED_VALUE"""),"Balneário Pinhal")</f>
        <v>Balneário Pinhal</v>
      </c>
      <c r="C1105" s="119" t="str">
        <f>IFERROR(__xludf.DUMMYFUNCTION("""COMPUTED_VALUE"""),"CAB")</f>
        <v>CAB</v>
      </c>
      <c r="D1105" s="1" t="str">
        <f>IFERROR(__xludf.DUMMYFUNCTION("""COMPUTED_VALUE"""),"ODEVAL DE MORAES JUNIOR")</f>
        <v>ODEVAL DE MORAES JUNIOR</v>
      </c>
      <c r="E1105" s="119" t="str">
        <f>IFERROR(__xludf.DUMMYFUNCTION("""COMPUTED_VALUE"""),"Módulo 1 concluído")</f>
        <v>Módulo 1 concluído</v>
      </c>
      <c r="F1105" s="1" t="str">
        <f>IFERROR(__xludf.DUMMYFUNCTION("""COMPUTED_VALUE"""),"955.077.360-49")</f>
        <v>955.077.360-49</v>
      </c>
      <c r="G1105" s="1">
        <f>IFERROR(__xludf.DUMMYFUNCTION("""COMPUTED_VALUE"""),1076636388)</f>
        <v>1076636388</v>
      </c>
      <c r="H1105" s="1" t="str">
        <f>IFERROR(__xludf.DUMMYFUNCTION("""COMPUTED_VALUE"""),"CONDUTOR D")</f>
        <v>CONDUTOR D</v>
      </c>
      <c r="I1105" s="1" t="str">
        <f>IFERROR(__xludf.DUMMYFUNCTION("""COMPUTED_VALUE"""),"APH; BLS; CAT D e VEÍCULO DE EMERGÊNCIA;")</f>
        <v>APH; BLS; CAT D e VEÍCULO DE EMERGÊNCIA;</v>
      </c>
      <c r="J1105" s="1" t="str">
        <f>IFERROR(__xludf.DUMMYFUNCTION("""COMPUTED_VALUE"""),"Não")</f>
        <v>Não</v>
      </c>
      <c r="K1105" s="1" t="str">
        <f>IFERROR(__xludf.DUMMYFUNCTION("""COMPUTED_VALUE"""),"Não")</f>
        <v>Não</v>
      </c>
      <c r="L1105" s="1" t="str">
        <f>IFERROR(__xludf.DUMMYFUNCTION("""COMPUTED_VALUE"""),"A+")</f>
        <v>A+</v>
      </c>
      <c r="M1105" s="1" t="str">
        <f>IFERROR(__xludf.DUMMYFUNCTION("""COMPUTED_VALUE"""),"ODEVAL")</f>
        <v>ODEVAL</v>
      </c>
      <c r="N1105" s="121">
        <f>IFERROR(__xludf.DUMMYFUNCTION("""COMPUTED_VALUE"""),29181)</f>
        <v>29181</v>
      </c>
      <c r="O1105" s="1" t="str">
        <f>IFERROR(__xludf.DUMMYFUNCTION("""COMPUTED_VALUE"""),"Masculino")</f>
        <v>Masculino</v>
      </c>
      <c r="P1105" s="1" t="str">
        <f>IFERROR(__xludf.DUMMYFUNCTION("""COMPUTED_VALUE"""),"Branca")</f>
        <v>Branca</v>
      </c>
      <c r="Q1105" s="1" t="str">
        <f>IFERROR(__xludf.DUMMYFUNCTION("""COMPUTED_VALUE"""),"Ensino Médio")</f>
        <v>Ensino Médio</v>
      </c>
      <c r="R1105" s="1" t="str">
        <f>IFERROR(__xludf.DUMMYFUNCTION("""COMPUTED_VALUE"""),"ODEVALMORAES@GMAIL.COM")</f>
        <v>ODEVALMORAES@GMAIL.COM</v>
      </c>
      <c r="S1105" s="1" t="str">
        <f>IFERROR(__xludf.DUMMYFUNCTION("""COMPUTED_VALUE"""),"84KG")</f>
        <v>84KG</v>
      </c>
      <c r="T1105" s="1" t="str">
        <f>IFERROR(__xludf.DUMMYFUNCTION("""COMPUTED_VALUE"""),"Entre 1,61m e 1,65m")</f>
        <v>Entre 1,61m e 1,65m</v>
      </c>
      <c r="U1105" s="1" t="str">
        <f>IFERROR(__xludf.DUMMYFUNCTION("""COMPUTED_VALUE"""),"Não POSSUI")</f>
        <v>Não POSSUI</v>
      </c>
      <c r="V1105" s="1" t="str">
        <f>IFERROR(__xludf.DUMMYFUNCTION("""COMPUTED_VALUE"""),"51 9879546627")</f>
        <v>51 9879546627</v>
      </c>
      <c r="W1105" s="1" t="str">
        <f>IFERROR(__xludf.DUMMYFUNCTION("""COMPUTED_VALUE"""),"51 9879546627")</f>
        <v>51 9879546627</v>
      </c>
      <c r="X1105" s="1" t="str">
        <f>IFERROR(__xludf.DUMMYFUNCTION("""COMPUTED_VALUE"""),"RS")</f>
        <v>RS</v>
      </c>
      <c r="Y1105" s="1" t="str">
        <f>IFERROR(__xludf.DUMMYFUNCTION("""COMPUTED_VALUE"""),"Cidreira")</f>
        <v>Cidreira</v>
      </c>
      <c r="Z1105" s="1">
        <f>IFERROR(__xludf.DUMMYFUNCTION("""COMPUTED_VALUE"""),95595000)</f>
        <v>95595000</v>
      </c>
      <c r="AA1105" s="1" t="str">
        <f>IFERROR(__xludf.DUMMYFUNCTION("""COMPUTED_VALUE"""),"MARGARIDA 2489")</f>
        <v>MARGARIDA 2489</v>
      </c>
      <c r="AB1105" s="1" t="str">
        <f>IFERROR(__xludf.DUMMYFUNCTION("""COMPUTED_VALUE"""),"COSTA DO SOL")</f>
        <v>COSTA DO SOL</v>
      </c>
      <c r="AC1105" s="1" t="str">
        <f>IFERROR(__xludf.DUMMYFUNCTION("""COMPUTED_VALUE"""),"G")</f>
        <v>G</v>
      </c>
      <c r="AD1105" s="1" t="str">
        <f>IFERROR(__xludf.DUMMYFUNCTION("""COMPUTED_VALUE"""),"G")</f>
        <v>G</v>
      </c>
      <c r="AE1105" s="1" t="str">
        <f>IFERROR(__xludf.DUMMYFUNCTION("""COMPUTED_VALUE"""),"G")</f>
        <v>G</v>
      </c>
      <c r="AF1105" s="1" t="str">
        <f>IFERROR(__xludf.DUMMYFUNCTION("""COMPUTED_VALUE"""),"G")</f>
        <v>G</v>
      </c>
      <c r="AG1105" s="1" t="str">
        <f>IFERROR(__xludf.DUMMYFUNCTION("""COMPUTED_VALUE"""),"G")</f>
        <v>G</v>
      </c>
      <c r="AH1105" s="1">
        <f>IFERROR(__xludf.DUMMYFUNCTION("""COMPUTED_VALUE"""),39)</f>
        <v>39</v>
      </c>
      <c r="AI1105" s="1">
        <f>IFERROR(__xludf.DUMMYFUNCTION("""COMPUTED_VALUE"""),39)</f>
        <v>39</v>
      </c>
      <c r="AJ1105" s="1">
        <f>IFERROR(__xludf.DUMMYFUNCTION("""COMPUTED_VALUE"""),39)</f>
        <v>39</v>
      </c>
      <c r="AK1105" s="1">
        <f>IFERROR(__xludf.DUMMYFUNCTION("""COMPUTED_VALUE"""),40)</f>
        <v>40</v>
      </c>
      <c r="AL1105" s="1" t="str">
        <f>IFERROR(__xludf.DUMMYFUNCTION("""COMPUTED_VALUE"""),"G")</f>
        <v>G</v>
      </c>
      <c r="AM1105" s="1" t="str">
        <f>IFERROR(__xludf.DUMMYFUNCTION("""COMPUTED_VALUE"""),"G")</f>
        <v>G</v>
      </c>
      <c r="AN1105" s="1" t="str">
        <f>IFERROR(__xludf.DUMMYFUNCTION("""COMPUTED_VALUE"""),"G")</f>
        <v>G</v>
      </c>
    </row>
    <row r="1106" customHeight="1" spans="1:40">
      <c r="A1106" s="1" t="str">
        <f>IFERROR(__xludf.DUMMYFUNCTION("""COMPUTED_VALUE"""),"09° BBM")</f>
        <v>09° BBM</v>
      </c>
      <c r="B1106" s="1" t="str">
        <f>IFERROR(__xludf.DUMMYFUNCTION("""COMPUTED_VALUE"""),"Balneário Pinhal")</f>
        <v>Balneário Pinhal</v>
      </c>
      <c r="C1106" s="119" t="str">
        <f>IFERROR(__xludf.DUMMYFUNCTION("""COMPUTED_VALUE"""),"CAB")</f>
        <v>CAB</v>
      </c>
      <c r="D1106" s="1" t="str">
        <f>IFERROR(__xludf.DUMMYFUNCTION("""COMPUTED_VALUE"""),"PATRICIA LEHMANN DE VILLEROY")</f>
        <v>PATRICIA LEHMANN DE VILLEROY</v>
      </c>
      <c r="E1106" s="119" t="str">
        <f>IFERROR(__xludf.DUMMYFUNCTION("""COMPUTED_VALUE"""),"Módulo 2 e 3 concluído")</f>
        <v>Módulo 2 e 3 concluído</v>
      </c>
      <c r="F1106" s="1" t="str">
        <f>IFERROR(__xludf.DUMMYFUNCTION("""COMPUTED_VALUE"""),"533.074.700-78")</f>
        <v>533.074.700-78</v>
      </c>
      <c r="G1106" s="1">
        <f>IFERROR(__xludf.DUMMYFUNCTION("""COMPUTED_VALUE"""),5034434836)</f>
        <v>5034434836</v>
      </c>
      <c r="H1106" s="1" t="str">
        <f>IFERROR(__xludf.DUMMYFUNCTION("""COMPUTED_VALUE"""),"SOCORRISTA")</f>
        <v>SOCORRISTA</v>
      </c>
      <c r="I1106" s="1" t="str">
        <f>IFERROR(__xludf.DUMMYFUNCTION("""COMPUTED_VALUE"""),"ENFERMEIRA")</f>
        <v>ENFERMEIRA</v>
      </c>
      <c r="J1106" s="1" t="str">
        <f>IFERROR(__xludf.DUMMYFUNCTION("""COMPUTED_VALUE"""),"Não")</f>
        <v>Não</v>
      </c>
      <c r="K1106" s="1" t="str">
        <f>IFERROR(__xludf.DUMMYFUNCTION("""COMPUTED_VALUE"""),"Não")</f>
        <v>Não</v>
      </c>
      <c r="L1106" s="1" t="str">
        <f>IFERROR(__xludf.DUMMYFUNCTION("""COMPUTED_VALUE"""),"A+")</f>
        <v>A+</v>
      </c>
      <c r="M1106" s="1" t="str">
        <f>IFERROR(__xludf.DUMMYFUNCTION("""COMPUTED_VALUE"""),"VILLEROY")</f>
        <v>VILLEROY</v>
      </c>
      <c r="N1106" s="121">
        <f>IFERROR(__xludf.DUMMYFUNCTION("""COMPUTED_VALUE"""),25129)</f>
        <v>25129</v>
      </c>
      <c r="O1106" s="1" t="str">
        <f>IFERROR(__xludf.DUMMYFUNCTION("""COMPUTED_VALUE"""),"Feminino")</f>
        <v>Feminino</v>
      </c>
      <c r="P1106" s="1" t="str">
        <f>IFERROR(__xludf.DUMMYFUNCTION("""COMPUTED_VALUE"""),"Branca")</f>
        <v>Branca</v>
      </c>
      <c r="Q1106" s="1" t="str">
        <f>IFERROR(__xludf.DUMMYFUNCTION("""COMPUTED_VALUE"""),"Ensino Superior Completo")</f>
        <v>Ensino Superior Completo</v>
      </c>
      <c r="R1106" s="1" t="str">
        <f>IFERROR(__xludf.DUMMYFUNCTION("""COMPUTED_VALUE"""),"ENFPATRICIA@YAHOO.COM.BR")</f>
        <v>ENFPATRICIA@YAHOO.COM.BR</v>
      </c>
      <c r="S1106" s="1" t="str">
        <f>IFERROR(__xludf.DUMMYFUNCTION("""COMPUTED_VALUE"""),"84KG")</f>
        <v>84KG</v>
      </c>
      <c r="T1106" s="1" t="str">
        <f>IFERROR(__xludf.DUMMYFUNCTION("""COMPUTED_VALUE"""),"Entre 1,56m e 1,60m")</f>
        <v>Entre 1,56m e 1,60m</v>
      </c>
      <c r="U1106" s="1" t="str">
        <f>IFERROR(__xludf.DUMMYFUNCTION("""COMPUTED_VALUE"""),"Não POSSUI")</f>
        <v>Não POSSUI</v>
      </c>
      <c r="V1106" s="1" t="str">
        <f>IFERROR(__xludf.DUMMYFUNCTION("""COMPUTED_VALUE"""),"51 985703258")</f>
        <v>51 985703258</v>
      </c>
      <c r="W1106" s="1" t="str">
        <f>IFERROR(__xludf.DUMMYFUNCTION("""COMPUTED_VALUE"""),"51 985703258")</f>
        <v>51 985703258</v>
      </c>
      <c r="X1106" s="1" t="str">
        <f>IFERROR(__xludf.DUMMYFUNCTION("""COMPUTED_VALUE"""),"RS")</f>
        <v>RS</v>
      </c>
      <c r="Y1106" s="1" t="str">
        <f>IFERROR(__xludf.DUMMYFUNCTION("""COMPUTED_VALUE"""),"Balneário Pinhal")</f>
        <v>Balneário Pinhal</v>
      </c>
      <c r="Z1106" s="1">
        <f>IFERROR(__xludf.DUMMYFUNCTION("""COMPUTED_VALUE"""),95599000)</f>
        <v>95599000</v>
      </c>
      <c r="AA1106" s="1" t="str">
        <f>IFERROR(__xludf.DUMMYFUNCTION("""COMPUTED_VALUE"""),"25 DE MARÇO 874")</f>
        <v>25 DE MARÇO 874</v>
      </c>
      <c r="AB1106" s="1" t="str">
        <f>IFERROR(__xludf.DUMMYFUNCTION("""COMPUTED_VALUE"""),"CENTRO")</f>
        <v>CENTRO</v>
      </c>
      <c r="AC1106" s="1" t="str">
        <f>IFERROR(__xludf.DUMMYFUNCTION("""COMPUTED_VALUE"""),"M")</f>
        <v>M</v>
      </c>
      <c r="AD1106" s="1" t="str">
        <f>IFERROR(__xludf.DUMMYFUNCTION("""COMPUTED_VALUE"""),"G")</f>
        <v>G</v>
      </c>
      <c r="AE1106" s="1" t="str">
        <f>IFERROR(__xludf.DUMMYFUNCTION("""COMPUTED_VALUE"""),"G")</f>
        <v>G</v>
      </c>
      <c r="AF1106" s="1" t="str">
        <f>IFERROR(__xludf.DUMMYFUNCTION("""COMPUTED_VALUE"""),"G")</f>
        <v>G</v>
      </c>
      <c r="AG1106" s="1" t="str">
        <f>IFERROR(__xludf.DUMMYFUNCTION("""COMPUTED_VALUE"""),"M")</f>
        <v>M</v>
      </c>
      <c r="AH1106" s="1">
        <f>IFERROR(__xludf.DUMMYFUNCTION("""COMPUTED_VALUE"""),36)</f>
        <v>36</v>
      </c>
      <c r="AI1106" s="1">
        <f>IFERROR(__xludf.DUMMYFUNCTION("""COMPUTED_VALUE"""),36)</f>
        <v>36</v>
      </c>
      <c r="AJ1106" s="1">
        <f>IFERROR(__xludf.DUMMYFUNCTION("""COMPUTED_VALUE"""),36)</f>
        <v>36</v>
      </c>
      <c r="AK1106" s="1">
        <f>IFERROR(__xludf.DUMMYFUNCTION("""COMPUTED_VALUE"""),36)</f>
        <v>36</v>
      </c>
      <c r="AL1106" s="1" t="str">
        <f>IFERROR(__xludf.DUMMYFUNCTION("""COMPUTED_VALUE"""),"M")</f>
        <v>M</v>
      </c>
      <c r="AM1106" s="1" t="str">
        <f>IFERROR(__xludf.DUMMYFUNCTION("""COMPUTED_VALUE"""),"M")</f>
        <v>M</v>
      </c>
      <c r="AN1106" s="1" t="str">
        <f>IFERROR(__xludf.DUMMYFUNCTION("""COMPUTED_VALUE"""),"M")</f>
        <v>M</v>
      </c>
    </row>
    <row r="1107" customHeight="1" spans="1:40">
      <c r="A1107" s="1" t="str">
        <f>IFERROR(__xludf.DUMMYFUNCTION("""COMPUTED_VALUE"""),"09° BBM")</f>
        <v>09° BBM</v>
      </c>
      <c r="B1107" s="1" t="str">
        <f>IFERROR(__xludf.DUMMYFUNCTION("""COMPUTED_VALUE"""),"Balneário Pinhal")</f>
        <v>Balneário Pinhal</v>
      </c>
      <c r="C1107" s="119" t="str">
        <f>IFERROR(__xludf.DUMMYFUNCTION("""COMPUTED_VALUE"""),"CAB")</f>
        <v>CAB</v>
      </c>
      <c r="D1107" s="1" t="str">
        <f>IFERROR(__xludf.DUMMYFUNCTION("""COMPUTED_VALUE"""),"PEDRO HENRIQUE B DOS S DA SILVA")</f>
        <v>PEDRO HENRIQUE B DOS S DA SILVA</v>
      </c>
      <c r="E1107" s="119" t="str">
        <f>IFERROR(__xludf.DUMMYFUNCTION("""COMPUTED_VALUE"""),"Módulo 1 concluído")</f>
        <v>Módulo 1 concluído</v>
      </c>
      <c r="F1107" s="1" t="str">
        <f>IFERROR(__xludf.DUMMYFUNCTION("""COMPUTED_VALUE"""),"041.658.180-38")</f>
        <v>041.658.180-38</v>
      </c>
      <c r="G1107" s="1">
        <f>IFERROR(__xludf.DUMMYFUNCTION("""COMPUTED_VALUE"""),8117996515)</f>
        <v>8117996515</v>
      </c>
      <c r="H1107" s="1" t="str">
        <f>IFERROR(__xludf.DUMMYFUNCTION("""COMPUTED_VALUE"""),"COMBATENTE")</f>
        <v>COMBATENTE</v>
      </c>
      <c r="I1107" s="1" t="str">
        <f>IFERROR(__xludf.DUMMYFUNCTION("""COMPUTED_VALUE"""),"APH e BLS")</f>
        <v>APH e BLS</v>
      </c>
      <c r="J1107" s="1" t="str">
        <f>IFERROR(__xludf.DUMMYFUNCTION("""COMPUTED_VALUE"""),"Não")</f>
        <v>Não</v>
      </c>
      <c r="K1107" s="1" t="str">
        <f>IFERROR(__xludf.DUMMYFUNCTION("""COMPUTED_VALUE"""),"Não")</f>
        <v>Não</v>
      </c>
      <c r="L1107" s="1" t="str">
        <f>IFERROR(__xludf.DUMMYFUNCTION("""COMPUTED_VALUE"""),"A+")</f>
        <v>A+</v>
      </c>
      <c r="M1107" s="1" t="str">
        <f>IFERROR(__xludf.DUMMYFUNCTION("""COMPUTED_VALUE"""),"PEDRO")</f>
        <v>PEDRO</v>
      </c>
      <c r="N1107" s="121">
        <f>IFERROR(__xludf.DUMMYFUNCTION("""COMPUTED_VALUE"""),37954)</f>
        <v>37954</v>
      </c>
      <c r="O1107" s="1" t="str">
        <f>IFERROR(__xludf.DUMMYFUNCTION("""COMPUTED_VALUE"""),"Masculino")</f>
        <v>Masculino</v>
      </c>
      <c r="P1107" s="1" t="str">
        <f>IFERROR(__xludf.DUMMYFUNCTION("""COMPUTED_VALUE"""),"Branca")</f>
        <v>Branca</v>
      </c>
      <c r="Q1107" s="1" t="str">
        <f>IFERROR(__xludf.DUMMYFUNCTION("""COMPUTED_VALUE"""),"Ensino Médio")</f>
        <v>Ensino Médio</v>
      </c>
      <c r="R1107" s="1" t="str">
        <f>IFERROR(__xludf.DUMMYFUNCTION("""COMPUTED_VALUE"""),"BARRETOPEDRO@GMAIL.COM")</f>
        <v>BARRETOPEDRO@GMAIL.COM</v>
      </c>
      <c r="S1107" s="1" t="str">
        <f>IFERROR(__xludf.DUMMYFUNCTION("""COMPUTED_VALUE"""),"84KG")</f>
        <v>84KG</v>
      </c>
      <c r="T1107" s="1" t="str">
        <f>IFERROR(__xludf.DUMMYFUNCTION("""COMPUTED_VALUE"""),"Entre 1,66m e 1,70m")</f>
        <v>Entre 1,66m e 1,70m</v>
      </c>
      <c r="U1107" s="1" t="str">
        <f>IFERROR(__xludf.DUMMYFUNCTION("""COMPUTED_VALUE"""),"Não POSSUI")</f>
        <v>Não POSSUI</v>
      </c>
      <c r="V1107" s="1" t="str">
        <f>IFERROR(__xludf.DUMMYFUNCTION("""COMPUTED_VALUE"""),"51 996043626")</f>
        <v>51 996043626</v>
      </c>
      <c r="W1107" s="1" t="str">
        <f>IFERROR(__xludf.DUMMYFUNCTION("""COMPUTED_VALUE"""),"51 998576662")</f>
        <v>51 998576662</v>
      </c>
      <c r="X1107" s="1" t="str">
        <f>IFERROR(__xludf.DUMMYFUNCTION("""COMPUTED_VALUE"""),"RS")</f>
        <v>RS</v>
      </c>
      <c r="Y1107" s="1" t="str">
        <f>IFERROR(__xludf.DUMMYFUNCTION("""COMPUTED_VALUE"""),"Balneário Pinhal")</f>
        <v>Balneário Pinhal</v>
      </c>
      <c r="Z1107" s="1">
        <f>IFERROR(__xludf.DUMMYFUNCTION("""COMPUTED_VALUE"""),95599000)</f>
        <v>95599000</v>
      </c>
      <c r="AA1107" s="1" t="str">
        <f>IFERROR(__xludf.DUMMYFUNCTION("""COMPUTED_VALUE"""),"NEI LUIZ ZANGUI 786")</f>
        <v>NEI LUIZ ZANGUI 786</v>
      </c>
      <c r="AB1107" s="1" t="str">
        <f>IFERROR(__xludf.DUMMYFUNCTION("""COMPUTED_VALUE"""),"CENTRO")</f>
        <v>CENTRO</v>
      </c>
      <c r="AC1107" s="1" t="str">
        <f>IFERROR(__xludf.DUMMYFUNCTION("""COMPUTED_VALUE"""),"EXG")</f>
        <v>EXG</v>
      </c>
      <c r="AD1107" s="1" t="str">
        <f>IFERROR(__xludf.DUMMYFUNCTION("""COMPUTED_VALUE"""),"G")</f>
        <v>G</v>
      </c>
      <c r="AE1107" s="1" t="str">
        <f>IFERROR(__xludf.DUMMYFUNCTION("""COMPUTED_VALUE"""),"M")</f>
        <v>M</v>
      </c>
      <c r="AF1107" s="1" t="str">
        <f>IFERROR(__xludf.DUMMYFUNCTION("""COMPUTED_VALUE"""),"M")</f>
        <v>M</v>
      </c>
      <c r="AG1107" s="1" t="str">
        <f>IFERROR(__xludf.DUMMYFUNCTION("""COMPUTED_VALUE"""),"G")</f>
        <v>G</v>
      </c>
      <c r="AH1107" s="1">
        <f>IFERROR(__xludf.DUMMYFUNCTION("""COMPUTED_VALUE"""),39)</f>
        <v>39</v>
      </c>
      <c r="AI1107" s="1">
        <f>IFERROR(__xludf.DUMMYFUNCTION("""COMPUTED_VALUE"""),39)</f>
        <v>39</v>
      </c>
      <c r="AJ1107" s="1">
        <f>IFERROR(__xludf.DUMMYFUNCTION("""COMPUTED_VALUE"""),39)</f>
        <v>39</v>
      </c>
      <c r="AK1107" s="1">
        <f>IFERROR(__xludf.DUMMYFUNCTION("""COMPUTED_VALUE"""),39)</f>
        <v>39</v>
      </c>
      <c r="AL1107" s="1" t="str">
        <f>IFERROR(__xludf.DUMMYFUNCTION("""COMPUTED_VALUE"""),"M")</f>
        <v>M</v>
      </c>
      <c r="AM1107" s="1" t="str">
        <f>IFERROR(__xludf.DUMMYFUNCTION("""COMPUTED_VALUE"""),"M")</f>
        <v>M</v>
      </c>
      <c r="AN1107" s="1" t="str">
        <f>IFERROR(__xludf.DUMMYFUNCTION("""COMPUTED_VALUE"""),"M")</f>
        <v>M</v>
      </c>
    </row>
    <row r="1108" customHeight="1" spans="1:40">
      <c r="A1108" s="1" t="str">
        <f>IFERROR(__xludf.DUMMYFUNCTION("""COMPUTED_VALUE"""),"09° BBM")</f>
        <v>09° BBM</v>
      </c>
      <c r="B1108" s="1" t="str">
        <f>IFERROR(__xludf.DUMMYFUNCTION("""COMPUTED_VALUE"""),"Balneário Pinhal")</f>
        <v>Balneário Pinhal</v>
      </c>
      <c r="C1108" s="119" t="str">
        <f>IFERROR(__xludf.DUMMYFUNCTION("""COMPUTED_VALUE"""),"CAB")</f>
        <v>CAB</v>
      </c>
      <c r="D1108" s="1" t="str">
        <f>IFERROR(__xludf.DUMMYFUNCTION("""COMPUTED_VALUE"""),"RAFAEL DE SOUZA WENDELSTEIN")</f>
        <v>RAFAEL DE SOUZA WENDELSTEIN</v>
      </c>
      <c r="E1108" s="119" t="str">
        <f>IFERROR(__xludf.DUMMYFUNCTION("""COMPUTED_VALUE"""),"Módulo 1 concluído")</f>
        <v>Módulo 1 concluído</v>
      </c>
      <c r="F1108" s="1" t="str">
        <f>IFERROR(__xludf.DUMMYFUNCTION("""COMPUTED_VALUE"""),"013.369.720-76")</f>
        <v>013.369.720-76</v>
      </c>
      <c r="G1108" s="1">
        <f>IFERROR(__xludf.DUMMYFUNCTION("""COMPUTED_VALUE"""),1082683929)</f>
        <v>1082683929</v>
      </c>
      <c r="H1108" s="1" t="str">
        <f>IFERROR(__xludf.DUMMYFUNCTION("""COMPUTED_VALUE"""),"COMBATENTE")</f>
        <v>COMBATENTE</v>
      </c>
      <c r="I1108" s="1" t="str">
        <f>IFERROR(__xludf.DUMMYFUNCTION("""COMPUTED_VALUE"""),"APH; BLS; BOMBEIRO CIVIL CLASSE I")</f>
        <v>APH; BLS; BOMBEIRO CIVIL CLASSE I</v>
      </c>
      <c r="J1108" s="1" t="str">
        <f>IFERROR(__xludf.DUMMYFUNCTION("""COMPUTED_VALUE"""),"Sim")</f>
        <v>Sim</v>
      </c>
      <c r="K1108" s="1" t="str">
        <f>IFERROR(__xludf.DUMMYFUNCTION("""COMPUTED_VALUE"""),"Não")</f>
        <v>Não</v>
      </c>
      <c r="L1108" s="1" t="str">
        <f>IFERROR(__xludf.DUMMYFUNCTION("""COMPUTED_VALUE"""),"O+")</f>
        <v>O+</v>
      </c>
      <c r="M1108" s="1" t="str">
        <f>IFERROR(__xludf.DUMMYFUNCTION("""COMPUTED_VALUE"""),"WENDELSTEIN")</f>
        <v>WENDELSTEIN</v>
      </c>
      <c r="N1108" s="120">
        <f>IFERROR(__xludf.DUMMYFUNCTION("""COMPUTED_VALUE"""),31672)</f>
        <v>31672</v>
      </c>
      <c r="O1108" s="1" t="str">
        <f>IFERROR(__xludf.DUMMYFUNCTION("""COMPUTED_VALUE"""),"Masculino")</f>
        <v>Masculino</v>
      </c>
      <c r="P1108" s="1" t="str">
        <f>IFERROR(__xludf.DUMMYFUNCTION("""COMPUTED_VALUE"""),"Branca")</f>
        <v>Branca</v>
      </c>
      <c r="Q1108" s="1" t="str">
        <f>IFERROR(__xludf.DUMMYFUNCTION("""COMPUTED_VALUE"""),"Ensino Médio")</f>
        <v>Ensino Médio</v>
      </c>
      <c r="R1108" s="1" t="str">
        <f>IFERROR(__xludf.DUMMYFUNCTION("""COMPUTED_VALUE"""),"RAFAELSWENDELSTEIN@GAMIL")</f>
        <v>RAFAELSWENDELSTEIN@GAMIL</v>
      </c>
      <c r="S1108" s="1" t="str">
        <f>IFERROR(__xludf.DUMMYFUNCTION("""COMPUTED_VALUE"""),"84KG")</f>
        <v>84KG</v>
      </c>
      <c r="T1108" s="1" t="str">
        <f>IFERROR(__xludf.DUMMYFUNCTION("""COMPUTED_VALUE"""),"Entre 1,71m e 1,75m")</f>
        <v>Entre 1,71m e 1,75m</v>
      </c>
      <c r="U1108" s="1" t="str">
        <f>IFERROR(__xludf.DUMMYFUNCTION("""COMPUTED_VALUE"""),"Não POSSUI")</f>
        <v>Não POSSUI</v>
      </c>
      <c r="V1108" s="1" t="str">
        <f>IFERROR(__xludf.DUMMYFUNCTION("""COMPUTED_VALUE"""),"51 989546480")</f>
        <v>51 989546480</v>
      </c>
      <c r="W1108" s="1" t="str">
        <f>IFERROR(__xludf.DUMMYFUNCTION("""COMPUTED_VALUE"""),"51 985608606")</f>
        <v>51 985608606</v>
      </c>
      <c r="X1108" s="1" t="str">
        <f>IFERROR(__xludf.DUMMYFUNCTION("""COMPUTED_VALUE"""),"RS")</f>
        <v>RS</v>
      </c>
      <c r="Y1108" s="1" t="str">
        <f>IFERROR(__xludf.DUMMYFUNCTION("""COMPUTED_VALUE"""),"Balneário Pinhal")</f>
        <v>Balneário Pinhal</v>
      </c>
      <c r="Z1108" s="1">
        <f>IFERROR(__xludf.DUMMYFUNCTION("""COMPUTED_VALUE"""),95599000)</f>
        <v>95599000</v>
      </c>
      <c r="AA1108" s="1" t="str">
        <f>IFERROR(__xludf.DUMMYFUNCTION("""COMPUTED_VALUE"""),"ORFELINO DUARTE 1480")</f>
        <v>ORFELINO DUARTE 1480</v>
      </c>
      <c r="AB1108" s="1" t="str">
        <f>IFERROR(__xludf.DUMMYFUNCTION("""COMPUTED_VALUE"""),"CENTRO")</f>
        <v>CENTRO</v>
      </c>
      <c r="AC1108" s="1" t="str">
        <f>IFERROR(__xludf.DUMMYFUNCTION("""COMPUTED_VALUE"""),"G")</f>
        <v>G</v>
      </c>
      <c r="AD1108" s="1" t="str">
        <f>IFERROR(__xludf.DUMMYFUNCTION("""COMPUTED_VALUE"""),"G")</f>
        <v>G</v>
      </c>
      <c r="AE1108" s="1" t="str">
        <f>IFERROR(__xludf.DUMMYFUNCTION("""COMPUTED_VALUE"""),"G")</f>
        <v>G</v>
      </c>
      <c r="AF1108" s="1" t="str">
        <f>IFERROR(__xludf.DUMMYFUNCTION("""COMPUTED_VALUE"""),"G")</f>
        <v>G</v>
      </c>
      <c r="AG1108" s="1" t="str">
        <f>IFERROR(__xludf.DUMMYFUNCTION("""COMPUTED_VALUE"""),"G")</f>
        <v>G</v>
      </c>
      <c r="AH1108" s="1">
        <f>IFERROR(__xludf.DUMMYFUNCTION("""COMPUTED_VALUE"""),41)</f>
        <v>41</v>
      </c>
      <c r="AI1108" s="1">
        <f>IFERROR(__xludf.DUMMYFUNCTION("""COMPUTED_VALUE"""),41)</f>
        <v>41</v>
      </c>
      <c r="AJ1108" s="1">
        <f>IFERROR(__xludf.DUMMYFUNCTION("""COMPUTED_VALUE"""),41)</f>
        <v>41</v>
      </c>
      <c r="AK1108" s="1">
        <f>IFERROR(__xludf.DUMMYFUNCTION("""COMPUTED_VALUE"""),41)</f>
        <v>41</v>
      </c>
      <c r="AL1108" s="1" t="str">
        <f>IFERROR(__xludf.DUMMYFUNCTION("""COMPUTED_VALUE"""),"G")</f>
        <v>G</v>
      </c>
      <c r="AM1108" s="1" t="str">
        <f>IFERROR(__xludf.DUMMYFUNCTION("""COMPUTED_VALUE"""),"G")</f>
        <v>G</v>
      </c>
      <c r="AN1108" s="1" t="str">
        <f>IFERROR(__xludf.DUMMYFUNCTION("""COMPUTED_VALUE"""),"G")</f>
        <v>G</v>
      </c>
    </row>
    <row r="1109" customHeight="1" spans="1:40">
      <c r="A1109" s="1" t="str">
        <f>IFERROR(__xludf.DUMMYFUNCTION("""COMPUTED_VALUE"""),"09° BBM")</f>
        <v>09° BBM</v>
      </c>
      <c r="B1109" s="1" t="str">
        <f>IFERROR(__xludf.DUMMYFUNCTION("""COMPUTED_VALUE"""),"Balneário Pinhal")</f>
        <v>Balneário Pinhal</v>
      </c>
      <c r="C1109" s="119" t="str">
        <f>IFERROR(__xludf.DUMMYFUNCTION("""COMPUTED_VALUE"""),"CAB")</f>
        <v>CAB</v>
      </c>
      <c r="D1109" s="1" t="str">
        <f>IFERROR(__xludf.DUMMYFUNCTION("""COMPUTED_VALUE"""),"RAFAEL DIAS PEREIRA")</f>
        <v>RAFAEL DIAS PEREIRA</v>
      </c>
      <c r="E1109" s="119" t="str">
        <f>IFERROR(__xludf.DUMMYFUNCTION("""COMPUTED_VALUE"""),"")</f>
        <v/>
      </c>
      <c r="F1109" s="1" t="str">
        <f>IFERROR(__xludf.DUMMYFUNCTION("""COMPUTED_VALUE"""),"023.642.790-38")</f>
        <v>023.642.790-38</v>
      </c>
      <c r="G1109" s="1">
        <f>IFERROR(__xludf.DUMMYFUNCTION("""COMPUTED_VALUE"""),7108619664)</f>
        <v>7108619664</v>
      </c>
      <c r="H1109" s="1" t="str">
        <f>IFERROR(__xludf.DUMMYFUNCTION("""COMPUTED_VALUE"""),"SOCORRISTA/CONDUTOR")</f>
        <v>SOCORRISTA/CONDUTOR</v>
      </c>
      <c r="I1109" s="1" t="str">
        <f>IFERROR(__xludf.DUMMYFUNCTION("""COMPUTED_VALUE"""),"APH; BLS; BOMBEIRO CIVIL CLASSE I")</f>
        <v>APH; BLS; BOMBEIRO CIVIL CLASSE I</v>
      </c>
      <c r="J1109" s="1" t="str">
        <f>IFERROR(__xludf.DUMMYFUNCTION("""COMPUTED_VALUE"""),"Não")</f>
        <v>Não</v>
      </c>
      <c r="K1109" s="1" t="str">
        <f>IFERROR(__xludf.DUMMYFUNCTION("""COMPUTED_VALUE"""),"Não")</f>
        <v>Não</v>
      </c>
      <c r="L1109" s="1" t="str">
        <f>IFERROR(__xludf.DUMMYFUNCTION("""COMPUTED_VALUE"""),"A+")</f>
        <v>A+</v>
      </c>
      <c r="M1109" s="1" t="str">
        <f>IFERROR(__xludf.DUMMYFUNCTION("""COMPUTED_VALUE"""),"PEREIRA")</f>
        <v>PEREIRA</v>
      </c>
      <c r="N1109" s="120">
        <f>IFERROR(__xludf.DUMMYFUNCTION("""COMPUTED_VALUE"""),32999)</f>
        <v>32999</v>
      </c>
      <c r="O1109" s="1" t="str">
        <f>IFERROR(__xludf.DUMMYFUNCTION("""COMPUTED_VALUE"""),"Masculino")</f>
        <v>Masculino</v>
      </c>
      <c r="P1109" s="1" t="str">
        <f>IFERROR(__xludf.DUMMYFUNCTION("""COMPUTED_VALUE"""),"Branca")</f>
        <v>Branca</v>
      </c>
      <c r="Q1109" s="1" t="str">
        <f>IFERROR(__xludf.DUMMYFUNCTION("""COMPUTED_VALUE"""),"Ensino Médio")</f>
        <v>Ensino Médio</v>
      </c>
      <c r="R1109" s="1" t="str">
        <f>IFERROR(__xludf.DUMMYFUNCTION("""COMPUTED_VALUE"""),"RAFAELIPEREIRA909@GMAIL.COM")</f>
        <v>RAFAELIPEREIRA909@GMAIL.COM</v>
      </c>
      <c r="S1109" s="1" t="str">
        <f>IFERROR(__xludf.DUMMYFUNCTION("""COMPUTED_VALUE"""),"84KG")</f>
        <v>84KG</v>
      </c>
      <c r="T1109" s="1" t="str">
        <f>IFERROR(__xludf.DUMMYFUNCTION("""COMPUTED_VALUE"""),"Entre 1,66m e 1,70m")</f>
        <v>Entre 1,66m e 1,70m</v>
      </c>
      <c r="U1109" s="1" t="str">
        <f>IFERROR(__xludf.DUMMYFUNCTION("""COMPUTED_VALUE"""),"Não POSSUI")</f>
        <v>Não POSSUI</v>
      </c>
      <c r="V1109" s="1" t="str">
        <f>IFERROR(__xludf.DUMMYFUNCTION("""COMPUTED_VALUE"""),"51 998891397")</f>
        <v>51 998891397</v>
      </c>
      <c r="W1109" s="1" t="str">
        <f>IFERROR(__xludf.DUMMYFUNCTION("""COMPUTED_VALUE"""),"51 998891397")</f>
        <v>51 998891397</v>
      </c>
      <c r="X1109" s="1" t="str">
        <f>IFERROR(__xludf.DUMMYFUNCTION("""COMPUTED_VALUE"""),"RS")</f>
        <v>RS</v>
      </c>
      <c r="Y1109" s="1" t="str">
        <f>IFERROR(__xludf.DUMMYFUNCTION("""COMPUTED_VALUE"""),"Tramandaí")</f>
        <v>Tramandaí</v>
      </c>
      <c r="Z1109" s="1">
        <f>IFERROR(__xludf.DUMMYFUNCTION("""COMPUTED_VALUE"""),95590000)</f>
        <v>95590000</v>
      </c>
      <c r="AA1109" s="1" t="str">
        <f>IFERROR(__xludf.DUMMYFUNCTION("""COMPUTED_VALUE"""),"HERMES DA FONSECA 475")</f>
        <v>HERMES DA FONSECA 475</v>
      </c>
      <c r="AB1109" s="1" t="str">
        <f>IFERROR(__xludf.DUMMYFUNCTION("""COMPUTED_VALUE"""),"CENTRO")</f>
        <v>CENTRO</v>
      </c>
      <c r="AC1109" s="1" t="str">
        <f>IFERROR(__xludf.DUMMYFUNCTION("""COMPUTED_VALUE"""),"G")</f>
        <v>G</v>
      </c>
      <c r="AD1109" s="1" t="str">
        <f>IFERROR(__xludf.DUMMYFUNCTION("""COMPUTED_VALUE"""),"G")</f>
        <v>G</v>
      </c>
      <c r="AE1109" s="1" t="str">
        <f>IFERROR(__xludf.DUMMYFUNCTION("""COMPUTED_VALUE"""),"G")</f>
        <v>G</v>
      </c>
      <c r="AF1109" s="1" t="str">
        <f>IFERROR(__xludf.DUMMYFUNCTION("""COMPUTED_VALUE"""),"G")</f>
        <v>G</v>
      </c>
      <c r="AG1109" s="1" t="str">
        <f>IFERROR(__xludf.DUMMYFUNCTION("""COMPUTED_VALUE"""),"G")</f>
        <v>G</v>
      </c>
      <c r="AH1109" s="1">
        <f>IFERROR(__xludf.DUMMYFUNCTION("""COMPUTED_VALUE"""),40)</f>
        <v>40</v>
      </c>
      <c r="AI1109" s="1">
        <f>IFERROR(__xludf.DUMMYFUNCTION("""COMPUTED_VALUE"""),40)</f>
        <v>40</v>
      </c>
      <c r="AJ1109" s="1">
        <f>IFERROR(__xludf.DUMMYFUNCTION("""COMPUTED_VALUE"""),40)</f>
        <v>40</v>
      </c>
      <c r="AK1109" s="1">
        <f>IFERROR(__xludf.DUMMYFUNCTION("""COMPUTED_VALUE"""),40)</f>
        <v>40</v>
      </c>
      <c r="AL1109" s="1" t="str">
        <f>IFERROR(__xludf.DUMMYFUNCTION("""COMPUTED_VALUE"""),"G")</f>
        <v>G</v>
      </c>
      <c r="AM1109" s="1" t="str">
        <f>IFERROR(__xludf.DUMMYFUNCTION("""COMPUTED_VALUE"""),"G")</f>
        <v>G</v>
      </c>
      <c r="AN1109" s="1" t="str">
        <f>IFERROR(__xludf.DUMMYFUNCTION("""COMPUTED_VALUE"""),"G")</f>
        <v>G</v>
      </c>
    </row>
    <row r="1110" customHeight="1" spans="1:40">
      <c r="A1110" s="1" t="str">
        <f>IFERROR(__xludf.DUMMYFUNCTION("""COMPUTED_VALUE"""),"09° BBM")</f>
        <v>09° BBM</v>
      </c>
      <c r="B1110" s="1" t="str">
        <f>IFERROR(__xludf.DUMMYFUNCTION("""COMPUTED_VALUE"""),"Balneário Pinhal")</f>
        <v>Balneário Pinhal</v>
      </c>
      <c r="C1110" s="119" t="str">
        <f>IFERROR(__xludf.DUMMYFUNCTION("""COMPUTED_VALUE"""),"CAB")</f>
        <v>CAB</v>
      </c>
      <c r="D1110" s="1" t="str">
        <f>IFERROR(__xludf.DUMMYFUNCTION("""COMPUTED_VALUE"""),"RAFAEL JUNIOR DA SILVEIRA PEDROSO")</f>
        <v>RAFAEL JUNIOR DA SILVEIRA PEDROSO</v>
      </c>
      <c r="E1110" s="119" t="str">
        <f>IFERROR(__xludf.DUMMYFUNCTION("""COMPUTED_VALUE"""),"Módulo 1 concluído")</f>
        <v>Módulo 1 concluído</v>
      </c>
      <c r="F1110" s="1" t="str">
        <f>IFERROR(__xludf.DUMMYFUNCTION("""COMPUTED_VALUE"""),"009.974.860-66")</f>
        <v>009.974.860-66</v>
      </c>
      <c r="G1110" s="1">
        <f>IFERROR(__xludf.DUMMYFUNCTION("""COMPUTED_VALUE"""),1087307177)</f>
        <v>1087307177</v>
      </c>
      <c r="H1110" s="1" t="str">
        <f>IFERROR(__xludf.DUMMYFUNCTION("""COMPUTED_VALUE"""),"COMBATENTE")</f>
        <v>COMBATENTE</v>
      </c>
      <c r="I1110" s="1" t="str">
        <f>IFERROR(__xludf.DUMMYFUNCTION("""COMPUTED_VALUE"""),"APH e BLS")</f>
        <v>APH e BLS</v>
      </c>
      <c r="J1110" s="1" t="str">
        <f>IFERROR(__xludf.DUMMYFUNCTION("""COMPUTED_VALUE"""),"Não")</f>
        <v>Não</v>
      </c>
      <c r="K1110" s="1" t="str">
        <f>IFERROR(__xludf.DUMMYFUNCTION("""COMPUTED_VALUE"""),"Não")</f>
        <v>Não</v>
      </c>
      <c r="L1110" s="1" t="str">
        <f>IFERROR(__xludf.DUMMYFUNCTION("""COMPUTED_VALUE"""),"O+")</f>
        <v>O+</v>
      </c>
      <c r="M1110" s="1" t="str">
        <f>IFERROR(__xludf.DUMMYFUNCTION("""COMPUTED_VALUE"""),"PEDROSO")</f>
        <v>PEDROSO</v>
      </c>
      <c r="N1110" s="121">
        <f>IFERROR(__xludf.DUMMYFUNCTION("""COMPUTED_VALUE"""),31731)</f>
        <v>31731</v>
      </c>
      <c r="O1110" s="1" t="str">
        <f>IFERROR(__xludf.DUMMYFUNCTION("""COMPUTED_VALUE"""),"Masculino")</f>
        <v>Masculino</v>
      </c>
      <c r="P1110" s="1" t="str">
        <f>IFERROR(__xludf.DUMMYFUNCTION("""COMPUTED_VALUE"""),"Branca")</f>
        <v>Branca</v>
      </c>
      <c r="Q1110" s="1" t="str">
        <f>IFERROR(__xludf.DUMMYFUNCTION("""COMPUTED_VALUE"""),"Ensino Superior Incompleto")</f>
        <v>Ensino Superior Incompleto</v>
      </c>
      <c r="R1110" s="1" t="str">
        <f>IFERROR(__xludf.DUMMYFUNCTION("""COMPUTED_VALUE"""),"RAFAELALEMAO666@GMAIL.COM")</f>
        <v>RAFAELALEMAO666@GMAIL.COM</v>
      </c>
      <c r="S1110" s="1" t="str">
        <f>IFERROR(__xludf.DUMMYFUNCTION("""COMPUTED_VALUE"""),"86KG")</f>
        <v>86KG</v>
      </c>
      <c r="T1110" s="1" t="str">
        <f>IFERROR(__xludf.DUMMYFUNCTION("""COMPUTED_VALUE"""),"Entre 1,76m e 1,80m")</f>
        <v>Entre 1,76m e 1,80m</v>
      </c>
      <c r="U1110" s="1" t="str">
        <f>IFERROR(__xludf.DUMMYFUNCTION("""COMPUTED_VALUE"""),"Não POSSUI")</f>
        <v>Não POSSUI</v>
      </c>
      <c r="V1110" s="1" t="str">
        <f>IFERROR(__xludf.DUMMYFUNCTION("""COMPUTED_VALUE"""),"51 981949468")</f>
        <v>51 981949468</v>
      </c>
      <c r="W1110" s="1" t="str">
        <f>IFERROR(__xludf.DUMMYFUNCTION("""COMPUTED_VALUE"""),"51 981556639")</f>
        <v>51 981556639</v>
      </c>
      <c r="X1110" s="1" t="str">
        <f>IFERROR(__xludf.DUMMYFUNCTION("""COMPUTED_VALUE"""),"RS")</f>
        <v>RS</v>
      </c>
      <c r="Y1110" s="1" t="str">
        <f>IFERROR(__xludf.DUMMYFUNCTION("""COMPUTED_VALUE"""),"Cidreira")</f>
        <v>Cidreira</v>
      </c>
      <c r="Z1110" s="1">
        <f>IFERROR(__xludf.DUMMYFUNCTION("""COMPUTED_VALUE"""),95595000)</f>
        <v>95595000</v>
      </c>
      <c r="AA1110" s="1" t="str">
        <f>IFERROR(__xludf.DUMMYFUNCTION("""COMPUTED_VALUE"""),"MOSTARDEIRO")</f>
        <v>MOSTARDEIRO</v>
      </c>
      <c r="AB1110" s="1" t="str">
        <f>IFERROR(__xludf.DUMMYFUNCTION("""COMPUTED_VALUE"""),"CENTRO")</f>
        <v>CENTRO</v>
      </c>
      <c r="AC1110" s="1" t="str">
        <f>IFERROR(__xludf.DUMMYFUNCTION("""COMPUTED_VALUE"""),"G")</f>
        <v>G</v>
      </c>
      <c r="AD1110" s="1" t="str">
        <f>IFERROR(__xludf.DUMMYFUNCTION("""COMPUTED_VALUE"""),"G")</f>
        <v>G</v>
      </c>
      <c r="AE1110" s="1" t="str">
        <f>IFERROR(__xludf.DUMMYFUNCTION("""COMPUTED_VALUE"""),"G")</f>
        <v>G</v>
      </c>
      <c r="AF1110" s="1" t="str">
        <f>IFERROR(__xludf.DUMMYFUNCTION("""COMPUTED_VALUE"""),"G")</f>
        <v>G</v>
      </c>
      <c r="AG1110" s="1" t="str">
        <f>IFERROR(__xludf.DUMMYFUNCTION("""COMPUTED_VALUE"""),"G")</f>
        <v>G</v>
      </c>
      <c r="AH1110" s="1">
        <f>IFERROR(__xludf.DUMMYFUNCTION("""COMPUTED_VALUE"""),41)</f>
        <v>41</v>
      </c>
      <c r="AI1110" s="1">
        <f>IFERROR(__xludf.DUMMYFUNCTION("""COMPUTED_VALUE"""),41)</f>
        <v>41</v>
      </c>
      <c r="AJ1110" s="1">
        <f>IFERROR(__xludf.DUMMYFUNCTION("""COMPUTED_VALUE"""),41)</f>
        <v>41</v>
      </c>
      <c r="AK1110" s="1">
        <f>IFERROR(__xludf.DUMMYFUNCTION("""COMPUTED_VALUE"""),41)</f>
        <v>41</v>
      </c>
      <c r="AL1110" s="1" t="str">
        <f>IFERROR(__xludf.DUMMYFUNCTION("""COMPUTED_VALUE"""),"G")</f>
        <v>G</v>
      </c>
      <c r="AM1110" s="1" t="str">
        <f>IFERROR(__xludf.DUMMYFUNCTION("""COMPUTED_VALUE"""),"G")</f>
        <v>G</v>
      </c>
      <c r="AN1110" s="1" t="str">
        <f>IFERROR(__xludf.DUMMYFUNCTION("""COMPUTED_VALUE"""),"G")</f>
        <v>G</v>
      </c>
    </row>
    <row r="1111" customHeight="1" spans="1:40">
      <c r="A1111" s="1" t="str">
        <f>IFERROR(__xludf.DUMMYFUNCTION("""COMPUTED_VALUE"""),"09° BBM")</f>
        <v>09° BBM</v>
      </c>
      <c r="B1111" s="1" t="str">
        <f>IFERROR(__xludf.DUMMYFUNCTION("""COMPUTED_VALUE"""),"Balneário Pinhal")</f>
        <v>Balneário Pinhal</v>
      </c>
      <c r="C1111" s="119" t="str">
        <f>IFERROR(__xludf.DUMMYFUNCTION("""COMPUTED_VALUE"""),"CAB")</f>
        <v>CAB</v>
      </c>
      <c r="D1111" s="1" t="str">
        <f>IFERROR(__xludf.DUMMYFUNCTION("""COMPUTED_VALUE"""),"REGIS ALEXANDRE DA SILVA ARAUJO")</f>
        <v>REGIS ALEXANDRE DA SILVA ARAUJO</v>
      </c>
      <c r="E1111" s="119" t="str">
        <f>IFERROR(__xludf.DUMMYFUNCTION("""COMPUTED_VALUE"""),"Módulo 1 concluído")</f>
        <v>Módulo 1 concluído</v>
      </c>
      <c r="F1111" s="1" t="str">
        <f>IFERROR(__xludf.DUMMYFUNCTION("""COMPUTED_VALUE"""),"690.401.330-34")</f>
        <v>690.401.330-34</v>
      </c>
      <c r="G1111" s="1">
        <f>IFERROR(__xludf.DUMMYFUNCTION("""COMPUTED_VALUE"""),3032247334)</f>
        <v>3032247334</v>
      </c>
      <c r="H1111" s="1" t="str">
        <f>IFERROR(__xludf.DUMMYFUNCTION("""COMPUTED_VALUE"""),"COMBATENTE")</f>
        <v>COMBATENTE</v>
      </c>
      <c r="I1111" s="1" t="str">
        <f>IFERROR(__xludf.DUMMYFUNCTION("""COMPUTED_VALUE"""),"APH e BLS")</f>
        <v>APH e BLS</v>
      </c>
      <c r="J1111" s="1" t="str">
        <f>IFERROR(__xludf.DUMMYFUNCTION("""COMPUTED_VALUE"""),"Sim")</f>
        <v>Sim</v>
      </c>
      <c r="K1111" s="1" t="str">
        <f>IFERROR(__xludf.DUMMYFUNCTION("""COMPUTED_VALUE"""),"Sim")</f>
        <v>Sim</v>
      </c>
      <c r="L1111" s="1" t="str">
        <f>IFERROR(__xludf.DUMMYFUNCTION("""COMPUTED_VALUE"""),"A+")</f>
        <v>A+</v>
      </c>
      <c r="M1111" s="1" t="str">
        <f>IFERROR(__xludf.DUMMYFUNCTION("""COMPUTED_VALUE"""),"REGIS")</f>
        <v>REGIS</v>
      </c>
      <c r="N1111" s="120">
        <f>IFERROR(__xludf.DUMMYFUNCTION("""COMPUTED_VALUE"""),26556)</f>
        <v>26556</v>
      </c>
      <c r="O1111" s="1" t="str">
        <f>IFERROR(__xludf.DUMMYFUNCTION("""COMPUTED_VALUE"""),"Masculino")</f>
        <v>Masculino</v>
      </c>
      <c r="P1111" s="1" t="str">
        <f>IFERROR(__xludf.DUMMYFUNCTION("""COMPUTED_VALUE"""),"Branca")</f>
        <v>Branca</v>
      </c>
      <c r="Q1111" s="1" t="str">
        <f>IFERROR(__xludf.DUMMYFUNCTION("""COMPUTED_VALUE"""),"Ensino Médio")</f>
        <v>Ensino Médio</v>
      </c>
      <c r="R1111" s="1" t="str">
        <f>IFERROR(__xludf.DUMMYFUNCTION("""COMPUTED_VALUE"""),"REGISALEXANDREA@GMAIL.COM")</f>
        <v>REGISALEXANDREA@GMAIL.COM</v>
      </c>
      <c r="S1111" s="1" t="str">
        <f>IFERROR(__xludf.DUMMYFUNCTION("""COMPUTED_VALUE"""),"75KG")</f>
        <v>75KG</v>
      </c>
      <c r="T1111" s="1" t="str">
        <f>IFERROR(__xludf.DUMMYFUNCTION("""COMPUTED_VALUE"""),"Entre 1,76m e 1,80m")</f>
        <v>Entre 1,76m e 1,80m</v>
      </c>
      <c r="U1111" s="1" t="str">
        <f>IFERROR(__xludf.DUMMYFUNCTION("""COMPUTED_VALUE"""),"Não POSSUI")</f>
        <v>Não POSSUI</v>
      </c>
      <c r="V1111" s="1" t="str">
        <f>IFERROR(__xludf.DUMMYFUNCTION("""COMPUTED_VALUE"""),"51 996915167")</f>
        <v>51 996915167</v>
      </c>
      <c r="W1111" s="1" t="str">
        <f>IFERROR(__xludf.DUMMYFUNCTION("""COMPUTED_VALUE"""),"51 989076748")</f>
        <v>51 989076748</v>
      </c>
      <c r="X1111" s="1" t="str">
        <f>IFERROR(__xludf.DUMMYFUNCTION("""COMPUTED_VALUE"""),"RS")</f>
        <v>RS</v>
      </c>
      <c r="Y1111" s="1" t="str">
        <f>IFERROR(__xludf.DUMMYFUNCTION("""COMPUTED_VALUE"""),"Balneário Pinhal")</f>
        <v>Balneário Pinhal</v>
      </c>
      <c r="Z1111" s="1">
        <f>IFERROR(__xludf.DUMMYFUNCTION("""COMPUTED_VALUE"""),95599000)</f>
        <v>95599000</v>
      </c>
      <c r="AA1111" s="1" t="str">
        <f>IFERROR(__xludf.DUMMYFUNCTION("""COMPUTED_VALUE"""),"GENERAL OSORIO 1515")</f>
        <v>GENERAL OSORIO 1515</v>
      </c>
      <c r="AB1111" s="1" t="str">
        <f>IFERROR(__xludf.DUMMYFUNCTION("""COMPUTED_VALUE"""),"CENTRO")</f>
        <v>CENTRO</v>
      </c>
      <c r="AC1111" s="1" t="str">
        <f>IFERROR(__xludf.DUMMYFUNCTION("""COMPUTED_VALUE"""),"M")</f>
        <v>M</v>
      </c>
      <c r="AD1111" s="1" t="str">
        <f>IFERROR(__xludf.DUMMYFUNCTION("""COMPUTED_VALUE"""),"G")</f>
        <v>G</v>
      </c>
      <c r="AE1111" s="1" t="str">
        <f>IFERROR(__xludf.DUMMYFUNCTION("""COMPUTED_VALUE"""),"G")</f>
        <v>G</v>
      </c>
      <c r="AF1111" s="1" t="str">
        <f>IFERROR(__xludf.DUMMYFUNCTION("""COMPUTED_VALUE"""),"G")</f>
        <v>G</v>
      </c>
      <c r="AG1111" s="1" t="str">
        <f>IFERROR(__xludf.DUMMYFUNCTION("""COMPUTED_VALUE"""),"G")</f>
        <v>G</v>
      </c>
      <c r="AH1111" s="1">
        <f>IFERROR(__xludf.DUMMYFUNCTION("""COMPUTED_VALUE"""),42)</f>
        <v>42</v>
      </c>
      <c r="AI1111" s="1">
        <f>IFERROR(__xludf.DUMMYFUNCTION("""COMPUTED_VALUE"""),42)</f>
        <v>42</v>
      </c>
      <c r="AJ1111" s="1">
        <f>IFERROR(__xludf.DUMMYFUNCTION("""COMPUTED_VALUE"""),42)</f>
        <v>42</v>
      </c>
      <c r="AK1111" s="1">
        <f>IFERROR(__xludf.DUMMYFUNCTION("""COMPUTED_VALUE"""),42)</f>
        <v>42</v>
      </c>
      <c r="AL1111" s="1" t="str">
        <f>IFERROR(__xludf.DUMMYFUNCTION("""COMPUTED_VALUE"""),"G")</f>
        <v>G</v>
      </c>
      <c r="AM1111" s="1" t="str">
        <f>IFERROR(__xludf.DUMMYFUNCTION("""COMPUTED_VALUE"""),"M")</f>
        <v>M</v>
      </c>
      <c r="AN1111" s="1" t="str">
        <f>IFERROR(__xludf.DUMMYFUNCTION("""COMPUTED_VALUE"""),"M")</f>
        <v>M</v>
      </c>
    </row>
    <row r="1112" customHeight="1" spans="1:40">
      <c r="A1112" s="1" t="str">
        <f>IFERROR(__xludf.DUMMYFUNCTION("""COMPUTED_VALUE"""),"09° BBM")</f>
        <v>09° BBM</v>
      </c>
      <c r="B1112" s="1" t="str">
        <f>IFERROR(__xludf.DUMMYFUNCTION("""COMPUTED_VALUE"""),"Balneário Pinhal")</f>
        <v>Balneário Pinhal</v>
      </c>
      <c r="C1112" s="119" t="str">
        <f>IFERROR(__xludf.DUMMYFUNCTION("""COMPUTED_VALUE"""),"CAB")</f>
        <v>CAB</v>
      </c>
      <c r="D1112" s="1" t="str">
        <f>IFERROR(__xludf.DUMMYFUNCTION("""COMPUTED_VALUE"""),"RODRIGO DE OLIVEIRA NUNES")</f>
        <v>RODRIGO DE OLIVEIRA NUNES</v>
      </c>
      <c r="E1112" s="119" t="str">
        <f>IFERROR(__xludf.DUMMYFUNCTION("""COMPUTED_VALUE"""),"Curso CAB operador concluído")</f>
        <v>Curso CAB operador concluído</v>
      </c>
      <c r="F1112" s="1" t="str">
        <f>IFERROR(__xludf.DUMMYFUNCTION("""COMPUTED_VALUE"""),"968.969.810-91")</f>
        <v>968.969.810-91</v>
      </c>
      <c r="G1112" s="1">
        <f>IFERROR(__xludf.DUMMYFUNCTION("""COMPUTED_VALUE"""),6079255821)</f>
        <v>6079255821</v>
      </c>
      <c r="H1112" s="1" t="str">
        <f>IFERROR(__xludf.DUMMYFUNCTION("""COMPUTED_VALUE"""),"CONDUTOR D")</f>
        <v>CONDUTOR D</v>
      </c>
      <c r="I1112" s="1" t="str">
        <f>IFERROR(__xludf.DUMMYFUNCTION("""COMPUTED_VALUE"""),"APH; BLS; RESGATE VEICULAR; CAT D e VEÍCULO DE EMERGÊNCIA; BOMBEIRO CIVIL CLASSE I")</f>
        <v>APH; BLS; RESGATE VEICULAR; CAT D e VEÍCULO DE EMERGÊNCIA; BOMBEIRO CIVIL CLASSE I</v>
      </c>
      <c r="J1112" s="1" t="str">
        <f>IFERROR(__xludf.DUMMYFUNCTION("""COMPUTED_VALUE"""),"Sim")</f>
        <v>Sim</v>
      </c>
      <c r="K1112" s="1" t="str">
        <f>IFERROR(__xludf.DUMMYFUNCTION("""COMPUTED_VALUE"""),"Não")</f>
        <v>Não</v>
      </c>
      <c r="L1112" s="1" t="str">
        <f>IFERROR(__xludf.DUMMYFUNCTION("""COMPUTED_VALUE"""),"A-")</f>
        <v>A-</v>
      </c>
      <c r="M1112" s="1" t="str">
        <f>IFERROR(__xludf.DUMMYFUNCTION("""COMPUTED_VALUE"""),"RODRIGO")</f>
        <v>RODRIGO</v>
      </c>
      <c r="N1112" s="120">
        <f>IFERROR(__xludf.DUMMYFUNCTION("""COMPUTED_VALUE"""),28317)</f>
        <v>28317</v>
      </c>
      <c r="O1112" s="1" t="str">
        <f>IFERROR(__xludf.DUMMYFUNCTION("""COMPUTED_VALUE"""),"Masculino")</f>
        <v>Masculino</v>
      </c>
      <c r="P1112" s="1" t="str">
        <f>IFERROR(__xludf.DUMMYFUNCTION("""COMPUTED_VALUE"""),"Branca")</f>
        <v>Branca</v>
      </c>
      <c r="Q1112" s="1" t="str">
        <f>IFERROR(__xludf.DUMMYFUNCTION("""COMPUTED_VALUE"""),"Ensino Superior Incompleto")</f>
        <v>Ensino Superior Incompleto</v>
      </c>
      <c r="R1112" s="1" t="str">
        <f>IFERROR(__xludf.DUMMYFUNCTION("""COMPUTED_VALUE"""),"RODRIGAONUNES@GMAIL.COM")</f>
        <v>RODRIGAONUNES@GMAIL.COM</v>
      </c>
      <c r="S1112" s="1" t="str">
        <f>IFERROR(__xludf.DUMMYFUNCTION("""COMPUTED_VALUE"""),"98KG")</f>
        <v>98KG</v>
      </c>
      <c r="T1112" s="1" t="str">
        <f>IFERROR(__xludf.DUMMYFUNCTION("""COMPUTED_VALUE"""),"Entre 1,76m e 1,80m")</f>
        <v>Entre 1,76m e 1,80m</v>
      </c>
      <c r="U1112" s="1" t="str">
        <f>IFERROR(__xludf.DUMMYFUNCTION("""COMPUTED_VALUE"""),"Não POSSUI")</f>
        <v>Não POSSUI</v>
      </c>
      <c r="V1112" s="1" t="str">
        <f>IFERROR(__xludf.DUMMYFUNCTION("""COMPUTED_VALUE"""),"51 996171734")</f>
        <v>51 996171734</v>
      </c>
      <c r="W1112" s="1" t="str">
        <f>IFERROR(__xludf.DUMMYFUNCTION("""COMPUTED_VALUE"""),"51 998576609")</f>
        <v>51 998576609</v>
      </c>
      <c r="X1112" s="1" t="str">
        <f>IFERROR(__xludf.DUMMYFUNCTION("""COMPUTED_VALUE"""),"RS")</f>
        <v>RS</v>
      </c>
      <c r="Y1112" s="1" t="str">
        <f>IFERROR(__xludf.DUMMYFUNCTION("""COMPUTED_VALUE"""),"Balneário Pinhal")</f>
        <v>Balneário Pinhal</v>
      </c>
      <c r="Z1112" s="1">
        <f>IFERROR(__xludf.DUMMYFUNCTION("""COMPUTED_VALUE"""),95599000)</f>
        <v>95599000</v>
      </c>
      <c r="AA1112" s="1" t="str">
        <f>IFERROR(__xludf.DUMMYFUNCTION("""COMPUTED_VALUE"""),"TENENTE VIVALDO VIVIAN 12 13")</f>
        <v>TENENTE VIVALDO VIVIAN 12 13</v>
      </c>
      <c r="AB1112" s="1" t="str">
        <f>IFERROR(__xludf.DUMMYFUNCTION("""COMPUTED_VALUE"""),"CENTRO")</f>
        <v>CENTRO</v>
      </c>
      <c r="AC1112" s="1" t="str">
        <f>IFERROR(__xludf.DUMMYFUNCTION("""COMPUTED_VALUE"""),"GG")</f>
        <v>GG</v>
      </c>
      <c r="AD1112" s="1" t="str">
        <f>IFERROR(__xludf.DUMMYFUNCTION("""COMPUTED_VALUE"""),"GG")</f>
        <v>GG</v>
      </c>
      <c r="AE1112" s="1" t="str">
        <f>IFERROR(__xludf.DUMMYFUNCTION("""COMPUTED_VALUE"""),"GG")</f>
        <v>GG</v>
      </c>
      <c r="AF1112" s="1" t="str">
        <f>IFERROR(__xludf.DUMMYFUNCTION("""COMPUTED_VALUE"""),"GG")</f>
        <v>GG</v>
      </c>
      <c r="AG1112" s="1" t="str">
        <f>IFERROR(__xludf.DUMMYFUNCTION("""COMPUTED_VALUE"""),"GG")</f>
        <v>GG</v>
      </c>
      <c r="AH1112" s="1">
        <f>IFERROR(__xludf.DUMMYFUNCTION("""COMPUTED_VALUE"""),42)</f>
        <v>42</v>
      </c>
      <c r="AI1112" s="1">
        <f>IFERROR(__xludf.DUMMYFUNCTION("""COMPUTED_VALUE"""),42)</f>
        <v>42</v>
      </c>
      <c r="AJ1112" s="1">
        <f>IFERROR(__xludf.DUMMYFUNCTION("""COMPUTED_VALUE"""),42)</f>
        <v>42</v>
      </c>
      <c r="AK1112" s="1">
        <f>IFERROR(__xludf.DUMMYFUNCTION("""COMPUTED_VALUE"""),42)</f>
        <v>42</v>
      </c>
      <c r="AL1112" s="1" t="str">
        <f>IFERROR(__xludf.DUMMYFUNCTION("""COMPUTED_VALUE"""),"GG")</f>
        <v>GG</v>
      </c>
      <c r="AM1112" s="1" t="str">
        <f>IFERROR(__xludf.DUMMYFUNCTION("""COMPUTED_VALUE"""),"GG")</f>
        <v>GG</v>
      </c>
      <c r="AN1112" s="1" t="str">
        <f>IFERROR(__xludf.DUMMYFUNCTION("""COMPUTED_VALUE"""),"G")</f>
        <v>G</v>
      </c>
    </row>
    <row r="1113" customHeight="1" spans="1:40">
      <c r="A1113" s="1" t="str">
        <f>IFERROR(__xludf.DUMMYFUNCTION("""COMPUTED_VALUE"""),"09° BBM")</f>
        <v>09° BBM</v>
      </c>
      <c r="B1113" s="1"/>
      <c r="C1113" s="119" t="str">
        <f>IFERROR(__xludf.DUMMYFUNCTION("""COMPUTED_VALUE"""),"Inativo")</f>
        <v>Inativo</v>
      </c>
      <c r="D1113" s="1" t="str">
        <f>IFERROR(__xludf.DUMMYFUNCTION("""COMPUTED_VALUE"""),"RÚBIA LIMA TONEL")</f>
        <v>RÚBIA LIMA TONEL</v>
      </c>
      <c r="E1113" s="119" t="str">
        <f>IFERROR(__xludf.DUMMYFUNCTION("""COMPUTED_VALUE"""),"Módulo 1 concluído")</f>
        <v>Módulo 1 concluído</v>
      </c>
      <c r="F1113" s="1" t="str">
        <f>IFERROR(__xludf.DUMMYFUNCTION("""COMPUTED_VALUE"""),"003.287.030-28")</f>
        <v>003.287.030-28</v>
      </c>
      <c r="G1113" s="1"/>
      <c r="H1113" s="1"/>
      <c r="I1113" s="1"/>
      <c r="J1113" s="1"/>
      <c r="K1113" s="1"/>
      <c r="L1113" s="1"/>
      <c r="M1113" s="1"/>
      <c r="N1113" s="120"/>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row>
    <row r="1114" customHeight="1" spans="1:40">
      <c r="A1114" s="1" t="str">
        <f>IFERROR(__xludf.DUMMYFUNCTION("""COMPUTED_VALUE"""),"09° BBM")</f>
        <v>09° BBM</v>
      </c>
      <c r="B1114" s="1" t="str">
        <f>IFERROR(__xludf.DUMMYFUNCTION("""COMPUTED_VALUE"""),"Balneário Pinhal")</f>
        <v>Balneário Pinhal</v>
      </c>
      <c r="C1114" s="119" t="str">
        <f>IFERROR(__xludf.DUMMYFUNCTION("""COMPUTED_VALUE"""),"CAB")</f>
        <v>CAB</v>
      </c>
      <c r="D1114" s="1" t="str">
        <f>IFERROR(__xludf.DUMMYFUNCTION("""COMPUTED_VALUE"""),"SANDER JOSE CARVALHO FAGUNDES")</f>
        <v>SANDER JOSE CARVALHO FAGUNDES</v>
      </c>
      <c r="E1114" s="119" t="str">
        <f>IFERROR(__xludf.DUMMYFUNCTION("""COMPUTED_VALUE"""),"")</f>
        <v/>
      </c>
      <c r="F1114" s="1" t="str">
        <f>IFERROR(__xludf.DUMMYFUNCTION("""COMPUTED_VALUE"""),"009.941.260-85")</f>
        <v>009.941.260-85</v>
      </c>
      <c r="G1114" s="1">
        <f>IFERROR(__xludf.DUMMYFUNCTION("""COMPUTED_VALUE"""),7093108665)</f>
        <v>7093108665</v>
      </c>
      <c r="H1114" s="1" t="str">
        <f>IFERROR(__xludf.DUMMYFUNCTION("""COMPUTED_VALUE"""),"COMBATENTE")</f>
        <v>COMBATENTE</v>
      </c>
      <c r="I1114" s="1" t="str">
        <f>IFERROR(__xludf.DUMMYFUNCTION("""COMPUTED_VALUE"""),"APH; BLS; BOMBEIRO CIVIL CLASSE I")</f>
        <v>APH; BLS; BOMBEIRO CIVIL CLASSE I</v>
      </c>
      <c r="J1114" s="1" t="str">
        <f>IFERROR(__xludf.DUMMYFUNCTION("""COMPUTED_VALUE"""),"Não")</f>
        <v>Não</v>
      </c>
      <c r="K1114" s="1" t="str">
        <f>IFERROR(__xludf.DUMMYFUNCTION("""COMPUTED_VALUE"""),"Não")</f>
        <v>Não</v>
      </c>
      <c r="L1114" s="1"/>
      <c r="M1114" s="1" t="str">
        <f>IFERROR(__xludf.DUMMYFUNCTION("""COMPUTED_VALUE"""),"FAGUNDES")</f>
        <v>FAGUNDES</v>
      </c>
      <c r="N1114" s="120">
        <f>IFERROR(__xludf.DUMMYFUNCTION("""COMPUTED_VALUE"""),30810)</f>
        <v>30810</v>
      </c>
      <c r="O1114" s="1" t="str">
        <f>IFERROR(__xludf.DUMMYFUNCTION("""COMPUTED_VALUE"""),"Masculino")</f>
        <v>Masculino</v>
      </c>
      <c r="P1114" s="1" t="str">
        <f>IFERROR(__xludf.DUMMYFUNCTION("""COMPUTED_VALUE"""),"Branca")</f>
        <v>Branca</v>
      </c>
      <c r="Q1114" s="1" t="str">
        <f>IFERROR(__xludf.DUMMYFUNCTION("""COMPUTED_VALUE"""),"Ensino Médio")</f>
        <v>Ensino Médio</v>
      </c>
      <c r="R1114" s="1" t="str">
        <f>IFERROR(__xludf.DUMMYFUNCTION("""COMPUTED_VALUE"""),"SANDERFAGUNDES3505@GMAIL.COM")</f>
        <v>SANDERFAGUNDES3505@GMAIL.COM</v>
      </c>
      <c r="S1114" s="1" t="str">
        <f>IFERROR(__xludf.DUMMYFUNCTION("""COMPUTED_VALUE"""),"82KG")</f>
        <v>82KG</v>
      </c>
      <c r="T1114" s="1" t="str">
        <f>IFERROR(__xludf.DUMMYFUNCTION("""COMPUTED_VALUE"""),"Entre 1,66m e 1,70m")</f>
        <v>Entre 1,66m e 1,70m</v>
      </c>
      <c r="U1114" s="1" t="str">
        <f>IFERROR(__xludf.DUMMYFUNCTION("""COMPUTED_VALUE"""),"Não POSSUI")</f>
        <v>Não POSSUI</v>
      </c>
      <c r="V1114" s="1" t="str">
        <f>IFERROR(__xludf.DUMMYFUNCTION("""COMPUTED_VALUE"""),"51 995013387")</f>
        <v>51 995013387</v>
      </c>
      <c r="W1114" s="1" t="str">
        <f>IFERROR(__xludf.DUMMYFUNCTION("""COMPUTED_VALUE"""),"51 995861379")</f>
        <v>51 995861379</v>
      </c>
      <c r="X1114" s="1" t="str">
        <f>IFERROR(__xludf.DUMMYFUNCTION("""COMPUTED_VALUE"""),"RS")</f>
        <v>RS</v>
      </c>
      <c r="Y1114" s="1" t="str">
        <f>IFERROR(__xludf.DUMMYFUNCTION("""COMPUTED_VALUE"""),"Balneário Pinhal")</f>
        <v>Balneário Pinhal</v>
      </c>
      <c r="Z1114" s="1">
        <f>IFERROR(__xludf.DUMMYFUNCTION("""COMPUTED_VALUE"""),95599000)</f>
        <v>95599000</v>
      </c>
      <c r="AA1114" s="1" t="str">
        <f>IFERROR(__xludf.DUMMYFUNCTION("""COMPUTED_VALUE"""),"ITALIA 2311")</f>
        <v>ITALIA 2311</v>
      </c>
      <c r="AB1114" s="1" t="str">
        <f>IFERROR(__xludf.DUMMYFUNCTION("""COMPUTED_VALUE"""),"CENTRO")</f>
        <v>CENTRO</v>
      </c>
      <c r="AC1114" s="1" t="str">
        <f>IFERROR(__xludf.DUMMYFUNCTION("""COMPUTED_VALUE"""),"G")</f>
        <v>G</v>
      </c>
      <c r="AD1114" s="1" t="str">
        <f>IFERROR(__xludf.DUMMYFUNCTION("""COMPUTED_VALUE"""),"G")</f>
        <v>G</v>
      </c>
      <c r="AE1114" s="1" t="str">
        <f>IFERROR(__xludf.DUMMYFUNCTION("""COMPUTED_VALUE"""),"G")</f>
        <v>G</v>
      </c>
      <c r="AF1114" s="1" t="str">
        <f>IFERROR(__xludf.DUMMYFUNCTION("""COMPUTED_VALUE"""),"G")</f>
        <v>G</v>
      </c>
      <c r="AG1114" s="1" t="str">
        <f>IFERROR(__xludf.DUMMYFUNCTION("""COMPUTED_VALUE"""),"G")</f>
        <v>G</v>
      </c>
      <c r="AH1114" s="1">
        <f>IFERROR(__xludf.DUMMYFUNCTION("""COMPUTED_VALUE"""),39)</f>
        <v>39</v>
      </c>
      <c r="AI1114" s="1">
        <f>IFERROR(__xludf.DUMMYFUNCTION("""COMPUTED_VALUE"""),39)</f>
        <v>39</v>
      </c>
      <c r="AJ1114" s="1">
        <f>IFERROR(__xludf.DUMMYFUNCTION("""COMPUTED_VALUE"""),39)</f>
        <v>39</v>
      </c>
      <c r="AK1114" s="1">
        <f>IFERROR(__xludf.DUMMYFUNCTION("""COMPUTED_VALUE"""),39)</f>
        <v>39</v>
      </c>
      <c r="AL1114" s="1" t="str">
        <f>IFERROR(__xludf.DUMMYFUNCTION("""COMPUTED_VALUE"""),"G")</f>
        <v>G</v>
      </c>
      <c r="AM1114" s="1" t="str">
        <f>IFERROR(__xludf.DUMMYFUNCTION("""COMPUTED_VALUE"""),"G")</f>
        <v>G</v>
      </c>
      <c r="AN1114" s="1" t="str">
        <f>IFERROR(__xludf.DUMMYFUNCTION("""COMPUTED_VALUE"""),"G")</f>
        <v>G</v>
      </c>
    </row>
    <row r="1115" customHeight="1" spans="1:40">
      <c r="A1115" s="1" t="str">
        <f>IFERROR(__xludf.DUMMYFUNCTION("""COMPUTED_VALUE"""),"09° BBM")</f>
        <v>09° BBM</v>
      </c>
      <c r="B1115" s="1" t="str">
        <f>IFERROR(__xludf.DUMMYFUNCTION("""COMPUTED_VALUE"""),"Balneário Pinhal")</f>
        <v>Balneário Pinhal</v>
      </c>
      <c r="C1115" s="119" t="str">
        <f>IFERROR(__xludf.DUMMYFUNCTION("""COMPUTED_VALUE"""),"CAB")</f>
        <v>CAB</v>
      </c>
      <c r="D1115" s="1" t="str">
        <f>IFERROR(__xludf.DUMMYFUNCTION("""COMPUTED_VALUE"""),"SIMONE VIANA PEREIRA")</f>
        <v>SIMONE VIANA PEREIRA</v>
      </c>
      <c r="E1115" s="119" t="str">
        <f>IFERROR(__xludf.DUMMYFUNCTION("""COMPUTED_VALUE"""),"Curso CAB operador concluído")</f>
        <v>Curso CAB operador concluído</v>
      </c>
      <c r="F1115" s="1" t="str">
        <f>IFERROR(__xludf.DUMMYFUNCTION("""COMPUTED_VALUE"""),"941.852.550-04")</f>
        <v>941.852.550-04</v>
      </c>
      <c r="G1115" s="1">
        <f>IFERROR(__xludf.DUMMYFUNCTION("""COMPUTED_VALUE"""),3070760917)</f>
        <v>3070760917</v>
      </c>
      <c r="H1115" s="1" t="str">
        <f>IFERROR(__xludf.DUMMYFUNCTION("""COMPUTED_VALUE"""),"CONDUTOR D")</f>
        <v>CONDUTOR D</v>
      </c>
      <c r="I1115" s="1" t="str">
        <f>IFERROR(__xludf.DUMMYFUNCTION("""COMPUTED_VALUE"""),"APH; BLS; RESGATE VEICULAR; BREC CBMRS - TORRES; CAT D e VEÍCULO DE EMERGÊNCIA; BOMBEIRO CIVIL CLASSE I")</f>
        <v>APH; BLS; RESGATE VEICULAR; BREC CBMRS - TORRES; CAT D e VEÍCULO DE EMERGÊNCIA; BOMBEIRO CIVIL CLASSE I</v>
      </c>
      <c r="J1115" s="1" t="str">
        <f>IFERROR(__xludf.DUMMYFUNCTION("""COMPUTED_VALUE"""),"Sim")</f>
        <v>Sim</v>
      </c>
      <c r="K1115" s="1" t="str">
        <f>IFERROR(__xludf.DUMMYFUNCTION("""COMPUTED_VALUE"""),"Não")</f>
        <v>Não</v>
      </c>
      <c r="L1115" s="1" t="str">
        <f>IFERROR(__xludf.DUMMYFUNCTION("""COMPUTED_VALUE"""),"A+")</f>
        <v>A+</v>
      </c>
      <c r="M1115" s="1" t="str">
        <f>IFERROR(__xludf.DUMMYFUNCTION("""COMPUTED_VALUE"""),"VIANA")</f>
        <v>VIANA</v>
      </c>
      <c r="N1115" s="121">
        <f>IFERROR(__xludf.DUMMYFUNCTION("""COMPUTED_VALUE"""),29202)</f>
        <v>29202</v>
      </c>
      <c r="O1115" s="1" t="str">
        <f>IFERROR(__xludf.DUMMYFUNCTION("""COMPUTED_VALUE"""),"Feminino")</f>
        <v>Feminino</v>
      </c>
      <c r="P1115" s="1" t="str">
        <f>IFERROR(__xludf.DUMMYFUNCTION("""COMPUTED_VALUE"""),"Branca")</f>
        <v>Branca</v>
      </c>
      <c r="Q1115" s="1" t="str">
        <f>IFERROR(__xludf.DUMMYFUNCTION("""COMPUTED_VALUE"""),"Ensino Superior Incompleto")</f>
        <v>Ensino Superior Incompleto</v>
      </c>
      <c r="R1115" s="1" t="str">
        <f>IFERROR(__xludf.DUMMYFUNCTION("""COMPUTED_VALUE"""),"SimONEVIANA1325@GMAIL.COM")</f>
        <v>SimONEVIANA1325@GMAIL.COM</v>
      </c>
      <c r="S1115" s="1" t="str">
        <f>IFERROR(__xludf.DUMMYFUNCTION("""COMPUTED_VALUE"""),"82KG")</f>
        <v>82KG</v>
      </c>
      <c r="T1115" s="1" t="str">
        <f>IFERROR(__xludf.DUMMYFUNCTION("""COMPUTED_VALUE"""),"Entre 1,61m e 1,65m")</f>
        <v>Entre 1,61m e 1,65m</v>
      </c>
      <c r="U1115" s="1" t="str">
        <f>IFERROR(__xludf.DUMMYFUNCTION("""COMPUTED_VALUE"""),"Não POSSUI")</f>
        <v>Não POSSUI</v>
      </c>
      <c r="V1115" s="1" t="str">
        <f>IFERROR(__xludf.DUMMYFUNCTION("""COMPUTED_VALUE"""),"51 992009759")</f>
        <v>51 992009759</v>
      </c>
      <c r="W1115" s="1" t="str">
        <f>IFERROR(__xludf.DUMMYFUNCTION("""COMPUTED_VALUE"""),"51 995933447")</f>
        <v>51 995933447</v>
      </c>
      <c r="X1115" s="1" t="str">
        <f>IFERROR(__xludf.DUMMYFUNCTION("""COMPUTED_VALUE"""),"RS")</f>
        <v>RS</v>
      </c>
      <c r="Y1115" s="1" t="str">
        <f>IFERROR(__xludf.DUMMYFUNCTION("""COMPUTED_VALUE"""),"Balneário Pinhal")</f>
        <v>Balneário Pinhal</v>
      </c>
      <c r="Z1115" s="1">
        <f>IFERROR(__xludf.DUMMYFUNCTION("""COMPUTED_VALUE"""),95599000)</f>
        <v>95599000</v>
      </c>
      <c r="AA1115" s="1" t="str">
        <f>IFERROR(__xludf.DUMMYFUNCTION("""COMPUTED_VALUE"""),"LUCIANA DE ABREU 11327")</f>
        <v>LUCIANA DE ABREU 11327</v>
      </c>
      <c r="AB1115" s="1" t="str">
        <f>IFERROR(__xludf.DUMMYFUNCTION("""COMPUTED_VALUE"""),"MAGISTERIO")</f>
        <v>MAGISTERIO</v>
      </c>
      <c r="AC1115" s="1" t="str">
        <f>IFERROR(__xludf.DUMMYFUNCTION("""COMPUTED_VALUE"""),"G")</f>
        <v>G</v>
      </c>
      <c r="AD1115" s="1" t="str">
        <f>IFERROR(__xludf.DUMMYFUNCTION("""COMPUTED_VALUE"""),"G")</f>
        <v>G</v>
      </c>
      <c r="AE1115" s="1" t="str">
        <f>IFERROR(__xludf.DUMMYFUNCTION("""COMPUTED_VALUE"""),"G")</f>
        <v>G</v>
      </c>
      <c r="AF1115" s="1" t="str">
        <f>IFERROR(__xludf.DUMMYFUNCTION("""COMPUTED_VALUE"""),"G")</f>
        <v>G</v>
      </c>
      <c r="AG1115" s="1" t="str">
        <f>IFERROR(__xludf.DUMMYFUNCTION("""COMPUTED_VALUE"""),"G")</f>
        <v>G</v>
      </c>
      <c r="AH1115" s="1">
        <f>IFERROR(__xludf.DUMMYFUNCTION("""COMPUTED_VALUE"""),36)</f>
        <v>36</v>
      </c>
      <c r="AI1115" s="1">
        <f>IFERROR(__xludf.DUMMYFUNCTION("""COMPUTED_VALUE"""),36)</f>
        <v>36</v>
      </c>
      <c r="AJ1115" s="1">
        <f>IFERROR(__xludf.DUMMYFUNCTION("""COMPUTED_VALUE"""),36)</f>
        <v>36</v>
      </c>
      <c r="AK1115" s="1">
        <f>IFERROR(__xludf.DUMMYFUNCTION("""COMPUTED_VALUE"""),37)</f>
        <v>37</v>
      </c>
      <c r="AL1115" s="1" t="str">
        <f>IFERROR(__xludf.DUMMYFUNCTION("""COMPUTED_VALUE"""),"G")</f>
        <v>G</v>
      </c>
      <c r="AM1115" s="1" t="str">
        <f>IFERROR(__xludf.DUMMYFUNCTION("""COMPUTED_VALUE"""),"G")</f>
        <v>G</v>
      </c>
      <c r="AN1115" s="1" t="str">
        <f>IFERROR(__xludf.DUMMYFUNCTION("""COMPUTED_VALUE"""),"M")</f>
        <v>M</v>
      </c>
    </row>
    <row r="1116" customHeight="1" spans="1:40">
      <c r="A1116" s="1" t="str">
        <f>IFERROR(__xludf.DUMMYFUNCTION("""COMPUTED_VALUE"""),"09° BBM")</f>
        <v>09° BBM</v>
      </c>
      <c r="B1116" s="1" t="str">
        <f>IFERROR(__xludf.DUMMYFUNCTION("""COMPUTED_VALUE"""),"Arroio do Sal")</f>
        <v>Arroio do Sal</v>
      </c>
      <c r="C1116" s="119" t="str">
        <f>IFERROR(__xludf.DUMMYFUNCTION("""COMPUTED_VALUE"""),"CAB")</f>
        <v>CAB</v>
      </c>
      <c r="D1116" s="1" t="str">
        <f>IFERROR(__xludf.DUMMYFUNCTION("""COMPUTED_VALUE"""),"TIAGO ROCHA SZCSEPANIK")</f>
        <v>TIAGO ROCHA SZCSEPANIK</v>
      </c>
      <c r="E1116" s="119" t="str">
        <f>IFERROR(__xludf.DUMMYFUNCTION("""COMPUTED_VALUE"""),"Módulo 1 concluído")</f>
        <v>Módulo 1 concluído</v>
      </c>
      <c r="F1116" s="1" t="str">
        <f>IFERROR(__xludf.DUMMYFUNCTION("""COMPUTED_VALUE"""),"009.941.450-39")</f>
        <v>009.941.450-39</v>
      </c>
      <c r="G1116" s="1">
        <f>IFERROR(__xludf.DUMMYFUNCTION("""COMPUTED_VALUE"""),2064288125)</f>
        <v>2064288125</v>
      </c>
      <c r="H1116" s="1" t="str">
        <f>IFERROR(__xludf.DUMMYFUNCTION("""COMPUTED_VALUE"""),"COMBATENTE/CONDUTOR")</f>
        <v>COMBATENTE/CONDUTOR</v>
      </c>
      <c r="I1116" s="1" t="str">
        <f>IFERROR(__xludf.DUMMYFUNCTION("""COMPUTED_VALUE"""),"Combate a incêndio, Resgate veicular cbm RS, NR35, Aph, Aph avançado, Briga de incêndio, NR33, Vigia de espaço confinado, Breck, Resgate em selva, Salvamento aquático, Combate a incêndio e prevenção avançado pela Petrobrás.")</f>
        <v>Combate a incêndio, Resgate veicular cbm RS, NR35, Aph, Aph avançado, Briga de incêndio, NR33, Vigia de espaço confinado, Breck, Resgate em selva, Salvamento aquático, Combate a incêndio e prevenção avançado pela Petrobrás.</v>
      </c>
      <c r="J1116" s="1" t="str">
        <f>IFERROR(__xludf.DUMMYFUNCTION("""COMPUTED_VALUE"""),"Sim")</f>
        <v>Sim</v>
      </c>
      <c r="K1116" s="1" t="str">
        <f>IFERROR(__xludf.DUMMYFUNCTION("""COMPUTED_VALUE"""),"Sim")</f>
        <v>Sim</v>
      </c>
      <c r="L1116" s="1" t="str">
        <f>IFERROR(__xludf.DUMMYFUNCTION("""COMPUTED_VALUE"""),"O+")</f>
        <v>O+</v>
      </c>
      <c r="M1116" s="1" t="str">
        <f>IFERROR(__xludf.DUMMYFUNCTION("""COMPUTED_VALUE"""),"ROCHA")</f>
        <v>ROCHA</v>
      </c>
      <c r="N1116" s="120">
        <f>IFERROR(__xludf.DUMMYFUNCTION("""COMPUTED_VALUE"""),31073)</f>
        <v>31073</v>
      </c>
      <c r="O1116" s="1" t="str">
        <f>IFERROR(__xludf.DUMMYFUNCTION("""COMPUTED_VALUE"""),"Masculino")</f>
        <v>Masculino</v>
      </c>
      <c r="P1116" s="1" t="str">
        <f>IFERROR(__xludf.DUMMYFUNCTION("""COMPUTED_VALUE"""),"Branca")</f>
        <v>Branca</v>
      </c>
      <c r="Q1116" s="1" t="str">
        <f>IFERROR(__xludf.DUMMYFUNCTION("""COMPUTED_VALUE"""),"Ensino Superior Incompleto")</f>
        <v>Ensino Superior Incompleto</v>
      </c>
      <c r="R1116" s="1" t="str">
        <f>IFERROR(__xludf.DUMMYFUNCTION("""COMPUTED_VALUE"""),"TIAGOMARMORES@HOTMAIL.COM")</f>
        <v>TIAGOMARMORES@HOTMAIL.COM</v>
      </c>
      <c r="S1116" s="1" t="str">
        <f>IFERROR(__xludf.DUMMYFUNCTION("""COMPUTED_VALUE"""),"60 KG")</f>
        <v>60 KG</v>
      </c>
      <c r="T1116" s="1" t="str">
        <f>IFERROR(__xludf.DUMMYFUNCTION("""COMPUTED_VALUE"""),"Entre 1,61m e 1,65m")</f>
        <v>Entre 1,61m e 1,65m</v>
      </c>
      <c r="U1116" s="1" t="str">
        <f>IFERROR(__xludf.DUMMYFUNCTION("""COMPUTED_VALUE"""),"Não POSSUI")</f>
        <v>Não POSSUI</v>
      </c>
      <c r="V1116" s="1" t="str">
        <f>IFERROR(__xludf.DUMMYFUNCTION("""COMPUTED_VALUE"""),"(51) 99864-5627")</f>
        <v>(51) 99864-5627</v>
      </c>
      <c r="W1116" s="1" t="str">
        <f>IFERROR(__xludf.DUMMYFUNCTION("""COMPUTED_VALUE"""),"(51) 99304-8396")</f>
        <v>(51) 99304-8396</v>
      </c>
      <c r="X1116" s="1" t="str">
        <f>IFERROR(__xludf.DUMMYFUNCTION("""COMPUTED_VALUE"""),"RS")</f>
        <v>RS</v>
      </c>
      <c r="Y1116" s="1" t="str">
        <f>IFERROR(__xludf.DUMMYFUNCTION("""COMPUTED_VALUE"""),"Osório")</f>
        <v>Osório</v>
      </c>
      <c r="Z1116" s="1" t="str">
        <f>IFERROR(__xludf.DUMMYFUNCTION("""COMPUTED_VALUE"""),"95520-000")</f>
        <v>95520-000</v>
      </c>
      <c r="AA1116" s="1" t="str">
        <f>IFERROR(__xludf.DUMMYFUNCTION("""COMPUTED_VALUE"""),"AV. LEME, N° 1495")</f>
        <v>AV. LEME, N° 1495</v>
      </c>
      <c r="AB1116" s="1" t="str">
        <f>IFERROR(__xludf.DUMMYFUNCTION("""COMPUTED_VALUE"""),"ATLANTIDA SUL")</f>
        <v>ATLANTIDA SUL</v>
      </c>
      <c r="AC1116" s="1" t="str">
        <f>IFERROR(__xludf.DUMMYFUNCTION("""COMPUTED_VALUE"""),"P")</f>
        <v>P</v>
      </c>
      <c r="AD1116" s="1" t="str">
        <f>IFERROR(__xludf.DUMMYFUNCTION("""COMPUTED_VALUE"""),"M")</f>
        <v>M</v>
      </c>
      <c r="AE1116" s="1" t="str">
        <f>IFERROR(__xludf.DUMMYFUNCTION("""COMPUTED_VALUE"""),"M")</f>
        <v>M</v>
      </c>
      <c r="AF1116" s="1" t="str">
        <f>IFERROR(__xludf.DUMMYFUNCTION("""COMPUTED_VALUE"""),"M")</f>
        <v>M</v>
      </c>
      <c r="AG1116" s="1" t="str">
        <f>IFERROR(__xludf.DUMMYFUNCTION("""COMPUTED_VALUE"""),"P")</f>
        <v>P</v>
      </c>
      <c r="AH1116" s="1">
        <f>IFERROR(__xludf.DUMMYFUNCTION("""COMPUTED_VALUE"""),37)</f>
        <v>37</v>
      </c>
      <c r="AI1116" s="1">
        <f>IFERROR(__xludf.DUMMYFUNCTION("""COMPUTED_VALUE"""),37)</f>
        <v>37</v>
      </c>
      <c r="AJ1116" s="1">
        <f>IFERROR(__xludf.DUMMYFUNCTION("""COMPUTED_VALUE"""),37)</f>
        <v>37</v>
      </c>
      <c r="AK1116" s="1">
        <f>IFERROR(__xludf.DUMMYFUNCTION("""COMPUTED_VALUE"""),38)</f>
        <v>38</v>
      </c>
      <c r="AL1116" s="1" t="str">
        <f>IFERROR(__xludf.DUMMYFUNCTION("""COMPUTED_VALUE"""),"P")</f>
        <v>P</v>
      </c>
      <c r="AM1116" s="1" t="str">
        <f>IFERROR(__xludf.DUMMYFUNCTION("""COMPUTED_VALUE"""),"P")</f>
        <v>P</v>
      </c>
      <c r="AN1116" s="1" t="str">
        <f>IFERROR(__xludf.DUMMYFUNCTION("""COMPUTED_VALUE"""),"P")</f>
        <v>P</v>
      </c>
    </row>
    <row r="1117" customHeight="1" spans="1:40">
      <c r="A1117" s="1" t="str">
        <f>IFERROR(__xludf.DUMMYFUNCTION("""COMPUTED_VALUE"""),"09° BBM")</f>
        <v>09° BBM</v>
      </c>
      <c r="B1117" s="1" t="str">
        <f>IFERROR(__xludf.DUMMYFUNCTION("""COMPUTED_VALUE"""),"Balneário Pinhal")</f>
        <v>Balneário Pinhal</v>
      </c>
      <c r="C1117" s="119" t="str">
        <f>IFERROR(__xludf.DUMMYFUNCTION("""COMPUTED_VALUE"""),"CAB")</f>
        <v>CAB</v>
      </c>
      <c r="D1117" s="1" t="str">
        <f>IFERROR(__xludf.DUMMYFUNCTION("""COMPUTED_VALUE"""),"UBIRAJARA DA LUZ BARROS")</f>
        <v>UBIRAJARA DA LUZ BARROS</v>
      </c>
      <c r="E1117" s="119" t="str">
        <f>IFERROR(__xludf.DUMMYFUNCTION("""COMPUTED_VALUE"""),"Curso CAB operador concluído")</f>
        <v>Curso CAB operador concluído</v>
      </c>
      <c r="F1117" s="1" t="str">
        <f>IFERROR(__xludf.DUMMYFUNCTION("""COMPUTED_VALUE"""),"621.491.130-15")</f>
        <v>621.491.130-15</v>
      </c>
      <c r="G1117" s="1">
        <f>IFERROR(__xludf.DUMMYFUNCTION("""COMPUTED_VALUE"""),8052029744)</f>
        <v>8052029744</v>
      </c>
      <c r="H1117" s="1" t="str">
        <f>IFERROR(__xludf.DUMMYFUNCTION("""COMPUTED_VALUE"""),"COMBATENTE")</f>
        <v>COMBATENTE</v>
      </c>
      <c r="I1117" s="1" t="str">
        <f>IFERROR(__xludf.DUMMYFUNCTION("""COMPUTED_VALUE"""),"APH; BLS; BOMBEIRO CIVIL CLASSE I")</f>
        <v>APH; BLS; BOMBEIRO CIVIL CLASSE I</v>
      </c>
      <c r="J1117" s="1" t="str">
        <f>IFERROR(__xludf.DUMMYFUNCTION("""COMPUTED_VALUE"""),"Não")</f>
        <v>Não</v>
      </c>
      <c r="K1117" s="1" t="str">
        <f>IFERROR(__xludf.DUMMYFUNCTION("""COMPUTED_VALUE"""),"Não")</f>
        <v>Não</v>
      </c>
      <c r="L1117" s="1" t="str">
        <f>IFERROR(__xludf.DUMMYFUNCTION("""COMPUTED_VALUE"""),"A+")</f>
        <v>A+</v>
      </c>
      <c r="M1117" s="1" t="str">
        <f>IFERROR(__xludf.DUMMYFUNCTION("""COMPUTED_VALUE"""),"UBIRAJARA")</f>
        <v>UBIRAJARA</v>
      </c>
      <c r="N1117" s="121">
        <f>IFERROR(__xludf.DUMMYFUNCTION("""COMPUTED_VALUE"""),26236)</f>
        <v>26236</v>
      </c>
      <c r="O1117" s="1" t="str">
        <f>IFERROR(__xludf.DUMMYFUNCTION("""COMPUTED_VALUE"""),"Masculino")</f>
        <v>Masculino</v>
      </c>
      <c r="P1117" s="1" t="str">
        <f>IFERROR(__xludf.DUMMYFUNCTION("""COMPUTED_VALUE"""),"Branca")</f>
        <v>Branca</v>
      </c>
      <c r="Q1117" s="1" t="str">
        <f>IFERROR(__xludf.DUMMYFUNCTION("""COMPUTED_VALUE"""),"Ensino Médio")</f>
        <v>Ensino Médio</v>
      </c>
      <c r="R1117" s="1" t="str">
        <f>IFERROR(__xludf.DUMMYFUNCTION("""COMPUTED_VALUE"""),"UBIRAJARABARROS241@GMAIL.COM")</f>
        <v>UBIRAJARABARROS241@GMAIL.COM</v>
      </c>
      <c r="S1117" s="1" t="str">
        <f>IFERROR(__xludf.DUMMYFUNCTION("""COMPUTED_VALUE"""),"68KG")</f>
        <v>68KG</v>
      </c>
      <c r="T1117" s="1" t="str">
        <f>IFERROR(__xludf.DUMMYFUNCTION("""COMPUTED_VALUE"""),"Entre 1,66m e 1,70m")</f>
        <v>Entre 1,66m e 1,70m</v>
      </c>
      <c r="U1117" s="1" t="str">
        <f>IFERROR(__xludf.DUMMYFUNCTION("""COMPUTED_VALUE"""),"Não POSSUI")</f>
        <v>Não POSSUI</v>
      </c>
      <c r="V1117" s="1" t="str">
        <f>IFERROR(__xludf.DUMMYFUNCTION("""COMPUTED_VALUE"""),"51 991546621")</f>
        <v>51 991546621</v>
      </c>
      <c r="W1117" s="1">
        <f>IFERROR(__xludf.DUMMYFUNCTION("""COMPUTED_VALUE"""),5197292518)</f>
        <v>5197292518</v>
      </c>
      <c r="X1117" s="1" t="str">
        <f>IFERROR(__xludf.DUMMYFUNCTION("""COMPUTED_VALUE"""),"RS")</f>
        <v>RS</v>
      </c>
      <c r="Y1117" s="1" t="str">
        <f>IFERROR(__xludf.DUMMYFUNCTION("""COMPUTED_VALUE"""),"Balneário Pinhal")</f>
        <v>Balneário Pinhal</v>
      </c>
      <c r="Z1117" s="1">
        <f>IFERROR(__xludf.DUMMYFUNCTION("""COMPUTED_VALUE"""),95599000)</f>
        <v>95599000</v>
      </c>
      <c r="AA1117" s="1" t="str">
        <f>IFERROR(__xludf.DUMMYFUNCTION("""COMPUTED_VALUE"""),"OSORIO 1684")</f>
        <v>OSORIO 1684</v>
      </c>
      <c r="AB1117" s="1" t="str">
        <f>IFERROR(__xludf.DUMMYFUNCTION("""COMPUTED_VALUE"""),"MAGISTERIO")</f>
        <v>MAGISTERIO</v>
      </c>
      <c r="AC1117" s="1" t="str">
        <f>IFERROR(__xludf.DUMMYFUNCTION("""COMPUTED_VALUE"""),"G")</f>
        <v>G</v>
      </c>
      <c r="AD1117" s="1" t="str">
        <f>IFERROR(__xludf.DUMMYFUNCTION("""COMPUTED_VALUE"""),"G")</f>
        <v>G</v>
      </c>
      <c r="AE1117" s="1" t="str">
        <f>IFERROR(__xludf.DUMMYFUNCTION("""COMPUTED_VALUE"""),"G")</f>
        <v>G</v>
      </c>
      <c r="AF1117" s="1" t="str">
        <f>IFERROR(__xludf.DUMMYFUNCTION("""COMPUTED_VALUE"""),"G")</f>
        <v>G</v>
      </c>
      <c r="AG1117" s="1" t="str">
        <f>IFERROR(__xludf.DUMMYFUNCTION("""COMPUTED_VALUE"""),"G")</f>
        <v>G</v>
      </c>
      <c r="AH1117" s="1">
        <f>IFERROR(__xludf.DUMMYFUNCTION("""COMPUTED_VALUE"""),40)</f>
        <v>40</v>
      </c>
      <c r="AI1117" s="1">
        <f>IFERROR(__xludf.DUMMYFUNCTION("""COMPUTED_VALUE"""),40)</f>
        <v>40</v>
      </c>
      <c r="AJ1117" s="1">
        <f>IFERROR(__xludf.DUMMYFUNCTION("""COMPUTED_VALUE"""),40)</f>
        <v>40</v>
      </c>
      <c r="AK1117" s="1">
        <f>IFERROR(__xludf.DUMMYFUNCTION("""COMPUTED_VALUE"""),40)</f>
        <v>40</v>
      </c>
      <c r="AL1117" s="1" t="str">
        <f>IFERROR(__xludf.DUMMYFUNCTION("""COMPUTED_VALUE"""),"G")</f>
        <v>G</v>
      </c>
      <c r="AM1117" s="1" t="str">
        <f>IFERROR(__xludf.DUMMYFUNCTION("""COMPUTED_VALUE"""),"G")</f>
        <v>G</v>
      </c>
      <c r="AN1117" s="1" t="str">
        <f>IFERROR(__xludf.DUMMYFUNCTION("""COMPUTED_VALUE"""),"M")</f>
        <v>M</v>
      </c>
    </row>
    <row r="1118" customHeight="1" spans="1:40">
      <c r="A1118" s="1" t="str">
        <f>IFERROR(__xludf.DUMMYFUNCTION("""COMPUTED_VALUE"""),"09° BBM")</f>
        <v>09° BBM</v>
      </c>
      <c r="B1118" s="1" t="str">
        <f>IFERROR(__xludf.DUMMYFUNCTION("""COMPUTED_VALUE"""),"Balneário Pinhal")</f>
        <v>Balneário Pinhal</v>
      </c>
      <c r="C1118" s="119" t="str">
        <f>IFERROR(__xludf.DUMMYFUNCTION("""COMPUTED_VALUE"""),"CAB")</f>
        <v>CAB</v>
      </c>
      <c r="D1118" s="1" t="str">
        <f>IFERROR(__xludf.DUMMYFUNCTION("""COMPUTED_VALUE"""),"VALTER JUNIOR LUMERTZ")</f>
        <v>VALTER JUNIOR LUMERTZ</v>
      </c>
      <c r="E1118" s="119" t="str">
        <f>IFERROR(__xludf.DUMMYFUNCTION("""COMPUTED_VALUE"""),"")</f>
        <v/>
      </c>
      <c r="F1118" s="1" t="str">
        <f>IFERROR(__xludf.DUMMYFUNCTION("""COMPUTED_VALUE"""),"020.672.490-02")</f>
        <v>020.672.490-02</v>
      </c>
      <c r="G1118" s="1">
        <f>IFERROR(__xludf.DUMMYFUNCTION("""COMPUTED_VALUE"""),2097639104)</f>
        <v>2097639104</v>
      </c>
      <c r="H1118" s="1" t="str">
        <f>IFERROR(__xludf.DUMMYFUNCTION("""COMPUTED_VALUE"""),"SOCORRISTA")</f>
        <v>SOCORRISTA</v>
      </c>
      <c r="I1118" s="1" t="str">
        <f>IFERROR(__xludf.DUMMYFUNCTION("""COMPUTED_VALUE"""),"APH; BLS; BOMBEIRO CIVIL CLASSE I")</f>
        <v>APH; BLS; BOMBEIRO CIVIL CLASSE I</v>
      </c>
      <c r="J1118" s="1" t="str">
        <f>IFERROR(__xludf.DUMMYFUNCTION("""COMPUTED_VALUE"""),"Não")</f>
        <v>Não</v>
      </c>
      <c r="K1118" s="1" t="str">
        <f>IFERROR(__xludf.DUMMYFUNCTION("""COMPUTED_VALUE"""),"Não")</f>
        <v>Não</v>
      </c>
      <c r="L1118" s="1" t="str">
        <f>IFERROR(__xludf.DUMMYFUNCTION("""COMPUTED_VALUE"""),"A-")</f>
        <v>A-</v>
      </c>
      <c r="M1118" s="1" t="str">
        <f>IFERROR(__xludf.DUMMYFUNCTION("""COMPUTED_VALUE"""),"LUMERTZ")</f>
        <v>LUMERTZ</v>
      </c>
      <c r="N1118" s="120">
        <f>IFERROR(__xludf.DUMMYFUNCTION("""COMPUTED_VALUE"""),32816)</f>
        <v>32816</v>
      </c>
      <c r="O1118" s="1" t="str">
        <f>IFERROR(__xludf.DUMMYFUNCTION("""COMPUTED_VALUE"""),"Masculino")</f>
        <v>Masculino</v>
      </c>
      <c r="P1118" s="1" t="str">
        <f>IFERROR(__xludf.DUMMYFUNCTION("""COMPUTED_VALUE"""),"Branca")</f>
        <v>Branca</v>
      </c>
      <c r="Q1118" s="1" t="str">
        <f>IFERROR(__xludf.DUMMYFUNCTION("""COMPUTED_VALUE"""),"Ensino Médio")</f>
        <v>Ensino Médio</v>
      </c>
      <c r="R1118" s="1" t="str">
        <f>IFERROR(__xludf.DUMMYFUNCTION("""COMPUTED_VALUE"""),"JUNIORLUMERTZ213@GMAIL.COM")</f>
        <v>JUNIORLUMERTZ213@GMAIL.COM</v>
      </c>
      <c r="S1118" s="1" t="str">
        <f>IFERROR(__xludf.DUMMYFUNCTION("""COMPUTED_VALUE"""),"90KG")</f>
        <v>90KG</v>
      </c>
      <c r="T1118" s="1" t="str">
        <f>IFERROR(__xludf.DUMMYFUNCTION("""COMPUTED_VALUE"""),"Entre 1,71m e 1,75m")</f>
        <v>Entre 1,71m e 1,75m</v>
      </c>
      <c r="U1118" s="1" t="str">
        <f>IFERROR(__xludf.DUMMYFUNCTION("""COMPUTED_VALUE"""),"Não POSSUI")</f>
        <v>Não POSSUI</v>
      </c>
      <c r="V1118" s="1" t="str">
        <f>IFERROR(__xludf.DUMMYFUNCTION("""COMPUTED_VALUE"""),"51 9985366672")</f>
        <v>51 9985366672</v>
      </c>
      <c r="W1118" s="1" t="str">
        <f>IFERROR(__xludf.DUMMYFUNCTION("""COMPUTED_VALUE"""),"51 995960929")</f>
        <v>51 995960929</v>
      </c>
      <c r="X1118" s="1" t="str">
        <f>IFERROR(__xludf.DUMMYFUNCTION("""COMPUTED_VALUE"""),"RS")</f>
        <v>RS</v>
      </c>
      <c r="Y1118" s="1" t="str">
        <f>IFERROR(__xludf.DUMMYFUNCTION("""COMPUTED_VALUE"""),"Tramandaí")</f>
        <v>Tramandaí</v>
      </c>
      <c r="Z1118" s="1">
        <f>IFERROR(__xludf.DUMMYFUNCTION("""COMPUTED_VALUE"""),95590000)</f>
        <v>95590000</v>
      </c>
      <c r="AA1118" s="1" t="str">
        <f>IFERROR(__xludf.DUMMYFUNCTION("""COMPUTED_VALUE"""),"NOVA 29")</f>
        <v>NOVA 29</v>
      </c>
      <c r="AB1118" s="1" t="str">
        <f>IFERROR(__xludf.DUMMYFUNCTION("""COMPUTED_VALUE"""),"PARQUE EMBOABA")</f>
        <v>PARQUE EMBOABA</v>
      </c>
      <c r="AC1118" s="1" t="str">
        <f>IFERROR(__xludf.DUMMYFUNCTION("""COMPUTED_VALUE"""),"G")</f>
        <v>G</v>
      </c>
      <c r="AD1118" s="1" t="str">
        <f>IFERROR(__xludf.DUMMYFUNCTION("""COMPUTED_VALUE"""),"G")</f>
        <v>G</v>
      </c>
      <c r="AE1118" s="1" t="str">
        <f>IFERROR(__xludf.DUMMYFUNCTION("""COMPUTED_VALUE"""),"EXG")</f>
        <v>EXG</v>
      </c>
      <c r="AF1118" s="1" t="str">
        <f>IFERROR(__xludf.DUMMYFUNCTION("""COMPUTED_VALUE"""),"EXG")</f>
        <v>EXG</v>
      </c>
      <c r="AG1118" s="1" t="str">
        <f>IFERROR(__xludf.DUMMYFUNCTION("""COMPUTED_VALUE"""),"G")</f>
        <v>G</v>
      </c>
      <c r="AH1118" s="1">
        <f>IFERROR(__xludf.DUMMYFUNCTION("""COMPUTED_VALUE"""),41)</f>
        <v>41</v>
      </c>
      <c r="AI1118" s="1">
        <f>IFERROR(__xludf.DUMMYFUNCTION("""COMPUTED_VALUE"""),41)</f>
        <v>41</v>
      </c>
      <c r="AJ1118" s="1">
        <f>IFERROR(__xludf.DUMMYFUNCTION("""COMPUTED_VALUE"""),41)</f>
        <v>41</v>
      </c>
      <c r="AK1118" s="1">
        <f>IFERROR(__xludf.DUMMYFUNCTION("""COMPUTED_VALUE"""),41)</f>
        <v>41</v>
      </c>
      <c r="AL1118" s="1" t="str">
        <f>IFERROR(__xludf.DUMMYFUNCTION("""COMPUTED_VALUE"""),"GG")</f>
        <v>GG</v>
      </c>
      <c r="AM1118" s="1" t="str">
        <f>IFERROR(__xludf.DUMMYFUNCTION("""COMPUTED_VALUE"""),"GG")</f>
        <v>GG</v>
      </c>
      <c r="AN1118" s="1" t="str">
        <f>IFERROR(__xludf.DUMMYFUNCTION("""COMPUTED_VALUE"""),"G")</f>
        <v>G</v>
      </c>
    </row>
    <row r="1119" customHeight="1" spans="1:40">
      <c r="A1119" s="1"/>
      <c r="B1119" s="1"/>
      <c r="C1119" s="119"/>
      <c r="D1119" s="1" t="str">
        <f>IFERROR(__xludf.DUMMYFUNCTION("""COMPUTED_VALUE"""),"VANDERLEIA DORNELLES CHAMORRA")</f>
        <v>VANDERLEIA DORNELLES CHAMORRA</v>
      </c>
      <c r="E1119" s="1" t="str">
        <f>IFERROR(__xludf.DUMMYFUNCTION("""COMPUTED_VALUE"""),"Módulo 1 concluído")</f>
        <v>Módulo 1 concluído</v>
      </c>
      <c r="F1119" s="1" t="str">
        <f>IFERROR(__xludf.DUMMYFUNCTION("""COMPUTED_VALUE"""),"012796590-41")</f>
        <v>012796590-41</v>
      </c>
      <c r="G1119" s="1"/>
      <c r="H1119" s="1"/>
      <c r="I1119" s="1"/>
      <c r="J1119" s="1"/>
      <c r="K1119" s="1"/>
      <c r="L1119" s="1"/>
      <c r="M1119" s="1"/>
      <c r="N1119" s="120"/>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row>
    <row r="1120" customHeight="1" spans="1:40">
      <c r="A1120" s="1" t="str">
        <f>IFERROR(__xludf.DUMMYFUNCTION("""COMPUTED_VALUE"""),"09° BBM")</f>
        <v>09° BBM</v>
      </c>
      <c r="B1120" s="1"/>
      <c r="C1120" s="119" t="str">
        <f>IFERROR(__xludf.DUMMYFUNCTION("""COMPUTED_VALUE"""),"Inativo")</f>
        <v>Inativo</v>
      </c>
      <c r="D1120" s="1" t="str">
        <f>IFERROR(__xludf.DUMMYFUNCTION("""COMPUTED_VALUE"""),"VICTORIA CURTINAZ DIAS")</f>
        <v>VICTORIA CURTINAZ DIAS</v>
      </c>
      <c r="E1120" s="119" t="str">
        <f>IFERROR(__xludf.DUMMYFUNCTION("""COMPUTED_VALUE"""),"Módulo 1 concluído")</f>
        <v>Módulo 1 concluído</v>
      </c>
      <c r="F1120" s="1" t="str">
        <f>IFERROR(__xludf.DUMMYFUNCTION("""COMPUTED_VALUE"""),"863.131.850-72")</f>
        <v>863.131.850-72</v>
      </c>
      <c r="G1120" s="1"/>
      <c r="H1120" s="1"/>
      <c r="I1120" s="1"/>
      <c r="J1120" s="1"/>
      <c r="K1120" s="1"/>
      <c r="L1120" s="1"/>
      <c r="M1120" s="1"/>
      <c r="N1120" s="120"/>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row>
    <row r="1121" customHeight="1" spans="1:40">
      <c r="A1121" s="1" t="str">
        <f>IFERROR(__xludf.DUMMYFUNCTION("""COMPUTED_VALUE"""),"09° BBM")</f>
        <v>09° BBM</v>
      </c>
      <c r="B1121" s="1" t="str">
        <f>IFERROR(__xludf.DUMMYFUNCTION("""COMPUTED_VALUE"""),"Balneário Pinhal")</f>
        <v>Balneário Pinhal</v>
      </c>
      <c r="C1121" s="119" t="str">
        <f>IFERROR(__xludf.DUMMYFUNCTION("""COMPUTED_VALUE"""),"CAB")</f>
        <v>CAB</v>
      </c>
      <c r="D1121" s="1" t="str">
        <f>IFERROR(__xludf.DUMMYFUNCTION("""COMPUTED_VALUE"""),"VITOR CORREA ESPINDOLA")</f>
        <v>VITOR CORREA ESPINDOLA</v>
      </c>
      <c r="E1121" s="119" t="str">
        <f>IFERROR(__xludf.DUMMYFUNCTION("""COMPUTED_VALUE"""),"Módulo 1 concluído")</f>
        <v>Módulo 1 concluído</v>
      </c>
      <c r="F1121" s="1" t="str">
        <f>IFERROR(__xludf.DUMMYFUNCTION("""COMPUTED_VALUE"""),"027.429.980-12")</f>
        <v>027.429.980-12</v>
      </c>
      <c r="G1121" s="1">
        <f>IFERROR(__xludf.DUMMYFUNCTION("""COMPUTED_VALUE"""),1111545396)</f>
        <v>1111545396</v>
      </c>
      <c r="H1121" s="1" t="str">
        <f>IFERROR(__xludf.DUMMYFUNCTION("""COMPUTED_VALUE"""),"SOCORRISTA")</f>
        <v>SOCORRISTA</v>
      </c>
      <c r="I1121" s="1" t="str">
        <f>IFERROR(__xludf.DUMMYFUNCTION("""COMPUTED_VALUE"""),"APH; BLS; BOMBEIRO CIVIL CLASSE I")</f>
        <v>APH; BLS; BOMBEIRO CIVIL CLASSE I</v>
      </c>
      <c r="J1121" s="1" t="str">
        <f>IFERROR(__xludf.DUMMYFUNCTION("""COMPUTED_VALUE"""),"Não")</f>
        <v>Não</v>
      </c>
      <c r="K1121" s="1" t="str">
        <f>IFERROR(__xludf.DUMMYFUNCTION("""COMPUTED_VALUE"""),"Não")</f>
        <v>Não</v>
      </c>
      <c r="L1121" s="1" t="str">
        <f>IFERROR(__xludf.DUMMYFUNCTION("""COMPUTED_VALUE"""),"O-")</f>
        <v>O-</v>
      </c>
      <c r="M1121" s="1" t="str">
        <f>IFERROR(__xludf.DUMMYFUNCTION("""COMPUTED_VALUE"""),"CORREA")</f>
        <v>CORREA</v>
      </c>
      <c r="N1121" s="121">
        <f>IFERROR(__xludf.DUMMYFUNCTION("""COMPUTED_VALUE"""),34332)</f>
        <v>34332</v>
      </c>
      <c r="O1121" s="1" t="str">
        <f>IFERROR(__xludf.DUMMYFUNCTION("""COMPUTED_VALUE"""),"Masculino")</f>
        <v>Masculino</v>
      </c>
      <c r="P1121" s="1" t="str">
        <f>IFERROR(__xludf.DUMMYFUNCTION("""COMPUTED_VALUE"""),"Branca")</f>
        <v>Branca</v>
      </c>
      <c r="Q1121" s="1" t="str">
        <f>IFERROR(__xludf.DUMMYFUNCTION("""COMPUTED_VALUE"""),"Ensino Superior Incompleto")</f>
        <v>Ensino Superior Incompleto</v>
      </c>
      <c r="R1121" s="1" t="str">
        <f>IFERROR(__xludf.DUMMYFUNCTION("""COMPUTED_VALUE"""),"VITORCORREAESPINDULA@OUTLOOK.COM")</f>
        <v>VITORCORREAESPINDULA@OUTLOOK.COM</v>
      </c>
      <c r="S1121" s="1" t="str">
        <f>IFERROR(__xludf.DUMMYFUNCTION("""COMPUTED_VALUE"""),"115KG")</f>
        <v>115KG</v>
      </c>
      <c r="T1121" s="1" t="str">
        <f>IFERROR(__xludf.DUMMYFUNCTION("""COMPUTED_VALUE"""),"Entre 1,86m e 1,90m")</f>
        <v>Entre 1,86m e 1,90m</v>
      </c>
      <c r="U1121" s="1" t="str">
        <f>IFERROR(__xludf.DUMMYFUNCTION("""COMPUTED_VALUE"""),"Não POSSUI")</f>
        <v>Não POSSUI</v>
      </c>
      <c r="V1121" s="1" t="str">
        <f>IFERROR(__xludf.DUMMYFUNCTION("""COMPUTED_VALUE"""),"51 9983241766")</f>
        <v>51 9983241766</v>
      </c>
      <c r="W1121" s="1" t="str">
        <f>IFERROR(__xludf.DUMMYFUNCTION("""COMPUTED_VALUE"""),"51 981768934")</f>
        <v>51 981768934</v>
      </c>
      <c r="X1121" s="1" t="str">
        <f>IFERROR(__xludf.DUMMYFUNCTION("""COMPUTED_VALUE"""),"RS")</f>
        <v>RS</v>
      </c>
      <c r="Y1121" s="1" t="str">
        <f>IFERROR(__xludf.DUMMYFUNCTION("""COMPUTED_VALUE"""),"Tramandaí")</f>
        <v>Tramandaí</v>
      </c>
      <c r="Z1121" s="1">
        <f>IFERROR(__xludf.DUMMYFUNCTION("""COMPUTED_VALUE"""),95590000)</f>
        <v>95590000</v>
      </c>
      <c r="AA1121" s="1" t="str">
        <f>IFERROR(__xludf.DUMMYFUNCTION("""COMPUTED_VALUE"""),"CARLOS ALBERTO WEISSEMER 46")</f>
        <v>CARLOS ALBERTO WEISSEMER 46</v>
      </c>
      <c r="AB1121" s="1" t="str">
        <f>IFERROR(__xludf.DUMMYFUNCTION("""COMPUTED_VALUE"""),"CRUZEIRO")</f>
        <v>CRUZEIRO</v>
      </c>
      <c r="AC1121" s="1" t="str">
        <f>IFERROR(__xludf.DUMMYFUNCTION("""COMPUTED_VALUE"""),"GG")</f>
        <v>GG</v>
      </c>
      <c r="AD1121" s="1" t="str">
        <f>IFERROR(__xludf.DUMMYFUNCTION("""COMPUTED_VALUE"""),"EXG")</f>
        <v>EXG</v>
      </c>
      <c r="AE1121" s="1" t="str">
        <f>IFERROR(__xludf.DUMMYFUNCTION("""COMPUTED_VALUE"""),"EXG")</f>
        <v>EXG</v>
      </c>
      <c r="AF1121" s="1" t="str">
        <f>IFERROR(__xludf.DUMMYFUNCTION("""COMPUTED_VALUE"""),"EXG")</f>
        <v>EXG</v>
      </c>
      <c r="AG1121" s="1" t="str">
        <f>IFERROR(__xludf.DUMMYFUNCTION("""COMPUTED_VALUE"""),"EXG")</f>
        <v>EXG</v>
      </c>
      <c r="AH1121" s="1">
        <f>IFERROR(__xludf.DUMMYFUNCTION("""COMPUTED_VALUE"""),43)</f>
        <v>43</v>
      </c>
      <c r="AI1121" s="1">
        <f>IFERROR(__xludf.DUMMYFUNCTION("""COMPUTED_VALUE"""),43)</f>
        <v>43</v>
      </c>
      <c r="AJ1121" s="1">
        <f>IFERROR(__xludf.DUMMYFUNCTION("""COMPUTED_VALUE"""),43)</f>
        <v>43</v>
      </c>
      <c r="AK1121" s="1">
        <f>IFERROR(__xludf.DUMMYFUNCTION("""COMPUTED_VALUE"""),43)</f>
        <v>43</v>
      </c>
      <c r="AL1121" s="1" t="str">
        <f>IFERROR(__xludf.DUMMYFUNCTION("""COMPUTED_VALUE"""),"GG")</f>
        <v>GG</v>
      </c>
      <c r="AM1121" s="1" t="str">
        <f>IFERROR(__xludf.DUMMYFUNCTION("""COMPUTED_VALUE"""),"GG")</f>
        <v>GG</v>
      </c>
      <c r="AN1121" s="1" t="str">
        <f>IFERROR(__xludf.DUMMYFUNCTION("""COMPUTED_VALUE"""),"G")</f>
        <v>G</v>
      </c>
    </row>
    <row r="1122" customHeight="1" spans="1:40">
      <c r="A1122" s="1" t="str">
        <f>IFERROR(__xludf.DUMMYFUNCTION("""COMPUTED_VALUE"""),"09° BBM")</f>
        <v>09° BBM</v>
      </c>
      <c r="B1122" s="1" t="str">
        <f>IFERROR(__xludf.DUMMYFUNCTION("""COMPUTED_VALUE"""),"Balneário Pinhal")</f>
        <v>Balneário Pinhal</v>
      </c>
      <c r="C1122" s="119" t="str">
        <f>IFERROR(__xludf.DUMMYFUNCTION("""COMPUTED_VALUE"""),"CAB")</f>
        <v>CAB</v>
      </c>
      <c r="D1122" s="1" t="str">
        <f>IFERROR(__xludf.DUMMYFUNCTION("""COMPUTED_VALUE"""),"VIVIANE PETZOLD")</f>
        <v>VIVIANE PETZOLD</v>
      </c>
      <c r="E1122" s="119" t="str">
        <f>IFERROR(__xludf.DUMMYFUNCTION("""COMPUTED_VALUE"""),"")</f>
        <v/>
      </c>
      <c r="F1122" s="1" t="str">
        <f>IFERROR(__xludf.DUMMYFUNCTION("""COMPUTED_VALUE"""),"621.920.600-25")</f>
        <v>621.920.600-25</v>
      </c>
      <c r="G1122" s="1">
        <f>IFERROR(__xludf.DUMMYFUNCTION("""COMPUTED_VALUE"""),6054603599)</f>
        <v>6054603599</v>
      </c>
      <c r="H1122" s="1" t="str">
        <f>IFERROR(__xludf.DUMMYFUNCTION("""COMPUTED_VALUE"""),"SOCORRISTA")</f>
        <v>SOCORRISTA</v>
      </c>
      <c r="I1122" s="1" t="str">
        <f>IFERROR(__xludf.DUMMYFUNCTION("""COMPUTED_VALUE"""),"APH; BLS; BOMBEIRO CIVIL CLASSE I")</f>
        <v>APH; BLS; BOMBEIRO CIVIL CLASSE I</v>
      </c>
      <c r="J1122" s="1" t="str">
        <f>IFERROR(__xludf.DUMMYFUNCTION("""COMPUTED_VALUE"""),"Não")</f>
        <v>Não</v>
      </c>
      <c r="K1122" s="1" t="str">
        <f>IFERROR(__xludf.DUMMYFUNCTION("""COMPUTED_VALUE"""),"Não")</f>
        <v>Não</v>
      </c>
      <c r="L1122" s="1" t="str">
        <f>IFERROR(__xludf.DUMMYFUNCTION("""COMPUTED_VALUE"""),"O-")</f>
        <v>O-</v>
      </c>
      <c r="M1122" s="1" t="str">
        <f>IFERROR(__xludf.DUMMYFUNCTION("""COMPUTED_VALUE"""),"PETZOLD")</f>
        <v>PETZOLD</v>
      </c>
      <c r="N1122" s="120">
        <f>IFERROR(__xludf.DUMMYFUNCTION("""COMPUTED_VALUE"""),26032)</f>
        <v>26032</v>
      </c>
      <c r="O1122" s="1" t="str">
        <f>IFERROR(__xludf.DUMMYFUNCTION("""COMPUTED_VALUE"""),"Feminino")</f>
        <v>Feminino</v>
      </c>
      <c r="P1122" s="1" t="str">
        <f>IFERROR(__xludf.DUMMYFUNCTION("""COMPUTED_VALUE"""),"Branca")</f>
        <v>Branca</v>
      </c>
      <c r="Q1122" s="1" t="str">
        <f>IFERROR(__xludf.DUMMYFUNCTION("""COMPUTED_VALUE"""),"Ensino Médio")</f>
        <v>Ensino Médio</v>
      </c>
      <c r="R1122" s="1" t="str">
        <f>IFERROR(__xludf.DUMMYFUNCTION("""COMPUTED_VALUE"""),"VIVIANEPETZOLD087@GMAIL.COM")</f>
        <v>VIVIANEPETZOLD087@GMAIL.COM</v>
      </c>
      <c r="S1122" s="1" t="str">
        <f>IFERROR(__xludf.DUMMYFUNCTION("""COMPUTED_VALUE"""),"63KG")</f>
        <v>63KG</v>
      </c>
      <c r="T1122" s="1" t="str">
        <f>IFERROR(__xludf.DUMMYFUNCTION("""COMPUTED_VALUE"""),"Entre 1,66m e 1,70m")</f>
        <v>Entre 1,66m e 1,70m</v>
      </c>
      <c r="U1122" s="1" t="str">
        <f>IFERROR(__xludf.DUMMYFUNCTION("""COMPUTED_VALUE"""),"Não POSSUI")</f>
        <v>Não POSSUI</v>
      </c>
      <c r="V1122" s="1" t="str">
        <f>IFERROR(__xludf.DUMMYFUNCTION("""COMPUTED_VALUE"""),"51 993057790")</f>
        <v>51 993057790</v>
      </c>
      <c r="W1122" s="1" t="str">
        <f>IFERROR(__xludf.DUMMYFUNCTION("""COMPUTED_VALUE"""),"51 989289538")</f>
        <v>51 989289538</v>
      </c>
      <c r="X1122" s="1" t="str">
        <f>IFERROR(__xludf.DUMMYFUNCTION("""COMPUTED_VALUE"""),"RS")</f>
        <v>RS</v>
      </c>
      <c r="Y1122" s="1" t="str">
        <f>IFERROR(__xludf.DUMMYFUNCTION("""COMPUTED_VALUE"""),"Tramandaí")</f>
        <v>Tramandaí</v>
      </c>
      <c r="Z1122" s="1">
        <f>IFERROR(__xludf.DUMMYFUNCTION("""COMPUTED_VALUE"""),95590000)</f>
        <v>95590000</v>
      </c>
      <c r="AA1122" s="1" t="str">
        <f>IFERROR(__xludf.DUMMYFUNCTION("""COMPUTED_VALUE"""),"EMANCIPAÇÃO 99 APT 605")</f>
        <v>EMANCIPAÇÃO 99 APT 605</v>
      </c>
      <c r="AB1122" s="1" t="str">
        <f>IFERROR(__xludf.DUMMYFUNCTION("""COMPUTED_VALUE"""),"CENTRO")</f>
        <v>CENTRO</v>
      </c>
      <c r="AC1122" s="1" t="str">
        <f>IFERROR(__xludf.DUMMYFUNCTION("""COMPUTED_VALUE"""),"M")</f>
        <v>M</v>
      </c>
      <c r="AD1122" s="1" t="str">
        <f>IFERROR(__xludf.DUMMYFUNCTION("""COMPUTED_VALUE"""),"M")</f>
        <v>M</v>
      </c>
      <c r="AE1122" s="1" t="str">
        <f>IFERROR(__xludf.DUMMYFUNCTION("""COMPUTED_VALUE"""),"M")</f>
        <v>M</v>
      </c>
      <c r="AF1122" s="1" t="str">
        <f>IFERROR(__xludf.DUMMYFUNCTION("""COMPUTED_VALUE"""),"M")</f>
        <v>M</v>
      </c>
      <c r="AG1122" s="1" t="str">
        <f>IFERROR(__xludf.DUMMYFUNCTION("""COMPUTED_VALUE"""),"M")</f>
        <v>M</v>
      </c>
      <c r="AH1122" s="1">
        <f>IFERROR(__xludf.DUMMYFUNCTION("""COMPUTED_VALUE"""),37)</f>
        <v>37</v>
      </c>
      <c r="AI1122" s="1">
        <f>IFERROR(__xludf.DUMMYFUNCTION("""COMPUTED_VALUE"""),37)</f>
        <v>37</v>
      </c>
      <c r="AJ1122" s="1">
        <f>IFERROR(__xludf.DUMMYFUNCTION("""COMPUTED_VALUE"""),37)</f>
        <v>37</v>
      </c>
      <c r="AK1122" s="1">
        <f>IFERROR(__xludf.DUMMYFUNCTION("""COMPUTED_VALUE"""),37)</f>
        <v>37</v>
      </c>
      <c r="AL1122" s="1" t="str">
        <f>IFERROR(__xludf.DUMMYFUNCTION("""COMPUTED_VALUE"""),"M")</f>
        <v>M</v>
      </c>
      <c r="AM1122" s="1" t="str">
        <f>IFERROR(__xludf.DUMMYFUNCTION("""COMPUTED_VALUE"""),"M")</f>
        <v>M</v>
      </c>
      <c r="AN1122" s="1" t="str">
        <f>IFERROR(__xludf.DUMMYFUNCTION("""COMPUTED_VALUE"""),"M")</f>
        <v>M</v>
      </c>
    </row>
    <row r="1159" customHeight="1" spans="1:1">
      <c r="A1159" s="126"/>
    </row>
    <row r="1211" customHeight="1" spans="1:40">
      <c r="A1211" s="1" t="str">
        <f>IFERROR(__xludf.DUMMYFUNCTION("IMPORTRANGE(""1uCBYq_B1noXDnZ2hAWfjmyqidVGOrreR1eUpbj41kZg/edit?gid=516654854"",""10BBM!A2:AN"")"),"10° BBM")</f>
        <v>10° BBM</v>
      </c>
      <c r="B1211" s="1" t="str">
        <f>IFERROR(__xludf.DUMMYFUNCTION("""COMPUTED_VALUE"""),"Cacequi")</f>
        <v>Cacequi</v>
      </c>
      <c r="C1211" s="119" t="str">
        <f>IFERROR(__xludf.DUMMYFUNCTION("""COMPUTED_VALUE"""),"CAB")</f>
        <v>CAB</v>
      </c>
      <c r="D1211" s="1" t="str">
        <f>IFERROR(__xludf.DUMMYFUNCTION("""COMPUTED_VALUE"""),"ABRAÃO C. SILVA")</f>
        <v>ABRAÃO C. SILVA</v>
      </c>
      <c r="E1211" s="119" t="str">
        <f>IFERROR(__xludf.DUMMYFUNCTION("""COMPUTED_VALUE"""),"Curso CAB operador concluído")</f>
        <v>Curso CAB operador concluído</v>
      </c>
      <c r="F1211" s="1" t="str">
        <f>IFERROR(__xludf.DUMMYFUNCTION("""COMPUTED_VALUE"""),"033.760.030-92")</f>
        <v>033.760.030-92</v>
      </c>
      <c r="G1211" s="1">
        <f>IFERROR(__xludf.DUMMYFUNCTION("""COMPUTED_VALUE"""),1107948067)</f>
        <v>1107948067</v>
      </c>
      <c r="H1211" s="1" t="str">
        <f>IFERROR(__xludf.DUMMYFUNCTION("""COMPUTED_VALUE"""),"Combatente")</f>
        <v>Combatente</v>
      </c>
      <c r="I1211" s="1" t="str">
        <f>IFERROR(__xludf.DUMMYFUNCTION("""COMPUTED_VALUE"""),"Busca e Resgate em difícil acesso, Treinamento de serviço civil auxiliar de Bombeiros")</f>
        <v>Busca e Resgate em difícil acesso, Treinamento de serviço civil auxiliar de Bombeiros</v>
      </c>
      <c r="J1211" s="1" t="str">
        <f>IFERROR(__xludf.DUMMYFUNCTION("""COMPUTED_VALUE"""),"Sim")</f>
        <v>Sim</v>
      </c>
      <c r="K1211" s="1" t="str">
        <f>IFERROR(__xludf.DUMMYFUNCTION("""COMPUTED_VALUE"""),"Não")</f>
        <v>Não</v>
      </c>
      <c r="L1211" s="1" t="str">
        <f>IFERROR(__xludf.DUMMYFUNCTION("""COMPUTED_VALUE"""),"O+")</f>
        <v>O+</v>
      </c>
      <c r="M1211" s="1" t="str">
        <f>IFERROR(__xludf.DUMMYFUNCTION("""COMPUTED_VALUE"""),"ABRAÃO")</f>
        <v>ABRAÃO</v>
      </c>
      <c r="N1211" s="120">
        <f>IFERROR(__xludf.DUMMYFUNCTION("""COMPUTED_VALUE"""),34119)</f>
        <v>34119</v>
      </c>
      <c r="O1211" s="1" t="str">
        <f>IFERROR(__xludf.DUMMYFUNCTION("""COMPUTED_VALUE"""),"Masculino")</f>
        <v>Masculino</v>
      </c>
      <c r="P1211" s="1" t="str">
        <f>IFERROR(__xludf.DUMMYFUNCTION("""COMPUTED_VALUE"""),"Parda")</f>
        <v>Parda</v>
      </c>
      <c r="Q1211" s="1" t="str">
        <f>IFERROR(__xludf.DUMMYFUNCTION("""COMPUTED_VALUE"""),"Ensino Médio")</f>
        <v>Ensino Médio</v>
      </c>
      <c r="R1211" s="1" t="str">
        <f>IFERROR(__xludf.DUMMYFUNCTION("""COMPUTED_VALUE"""),"abraaocastilhos904@gmail.com ")</f>
        <v>abraaocastilhos904@gmail.com </v>
      </c>
      <c r="S1211" s="1" t="str">
        <f>IFERROR(__xludf.DUMMYFUNCTION("""COMPUTED_VALUE"""),"100 kg")</f>
        <v>100 kg</v>
      </c>
      <c r="T1211" s="1" t="str">
        <f>IFERROR(__xludf.DUMMYFUNCTION("""COMPUTED_VALUE"""),"Entre 1,66m e 1,70m")</f>
        <v>Entre 1,66m e 1,70m</v>
      </c>
      <c r="U1211" s="1"/>
      <c r="V1211" s="1" t="str">
        <f>IFERROR(__xludf.DUMMYFUNCTION("""COMPUTED_VALUE"""),"(55)99153-5321")</f>
        <v>(55)99153-5321</v>
      </c>
      <c r="W1211" s="1"/>
      <c r="X1211" s="1" t="str">
        <f>IFERROR(__xludf.DUMMYFUNCTION("""COMPUTED_VALUE"""),"RS")</f>
        <v>RS</v>
      </c>
      <c r="Y1211" s="1" t="str">
        <f>IFERROR(__xludf.DUMMYFUNCTION("""COMPUTED_VALUE"""),"Cacequi")</f>
        <v>Cacequi</v>
      </c>
      <c r="Z1211" s="1" t="str">
        <f>IFERROR(__xludf.DUMMYFUNCTION("""COMPUTED_VALUE"""),"97450-000 ")</f>
        <v>97450-000 </v>
      </c>
      <c r="AA1211" s="1" t="str">
        <f>IFERROR(__xludf.DUMMYFUNCTION("""COMPUTED_VALUE"""),"José Bonifácio, 57")</f>
        <v>José Bonifácio, 57</v>
      </c>
      <c r="AB1211" s="1" t="str">
        <f>IFERROR(__xludf.DUMMYFUNCTION("""COMPUTED_VALUE"""),"Centro")</f>
        <v>Centro</v>
      </c>
      <c r="AC1211" s="1" t="str">
        <f>IFERROR(__xludf.DUMMYFUNCTION("""COMPUTED_VALUE"""),"GG")</f>
        <v>GG</v>
      </c>
      <c r="AD1211" s="1" t="str">
        <f>IFERROR(__xludf.DUMMYFUNCTION("""COMPUTED_VALUE"""),"GG")</f>
        <v>GG</v>
      </c>
      <c r="AE1211" s="1" t="str">
        <f>IFERROR(__xludf.DUMMYFUNCTION("""COMPUTED_VALUE"""),"GG")</f>
        <v>GG</v>
      </c>
      <c r="AF1211" s="1" t="str">
        <f>IFERROR(__xludf.DUMMYFUNCTION("""COMPUTED_VALUE"""),"GG")</f>
        <v>GG</v>
      </c>
      <c r="AG1211" s="1" t="str">
        <f>IFERROR(__xludf.DUMMYFUNCTION("""COMPUTED_VALUE"""),"GG")</f>
        <v>GG</v>
      </c>
      <c r="AH1211" s="1">
        <f>IFERROR(__xludf.DUMMYFUNCTION("""COMPUTED_VALUE"""),42)</f>
        <v>42</v>
      </c>
      <c r="AI1211" s="1">
        <f>IFERROR(__xludf.DUMMYFUNCTION("""COMPUTED_VALUE"""),42)</f>
        <v>42</v>
      </c>
      <c r="AJ1211" s="1">
        <f>IFERROR(__xludf.DUMMYFUNCTION("""COMPUTED_VALUE"""),42)</f>
        <v>42</v>
      </c>
      <c r="AK1211" s="1">
        <f>IFERROR(__xludf.DUMMYFUNCTION("""COMPUTED_VALUE"""),42)</f>
        <v>42</v>
      </c>
      <c r="AL1211" s="1" t="str">
        <f>IFERROR(__xludf.DUMMYFUNCTION("""COMPUTED_VALUE"""),"GG")</f>
        <v>GG</v>
      </c>
      <c r="AM1211" s="1" t="str">
        <f>IFERROR(__xludf.DUMMYFUNCTION("""COMPUTED_VALUE"""),"GG")</f>
        <v>GG</v>
      </c>
      <c r="AN1211" s="1" t="str">
        <f>IFERROR(__xludf.DUMMYFUNCTION("""COMPUTED_VALUE"""),"G")</f>
        <v>G</v>
      </c>
    </row>
    <row r="1212" customHeight="1" spans="1:40">
      <c r="A1212" s="1" t="str">
        <f>IFERROR(__xludf.DUMMYFUNCTION("""COMPUTED_VALUE"""),"10° BBM")</f>
        <v>10° BBM</v>
      </c>
      <c r="B1212" s="1" t="str">
        <f>IFERROR(__xludf.DUMMYFUNCTION("""COMPUTED_VALUE"""),"Cacequi")</f>
        <v>Cacequi</v>
      </c>
      <c r="C1212" s="119" t="str">
        <f>IFERROR(__xludf.DUMMYFUNCTION("""COMPUTED_VALUE"""),"CAB")</f>
        <v>CAB</v>
      </c>
      <c r="D1212" s="1" t="str">
        <f>IFERROR(__xludf.DUMMYFUNCTION("""COMPUTED_VALUE"""),"ALEXANDRO PINTO DA SILVA")</f>
        <v>ALEXANDRO PINTO DA SILVA</v>
      </c>
      <c r="E1212" s="119" t="str">
        <f>IFERROR(__xludf.DUMMYFUNCTION("""COMPUTED_VALUE"""),"Curso CAB operador concluído")</f>
        <v>Curso CAB operador concluído</v>
      </c>
      <c r="F1212" s="1" t="str">
        <f>IFERROR(__xludf.DUMMYFUNCTION("""COMPUTED_VALUE"""),"965.898.840-72")</f>
        <v>965.898.840-72</v>
      </c>
      <c r="G1212" s="1">
        <f>IFERROR(__xludf.DUMMYFUNCTION("""COMPUTED_VALUE"""),3065369627)</f>
        <v>3065369627</v>
      </c>
      <c r="H1212" s="1" t="str">
        <f>IFERROR(__xludf.DUMMYFUNCTION("""COMPUTED_VALUE"""),"Combatente/Condutor ")</f>
        <v>Combatente/Condutor </v>
      </c>
      <c r="I1212" s="1" t="str">
        <f>IFERROR(__xludf.DUMMYFUNCTION("""COMPUTED_VALUE"""),"CAB, APH, SBV, Urgência e Emergência, Primeiros Socorros, Socorrista, Arrais, Motonauta, Guarda Vidas, Condutor Veículo de Emergência")</f>
        <v>CAB, APH, SBV, Urgência e Emergência, Primeiros Socorros, Socorrista, Arrais, Motonauta, Guarda Vidas, Condutor Veículo de Emergência</v>
      </c>
      <c r="J1212" s="1" t="str">
        <f>IFERROR(__xludf.DUMMYFUNCTION("""COMPUTED_VALUE"""),"Sim")</f>
        <v>Sim</v>
      </c>
      <c r="K1212" s="1" t="str">
        <f>IFERROR(__xludf.DUMMYFUNCTION("""COMPUTED_VALUE"""),"Não")</f>
        <v>Não</v>
      </c>
      <c r="L1212" s="1" t="str">
        <f>IFERROR(__xludf.DUMMYFUNCTION("""COMPUTED_VALUE"""),"O+")</f>
        <v>O+</v>
      </c>
      <c r="M1212" s="1" t="str">
        <f>IFERROR(__xludf.DUMMYFUNCTION("""COMPUTED_VALUE"""),"ALEXANDRO")</f>
        <v>ALEXANDRO</v>
      </c>
      <c r="N1212" s="120">
        <f>IFERROR(__xludf.DUMMYFUNCTION("""COMPUTED_VALUE"""),28639)</f>
        <v>28639</v>
      </c>
      <c r="O1212" s="1" t="str">
        <f>IFERROR(__xludf.DUMMYFUNCTION("""COMPUTED_VALUE"""),"Masculino")</f>
        <v>Masculino</v>
      </c>
      <c r="P1212" s="1" t="str">
        <f>IFERROR(__xludf.DUMMYFUNCTION("""COMPUTED_VALUE"""),"Branca")</f>
        <v>Branca</v>
      </c>
      <c r="Q1212" s="1" t="str">
        <f>IFERROR(__xludf.DUMMYFUNCTION("""COMPUTED_VALUE"""),"Ensino Superior Incompleto")</f>
        <v>Ensino Superior Incompleto</v>
      </c>
      <c r="R1212" s="1" t="str">
        <f>IFERROR(__xludf.DUMMYFUNCTION("""COMPUTED_VALUE"""),"alexandropdilva@gmail.com")</f>
        <v>alexandropdilva@gmail.com</v>
      </c>
      <c r="S1212" s="1" t="str">
        <f>IFERROR(__xludf.DUMMYFUNCTION("""COMPUTED_VALUE"""),"80 kg")</f>
        <v>80 kg</v>
      </c>
      <c r="T1212" s="1" t="str">
        <f>IFERROR(__xludf.DUMMYFUNCTION("""COMPUTED_VALUE"""),"Entre 1,71m e 1,75m")</f>
        <v>Entre 1,71m e 1,75m</v>
      </c>
      <c r="U1212" s="1"/>
      <c r="V1212" s="1" t="str">
        <f>IFERROR(__xludf.DUMMYFUNCTION("""COMPUTED_VALUE"""),"(55)99131-8282")</f>
        <v>(55)99131-8282</v>
      </c>
      <c r="W1212" s="1" t="str">
        <f>IFERROR(__xludf.DUMMYFUNCTION("""COMPUTED_VALUE"""),"(55)99165-0309")</f>
        <v>(55)99165-0309</v>
      </c>
      <c r="X1212" s="1" t="str">
        <f>IFERROR(__xludf.DUMMYFUNCTION("""COMPUTED_VALUE"""),"RS")</f>
        <v>RS</v>
      </c>
      <c r="Y1212" s="1" t="str">
        <f>IFERROR(__xludf.DUMMYFUNCTION("""COMPUTED_VALUE"""),"Cacequi")</f>
        <v>Cacequi</v>
      </c>
      <c r="Z1212" s="1" t="str">
        <f>IFERROR(__xludf.DUMMYFUNCTION("""COMPUTED_VALUE"""),"97450-000")</f>
        <v>97450-000</v>
      </c>
      <c r="AA1212" s="1" t="str">
        <f>IFERROR(__xludf.DUMMYFUNCTION("""COMPUTED_VALUE"""),"Beco Padre Quirino Bin")</f>
        <v>Beco Padre Quirino Bin</v>
      </c>
      <c r="AB1212" s="1" t="str">
        <f>IFERROR(__xludf.DUMMYFUNCTION("""COMPUTED_VALUE"""),"Centro")</f>
        <v>Centro</v>
      </c>
      <c r="AC1212" s="1" t="str">
        <f>IFERROR(__xludf.DUMMYFUNCTION("""COMPUTED_VALUE"""),"G")</f>
        <v>G</v>
      </c>
      <c r="AD1212" s="1" t="str">
        <f>IFERROR(__xludf.DUMMYFUNCTION("""COMPUTED_VALUE"""),"G")</f>
        <v>G</v>
      </c>
      <c r="AE1212" s="1" t="str">
        <f>IFERROR(__xludf.DUMMYFUNCTION("""COMPUTED_VALUE"""),"G")</f>
        <v>G</v>
      </c>
      <c r="AF1212" s="1" t="str">
        <f>IFERROR(__xludf.DUMMYFUNCTION("""COMPUTED_VALUE"""),"G")</f>
        <v>G</v>
      </c>
      <c r="AG1212" s="1" t="str">
        <f>IFERROR(__xludf.DUMMYFUNCTION("""COMPUTED_VALUE"""),"G")</f>
        <v>G</v>
      </c>
      <c r="AH1212" s="1">
        <f>IFERROR(__xludf.DUMMYFUNCTION("""COMPUTED_VALUE"""),40)</f>
        <v>40</v>
      </c>
      <c r="AI1212" s="1">
        <f>IFERROR(__xludf.DUMMYFUNCTION("""COMPUTED_VALUE"""),40)</f>
        <v>40</v>
      </c>
      <c r="AJ1212" s="1">
        <f>IFERROR(__xludf.DUMMYFUNCTION("""COMPUTED_VALUE"""),40)</f>
        <v>40</v>
      </c>
      <c r="AK1212" s="1">
        <f>IFERROR(__xludf.DUMMYFUNCTION("""COMPUTED_VALUE"""),40)</f>
        <v>40</v>
      </c>
      <c r="AL1212" s="1" t="str">
        <f>IFERROR(__xludf.DUMMYFUNCTION("""COMPUTED_VALUE"""),"G")</f>
        <v>G</v>
      </c>
      <c r="AM1212" s="1" t="str">
        <f>IFERROR(__xludf.DUMMYFUNCTION("""COMPUTED_VALUE"""),"G")</f>
        <v>G</v>
      </c>
      <c r="AN1212" s="1" t="str">
        <f>IFERROR(__xludf.DUMMYFUNCTION("""COMPUTED_VALUE"""),"M")</f>
        <v>M</v>
      </c>
    </row>
    <row r="1213" customHeight="1" spans="1:40">
      <c r="A1213" s="1" t="str">
        <f>IFERROR(__xludf.DUMMYFUNCTION("""COMPUTED_VALUE"""),"10° BBM")</f>
        <v>10° BBM</v>
      </c>
      <c r="B1213" s="1" t="str">
        <f>IFERROR(__xludf.DUMMYFUNCTION("""COMPUTED_VALUE"""),"Cacequi")</f>
        <v>Cacequi</v>
      </c>
      <c r="C1213" s="119" t="str">
        <f>IFERROR(__xludf.DUMMYFUNCTION("""COMPUTED_VALUE"""),"CAB")</f>
        <v>CAB</v>
      </c>
      <c r="D1213" s="1" t="str">
        <f>IFERROR(__xludf.DUMMYFUNCTION("""COMPUTED_VALUE"""),"ANA PAULA CAMEJO DUTRA")</f>
        <v>ANA PAULA CAMEJO DUTRA</v>
      </c>
      <c r="E1213" s="119" t="str">
        <f>IFERROR(__xludf.DUMMYFUNCTION("""COMPUTED_VALUE"""),"Módulo 1 concluído")</f>
        <v>Módulo 1 concluído</v>
      </c>
      <c r="F1213" s="1" t="str">
        <f>IFERROR(__xludf.DUMMYFUNCTION("""COMPUTED_VALUE"""),"956.241.040-49")</f>
        <v>956.241.040-49</v>
      </c>
      <c r="G1213" s="1">
        <f>IFERROR(__xludf.DUMMYFUNCTION("""COMPUTED_VALUE"""),8081470984)</f>
        <v>8081470984</v>
      </c>
      <c r="H1213" s="1" t="str">
        <f>IFERROR(__xludf.DUMMYFUNCTION("""COMPUTED_VALUE"""),"Combatente")</f>
        <v>Combatente</v>
      </c>
      <c r="I1213" s="1" t="str">
        <f>IFERROR(__xludf.DUMMYFUNCTION("""COMPUTED_VALUE"""),"CAB Curso técnico em enfermagem , técnico de Agente de saúde ,aph adulto e pediátrico , emergência intra hospitalar , Primeiro socorro ,sbv")</f>
        <v>CAB Curso técnico em enfermagem , técnico de Agente de saúde ,aph adulto e pediátrico , emergência intra hospitalar , Primeiro socorro ,sbv</v>
      </c>
      <c r="J1213" s="1" t="str">
        <f>IFERROR(__xludf.DUMMYFUNCTION("""COMPUTED_VALUE"""),"Sim")</f>
        <v>Sim</v>
      </c>
      <c r="K1213" s="1" t="str">
        <f>IFERROR(__xludf.DUMMYFUNCTION("""COMPUTED_VALUE"""),"Não")</f>
        <v>Não</v>
      </c>
      <c r="L1213" s="1" t="str">
        <f>IFERROR(__xludf.DUMMYFUNCTION("""COMPUTED_VALUE"""),"A+")</f>
        <v>A+</v>
      </c>
      <c r="M1213" s="1" t="str">
        <f>IFERROR(__xludf.DUMMYFUNCTION("""COMPUTED_VALUE"""),"PAULA")</f>
        <v>PAULA</v>
      </c>
      <c r="N1213" s="120">
        <f>IFERROR(__xludf.DUMMYFUNCTION("""COMPUTED_VALUE"""),29628)</f>
        <v>29628</v>
      </c>
      <c r="O1213" s="1" t="str">
        <f>IFERROR(__xludf.DUMMYFUNCTION("""COMPUTED_VALUE"""),"Feminino")</f>
        <v>Feminino</v>
      </c>
      <c r="P1213" s="1" t="str">
        <f>IFERROR(__xludf.DUMMYFUNCTION("""COMPUTED_VALUE"""),"Morena")</f>
        <v>Morena</v>
      </c>
      <c r="Q1213" s="1" t="str">
        <f>IFERROR(__xludf.DUMMYFUNCTION("""COMPUTED_VALUE"""),"Ensino Médio")</f>
        <v>Ensino Médio</v>
      </c>
      <c r="R1213" s="1" t="str">
        <f>IFERROR(__xludf.DUMMYFUNCTION("""COMPUTED_VALUE"""),"acamejodutra@gmail.com")</f>
        <v>acamejodutra@gmail.com</v>
      </c>
      <c r="S1213" s="1" t="str">
        <f>IFERROR(__xludf.DUMMYFUNCTION("""COMPUTED_VALUE"""),"140 kg")</f>
        <v>140 kg</v>
      </c>
      <c r="T1213" s="1" t="str">
        <f>IFERROR(__xludf.DUMMYFUNCTION("""COMPUTED_VALUE"""),"Entre 1,66m e 1,70m")</f>
        <v>Entre 1,66m e 1,70m</v>
      </c>
      <c r="U1213" s="1"/>
      <c r="V1213" s="1" t="str">
        <f>IFERROR(__xludf.DUMMYFUNCTION("""COMPUTED_VALUE"""),"(55)99914-9334")</f>
        <v>(55)99914-9334</v>
      </c>
      <c r="W1213" s="1"/>
      <c r="X1213" s="1" t="str">
        <f>IFERROR(__xludf.DUMMYFUNCTION("""COMPUTED_VALUE"""),"RS")</f>
        <v>RS</v>
      </c>
      <c r="Y1213" s="1" t="str">
        <f>IFERROR(__xludf.DUMMYFUNCTION("""COMPUTED_VALUE"""),"Cacequi")</f>
        <v>Cacequi</v>
      </c>
      <c r="Z1213" s="1" t="str">
        <f>IFERROR(__xludf.DUMMYFUNCTION("""COMPUTED_VALUE"""),"97450-000")</f>
        <v>97450-000</v>
      </c>
      <c r="AA1213" s="1" t="str">
        <f>IFERROR(__xludf.DUMMYFUNCTION("""COMPUTED_VALUE"""),"Barão Da Candiota, 191")</f>
        <v>Barão Da Candiota, 191</v>
      </c>
      <c r="AB1213" s="1" t="str">
        <f>IFERROR(__xludf.DUMMYFUNCTION("""COMPUTED_VALUE"""),"Umbu")</f>
        <v>Umbu</v>
      </c>
      <c r="AC1213" s="1" t="str">
        <f>IFERROR(__xludf.DUMMYFUNCTION("""COMPUTED_VALUE"""),"GG")</f>
        <v>GG</v>
      </c>
      <c r="AD1213" s="1" t="str">
        <f>IFERROR(__xludf.DUMMYFUNCTION("""COMPUTED_VALUE"""),"GG")</f>
        <v>GG</v>
      </c>
      <c r="AE1213" s="1" t="str">
        <f>IFERROR(__xludf.DUMMYFUNCTION("""COMPUTED_VALUE"""),"GG")</f>
        <v>GG</v>
      </c>
      <c r="AF1213" s="1" t="str">
        <f>IFERROR(__xludf.DUMMYFUNCTION("""COMPUTED_VALUE"""),"GG")</f>
        <v>GG</v>
      </c>
      <c r="AG1213" s="1" t="str">
        <f>IFERROR(__xludf.DUMMYFUNCTION("""COMPUTED_VALUE"""),"GG")</f>
        <v>GG</v>
      </c>
      <c r="AH1213" s="1">
        <f>IFERROR(__xludf.DUMMYFUNCTION("""COMPUTED_VALUE"""),40)</f>
        <v>40</v>
      </c>
      <c r="AI1213" s="1">
        <f>IFERROR(__xludf.DUMMYFUNCTION("""COMPUTED_VALUE"""),40)</f>
        <v>40</v>
      </c>
      <c r="AJ1213" s="1">
        <f>IFERROR(__xludf.DUMMYFUNCTION("""COMPUTED_VALUE"""),40)</f>
        <v>40</v>
      </c>
      <c r="AK1213" s="1">
        <f>IFERROR(__xludf.DUMMYFUNCTION("""COMPUTED_VALUE"""),40)</f>
        <v>40</v>
      </c>
      <c r="AL1213" s="1" t="str">
        <f>IFERROR(__xludf.DUMMYFUNCTION("""COMPUTED_VALUE"""),"GG")</f>
        <v>GG</v>
      </c>
      <c r="AM1213" s="1" t="str">
        <f>IFERROR(__xludf.DUMMYFUNCTION("""COMPUTED_VALUE"""),"GG")</f>
        <v>GG</v>
      </c>
      <c r="AN1213" s="1" t="str">
        <f>IFERROR(__xludf.DUMMYFUNCTION("""COMPUTED_VALUE"""),"GG")</f>
        <v>GG</v>
      </c>
    </row>
    <row r="1214" customHeight="1" spans="1:40">
      <c r="A1214" s="1" t="str">
        <f>IFERROR(__xludf.DUMMYFUNCTION("""COMPUTED_VALUE"""),"10° BBM")</f>
        <v>10° BBM</v>
      </c>
      <c r="B1214" s="1" t="str">
        <f>IFERROR(__xludf.DUMMYFUNCTION("""COMPUTED_VALUE"""),"Cacequi")</f>
        <v>Cacequi</v>
      </c>
      <c r="C1214" s="119" t="str">
        <f>IFERROR(__xludf.DUMMYFUNCTION("""COMPUTED_VALUE"""),"CAB")</f>
        <v>CAB</v>
      </c>
      <c r="D1214" s="1" t="str">
        <f>IFERROR(__xludf.DUMMYFUNCTION("""COMPUTED_VALUE"""),"ANDERSON FLORES FERNANDES")</f>
        <v>ANDERSON FLORES FERNANDES</v>
      </c>
      <c r="E1214" s="119" t="str">
        <f>IFERROR(__xludf.DUMMYFUNCTION("""COMPUTED_VALUE"""),"Curso CAB operador concluído")</f>
        <v>Curso CAB operador concluído</v>
      </c>
      <c r="F1214" s="1" t="str">
        <f>IFERROR(__xludf.DUMMYFUNCTION("""COMPUTED_VALUE"""),"015.642.990-07")</f>
        <v>015.642.990-07</v>
      </c>
      <c r="G1214" s="1">
        <f>IFERROR(__xludf.DUMMYFUNCTION("""COMPUTED_VALUE"""),2103506206)</f>
        <v>2103506206</v>
      </c>
      <c r="H1214" s="1" t="str">
        <f>IFERROR(__xludf.DUMMYFUNCTION("""COMPUTED_VALUE"""),"Combatente/Condutor")</f>
        <v>Combatente/Condutor</v>
      </c>
      <c r="I1214" s="1" t="str">
        <f>IFERROR(__xludf.DUMMYFUNCTION("""COMPUTED_VALUE"""),"cab, Aph, técnico em enfermagem, condutor de veiculo de emergência, combate a incêndios Florestais.")</f>
        <v>cab, Aph, técnico em enfermagem, condutor de veiculo de emergência, combate a incêndios Florestais.</v>
      </c>
      <c r="J1214" s="1" t="str">
        <f>IFERROR(__xludf.DUMMYFUNCTION("""COMPUTED_VALUE"""),"Sim")</f>
        <v>Sim</v>
      </c>
      <c r="K1214" s="1" t="str">
        <f>IFERROR(__xludf.DUMMYFUNCTION("""COMPUTED_VALUE"""),"Não")</f>
        <v>Não</v>
      </c>
      <c r="L1214" s="1" t="str">
        <f>IFERROR(__xludf.DUMMYFUNCTION("""COMPUTED_VALUE"""),"A+")</f>
        <v>A+</v>
      </c>
      <c r="M1214" s="1" t="str">
        <f>IFERROR(__xludf.DUMMYFUNCTION("""COMPUTED_VALUE"""),"ANDERSON FLORES")</f>
        <v>ANDERSON FLORES</v>
      </c>
      <c r="N1214" s="120">
        <f>IFERROR(__xludf.DUMMYFUNCTION("""COMPUTED_VALUE"""),33531)</f>
        <v>33531</v>
      </c>
      <c r="O1214" s="1" t="str">
        <f>IFERROR(__xludf.DUMMYFUNCTION("""COMPUTED_VALUE"""),"Masculino")</f>
        <v>Masculino</v>
      </c>
      <c r="P1214" s="1" t="str">
        <f>IFERROR(__xludf.DUMMYFUNCTION("""COMPUTED_VALUE"""),"Branca")</f>
        <v>Branca</v>
      </c>
      <c r="Q1214" s="1" t="str">
        <f>IFERROR(__xludf.DUMMYFUNCTION("""COMPUTED_VALUE"""),"Ensino Médio")</f>
        <v>Ensino Médio</v>
      </c>
      <c r="R1214" s="1" t="str">
        <f>IFERROR(__xludf.DUMMYFUNCTION("""COMPUTED_VALUE"""),"andersonfloresfernandes@gmail.com.com")</f>
        <v>andersonfloresfernandes@gmail.com.com</v>
      </c>
      <c r="S1214" s="1" t="str">
        <f>IFERROR(__xludf.DUMMYFUNCTION("""COMPUTED_VALUE"""),"70 kg")</f>
        <v>70 kg</v>
      </c>
      <c r="T1214" s="1" t="str">
        <f>IFERROR(__xludf.DUMMYFUNCTION("""COMPUTED_VALUE"""),"Entre 1,61m e 1,65m")</f>
        <v>Entre 1,61m e 1,65m</v>
      </c>
      <c r="U1214" s="1"/>
      <c r="V1214" s="1" t="str">
        <f>IFERROR(__xludf.DUMMYFUNCTION("""COMPUTED_VALUE"""),"(55)99191-9516")</f>
        <v>(55)99191-9516</v>
      </c>
      <c r="W1214" s="1" t="str">
        <f>IFERROR(__xludf.DUMMYFUNCTION("""COMPUTED_VALUE"""),"(55)99191-9516")</f>
        <v>(55)99191-9516</v>
      </c>
      <c r="X1214" s="1" t="str">
        <f>IFERROR(__xludf.DUMMYFUNCTION("""COMPUTED_VALUE"""),"RS")</f>
        <v>RS</v>
      </c>
      <c r="Y1214" s="1" t="str">
        <f>IFERROR(__xludf.DUMMYFUNCTION("""COMPUTED_VALUE"""),"Cacequi")</f>
        <v>Cacequi</v>
      </c>
      <c r="Z1214" s="1" t="str">
        <f>IFERROR(__xludf.DUMMYFUNCTION("""COMPUTED_VALUE"""),"97450-000")</f>
        <v>97450-000</v>
      </c>
      <c r="AA1214" s="1" t="str">
        <f>IFERROR(__xludf.DUMMYFUNCTION("""COMPUTED_VALUE"""),"Rua: Sadi Menezes, 210")</f>
        <v>Rua: Sadi Menezes, 210</v>
      </c>
      <c r="AB1214" s="1" t="str">
        <f>IFERROR(__xludf.DUMMYFUNCTION("""COMPUTED_VALUE"""),"Vila Cruzeiro")</f>
        <v>Vila Cruzeiro</v>
      </c>
      <c r="AC1214" s="1" t="str">
        <f>IFERROR(__xludf.DUMMYFUNCTION("""COMPUTED_VALUE"""),"M")</f>
        <v>M</v>
      </c>
      <c r="AD1214" s="1" t="str">
        <f>IFERROR(__xludf.DUMMYFUNCTION("""COMPUTED_VALUE"""),"M")</f>
        <v>M</v>
      </c>
      <c r="AE1214" s="1" t="str">
        <f>IFERROR(__xludf.DUMMYFUNCTION("""COMPUTED_VALUE"""),"M")</f>
        <v>M</v>
      </c>
      <c r="AF1214" s="1" t="str">
        <f>IFERROR(__xludf.DUMMYFUNCTION("""COMPUTED_VALUE"""),"M")</f>
        <v>M</v>
      </c>
      <c r="AG1214" s="1" t="str">
        <f>IFERROR(__xludf.DUMMYFUNCTION("""COMPUTED_VALUE"""),"M")</f>
        <v>M</v>
      </c>
      <c r="AH1214" s="1">
        <f>IFERROR(__xludf.DUMMYFUNCTION("""COMPUTED_VALUE"""),42)</f>
        <v>42</v>
      </c>
      <c r="AI1214" s="1">
        <f>IFERROR(__xludf.DUMMYFUNCTION("""COMPUTED_VALUE"""),42)</f>
        <v>42</v>
      </c>
      <c r="AJ1214" s="1">
        <f>IFERROR(__xludf.DUMMYFUNCTION("""COMPUTED_VALUE"""),42)</f>
        <v>42</v>
      </c>
      <c r="AK1214" s="1">
        <f>IFERROR(__xludf.DUMMYFUNCTION("""COMPUTED_VALUE"""),42)</f>
        <v>42</v>
      </c>
      <c r="AL1214" s="1" t="str">
        <f>IFERROR(__xludf.DUMMYFUNCTION("""COMPUTED_VALUE"""),"M")</f>
        <v>M</v>
      </c>
      <c r="AM1214" s="1" t="str">
        <f>IFERROR(__xludf.DUMMYFUNCTION("""COMPUTED_VALUE"""),"M")</f>
        <v>M</v>
      </c>
      <c r="AN1214" s="1" t="str">
        <f>IFERROR(__xludf.DUMMYFUNCTION("""COMPUTED_VALUE"""),"M")</f>
        <v>M</v>
      </c>
    </row>
    <row r="1215" customHeight="1" spans="1:40">
      <c r="A1215" s="1" t="str">
        <f>IFERROR(__xludf.DUMMYFUNCTION("""COMPUTED_VALUE"""),"10° BBM")</f>
        <v>10° BBM</v>
      </c>
      <c r="B1215" s="1" t="str">
        <f>IFERROR(__xludf.DUMMYFUNCTION("""COMPUTED_VALUE"""),"Cacequi")</f>
        <v>Cacequi</v>
      </c>
      <c r="C1215" s="119" t="str">
        <f>IFERROR(__xludf.DUMMYFUNCTION("""COMPUTED_VALUE"""),"CAB")</f>
        <v>CAB</v>
      </c>
      <c r="D1215" s="1" t="str">
        <f>IFERROR(__xludf.DUMMYFUNCTION("""COMPUTED_VALUE"""),"ANDRE ALEX LEAL RODRIGUES")</f>
        <v>ANDRE ALEX LEAL RODRIGUES</v>
      </c>
      <c r="E1215" s="119" t="str">
        <f>IFERROR(__xludf.DUMMYFUNCTION("""COMPUTED_VALUE"""),"Módulo 1 concluído")</f>
        <v>Módulo 1 concluído</v>
      </c>
      <c r="F1215" s="1" t="str">
        <f>IFERROR(__xludf.DUMMYFUNCTION("""COMPUTED_VALUE"""),"015.314.570-61")</f>
        <v>015.314.570-61</v>
      </c>
      <c r="G1215" s="1">
        <f>IFERROR(__xludf.DUMMYFUNCTION("""COMPUTED_VALUE"""),1122804493)</f>
        <v>1122804493</v>
      </c>
      <c r="H1215" s="1" t="str">
        <f>IFERROR(__xludf.DUMMYFUNCTION("""COMPUTED_VALUE"""),"Combatente")</f>
        <v>Combatente</v>
      </c>
      <c r="I1215" s="1"/>
      <c r="J1215" s="1" t="str">
        <f>IFERROR(__xludf.DUMMYFUNCTION("""COMPUTED_VALUE"""),"Sim")</f>
        <v>Sim</v>
      </c>
      <c r="K1215" s="1" t="str">
        <f>IFERROR(__xludf.DUMMYFUNCTION("""COMPUTED_VALUE"""),"Não")</f>
        <v>Não</v>
      </c>
      <c r="L1215" s="1" t="str">
        <f>IFERROR(__xludf.DUMMYFUNCTION("""COMPUTED_VALUE"""),"O+")</f>
        <v>O+</v>
      </c>
      <c r="M1215" s="1" t="str">
        <f>IFERROR(__xludf.DUMMYFUNCTION("""COMPUTED_VALUE"""),"ANDREALEX")</f>
        <v>ANDREALEX</v>
      </c>
      <c r="N1215" s="120">
        <f>IFERROR(__xludf.DUMMYFUNCTION("""COMPUTED_VALUE"""),33254)</f>
        <v>33254</v>
      </c>
      <c r="O1215" s="1" t="str">
        <f>IFERROR(__xludf.DUMMYFUNCTION("""COMPUTED_VALUE"""),"Masculino")</f>
        <v>Masculino</v>
      </c>
      <c r="P1215" s="1" t="str">
        <f>IFERROR(__xludf.DUMMYFUNCTION("""COMPUTED_VALUE"""),"Branca")</f>
        <v>Branca</v>
      </c>
      <c r="Q1215" s="1" t="str">
        <f>IFERROR(__xludf.DUMMYFUNCTION("""COMPUTED_VALUE"""),"Ensino Médio")</f>
        <v>Ensino Médio</v>
      </c>
      <c r="R1215" s="1" t="str">
        <f>IFERROR(__xludf.DUMMYFUNCTION("""COMPUTED_VALUE"""),"realexleal04@gmail.com ")</f>
        <v>realexleal04@gmail.com </v>
      </c>
      <c r="S1215" s="1" t="str">
        <f>IFERROR(__xludf.DUMMYFUNCTION("""COMPUTED_VALUE"""),"82 kg")</f>
        <v>82 kg</v>
      </c>
      <c r="T1215" s="1" t="str">
        <f>IFERROR(__xludf.DUMMYFUNCTION("""COMPUTED_VALUE"""),"Entre 1,71m e 1,75m")</f>
        <v>Entre 1,71m e 1,75m</v>
      </c>
      <c r="U1215" s="1"/>
      <c r="V1215" s="1"/>
      <c r="W1215" s="1" t="str">
        <f>IFERROR(__xludf.DUMMYFUNCTION("""COMPUTED_VALUE"""),"(55)99127-6670")</f>
        <v>(55)99127-6670</v>
      </c>
      <c r="X1215" s="1" t="str">
        <f>IFERROR(__xludf.DUMMYFUNCTION("""COMPUTED_VALUE"""),"RS")</f>
        <v>RS</v>
      </c>
      <c r="Y1215" s="1" t="str">
        <f>IFERROR(__xludf.DUMMYFUNCTION("""COMPUTED_VALUE"""),"Cacequi")</f>
        <v>Cacequi</v>
      </c>
      <c r="Z1215" s="1" t="str">
        <f>IFERROR(__xludf.DUMMYFUNCTION("""COMPUTED_VALUE"""),"97450-000")</f>
        <v>97450-000</v>
      </c>
      <c r="AA1215" s="1" t="str">
        <f>IFERROR(__xludf.DUMMYFUNCTION("""COMPUTED_VALUE"""),"Rio.Branco Número 444")</f>
        <v>Rio.Branco Número 444</v>
      </c>
      <c r="AB1215" s="1" t="str">
        <f>IFERROR(__xludf.DUMMYFUNCTION("""COMPUTED_VALUE"""),"Centro")</f>
        <v>Centro</v>
      </c>
      <c r="AC1215" s="1" t="str">
        <f>IFERROR(__xludf.DUMMYFUNCTION("""COMPUTED_VALUE"""),"G")</f>
        <v>G</v>
      </c>
      <c r="AD1215" s="1" t="str">
        <f>IFERROR(__xludf.DUMMYFUNCTION("""COMPUTED_VALUE"""),"G")</f>
        <v>G</v>
      </c>
      <c r="AE1215" s="1" t="str">
        <f>IFERROR(__xludf.DUMMYFUNCTION("""COMPUTED_VALUE"""),"G")</f>
        <v>G</v>
      </c>
      <c r="AF1215" s="1" t="str">
        <f>IFERROR(__xludf.DUMMYFUNCTION("""COMPUTED_VALUE"""),"G")</f>
        <v>G</v>
      </c>
      <c r="AG1215" s="1" t="str">
        <f>IFERROR(__xludf.DUMMYFUNCTION("""COMPUTED_VALUE"""),"G")</f>
        <v>G</v>
      </c>
      <c r="AH1215" s="1">
        <f>IFERROR(__xludf.DUMMYFUNCTION("""COMPUTED_VALUE"""),42)</f>
        <v>42</v>
      </c>
      <c r="AI1215" s="1">
        <f>IFERROR(__xludf.DUMMYFUNCTION("""COMPUTED_VALUE"""),42)</f>
        <v>42</v>
      </c>
      <c r="AJ1215" s="1">
        <f>IFERROR(__xludf.DUMMYFUNCTION("""COMPUTED_VALUE"""),42)</f>
        <v>42</v>
      </c>
      <c r="AK1215" s="1">
        <f>IFERROR(__xludf.DUMMYFUNCTION("""COMPUTED_VALUE"""),42)</f>
        <v>42</v>
      </c>
      <c r="AL1215" s="1" t="str">
        <f>IFERROR(__xludf.DUMMYFUNCTION("""COMPUTED_VALUE"""),"G")</f>
        <v>G</v>
      </c>
      <c r="AM1215" s="1" t="str">
        <f>IFERROR(__xludf.DUMMYFUNCTION("""COMPUTED_VALUE"""),"G")</f>
        <v>G</v>
      </c>
      <c r="AN1215" s="1" t="str">
        <f>IFERROR(__xludf.DUMMYFUNCTION("""COMPUTED_VALUE"""),"M")</f>
        <v>M</v>
      </c>
    </row>
    <row r="1216" customHeight="1" spans="1:40">
      <c r="A1216" s="1" t="str">
        <f>IFERROR(__xludf.DUMMYFUNCTION("""COMPUTED_VALUE"""),"10° BBM")</f>
        <v>10° BBM</v>
      </c>
      <c r="B1216" s="1" t="str">
        <f>IFERROR(__xludf.DUMMYFUNCTION("""COMPUTED_VALUE"""),"Cacequi")</f>
        <v>Cacequi</v>
      </c>
      <c r="C1216" s="119" t="str">
        <f>IFERROR(__xludf.DUMMYFUNCTION("""COMPUTED_VALUE"""),"CAB")</f>
        <v>CAB</v>
      </c>
      <c r="D1216" s="1" t="str">
        <f>IFERROR(__xludf.DUMMYFUNCTION("""COMPUTED_VALUE"""),"ANDRÉ DE LIMA ROSAIS")</f>
        <v>ANDRÉ DE LIMA ROSAIS</v>
      </c>
      <c r="E1216" s="119" t="str">
        <f>IFERROR(__xludf.DUMMYFUNCTION("""COMPUTED_VALUE"""),"Módulo 1 concluído")</f>
        <v>Módulo 1 concluído</v>
      </c>
      <c r="F1216" s="1" t="str">
        <f>IFERROR(__xludf.DUMMYFUNCTION("""COMPUTED_VALUE"""),"966.553.981-49")</f>
        <v>966.553.981-49</v>
      </c>
      <c r="G1216" s="1">
        <f>IFERROR(__xludf.DUMMYFUNCTION("""COMPUTED_VALUE"""),1966682)</f>
        <v>1966682</v>
      </c>
      <c r="H1216" s="1" t="str">
        <f>IFERROR(__xludf.DUMMYFUNCTION("""COMPUTED_VALUE"""),"Combatente/Condutor")</f>
        <v>Combatente/Condutor</v>
      </c>
      <c r="I1216" s="1" t="str">
        <f>IFERROR(__xludf.DUMMYFUNCTION("""COMPUTED_VALUE"""),"Treinamento de serviço civil auxiliar de Bombeiros e Treinamento COV")</f>
        <v>Treinamento de serviço civil auxiliar de Bombeiros e Treinamento COV</v>
      </c>
      <c r="J1216" s="1" t="str">
        <f>IFERROR(__xludf.DUMMYFUNCTION("""COMPUTED_VALUE"""),"Sim")</f>
        <v>Sim</v>
      </c>
      <c r="K1216" s="1" t="str">
        <f>IFERROR(__xludf.DUMMYFUNCTION("""COMPUTED_VALUE"""),"Não")</f>
        <v>Não</v>
      </c>
      <c r="L1216" s="1" t="str">
        <f>IFERROR(__xludf.DUMMYFUNCTION("""COMPUTED_VALUE"""),"O+")</f>
        <v>O+</v>
      </c>
      <c r="M1216" s="1" t="str">
        <f>IFERROR(__xludf.DUMMYFUNCTION("""COMPUTED_VALUE"""),"ROSAIS")</f>
        <v>ROSAIS</v>
      </c>
      <c r="N1216" s="120">
        <f>IFERROR(__xludf.DUMMYFUNCTION("""COMPUTED_VALUE"""),30029)</f>
        <v>30029</v>
      </c>
      <c r="O1216" s="1" t="str">
        <f>IFERROR(__xludf.DUMMYFUNCTION("""COMPUTED_VALUE"""),"Masculino")</f>
        <v>Masculino</v>
      </c>
      <c r="P1216" s="1" t="str">
        <f>IFERROR(__xludf.DUMMYFUNCTION("""COMPUTED_VALUE"""),"Parda")</f>
        <v>Parda</v>
      </c>
      <c r="Q1216" s="1" t="str">
        <f>IFERROR(__xludf.DUMMYFUNCTION("""COMPUTED_VALUE"""),"Ensino Superior Completo")</f>
        <v>Ensino Superior Completo</v>
      </c>
      <c r="R1216" s="1" t="str">
        <f>IFERROR(__xludf.DUMMYFUNCTION("""COMPUTED_VALUE"""),"andre.rosais@gmail.com")</f>
        <v>andre.rosais@gmail.com</v>
      </c>
      <c r="S1216" s="1" t="str">
        <f>IFERROR(__xludf.DUMMYFUNCTION("""COMPUTED_VALUE"""),"85 kg")</f>
        <v>85 kg</v>
      </c>
      <c r="T1216" s="1" t="str">
        <f>IFERROR(__xludf.DUMMYFUNCTION("""COMPUTED_VALUE"""),"Entre 1,76m e 1,80m")</f>
        <v>Entre 1,76m e 1,80m</v>
      </c>
      <c r="U1216" s="1"/>
      <c r="V1216" s="1" t="str">
        <f>IFERROR(__xludf.DUMMYFUNCTION("""COMPUTED_VALUE"""),"(55)99113-6065")</f>
        <v>(55)99113-6065</v>
      </c>
      <c r="W1216" s="1" t="str">
        <f>IFERROR(__xludf.DUMMYFUNCTION("""COMPUTED_VALUE"""),"(55)99112-4700")</f>
        <v>(55)99112-4700</v>
      </c>
      <c r="X1216" s="1"/>
      <c r="Y1216" s="1" t="str">
        <f>IFERROR(__xludf.DUMMYFUNCTION("""COMPUTED_VALUE"""),"Cacequi")</f>
        <v>Cacequi</v>
      </c>
      <c r="Z1216" s="1" t="str">
        <f>IFERROR(__xludf.DUMMYFUNCTION("""COMPUTED_VALUE"""),"97450-000")</f>
        <v>97450-000</v>
      </c>
      <c r="AA1216" s="1"/>
      <c r="AB1216" s="1"/>
      <c r="AC1216" s="1" t="str">
        <f>IFERROR(__xludf.DUMMYFUNCTION("""COMPUTED_VALUE"""),"G")</f>
        <v>G</v>
      </c>
      <c r="AD1216" s="1" t="str">
        <f>IFERROR(__xludf.DUMMYFUNCTION("""COMPUTED_VALUE"""),"G")</f>
        <v>G</v>
      </c>
      <c r="AE1216" s="1" t="str">
        <f>IFERROR(__xludf.DUMMYFUNCTION("""COMPUTED_VALUE"""),"G")</f>
        <v>G</v>
      </c>
      <c r="AF1216" s="1" t="str">
        <f>IFERROR(__xludf.DUMMYFUNCTION("""COMPUTED_VALUE"""),"G")</f>
        <v>G</v>
      </c>
      <c r="AG1216" s="1" t="str">
        <f>IFERROR(__xludf.DUMMYFUNCTION("""COMPUTED_VALUE"""),"G")</f>
        <v>G</v>
      </c>
      <c r="AH1216" s="1">
        <f>IFERROR(__xludf.DUMMYFUNCTION("""COMPUTED_VALUE"""),42)</f>
        <v>42</v>
      </c>
      <c r="AI1216" s="1">
        <f>IFERROR(__xludf.DUMMYFUNCTION("""COMPUTED_VALUE"""),42)</f>
        <v>42</v>
      </c>
      <c r="AJ1216" s="1">
        <f>IFERROR(__xludf.DUMMYFUNCTION("""COMPUTED_VALUE"""),42)</f>
        <v>42</v>
      </c>
      <c r="AK1216" s="1">
        <f>IFERROR(__xludf.DUMMYFUNCTION("""COMPUTED_VALUE"""),42)</f>
        <v>42</v>
      </c>
      <c r="AL1216" s="1" t="str">
        <f>IFERROR(__xludf.DUMMYFUNCTION("""COMPUTED_VALUE"""),"G")</f>
        <v>G</v>
      </c>
      <c r="AM1216" s="1" t="str">
        <f>IFERROR(__xludf.DUMMYFUNCTION("""COMPUTED_VALUE"""),"G")</f>
        <v>G</v>
      </c>
      <c r="AN1216" s="1" t="str">
        <f>IFERROR(__xludf.DUMMYFUNCTION("""COMPUTED_VALUE"""),"M")</f>
        <v>M</v>
      </c>
    </row>
    <row r="1217" customHeight="1" spans="1:40">
      <c r="A1217" s="1" t="str">
        <f>IFERROR(__xludf.DUMMYFUNCTION("""COMPUTED_VALUE"""),"10° BBM")</f>
        <v>10° BBM</v>
      </c>
      <c r="B1217" s="1" t="str">
        <f>IFERROR(__xludf.DUMMYFUNCTION("""COMPUTED_VALUE"""),"Cacequi")</f>
        <v>Cacequi</v>
      </c>
      <c r="C1217" s="119" t="str">
        <f>IFERROR(__xludf.DUMMYFUNCTION("""COMPUTED_VALUE"""),"CAB")</f>
        <v>CAB</v>
      </c>
      <c r="D1217" s="1" t="str">
        <f>IFERROR(__xludf.DUMMYFUNCTION("""COMPUTED_VALUE"""),"ANGELO VIEIRA BRUM")</f>
        <v>ANGELO VIEIRA BRUM</v>
      </c>
      <c r="E1217" s="119" t="str">
        <f>IFERROR(__xludf.DUMMYFUNCTION("""COMPUTED_VALUE"""),"")</f>
        <v/>
      </c>
      <c r="F1217" s="1" t="str">
        <f>IFERROR(__xludf.DUMMYFUNCTION("""COMPUTED_VALUE"""),"054.726.000-18")</f>
        <v>054.726.000-18</v>
      </c>
      <c r="G1217" s="1">
        <f>IFERROR(__xludf.DUMMYFUNCTION("""COMPUTED_VALUE"""),2117394144)</f>
        <v>2117394144</v>
      </c>
      <c r="H1217" s="1" t="str">
        <f>IFERROR(__xludf.DUMMYFUNCTION("""COMPUTED_VALUE"""),"Combatente")</f>
        <v>Combatente</v>
      </c>
      <c r="I1217" s="1"/>
      <c r="J1217" s="1" t="str">
        <f>IFERROR(__xludf.DUMMYFUNCTION("""COMPUTED_VALUE"""),"Sim")</f>
        <v>Sim</v>
      </c>
      <c r="K1217" s="1" t="str">
        <f>IFERROR(__xludf.DUMMYFUNCTION("""COMPUTED_VALUE"""),"Não")</f>
        <v>Não</v>
      </c>
      <c r="L1217" s="1" t="str">
        <f>IFERROR(__xludf.DUMMYFUNCTION("""COMPUTED_VALUE"""),"A+")</f>
        <v>A+</v>
      </c>
      <c r="M1217" s="1" t="str">
        <f>IFERROR(__xludf.DUMMYFUNCTION("""COMPUTED_VALUE"""),"VIEIRA")</f>
        <v>VIEIRA</v>
      </c>
      <c r="N1217" s="120">
        <f>IFERROR(__xludf.DUMMYFUNCTION("""COMPUTED_VALUE"""),36507)</f>
        <v>36507</v>
      </c>
      <c r="O1217" s="1" t="str">
        <f>IFERROR(__xludf.DUMMYFUNCTION("""COMPUTED_VALUE"""),"Masculino")</f>
        <v>Masculino</v>
      </c>
      <c r="P1217" s="1" t="str">
        <f>IFERROR(__xludf.DUMMYFUNCTION("""COMPUTED_VALUE"""),"Branca")</f>
        <v>Branca</v>
      </c>
      <c r="Q1217" s="1" t="str">
        <f>IFERROR(__xludf.DUMMYFUNCTION("""COMPUTED_VALUE"""),"Ensino Superior Completo")</f>
        <v>Ensino Superior Completo</v>
      </c>
      <c r="R1217" s="1" t="str">
        <f>IFERROR(__xludf.DUMMYFUNCTION("""COMPUTED_VALUE"""),"angelo55vieira@gmail.com")</f>
        <v>angelo55vieira@gmail.com</v>
      </c>
      <c r="S1217" s="1" t="str">
        <f>IFERROR(__xludf.DUMMYFUNCTION("""COMPUTED_VALUE"""),"70 kg")</f>
        <v>70 kg</v>
      </c>
      <c r="T1217" s="1" t="str">
        <f>IFERROR(__xludf.DUMMYFUNCTION("""COMPUTED_VALUE"""),"Entre 1,71m e 1,75m")</f>
        <v>Entre 1,71m e 1,75m</v>
      </c>
      <c r="U1217" s="1"/>
      <c r="V1217" s="1" t="str">
        <f>IFERROR(__xludf.DUMMYFUNCTION("""COMPUTED_VALUE"""),"(55)99187-3918")</f>
        <v>(55)99187-3918</v>
      </c>
      <c r="W1217" s="1"/>
      <c r="X1217" s="1" t="str">
        <f>IFERROR(__xludf.DUMMYFUNCTION("""COMPUTED_VALUE"""),"RS")</f>
        <v>RS</v>
      </c>
      <c r="Y1217" s="1" t="str">
        <f>IFERROR(__xludf.DUMMYFUNCTION("""COMPUTED_VALUE"""),"Cacequi")</f>
        <v>Cacequi</v>
      </c>
      <c r="Z1217" s="1" t="str">
        <f>IFERROR(__xludf.DUMMYFUNCTION("""COMPUTED_VALUE"""),"97450-000")</f>
        <v>97450-000</v>
      </c>
      <c r="AA1217" s="1" t="str">
        <f>IFERROR(__xludf.DUMMYFUNCTION("""COMPUTED_VALUE"""),"Hermínio Lira")</f>
        <v>Hermínio Lira</v>
      </c>
      <c r="AB1217" s="1" t="str">
        <f>IFERROR(__xludf.DUMMYFUNCTION("""COMPUTED_VALUE"""),"Centro")</f>
        <v>Centro</v>
      </c>
      <c r="AC1217" s="1" t="str">
        <f>IFERROR(__xludf.DUMMYFUNCTION("""COMPUTED_VALUE"""),"M")</f>
        <v>M</v>
      </c>
      <c r="AD1217" s="1" t="str">
        <f>IFERROR(__xludf.DUMMYFUNCTION("""COMPUTED_VALUE"""),"M")</f>
        <v>M</v>
      </c>
      <c r="AE1217" s="1" t="str">
        <f>IFERROR(__xludf.DUMMYFUNCTION("""COMPUTED_VALUE"""),"M")</f>
        <v>M</v>
      </c>
      <c r="AF1217" s="1" t="str">
        <f>IFERROR(__xludf.DUMMYFUNCTION("""COMPUTED_VALUE"""),"M")</f>
        <v>M</v>
      </c>
      <c r="AG1217" s="1" t="str">
        <f>IFERROR(__xludf.DUMMYFUNCTION("""COMPUTED_VALUE"""),"M")</f>
        <v>M</v>
      </c>
      <c r="AH1217" s="1">
        <f>IFERROR(__xludf.DUMMYFUNCTION("""COMPUTED_VALUE"""),42)</f>
        <v>42</v>
      </c>
      <c r="AI1217" s="1">
        <f>IFERROR(__xludf.DUMMYFUNCTION("""COMPUTED_VALUE"""),42)</f>
        <v>42</v>
      </c>
      <c r="AJ1217" s="1">
        <f>IFERROR(__xludf.DUMMYFUNCTION("""COMPUTED_VALUE"""),42)</f>
        <v>42</v>
      </c>
      <c r="AK1217" s="1">
        <f>IFERROR(__xludf.DUMMYFUNCTION("""COMPUTED_VALUE"""),41)</f>
        <v>41</v>
      </c>
      <c r="AL1217" s="1" t="str">
        <f>IFERROR(__xludf.DUMMYFUNCTION("""COMPUTED_VALUE"""),"M")</f>
        <v>M</v>
      </c>
      <c r="AM1217" s="1" t="str">
        <f>IFERROR(__xludf.DUMMYFUNCTION("""COMPUTED_VALUE"""),"M")</f>
        <v>M</v>
      </c>
      <c r="AN1217" s="1" t="str">
        <f>IFERROR(__xludf.DUMMYFUNCTION("""COMPUTED_VALUE"""),"M")</f>
        <v>M</v>
      </c>
    </row>
    <row r="1218" customHeight="1" spans="1:40">
      <c r="A1218" s="1" t="str">
        <f>IFERROR(__xludf.DUMMYFUNCTION("""COMPUTED_VALUE"""),"10° BBM")</f>
        <v>10° BBM</v>
      </c>
      <c r="B1218" s="1" t="str">
        <f>IFERROR(__xludf.DUMMYFUNCTION("""COMPUTED_VALUE"""),"Cacequi")</f>
        <v>Cacequi</v>
      </c>
      <c r="C1218" s="119" t="str">
        <f>IFERROR(__xludf.DUMMYFUNCTION("""COMPUTED_VALUE"""),"CAB")</f>
        <v>CAB</v>
      </c>
      <c r="D1218" s="1" t="str">
        <f>IFERROR(__xludf.DUMMYFUNCTION("""COMPUTED_VALUE"""),"CLEIDIMAR FARIAS HOLDE")</f>
        <v>CLEIDIMAR FARIAS HOLDE</v>
      </c>
      <c r="E1218" s="119" t="str">
        <f>IFERROR(__xludf.DUMMYFUNCTION("""COMPUTED_VALUE"""),"Módulo 1 concluído")</f>
        <v>Módulo 1 concluído</v>
      </c>
      <c r="F1218" s="1" t="str">
        <f>IFERROR(__xludf.DUMMYFUNCTION("""COMPUTED_VALUE"""),"037.457.600-93")</f>
        <v>037.457.600-93</v>
      </c>
      <c r="G1218" s="1">
        <f>IFERROR(__xludf.DUMMYFUNCTION("""COMPUTED_VALUE"""),4108587967)</f>
        <v>4108587967</v>
      </c>
      <c r="H1218" s="1" t="str">
        <f>IFERROR(__xludf.DUMMYFUNCTION("""COMPUTED_VALUE"""),"Combatente")</f>
        <v>Combatente</v>
      </c>
      <c r="I1218" s="1"/>
      <c r="J1218" s="1" t="str">
        <f>IFERROR(__xludf.DUMMYFUNCTION("""COMPUTED_VALUE"""),"Não")</f>
        <v>Não</v>
      </c>
      <c r="K1218" s="1" t="str">
        <f>IFERROR(__xludf.DUMMYFUNCTION("""COMPUTED_VALUE"""),"Não")</f>
        <v>Não</v>
      </c>
      <c r="L1218" s="1" t="str">
        <f>IFERROR(__xludf.DUMMYFUNCTION("""COMPUTED_VALUE"""),"A+")</f>
        <v>A+</v>
      </c>
      <c r="M1218" s="1" t="str">
        <f>IFERROR(__xludf.DUMMYFUNCTION("""COMPUTED_VALUE"""),"CLEIDI HOLDE")</f>
        <v>CLEIDI HOLDE</v>
      </c>
      <c r="N1218" s="120">
        <f>IFERROR(__xludf.DUMMYFUNCTION("""COMPUTED_VALUE"""),35381)</f>
        <v>35381</v>
      </c>
      <c r="O1218" s="1" t="str">
        <f>IFERROR(__xludf.DUMMYFUNCTION("""COMPUTED_VALUE"""),"Feminino")</f>
        <v>Feminino</v>
      </c>
      <c r="P1218" s="1" t="str">
        <f>IFERROR(__xludf.DUMMYFUNCTION("""COMPUTED_VALUE"""),"Branca")</f>
        <v>Branca</v>
      </c>
      <c r="Q1218" s="1"/>
      <c r="R1218" s="1" t="str">
        <f>IFERROR(__xludf.DUMMYFUNCTION("""COMPUTED_VALUE"""),"Cleidimarf38@Gmail.com ")</f>
        <v>Cleidimarf38@Gmail.com </v>
      </c>
      <c r="S1218" s="1" t="str">
        <f>IFERROR(__xludf.DUMMYFUNCTION("""COMPUTED_VALUE"""),"58 kg")</f>
        <v>58 kg</v>
      </c>
      <c r="T1218" s="1" t="str">
        <f>IFERROR(__xludf.DUMMYFUNCTION("""COMPUTED_VALUE"""),"Entre 1,50m e 1,55m")</f>
        <v>Entre 1,50m e 1,55m</v>
      </c>
      <c r="U1218" s="1"/>
      <c r="V1218" s="1" t="str">
        <f>IFERROR(__xludf.DUMMYFUNCTION("""COMPUTED_VALUE"""),"(55)99694-9507")</f>
        <v>(55)99694-9507</v>
      </c>
      <c r="W1218" s="1" t="str">
        <f>IFERROR(__xludf.DUMMYFUNCTION("""COMPUTED_VALUE"""),"(55)99694-9507")</f>
        <v>(55)99694-9507</v>
      </c>
      <c r="X1218" s="1" t="str">
        <f>IFERROR(__xludf.DUMMYFUNCTION("""COMPUTED_VALUE"""),"RS")</f>
        <v>RS</v>
      </c>
      <c r="Y1218" s="1" t="str">
        <f>IFERROR(__xludf.DUMMYFUNCTION("""COMPUTED_VALUE"""),"Cacequi")</f>
        <v>Cacequi</v>
      </c>
      <c r="Z1218" s="1" t="str">
        <f>IFERROR(__xludf.DUMMYFUNCTION("""COMPUTED_VALUE"""),"97450-000")</f>
        <v>97450-000</v>
      </c>
      <c r="AA1218" s="1" t="str">
        <f>IFERROR(__xludf.DUMMYFUNCTION("""COMPUTED_VALUE"""),"Beco Do Berilo, 40")</f>
        <v>Beco Do Berilo, 40</v>
      </c>
      <c r="AB1218" s="1" t="str">
        <f>IFERROR(__xludf.DUMMYFUNCTION("""COMPUTED_VALUE"""),"Povo Novo")</f>
        <v>Povo Novo</v>
      </c>
      <c r="AC1218" s="1" t="str">
        <f>IFERROR(__xludf.DUMMYFUNCTION("""COMPUTED_VALUE"""),"P")</f>
        <v>P</v>
      </c>
      <c r="AD1218" s="1" t="str">
        <f>IFERROR(__xludf.DUMMYFUNCTION("""COMPUTED_VALUE"""),"P")</f>
        <v>P</v>
      </c>
      <c r="AE1218" s="1" t="str">
        <f>IFERROR(__xludf.DUMMYFUNCTION("""COMPUTED_VALUE"""),"P")</f>
        <v>P</v>
      </c>
      <c r="AF1218" s="1" t="str">
        <f>IFERROR(__xludf.DUMMYFUNCTION("""COMPUTED_VALUE"""),"P")</f>
        <v>P</v>
      </c>
      <c r="AG1218" s="1" t="str">
        <f>IFERROR(__xludf.DUMMYFUNCTION("""COMPUTED_VALUE"""),"P")</f>
        <v>P</v>
      </c>
      <c r="AH1218" s="1">
        <f>IFERROR(__xludf.DUMMYFUNCTION("""COMPUTED_VALUE"""),35)</f>
        <v>35</v>
      </c>
      <c r="AI1218" s="1">
        <f>IFERROR(__xludf.DUMMYFUNCTION("""COMPUTED_VALUE"""),35)</f>
        <v>35</v>
      </c>
      <c r="AJ1218" s="1">
        <f>IFERROR(__xludf.DUMMYFUNCTION("""COMPUTED_VALUE"""),35)</f>
        <v>35</v>
      </c>
      <c r="AK1218" s="1">
        <f>IFERROR(__xludf.DUMMYFUNCTION("""COMPUTED_VALUE"""),35)</f>
        <v>35</v>
      </c>
      <c r="AL1218" s="1" t="str">
        <f>IFERROR(__xludf.DUMMYFUNCTION("""COMPUTED_VALUE"""),"P")</f>
        <v>P</v>
      </c>
      <c r="AM1218" s="1" t="str">
        <f>IFERROR(__xludf.DUMMYFUNCTION("""COMPUTED_VALUE"""),"P")</f>
        <v>P</v>
      </c>
      <c r="AN1218" s="1" t="str">
        <f>IFERROR(__xludf.DUMMYFUNCTION("""COMPUTED_VALUE"""),"P")</f>
        <v>P</v>
      </c>
    </row>
    <row r="1219" customHeight="1" spans="1:40">
      <c r="A1219" s="1" t="str">
        <f>IFERROR(__xludf.DUMMYFUNCTION("""COMPUTED_VALUE"""),"10° BBM")</f>
        <v>10° BBM</v>
      </c>
      <c r="B1219" s="1" t="str">
        <f>IFERROR(__xludf.DUMMYFUNCTION("""COMPUTED_VALUE"""),"Cacequi")</f>
        <v>Cacequi</v>
      </c>
      <c r="C1219" s="119" t="str">
        <f>IFERROR(__xludf.DUMMYFUNCTION("""COMPUTED_VALUE"""),"CAB")</f>
        <v>CAB</v>
      </c>
      <c r="D1219" s="1" t="str">
        <f>IFERROR(__xludf.DUMMYFUNCTION("""COMPUTED_VALUE"""),"CRISTIANO PAIM EVANGELISTA")</f>
        <v>CRISTIANO PAIM EVANGELISTA</v>
      </c>
      <c r="E1219" s="119" t="str">
        <f>IFERROR(__xludf.DUMMYFUNCTION("""COMPUTED_VALUE"""),"Curso CAB operador concluído")</f>
        <v>Curso CAB operador concluído</v>
      </c>
      <c r="F1219" s="1" t="str">
        <f>IFERROR(__xludf.DUMMYFUNCTION("""COMPUTED_VALUE"""),"978.493.590-20")</f>
        <v>978.493.590-20</v>
      </c>
      <c r="G1219" s="1">
        <f>IFERROR(__xludf.DUMMYFUNCTION("""COMPUTED_VALUE"""),9084455014)</f>
        <v>9084455014</v>
      </c>
      <c r="H1219" s="1" t="str">
        <f>IFERROR(__xludf.DUMMYFUNCTION("""COMPUTED_VALUE"""),"Combatente")</f>
        <v>Combatente</v>
      </c>
      <c r="I1219" s="1" t="str">
        <f>IFERROR(__xludf.DUMMYFUNCTION("""COMPUTED_VALUE"""),"Treinamento de serviço civil auxiliar de Bombeiros")</f>
        <v>Treinamento de serviço civil auxiliar de Bombeiros</v>
      </c>
      <c r="J1219" s="1" t="str">
        <f>IFERROR(__xludf.DUMMYFUNCTION("""COMPUTED_VALUE"""),"Sim")</f>
        <v>Sim</v>
      </c>
      <c r="K1219" s="1" t="str">
        <f>IFERROR(__xludf.DUMMYFUNCTION("""COMPUTED_VALUE"""),"Não")</f>
        <v>Não</v>
      </c>
      <c r="L1219" s="1" t="str">
        <f>IFERROR(__xludf.DUMMYFUNCTION("""COMPUTED_VALUE"""),"O+")</f>
        <v>O+</v>
      </c>
      <c r="M1219" s="1" t="str">
        <f>IFERROR(__xludf.DUMMYFUNCTION("""COMPUTED_VALUE"""),"PAIM")</f>
        <v>PAIM</v>
      </c>
      <c r="N1219" s="120">
        <f>IFERROR(__xludf.DUMMYFUNCTION("""COMPUTED_VALUE"""),28814)</f>
        <v>28814</v>
      </c>
      <c r="O1219" s="1" t="str">
        <f>IFERROR(__xludf.DUMMYFUNCTION("""COMPUTED_VALUE"""),"Masculino")</f>
        <v>Masculino</v>
      </c>
      <c r="P1219" s="1" t="str">
        <f>IFERROR(__xludf.DUMMYFUNCTION("""COMPUTED_VALUE"""),"Branca")</f>
        <v>Branca</v>
      </c>
      <c r="Q1219" s="1" t="str">
        <f>IFERROR(__xludf.DUMMYFUNCTION("""COMPUTED_VALUE"""),"Ensino Médio")</f>
        <v>Ensino Médio</v>
      </c>
      <c r="R1219" s="1" t="str">
        <f>IFERROR(__xludf.DUMMYFUNCTION("""COMPUTED_VALUE"""),"cristianopaimevangelista7346@gmail.com")</f>
        <v>cristianopaimevangelista7346@gmail.com</v>
      </c>
      <c r="S1219" s="1" t="str">
        <f>IFERROR(__xludf.DUMMYFUNCTION("""COMPUTED_VALUE"""),"115 kg")</f>
        <v>115 kg</v>
      </c>
      <c r="T1219" s="1" t="str">
        <f>IFERROR(__xludf.DUMMYFUNCTION("""COMPUTED_VALUE"""),"Entre 1,71m e 1,75m")</f>
        <v>Entre 1,71m e 1,75m</v>
      </c>
      <c r="U1219" s="1"/>
      <c r="V1219" s="1" t="str">
        <f>IFERROR(__xludf.DUMMYFUNCTION("""COMPUTED_VALUE"""),"(55)99167-5589")</f>
        <v>(55)99167-5589</v>
      </c>
      <c r="W1219" s="1" t="str">
        <f>IFERROR(__xludf.DUMMYFUNCTION("""COMPUTED_VALUE"""),"(55)99210-2983")</f>
        <v>(55)99210-2983</v>
      </c>
      <c r="X1219" s="1" t="str">
        <f>IFERROR(__xludf.DUMMYFUNCTION("""COMPUTED_VALUE"""),"RS")</f>
        <v>RS</v>
      </c>
      <c r="Y1219" s="1" t="str">
        <f>IFERROR(__xludf.DUMMYFUNCTION("""COMPUTED_VALUE"""),"Cacequi")</f>
        <v>Cacequi</v>
      </c>
      <c r="Z1219" s="1" t="str">
        <f>IFERROR(__xludf.DUMMYFUNCTION("""COMPUTED_VALUE"""),"97450-000")</f>
        <v>97450-000</v>
      </c>
      <c r="AA1219" s="1" t="str">
        <f>IFERROR(__xludf.DUMMYFUNCTION("""COMPUTED_VALUE"""),"Fernando Aboot, 626")</f>
        <v>Fernando Aboot, 626</v>
      </c>
      <c r="AB1219" s="1" t="str">
        <f>IFERROR(__xludf.DUMMYFUNCTION("""COMPUTED_VALUE"""),"Povo Novo")</f>
        <v>Povo Novo</v>
      </c>
      <c r="AC1219" s="1" t="str">
        <f>IFERROR(__xludf.DUMMYFUNCTION("""COMPUTED_VALUE"""),"GG")</f>
        <v>GG</v>
      </c>
      <c r="AD1219" s="1" t="str">
        <f>IFERROR(__xludf.DUMMYFUNCTION("""COMPUTED_VALUE"""),"GG")</f>
        <v>GG</v>
      </c>
      <c r="AE1219" s="1" t="str">
        <f>IFERROR(__xludf.DUMMYFUNCTION("""COMPUTED_VALUE"""),"GG")</f>
        <v>GG</v>
      </c>
      <c r="AF1219" s="1" t="str">
        <f>IFERROR(__xludf.DUMMYFUNCTION("""COMPUTED_VALUE"""),"GG")</f>
        <v>GG</v>
      </c>
      <c r="AG1219" s="1" t="str">
        <f>IFERROR(__xludf.DUMMYFUNCTION("""COMPUTED_VALUE"""),"GG")</f>
        <v>GG</v>
      </c>
      <c r="AH1219" s="1">
        <f>IFERROR(__xludf.DUMMYFUNCTION("""COMPUTED_VALUE"""),42)</f>
        <v>42</v>
      </c>
      <c r="AI1219" s="1">
        <f>IFERROR(__xludf.DUMMYFUNCTION("""COMPUTED_VALUE"""),42)</f>
        <v>42</v>
      </c>
      <c r="AJ1219" s="1">
        <f>IFERROR(__xludf.DUMMYFUNCTION("""COMPUTED_VALUE"""),42)</f>
        <v>42</v>
      </c>
      <c r="AK1219" s="1">
        <f>IFERROR(__xludf.DUMMYFUNCTION("""COMPUTED_VALUE"""),42)</f>
        <v>42</v>
      </c>
      <c r="AL1219" s="1" t="str">
        <f>IFERROR(__xludf.DUMMYFUNCTION("""COMPUTED_VALUE"""),"GG")</f>
        <v>GG</v>
      </c>
      <c r="AM1219" s="1" t="str">
        <f>IFERROR(__xludf.DUMMYFUNCTION("""COMPUTED_VALUE"""),"GG")</f>
        <v>GG</v>
      </c>
      <c r="AN1219" s="1" t="str">
        <f>IFERROR(__xludf.DUMMYFUNCTION("""COMPUTED_VALUE"""),"G")</f>
        <v>G</v>
      </c>
    </row>
    <row r="1220" customHeight="1" spans="1:40">
      <c r="A1220" s="1" t="str">
        <f>IFERROR(__xludf.DUMMYFUNCTION("""COMPUTED_VALUE"""),"10° BBM")</f>
        <v>10° BBM</v>
      </c>
      <c r="B1220" s="1" t="str">
        <f>IFERROR(__xludf.DUMMYFUNCTION("""COMPUTED_VALUE"""),"Cacequi")</f>
        <v>Cacequi</v>
      </c>
      <c r="C1220" s="119" t="str">
        <f>IFERROR(__xludf.DUMMYFUNCTION("""COMPUTED_VALUE"""),"CAB")</f>
        <v>CAB</v>
      </c>
      <c r="D1220" s="1" t="str">
        <f>IFERROR(__xludf.DUMMYFUNCTION("""COMPUTED_VALUE"""),"EDEVARTE DA SILVA LICHTENECKER")</f>
        <v>EDEVARTE DA SILVA LICHTENECKER</v>
      </c>
      <c r="E1220" s="119" t="str">
        <f>IFERROR(__xludf.DUMMYFUNCTION("""COMPUTED_VALUE"""),"")</f>
        <v/>
      </c>
      <c r="F1220" s="1" t="str">
        <f>IFERROR(__xludf.DUMMYFUNCTION("""COMPUTED_VALUE"""),"757.161.350-72")</f>
        <v>757.161.350-72</v>
      </c>
      <c r="G1220" s="1">
        <f>IFERROR(__xludf.DUMMYFUNCTION("""COMPUTED_VALUE"""),5057826058)</f>
        <v>5057826058</v>
      </c>
      <c r="H1220" s="1" t="str">
        <f>IFERROR(__xludf.DUMMYFUNCTION("""COMPUTED_VALUE"""),"Combatente/Condutor")</f>
        <v>Combatente/Condutor</v>
      </c>
      <c r="I1220" s="1" t="str">
        <f>IFERROR(__xludf.DUMMYFUNCTION("""COMPUTED_VALUE"""),"CAB condutor socorrista APH/SBV condutor veiculo de emergencia movimentacao produtos perigosos")</f>
        <v>CAB condutor socorrista APH/SBV condutor veiculo de emergencia movimentacao produtos perigosos</v>
      </c>
      <c r="J1220" s="1" t="str">
        <f>IFERROR(__xludf.DUMMYFUNCTION("""COMPUTED_VALUE"""),"Sim")</f>
        <v>Sim</v>
      </c>
      <c r="K1220" s="1" t="str">
        <f>IFERROR(__xludf.DUMMYFUNCTION("""COMPUTED_VALUE"""),"Não")</f>
        <v>Não</v>
      </c>
      <c r="L1220" s="1" t="str">
        <f>IFERROR(__xludf.DUMMYFUNCTION("""COMPUTED_VALUE"""),"A+")</f>
        <v>A+</v>
      </c>
      <c r="M1220" s="1" t="str">
        <f>IFERROR(__xludf.DUMMYFUNCTION("""COMPUTED_VALUE"""),"LICHTENECKER")</f>
        <v>LICHTENECKER</v>
      </c>
      <c r="N1220" s="120">
        <f>IFERROR(__xludf.DUMMYFUNCTION("""COMPUTED_VALUE"""),28213)</f>
        <v>28213</v>
      </c>
      <c r="O1220" s="1" t="str">
        <f>IFERROR(__xludf.DUMMYFUNCTION("""COMPUTED_VALUE"""),"Masculino")</f>
        <v>Masculino</v>
      </c>
      <c r="P1220" s="1" t="str">
        <f>IFERROR(__xludf.DUMMYFUNCTION("""COMPUTED_VALUE"""),"Branca")</f>
        <v>Branca</v>
      </c>
      <c r="Q1220" s="1" t="str">
        <f>IFERROR(__xludf.DUMMYFUNCTION("""COMPUTED_VALUE"""),"Ensino Superior Completo")</f>
        <v>Ensino Superior Completo</v>
      </c>
      <c r="R1220" s="1" t="str">
        <f>IFERROR(__xludf.DUMMYFUNCTION("""COMPUTED_VALUE"""),"lichteneckeredevarte@gmail.com")</f>
        <v>lichteneckeredevarte@gmail.com</v>
      </c>
      <c r="S1220" s="1" t="str">
        <f>IFERROR(__xludf.DUMMYFUNCTION("""COMPUTED_VALUE"""),"92 kg")</f>
        <v>92 kg</v>
      </c>
      <c r="T1220" s="1" t="str">
        <f>IFERROR(__xludf.DUMMYFUNCTION("""COMPUTED_VALUE"""),"Entre 1,66m e 1,70m")</f>
        <v>Entre 1,66m e 1,70m</v>
      </c>
      <c r="U1220" s="1"/>
      <c r="V1220" s="1" t="str">
        <f>IFERROR(__xludf.DUMMYFUNCTION("""COMPUTED_VALUE"""),"(55)99642-6077")</f>
        <v>(55)99642-6077</v>
      </c>
      <c r="W1220" s="1"/>
      <c r="X1220" s="1" t="str">
        <f>IFERROR(__xludf.DUMMYFUNCTION("""COMPUTED_VALUE"""),"RS")</f>
        <v>RS</v>
      </c>
      <c r="Y1220" s="1" t="str">
        <f>IFERROR(__xludf.DUMMYFUNCTION("""COMPUTED_VALUE"""),"Cacequi")</f>
        <v>Cacequi</v>
      </c>
      <c r="Z1220" s="1" t="str">
        <f>IFERROR(__xludf.DUMMYFUNCTION("""COMPUTED_VALUE"""),"97450-000")</f>
        <v>97450-000</v>
      </c>
      <c r="AA1220" s="1" t="str">
        <f>IFERROR(__xludf.DUMMYFUNCTION("""COMPUTED_VALUE"""),"Brasil, 585")</f>
        <v>Brasil, 585</v>
      </c>
      <c r="AB1220" s="1" t="str">
        <f>IFERROR(__xludf.DUMMYFUNCTION("""COMPUTED_VALUE"""),"Povo Novo")</f>
        <v>Povo Novo</v>
      </c>
      <c r="AC1220" s="1" t="str">
        <f>IFERROR(__xludf.DUMMYFUNCTION("""COMPUTED_VALUE"""),"GG")</f>
        <v>GG</v>
      </c>
      <c r="AD1220" s="1" t="str">
        <f>IFERROR(__xludf.DUMMYFUNCTION("""COMPUTED_VALUE"""),"GG")</f>
        <v>GG</v>
      </c>
      <c r="AE1220" s="1" t="str">
        <f>IFERROR(__xludf.DUMMYFUNCTION("""COMPUTED_VALUE"""),"GG")</f>
        <v>GG</v>
      </c>
      <c r="AF1220" s="1" t="str">
        <f>IFERROR(__xludf.DUMMYFUNCTION("""COMPUTED_VALUE"""),"GG")</f>
        <v>GG</v>
      </c>
      <c r="AG1220" s="1" t="str">
        <f>IFERROR(__xludf.DUMMYFUNCTION("""COMPUTED_VALUE"""),"GG")</f>
        <v>GG</v>
      </c>
      <c r="AH1220" s="1">
        <f>IFERROR(__xludf.DUMMYFUNCTION("""COMPUTED_VALUE"""),40)</f>
        <v>40</v>
      </c>
      <c r="AI1220" s="1">
        <f>IFERROR(__xludf.DUMMYFUNCTION("""COMPUTED_VALUE"""),40)</f>
        <v>40</v>
      </c>
      <c r="AJ1220" s="1">
        <f>IFERROR(__xludf.DUMMYFUNCTION("""COMPUTED_VALUE"""),40)</f>
        <v>40</v>
      </c>
      <c r="AK1220" s="1">
        <f>IFERROR(__xludf.DUMMYFUNCTION("""COMPUTED_VALUE"""),40)</f>
        <v>40</v>
      </c>
      <c r="AL1220" s="1" t="str">
        <f>IFERROR(__xludf.DUMMYFUNCTION("""COMPUTED_VALUE"""),"GG")</f>
        <v>GG</v>
      </c>
      <c r="AM1220" s="1" t="str">
        <f>IFERROR(__xludf.DUMMYFUNCTION("""COMPUTED_VALUE"""),"GG")</f>
        <v>GG</v>
      </c>
      <c r="AN1220" s="1" t="str">
        <f>IFERROR(__xludf.DUMMYFUNCTION("""COMPUTED_VALUE"""),"G")</f>
        <v>G</v>
      </c>
    </row>
    <row r="1221" customHeight="1" spans="1:40">
      <c r="A1221" s="1" t="str">
        <f>IFERROR(__xludf.DUMMYFUNCTION("""COMPUTED_VALUE"""),"10° BBM")</f>
        <v>10° BBM</v>
      </c>
      <c r="B1221" s="1" t="str">
        <f>IFERROR(__xludf.DUMMYFUNCTION("""COMPUTED_VALUE"""),"Cacequi")</f>
        <v>Cacequi</v>
      </c>
      <c r="C1221" s="119" t="str">
        <f>IFERROR(__xludf.DUMMYFUNCTION("""COMPUTED_VALUE"""),"CAB")</f>
        <v>CAB</v>
      </c>
      <c r="D1221" s="1" t="str">
        <f>IFERROR(__xludf.DUMMYFUNCTION("""COMPUTED_VALUE"""),"EDSON LUIZ RODRIGUES")</f>
        <v>EDSON LUIZ RODRIGUES</v>
      </c>
      <c r="E1221" s="119" t="str">
        <f>IFERROR(__xludf.DUMMYFUNCTION("""COMPUTED_VALUE"""),"Módulo 1 concluído")</f>
        <v>Módulo 1 concluído</v>
      </c>
      <c r="F1221" s="1" t="str">
        <f>IFERROR(__xludf.DUMMYFUNCTION("""COMPUTED_VALUE"""),"913.078.560-04")</f>
        <v>913.078.560-04</v>
      </c>
      <c r="G1221" s="1">
        <f>IFERROR(__xludf.DUMMYFUNCTION("""COMPUTED_VALUE"""),9057825268)</f>
        <v>9057825268</v>
      </c>
      <c r="H1221" s="1" t="str">
        <f>IFERROR(__xludf.DUMMYFUNCTION("""COMPUTED_VALUE"""),"Combatente")</f>
        <v>Combatente</v>
      </c>
      <c r="I1221" s="1" t="str">
        <f>IFERROR(__xludf.DUMMYFUNCTION("""COMPUTED_VALUE"""),"Curso de Bombeiro Civil, Treinamento de Preveção e Combate a Incêndio, Primeiros socorros, Brigada de Incêndio e Emergência.NR-34, NR-18, NR-12, NR335, Trabalhador e Vigia- NR-33.")</f>
        <v>Curso de Bombeiro Civil, Treinamento de Preveção e Combate a Incêndio, Primeiros socorros, Brigada de Incêndio e Emergência.NR-34, NR-18, NR-12, NR335, Trabalhador e Vigia- NR-33.</v>
      </c>
      <c r="J1221" s="1" t="str">
        <f>IFERROR(__xludf.DUMMYFUNCTION("""COMPUTED_VALUE"""),"Não")</f>
        <v>Não</v>
      </c>
      <c r="K1221" s="1" t="str">
        <f>IFERROR(__xludf.DUMMYFUNCTION("""COMPUTED_VALUE"""),"Não")</f>
        <v>Não</v>
      </c>
      <c r="L1221" s="1" t="str">
        <f>IFERROR(__xludf.DUMMYFUNCTION("""COMPUTED_VALUE"""),"B+")</f>
        <v>B+</v>
      </c>
      <c r="M1221" s="1" t="str">
        <f>IFERROR(__xludf.DUMMYFUNCTION("""COMPUTED_VALUE"""),"EDSON")</f>
        <v>EDSON</v>
      </c>
      <c r="N1221" s="120">
        <f>IFERROR(__xludf.DUMMYFUNCTION("""COMPUTED_VALUE"""),26977)</f>
        <v>26977</v>
      </c>
      <c r="O1221" s="1" t="str">
        <f>IFERROR(__xludf.DUMMYFUNCTION("""COMPUTED_VALUE"""),"Masculino")</f>
        <v>Masculino</v>
      </c>
      <c r="P1221" s="1" t="str">
        <f>IFERROR(__xludf.DUMMYFUNCTION("""COMPUTED_VALUE"""),"Morena")</f>
        <v>Morena</v>
      </c>
      <c r="Q1221" s="1" t="str">
        <f>IFERROR(__xludf.DUMMYFUNCTION("""COMPUTED_VALUE"""),"Ensino Médio")</f>
        <v>Ensino Médio</v>
      </c>
      <c r="R1221" s="1" t="str">
        <f>IFERROR(__xludf.DUMMYFUNCTION("""COMPUTED_VALUE"""),"edsonluizrodriguessoares40@gmail.com")</f>
        <v>edsonluizrodriguessoares40@gmail.com</v>
      </c>
      <c r="S1221" s="1" t="str">
        <f>IFERROR(__xludf.DUMMYFUNCTION("""COMPUTED_VALUE"""),"84 kg")</f>
        <v>84 kg</v>
      </c>
      <c r="T1221" s="1" t="str">
        <f>IFERROR(__xludf.DUMMYFUNCTION("""COMPUTED_VALUE"""),"Entre 1,61m e 1,65m")</f>
        <v>Entre 1,61m e 1,65m</v>
      </c>
      <c r="U1221" s="1"/>
      <c r="V1221" s="1" t="str">
        <f>IFERROR(__xludf.DUMMYFUNCTION("""COMPUTED_VALUE"""),"(55)99988-0351")</f>
        <v>(55)99988-0351</v>
      </c>
      <c r="W1221" s="1"/>
      <c r="X1221" s="1" t="str">
        <f>IFERROR(__xludf.DUMMYFUNCTION("""COMPUTED_VALUE"""),"RS")</f>
        <v>RS</v>
      </c>
      <c r="Y1221" s="1" t="str">
        <f>IFERROR(__xludf.DUMMYFUNCTION("""COMPUTED_VALUE"""),"Cacequi")</f>
        <v>Cacequi</v>
      </c>
      <c r="Z1221" s="1" t="str">
        <f>IFERROR(__xludf.DUMMYFUNCTION("""COMPUTED_VALUE"""),"97450-000 ")</f>
        <v>97450-000 </v>
      </c>
      <c r="AA1221" s="1" t="str">
        <f>IFERROR(__xludf.DUMMYFUNCTION("""COMPUTED_VALUE"""),"Bento Gonçalves, 1222")</f>
        <v>Bento Gonçalves, 1222</v>
      </c>
      <c r="AB1221" s="1" t="str">
        <f>IFERROR(__xludf.DUMMYFUNCTION("""COMPUTED_VALUE"""),"Popular")</f>
        <v>Popular</v>
      </c>
      <c r="AC1221" s="1" t="str">
        <f>IFERROR(__xludf.DUMMYFUNCTION("""COMPUTED_VALUE"""),"G")</f>
        <v>G</v>
      </c>
      <c r="AD1221" s="1" t="str">
        <f>IFERROR(__xludf.DUMMYFUNCTION("""COMPUTED_VALUE"""),"G")</f>
        <v>G</v>
      </c>
      <c r="AE1221" s="1" t="str">
        <f>IFERROR(__xludf.DUMMYFUNCTION("""COMPUTED_VALUE"""),"G")</f>
        <v>G</v>
      </c>
      <c r="AF1221" s="1" t="str">
        <f>IFERROR(__xludf.DUMMYFUNCTION("""COMPUTED_VALUE"""),"G")</f>
        <v>G</v>
      </c>
      <c r="AG1221" s="1" t="str">
        <f>IFERROR(__xludf.DUMMYFUNCTION("""COMPUTED_VALUE"""),"G")</f>
        <v>G</v>
      </c>
      <c r="AH1221" s="1">
        <f>IFERROR(__xludf.DUMMYFUNCTION("""COMPUTED_VALUE"""),38)</f>
        <v>38</v>
      </c>
      <c r="AI1221" s="1">
        <f>IFERROR(__xludf.DUMMYFUNCTION("""COMPUTED_VALUE"""),38)</f>
        <v>38</v>
      </c>
      <c r="AJ1221" s="1">
        <f>IFERROR(__xludf.DUMMYFUNCTION("""COMPUTED_VALUE"""),38)</f>
        <v>38</v>
      </c>
      <c r="AK1221" s="1">
        <f>IFERROR(__xludf.DUMMYFUNCTION("""COMPUTED_VALUE"""),38)</f>
        <v>38</v>
      </c>
      <c r="AL1221" s="1" t="str">
        <f>IFERROR(__xludf.DUMMYFUNCTION("""COMPUTED_VALUE"""),"G")</f>
        <v>G</v>
      </c>
      <c r="AM1221" s="1" t="str">
        <f>IFERROR(__xludf.DUMMYFUNCTION("""COMPUTED_VALUE"""),"M")</f>
        <v>M</v>
      </c>
      <c r="AN1221" s="1" t="str">
        <f>IFERROR(__xludf.DUMMYFUNCTION("""COMPUTED_VALUE"""),"M")</f>
        <v>M</v>
      </c>
    </row>
    <row r="1222" customHeight="1" spans="1:40">
      <c r="A1222" s="1" t="str">
        <f>IFERROR(__xludf.DUMMYFUNCTION("""COMPUTED_VALUE"""),"10° BBM")</f>
        <v>10° BBM</v>
      </c>
      <c r="B1222" s="1" t="str">
        <f>IFERROR(__xludf.DUMMYFUNCTION("""COMPUTED_VALUE"""),"Cacequi")</f>
        <v>Cacequi</v>
      </c>
      <c r="C1222" s="119" t="str">
        <f>IFERROR(__xludf.DUMMYFUNCTION("""COMPUTED_VALUE"""),"CAB")</f>
        <v>CAB</v>
      </c>
      <c r="D1222" s="1" t="str">
        <f>IFERROR(__xludf.DUMMYFUNCTION("""COMPUTED_VALUE"""),"ELISIANE VARGAS ROSÁRIO MULLER")</f>
        <v>ELISIANE VARGAS ROSÁRIO MULLER</v>
      </c>
      <c r="E1222" s="1" t="str">
        <f>IFERROR(__xludf.DUMMYFUNCTION("""COMPUTED_VALUE"""),"Módulo 1 concluído")</f>
        <v>Módulo 1 concluído</v>
      </c>
      <c r="F1222" s="1" t="str">
        <f>IFERROR(__xludf.DUMMYFUNCTION("""COMPUTED_VALUE"""),"016.472.560.11")</f>
        <v>016.472.560.11</v>
      </c>
      <c r="G1222" s="1">
        <f>IFERROR(__xludf.DUMMYFUNCTION("""COMPUTED_VALUE"""),6091600401)</f>
        <v>6091600401</v>
      </c>
      <c r="H1222" s="1" t="str">
        <f>IFERROR(__xludf.DUMMYFUNCTION("""COMPUTED_VALUE"""),"Combatente")</f>
        <v>Combatente</v>
      </c>
      <c r="I1222" s="1" t="str">
        <f>IFERROR(__xludf.DUMMYFUNCTION("""COMPUTED_VALUE"""),"Técnico em enfermagem,Aph,Enfermagem do Trabalho")</f>
        <v>Técnico em enfermagem,Aph,Enfermagem do Trabalho</v>
      </c>
      <c r="J1222" s="1" t="str">
        <f>IFERROR(__xludf.DUMMYFUNCTION("""COMPUTED_VALUE"""),"Sim")</f>
        <v>Sim</v>
      </c>
      <c r="K1222" s="1" t="str">
        <f>IFERROR(__xludf.DUMMYFUNCTION("""COMPUTED_VALUE"""),"Não")</f>
        <v>Não</v>
      </c>
      <c r="L1222" s="1" t="str">
        <f>IFERROR(__xludf.DUMMYFUNCTION("""COMPUTED_VALUE"""),"A+")</f>
        <v>A+</v>
      </c>
      <c r="M1222" s="1" t="str">
        <f>IFERROR(__xludf.DUMMYFUNCTION("""COMPUTED_VALUE"""),"VARGAS")</f>
        <v>VARGAS</v>
      </c>
      <c r="N1222" s="120">
        <f>IFERROR(__xludf.DUMMYFUNCTION("""COMPUTED_VALUE"""),31807)</f>
        <v>31807</v>
      </c>
      <c r="O1222" s="1" t="str">
        <f>IFERROR(__xludf.DUMMYFUNCTION("""COMPUTED_VALUE"""),"Feminino")</f>
        <v>Feminino</v>
      </c>
      <c r="P1222" s="1" t="str">
        <f>IFERROR(__xludf.DUMMYFUNCTION("""COMPUTED_VALUE"""),"Branca")</f>
        <v>Branca</v>
      </c>
      <c r="Q1222" s="1" t="str">
        <f>IFERROR(__xludf.DUMMYFUNCTION("""COMPUTED_VALUE"""),"Ensino Médio")</f>
        <v>Ensino Médio</v>
      </c>
      <c r="R1222" s="1" t="str">
        <f>IFERROR(__xludf.DUMMYFUNCTION("""COMPUTED_VALUE"""),"lisivargasrosario@gmail.com")</f>
        <v>lisivargasrosario@gmail.com</v>
      </c>
      <c r="S1222" s="1" t="str">
        <f>IFERROR(__xludf.DUMMYFUNCTION("""COMPUTED_VALUE"""),"69kg")</f>
        <v>69kg</v>
      </c>
      <c r="T1222" s="1" t="str">
        <f>IFERROR(__xludf.DUMMYFUNCTION("""COMPUTED_VALUE"""),"Entre 1,56m e 1,60m")</f>
        <v>Entre 1,56m e 1,60m</v>
      </c>
      <c r="U1222" s="1"/>
      <c r="V1222" s="1" t="str">
        <f>IFERROR(__xludf.DUMMYFUNCTION("""COMPUTED_VALUE"""),"(55)991109420")</f>
        <v>(55)991109420</v>
      </c>
      <c r="W1222" s="1"/>
      <c r="X1222" s="1" t="str">
        <f>IFERROR(__xludf.DUMMYFUNCTION("""COMPUTED_VALUE"""),"RS")</f>
        <v>RS</v>
      </c>
      <c r="Y1222" s="1" t="str">
        <f>IFERROR(__xludf.DUMMYFUNCTION("""COMPUTED_VALUE"""),"Cacequi")</f>
        <v>Cacequi</v>
      </c>
      <c r="Z1222" s="1" t="str">
        <f>IFERROR(__xludf.DUMMYFUNCTION("""COMPUTED_VALUE"""),"97450-000 ")</f>
        <v>97450-000 </v>
      </c>
      <c r="AA1222" s="1" t="str">
        <f>IFERROR(__xludf.DUMMYFUNCTION("""COMPUTED_VALUE"""),"Bento Gonçalves 1063")</f>
        <v>Bento Gonçalves 1063</v>
      </c>
      <c r="AB1222" s="1" t="str">
        <f>IFERROR(__xludf.DUMMYFUNCTION("""COMPUTED_VALUE"""),"Centro")</f>
        <v>Centro</v>
      </c>
      <c r="AC1222" s="1" t="str">
        <f>IFERROR(__xludf.DUMMYFUNCTION("""COMPUTED_VALUE"""),"G")</f>
        <v>G</v>
      </c>
      <c r="AD1222" s="1" t="str">
        <f>IFERROR(__xludf.DUMMYFUNCTION("""COMPUTED_VALUE"""),"G")</f>
        <v>G</v>
      </c>
      <c r="AE1222" s="1" t="str">
        <f>IFERROR(__xludf.DUMMYFUNCTION("""COMPUTED_VALUE"""),"G")</f>
        <v>G</v>
      </c>
      <c r="AF1222" s="1" t="str">
        <f>IFERROR(__xludf.DUMMYFUNCTION("""COMPUTED_VALUE"""),"G")</f>
        <v>G</v>
      </c>
      <c r="AG1222" s="1" t="str">
        <f>IFERROR(__xludf.DUMMYFUNCTION("""COMPUTED_VALUE"""),"G")</f>
        <v>G</v>
      </c>
      <c r="AH1222" s="1">
        <f>IFERROR(__xludf.DUMMYFUNCTION("""COMPUTED_VALUE"""),37)</f>
        <v>37</v>
      </c>
      <c r="AI1222" s="1">
        <f>IFERROR(__xludf.DUMMYFUNCTION("""COMPUTED_VALUE"""),37)</f>
        <v>37</v>
      </c>
      <c r="AJ1222" s="1">
        <f>IFERROR(__xludf.DUMMYFUNCTION("""COMPUTED_VALUE"""),37)</f>
        <v>37</v>
      </c>
      <c r="AK1222" s="1">
        <f>IFERROR(__xludf.DUMMYFUNCTION("""COMPUTED_VALUE"""),38)</f>
        <v>38</v>
      </c>
      <c r="AL1222" s="1" t="str">
        <f>IFERROR(__xludf.DUMMYFUNCTION("""COMPUTED_VALUE"""),"G")</f>
        <v>G</v>
      </c>
      <c r="AM1222" s="1" t="str">
        <f>IFERROR(__xludf.DUMMYFUNCTION("""COMPUTED_VALUE"""),"G")</f>
        <v>G</v>
      </c>
      <c r="AN1222" s="1" t="str">
        <f>IFERROR(__xludf.DUMMYFUNCTION("""COMPUTED_VALUE"""),"M")</f>
        <v>M</v>
      </c>
    </row>
    <row r="1223" customHeight="1" spans="1:40">
      <c r="A1223" s="1" t="str">
        <f>IFERROR(__xludf.DUMMYFUNCTION("""COMPUTED_VALUE"""),"10° BBM")</f>
        <v>10° BBM</v>
      </c>
      <c r="B1223" s="1" t="str">
        <f>IFERROR(__xludf.DUMMYFUNCTION("""COMPUTED_VALUE"""),"Cacequi")</f>
        <v>Cacequi</v>
      </c>
      <c r="C1223" s="119" t="str">
        <f>IFERROR(__xludf.DUMMYFUNCTION("""COMPUTED_VALUE"""),"CAB")</f>
        <v>CAB</v>
      </c>
      <c r="D1223" s="1" t="str">
        <f>IFERROR(__xludf.DUMMYFUNCTION("""COMPUTED_VALUE"""),"ELIZÂNGELA MENDES SOARES")</f>
        <v>ELIZÂNGELA MENDES SOARES</v>
      </c>
      <c r="E1223" s="119" t="str">
        <f>IFERROR(__xludf.DUMMYFUNCTION("""COMPUTED_VALUE"""),"Módulo 1 concluído")</f>
        <v>Módulo 1 concluído</v>
      </c>
      <c r="F1223" s="1" t="str">
        <f>IFERROR(__xludf.DUMMYFUNCTION("""COMPUTED_VALUE"""),"944.379.630-91")</f>
        <v>944.379.630-91</v>
      </c>
      <c r="G1223" s="1">
        <f>IFERROR(__xludf.DUMMYFUNCTION("""COMPUTED_VALUE"""),1065294892)</f>
        <v>1065294892</v>
      </c>
      <c r="H1223" s="1" t="str">
        <f>IFERROR(__xludf.DUMMYFUNCTION("""COMPUTED_VALUE"""),"Combatente")</f>
        <v>Combatente</v>
      </c>
      <c r="I1223" s="1" t="str">
        <f>IFERROR(__xludf.DUMMYFUNCTION("""COMPUTED_VALUE"""),"Técnico de Enfermagem,Curso de Bombeiro Civil, Instrumentação Cirurgicas, Atendimento Pré-Hospitalar, Suporte Básico de Vida BLS, Noções Básicas em Urgencia e Emergência, Resgate emáreas de dificial, acesso em Emergência em Matas, Treinamento de Prevenção"&amp;" e Combate à Incêndios, Formação de Brigada de Incendio e Emergência, trabalhador e Vigia NR-33, NR-35. Nùcleo de Educação em Emergência/Samu.")</f>
        <v>Técnico de Enfermagem,Curso de Bombeiro Civil, Instrumentação Cirurgicas, Atendimento Pré-Hospitalar, Suporte Básico de Vida BLS, Noções Básicas em Urgencia e Emergência, Resgate emáreas de dificial, acesso em Emergência em Matas, Treinamento de Prevenção e Combate à Incêndios, Formação de Brigada de Incendio e Emergência, trabalhador e Vigia NR-33, NR-35. Nùcleo de Educação em Emergência/Samu.</v>
      </c>
      <c r="J1223" s="1" t="str">
        <f>IFERROR(__xludf.DUMMYFUNCTION("""COMPUTED_VALUE"""),"Não")</f>
        <v>Não</v>
      </c>
      <c r="K1223" s="1" t="str">
        <f>IFERROR(__xludf.DUMMYFUNCTION("""COMPUTED_VALUE"""),"Não")</f>
        <v>Não</v>
      </c>
      <c r="L1223" s="1" t="str">
        <f>IFERROR(__xludf.DUMMYFUNCTION("""COMPUTED_VALUE"""),"O+")</f>
        <v>O+</v>
      </c>
      <c r="M1223" s="1" t="str">
        <f>IFERROR(__xludf.DUMMYFUNCTION("""COMPUTED_VALUE"""),"ELIZÂNGELA")</f>
        <v>ELIZÂNGELA</v>
      </c>
      <c r="N1223" s="120">
        <f>IFERROR(__xludf.DUMMYFUNCTION("""COMPUTED_VALUE"""),27882)</f>
        <v>27882</v>
      </c>
      <c r="O1223" s="1" t="str">
        <f>IFERROR(__xludf.DUMMYFUNCTION("""COMPUTED_VALUE"""),"Feminino")</f>
        <v>Feminino</v>
      </c>
      <c r="P1223" s="1" t="str">
        <f>IFERROR(__xludf.DUMMYFUNCTION("""COMPUTED_VALUE"""),"Morena")</f>
        <v>Morena</v>
      </c>
      <c r="Q1223" s="1" t="str">
        <f>IFERROR(__xludf.DUMMYFUNCTION("""COMPUTED_VALUE"""),"Ensino Médio")</f>
        <v>Ensino Médio</v>
      </c>
      <c r="R1223" s="1" t="str">
        <f>IFERROR(__xludf.DUMMYFUNCTION("""COMPUTED_VALUE"""),"elizangelamendessoares@gmail.com")</f>
        <v>elizangelamendessoares@gmail.com</v>
      </c>
      <c r="S1223" s="1" t="str">
        <f>IFERROR(__xludf.DUMMYFUNCTION("""COMPUTED_VALUE"""),"68 kg")</f>
        <v>68 kg</v>
      </c>
      <c r="T1223" s="1" t="str">
        <f>IFERROR(__xludf.DUMMYFUNCTION("""COMPUTED_VALUE"""),"Entre 1,61m e 1,65m")</f>
        <v>Entre 1,61m e 1,65m</v>
      </c>
      <c r="U1223" s="1"/>
      <c r="V1223" s="1" t="str">
        <f>IFERROR(__xludf.DUMMYFUNCTION("""COMPUTED_VALUE"""),"(55)99103-4590")</f>
        <v>(55)99103-4590</v>
      </c>
      <c r="W1223" s="1"/>
      <c r="X1223" s="1" t="str">
        <f>IFERROR(__xludf.DUMMYFUNCTION("""COMPUTED_VALUE"""),"RS")</f>
        <v>RS</v>
      </c>
      <c r="Y1223" s="1" t="str">
        <f>IFERROR(__xludf.DUMMYFUNCTION("""COMPUTED_VALUE"""),"Cacequi")</f>
        <v>Cacequi</v>
      </c>
      <c r="Z1223" s="1" t="str">
        <f>IFERROR(__xludf.DUMMYFUNCTION("""COMPUTED_VALUE"""),"97450-000 ")</f>
        <v>97450-000 </v>
      </c>
      <c r="AA1223" s="1" t="str">
        <f>IFERROR(__xludf.DUMMYFUNCTION("""COMPUTED_VALUE"""),"Bento Gonçalves, 1222")</f>
        <v>Bento Gonçalves, 1222</v>
      </c>
      <c r="AB1223" s="1" t="str">
        <f>IFERROR(__xludf.DUMMYFUNCTION("""COMPUTED_VALUE"""),"Popular")</f>
        <v>Popular</v>
      </c>
      <c r="AC1223" s="1" t="str">
        <f>IFERROR(__xludf.DUMMYFUNCTION("""COMPUTED_VALUE"""),"M")</f>
        <v>M</v>
      </c>
      <c r="AD1223" s="1" t="str">
        <f>IFERROR(__xludf.DUMMYFUNCTION("""COMPUTED_VALUE"""),"M")</f>
        <v>M</v>
      </c>
      <c r="AE1223" s="1" t="str">
        <f>IFERROR(__xludf.DUMMYFUNCTION("""COMPUTED_VALUE"""),"M")</f>
        <v>M</v>
      </c>
      <c r="AF1223" s="1" t="str">
        <f>IFERROR(__xludf.DUMMYFUNCTION("""COMPUTED_VALUE"""),"M")</f>
        <v>M</v>
      </c>
      <c r="AG1223" s="1" t="str">
        <f>IFERROR(__xludf.DUMMYFUNCTION("""COMPUTED_VALUE"""),"M")</f>
        <v>M</v>
      </c>
      <c r="AH1223" s="1">
        <f>IFERROR(__xludf.DUMMYFUNCTION("""COMPUTED_VALUE"""),35)</f>
        <v>35</v>
      </c>
      <c r="AI1223" s="1">
        <f>IFERROR(__xludf.DUMMYFUNCTION("""COMPUTED_VALUE"""),35)</f>
        <v>35</v>
      </c>
      <c r="AJ1223" s="1">
        <f>IFERROR(__xludf.DUMMYFUNCTION("""COMPUTED_VALUE"""),35)</f>
        <v>35</v>
      </c>
      <c r="AK1223" s="1">
        <f>IFERROR(__xludf.DUMMYFUNCTION("""COMPUTED_VALUE"""),35)</f>
        <v>35</v>
      </c>
      <c r="AL1223" s="1" t="str">
        <f>IFERROR(__xludf.DUMMYFUNCTION("""COMPUTED_VALUE"""),"M")</f>
        <v>M</v>
      </c>
      <c r="AM1223" s="1" t="str">
        <f>IFERROR(__xludf.DUMMYFUNCTION("""COMPUTED_VALUE"""),"M")</f>
        <v>M</v>
      </c>
      <c r="AN1223" s="1" t="str">
        <f>IFERROR(__xludf.DUMMYFUNCTION("""COMPUTED_VALUE"""),"M")</f>
        <v>M</v>
      </c>
    </row>
    <row r="1224" customHeight="1" spans="1:40">
      <c r="A1224" s="1" t="str">
        <f>IFERROR(__xludf.DUMMYFUNCTION("""COMPUTED_VALUE"""),"10° BBM")</f>
        <v>10° BBM</v>
      </c>
      <c r="B1224" s="1"/>
      <c r="C1224" s="119"/>
      <c r="D1224" s="1" t="str">
        <f>IFERROR(__xludf.DUMMYFUNCTION("""COMPUTED_VALUE"""),"FABIO ALEX MACHADO DO AMARAL")</f>
        <v>FABIO ALEX MACHADO DO AMARAL</v>
      </c>
      <c r="E1224" s="119"/>
      <c r="F1224" s="1" t="str">
        <f>IFERROR(__xludf.DUMMYFUNCTION("""COMPUTED_VALUE"""),"991.951.190-00")</f>
        <v>991.951.190-00</v>
      </c>
      <c r="G1224" s="1"/>
      <c r="H1224" s="1"/>
      <c r="I1224" s="1"/>
      <c r="J1224" s="1"/>
      <c r="K1224" s="1"/>
      <c r="L1224" s="1"/>
      <c r="M1224" s="1"/>
      <c r="N1224" s="120"/>
      <c r="O1224" s="1"/>
      <c r="P1224" s="1"/>
      <c r="Q1224" s="1"/>
      <c r="R1224" s="1"/>
      <c r="S1224" s="1"/>
      <c r="T1224" s="1"/>
      <c r="U1224" s="1"/>
      <c r="V1224" s="1"/>
      <c r="W1224" s="1"/>
      <c r="X1224" s="1"/>
      <c r="Y1224" s="1"/>
      <c r="Z1224" s="1"/>
      <c r="AA1224" s="1"/>
      <c r="AB1224" s="1"/>
      <c r="AC1224" s="1"/>
      <c r="AD1224" s="1"/>
      <c r="AE1224" s="1"/>
      <c r="AF1224" s="1"/>
      <c r="AG1224" s="1"/>
      <c r="AH1224" s="1"/>
      <c r="AI1224" s="1"/>
      <c r="AJ1224" s="1"/>
      <c r="AK1224" s="1"/>
      <c r="AL1224" s="1"/>
      <c r="AM1224" s="1"/>
      <c r="AN1224" s="1"/>
    </row>
    <row r="1225" customHeight="1" spans="1:40">
      <c r="A1225" s="1" t="str">
        <f>IFERROR(__xludf.DUMMYFUNCTION("""COMPUTED_VALUE"""),"10° BBM")</f>
        <v>10° BBM</v>
      </c>
      <c r="B1225" s="1" t="str">
        <f>IFERROR(__xludf.DUMMYFUNCTION("""COMPUTED_VALUE"""),"Cacequi")</f>
        <v>Cacequi</v>
      </c>
      <c r="C1225" s="119" t="str">
        <f>IFERROR(__xludf.DUMMYFUNCTION("""COMPUTED_VALUE"""),"CAB")</f>
        <v>CAB</v>
      </c>
      <c r="D1225" s="1" t="str">
        <f>IFERROR(__xludf.DUMMYFUNCTION("""COMPUTED_VALUE"""),"GESSI GOMES DA SILVA")</f>
        <v>GESSI GOMES DA SILVA</v>
      </c>
      <c r="E1225" s="119" t="str">
        <f>IFERROR(__xludf.DUMMYFUNCTION("""COMPUTED_VALUE"""),"Curso CAB operador concluído")</f>
        <v>Curso CAB operador concluído</v>
      </c>
      <c r="F1225" s="1" t="str">
        <f>IFERROR(__xludf.DUMMYFUNCTION("""COMPUTED_VALUE"""),"653.563.140-00")</f>
        <v>653.563.140-00</v>
      </c>
      <c r="G1225" s="1">
        <f>IFERROR(__xludf.DUMMYFUNCTION("""COMPUTED_VALUE"""),3056292364)</f>
        <v>3056292364</v>
      </c>
      <c r="H1225" s="1" t="str">
        <f>IFERROR(__xludf.DUMMYFUNCTION("""COMPUTED_VALUE"""),"Combatente")</f>
        <v>Combatente</v>
      </c>
      <c r="I1225" s="1" t="str">
        <f>IFERROR(__xludf.DUMMYFUNCTION("""COMPUTED_VALUE"""),"APH, Técnico em enfermagem,")</f>
        <v>APH, Técnico em enfermagem,</v>
      </c>
      <c r="J1225" s="1" t="str">
        <f>IFERROR(__xludf.DUMMYFUNCTION("""COMPUTED_VALUE"""),"Sim")</f>
        <v>Sim</v>
      </c>
      <c r="K1225" s="1" t="str">
        <f>IFERROR(__xludf.DUMMYFUNCTION("""COMPUTED_VALUE"""),"Não")</f>
        <v>Não</v>
      </c>
      <c r="L1225" s="1" t="str">
        <f>IFERROR(__xludf.DUMMYFUNCTION("""COMPUTED_VALUE"""),"O+")</f>
        <v>O+</v>
      </c>
      <c r="M1225" s="1" t="str">
        <f>IFERROR(__xludf.DUMMYFUNCTION("""COMPUTED_VALUE"""),"SILVA")</f>
        <v>SILVA</v>
      </c>
      <c r="N1225" s="120">
        <f>IFERROR(__xludf.DUMMYFUNCTION("""COMPUTED_VALUE"""),26750)</f>
        <v>26750</v>
      </c>
      <c r="O1225" s="1" t="str">
        <f>IFERROR(__xludf.DUMMYFUNCTION("""COMPUTED_VALUE"""),"Feminino")</f>
        <v>Feminino</v>
      </c>
      <c r="P1225" s="1" t="str">
        <f>IFERROR(__xludf.DUMMYFUNCTION("""COMPUTED_VALUE"""),"Branca")</f>
        <v>Branca</v>
      </c>
      <c r="Q1225" s="1" t="str">
        <f>IFERROR(__xludf.DUMMYFUNCTION("""COMPUTED_VALUE"""),"Ensino Médio")</f>
        <v>Ensino Médio</v>
      </c>
      <c r="R1225" s="1" t="str">
        <f>IFERROR(__xludf.DUMMYFUNCTION("""COMPUTED_VALUE"""),"Silvagomesgessi@gmail.com")</f>
        <v>Silvagomesgessi@gmail.com</v>
      </c>
      <c r="S1225" s="1" t="str">
        <f>IFERROR(__xludf.DUMMYFUNCTION("""COMPUTED_VALUE"""),"84 kg")</f>
        <v>84 kg</v>
      </c>
      <c r="T1225" s="1" t="str">
        <f>IFERROR(__xludf.DUMMYFUNCTION("""COMPUTED_VALUE"""),"Entre 1,66m e 1,70m")</f>
        <v>Entre 1,66m e 1,70m</v>
      </c>
      <c r="U1225" s="1"/>
      <c r="V1225" s="1" t="str">
        <f>IFERROR(__xludf.DUMMYFUNCTION("""COMPUTED_VALUE"""),"(55)99195-9343")</f>
        <v>(55)99195-9343</v>
      </c>
      <c r="W1225" s="1" t="str">
        <f>IFERROR(__xludf.DUMMYFUNCTION("""COMPUTED_VALUE"""),"(55)99171-0806")</f>
        <v>(55)99171-0806</v>
      </c>
      <c r="X1225" s="1" t="str">
        <f>IFERROR(__xludf.DUMMYFUNCTION("""COMPUTED_VALUE"""),"RS")</f>
        <v>RS</v>
      </c>
      <c r="Y1225" s="1" t="str">
        <f>IFERROR(__xludf.DUMMYFUNCTION("""COMPUTED_VALUE"""),"Cacequi")</f>
        <v>Cacequi</v>
      </c>
      <c r="Z1225" s="1" t="str">
        <f>IFERROR(__xludf.DUMMYFUNCTION("""COMPUTED_VALUE"""),"97450-000")</f>
        <v>97450-000</v>
      </c>
      <c r="AA1225" s="1" t="str">
        <f>IFERROR(__xludf.DUMMYFUNCTION("""COMPUTED_VALUE"""),"Rincão Dos Menezes,260")</f>
        <v>Rincão Dos Menezes,260</v>
      </c>
      <c r="AB1225" s="1" t="str">
        <f>IFERROR(__xludf.DUMMYFUNCTION("""COMPUTED_VALUE"""),"Interior")</f>
        <v>Interior</v>
      </c>
      <c r="AC1225" s="1" t="str">
        <f>IFERROR(__xludf.DUMMYFUNCTION("""COMPUTED_VALUE"""),"GG")</f>
        <v>GG</v>
      </c>
      <c r="AD1225" s="1" t="str">
        <f>IFERROR(__xludf.DUMMYFUNCTION("""COMPUTED_VALUE"""),"GG")</f>
        <v>GG</v>
      </c>
      <c r="AE1225" s="1" t="str">
        <f>IFERROR(__xludf.DUMMYFUNCTION("""COMPUTED_VALUE"""),"GG")</f>
        <v>GG</v>
      </c>
      <c r="AF1225" s="1" t="str">
        <f>IFERROR(__xludf.DUMMYFUNCTION("""COMPUTED_VALUE"""),"GG")</f>
        <v>GG</v>
      </c>
      <c r="AG1225" s="1" t="str">
        <f>IFERROR(__xludf.DUMMYFUNCTION("""COMPUTED_VALUE"""),"GG")</f>
        <v>GG</v>
      </c>
      <c r="AH1225" s="1">
        <f>IFERROR(__xludf.DUMMYFUNCTION("""COMPUTED_VALUE"""),41)</f>
        <v>41</v>
      </c>
      <c r="AI1225" s="1">
        <f>IFERROR(__xludf.DUMMYFUNCTION("""COMPUTED_VALUE"""),41)</f>
        <v>41</v>
      </c>
      <c r="AJ1225" s="1">
        <f>IFERROR(__xludf.DUMMYFUNCTION("""COMPUTED_VALUE"""),41)</f>
        <v>41</v>
      </c>
      <c r="AK1225" s="1">
        <f>IFERROR(__xludf.DUMMYFUNCTION("""COMPUTED_VALUE"""),41)</f>
        <v>41</v>
      </c>
      <c r="AL1225" s="1" t="str">
        <f>IFERROR(__xludf.DUMMYFUNCTION("""COMPUTED_VALUE"""),"GG")</f>
        <v>GG</v>
      </c>
      <c r="AM1225" s="1" t="str">
        <f>IFERROR(__xludf.DUMMYFUNCTION("""COMPUTED_VALUE"""),"GG")</f>
        <v>GG</v>
      </c>
      <c r="AN1225" s="1" t="str">
        <f>IFERROR(__xludf.DUMMYFUNCTION("""COMPUTED_VALUE"""),"G")</f>
        <v>G</v>
      </c>
    </row>
    <row r="1226" customHeight="1" spans="1:40">
      <c r="A1226" s="1" t="str">
        <f>IFERROR(__xludf.DUMMYFUNCTION("""COMPUTED_VALUE"""),"10° BBM")</f>
        <v>10° BBM</v>
      </c>
      <c r="B1226" s="1" t="str">
        <f>IFERROR(__xludf.DUMMYFUNCTION("""COMPUTED_VALUE"""),"Cacequi")</f>
        <v>Cacequi</v>
      </c>
      <c r="C1226" s="119" t="str">
        <f>IFERROR(__xludf.DUMMYFUNCTION("""COMPUTED_VALUE"""),"CAB")</f>
        <v>CAB</v>
      </c>
      <c r="D1226" s="1" t="str">
        <f>IFERROR(__xludf.DUMMYFUNCTION("""COMPUTED_VALUE"""),"GUILHERME MARIANO")</f>
        <v>GUILHERME MARIANO</v>
      </c>
      <c r="E1226" s="119" t="str">
        <f>IFERROR(__xludf.DUMMYFUNCTION("""COMPUTED_VALUE"""),"")</f>
        <v/>
      </c>
      <c r="F1226" s="1" t="str">
        <f>IFERROR(__xludf.DUMMYFUNCTION("""COMPUTED_VALUE"""),"051.125.900-09")</f>
        <v>051.125.900-09</v>
      </c>
      <c r="G1226" s="1">
        <f>IFERROR(__xludf.DUMMYFUNCTION("""COMPUTED_VALUE"""),9133018797)</f>
        <v>9133018797</v>
      </c>
      <c r="H1226" s="1" t="str">
        <f>IFERROR(__xludf.DUMMYFUNCTION("""COMPUTED_VALUE"""),"Combatente")</f>
        <v>Combatente</v>
      </c>
      <c r="I1226" s="1" t="str">
        <f>IFERROR(__xludf.DUMMYFUNCTION("""COMPUTED_VALUE"""),"CAB, Técnico de Enfermagem.")</f>
        <v>CAB, Técnico de Enfermagem.</v>
      </c>
      <c r="J1226" s="1" t="str">
        <f>IFERROR(__xludf.DUMMYFUNCTION("""COMPUTED_VALUE"""),"Sim")</f>
        <v>Sim</v>
      </c>
      <c r="K1226" s="1" t="str">
        <f>IFERROR(__xludf.DUMMYFUNCTION("""COMPUTED_VALUE"""),"Não")</f>
        <v>Não</v>
      </c>
      <c r="L1226" s="1" t="str">
        <f>IFERROR(__xludf.DUMMYFUNCTION("""COMPUTED_VALUE"""),"A+")</f>
        <v>A+</v>
      </c>
      <c r="M1226" s="1" t="str">
        <f>IFERROR(__xludf.DUMMYFUNCTION("""COMPUTED_VALUE"""),"MARIANO")</f>
        <v>MARIANO</v>
      </c>
      <c r="N1226" s="120">
        <f>IFERROR(__xludf.DUMMYFUNCTION("""COMPUTED_VALUE"""),37269)</f>
        <v>37269</v>
      </c>
      <c r="O1226" s="1" t="str">
        <f>IFERROR(__xludf.DUMMYFUNCTION("""COMPUTED_VALUE"""),"Masculino")</f>
        <v>Masculino</v>
      </c>
      <c r="P1226" s="1" t="str">
        <f>IFERROR(__xludf.DUMMYFUNCTION("""COMPUTED_VALUE"""),"Morena")</f>
        <v>Morena</v>
      </c>
      <c r="Q1226" s="1" t="str">
        <f>IFERROR(__xludf.DUMMYFUNCTION("""COMPUTED_VALUE"""),"Ensino Médio")</f>
        <v>Ensino Médio</v>
      </c>
      <c r="R1226" s="1" t="str">
        <f>IFERROR(__xludf.DUMMYFUNCTION("""COMPUTED_VALUE"""),"marianoguilherme872@gmail.com")</f>
        <v>marianoguilherme872@gmail.com</v>
      </c>
      <c r="S1226" s="1" t="str">
        <f>IFERROR(__xludf.DUMMYFUNCTION("""COMPUTED_VALUE"""),"65 kg")</f>
        <v>65 kg</v>
      </c>
      <c r="T1226" s="1" t="str">
        <f>IFERROR(__xludf.DUMMYFUNCTION("""COMPUTED_VALUE"""),"Entre 1,71m e 1,75m")</f>
        <v>Entre 1,71m e 1,75m</v>
      </c>
      <c r="U1226" s="1"/>
      <c r="V1226" s="1" t="str">
        <f>IFERROR(__xludf.DUMMYFUNCTION("""COMPUTED_VALUE"""),"(55)99147-2423")</f>
        <v>(55)99147-2423</v>
      </c>
      <c r="W1226" s="1"/>
      <c r="X1226" s="1" t="str">
        <f>IFERROR(__xludf.DUMMYFUNCTION("""COMPUTED_VALUE"""),"RS")</f>
        <v>RS</v>
      </c>
      <c r="Y1226" s="1" t="str">
        <f>IFERROR(__xludf.DUMMYFUNCTION("""COMPUTED_VALUE"""),"Cacequi")</f>
        <v>Cacequi</v>
      </c>
      <c r="Z1226" s="1" t="str">
        <f>IFERROR(__xludf.DUMMYFUNCTION("""COMPUTED_VALUE"""),"97450-000")</f>
        <v>97450-000</v>
      </c>
      <c r="AA1226" s="1" t="str">
        <f>IFERROR(__xludf.DUMMYFUNCTION("""COMPUTED_VALUE"""),"Rua Das Tropas, 580")</f>
        <v>Rua Das Tropas, 580</v>
      </c>
      <c r="AB1226" s="1" t="str">
        <f>IFERROR(__xludf.DUMMYFUNCTION("""COMPUTED_VALUE"""),"Vila Cândido")</f>
        <v>Vila Cândido</v>
      </c>
      <c r="AC1226" s="1" t="str">
        <f>IFERROR(__xludf.DUMMYFUNCTION("""COMPUTED_VALUE"""),"M")</f>
        <v>M</v>
      </c>
      <c r="AD1226" s="1" t="str">
        <f>IFERROR(__xludf.DUMMYFUNCTION("""COMPUTED_VALUE"""),"M")</f>
        <v>M</v>
      </c>
      <c r="AE1226" s="1" t="str">
        <f>IFERROR(__xludf.DUMMYFUNCTION("""COMPUTED_VALUE"""),"M")</f>
        <v>M</v>
      </c>
      <c r="AF1226" s="1" t="str">
        <f>IFERROR(__xludf.DUMMYFUNCTION("""COMPUTED_VALUE"""),"M")</f>
        <v>M</v>
      </c>
      <c r="AG1226" s="1" t="str">
        <f>IFERROR(__xludf.DUMMYFUNCTION("""COMPUTED_VALUE"""),"M")</f>
        <v>M</v>
      </c>
      <c r="AH1226" s="1">
        <f>IFERROR(__xludf.DUMMYFUNCTION("""COMPUTED_VALUE"""),40)</f>
        <v>40</v>
      </c>
      <c r="AI1226" s="1">
        <f>IFERROR(__xludf.DUMMYFUNCTION("""COMPUTED_VALUE"""),40)</f>
        <v>40</v>
      </c>
      <c r="AJ1226" s="1">
        <f>IFERROR(__xludf.DUMMYFUNCTION("""COMPUTED_VALUE"""),40)</f>
        <v>40</v>
      </c>
      <c r="AK1226" s="1">
        <f>IFERROR(__xludf.DUMMYFUNCTION("""COMPUTED_VALUE"""),40)</f>
        <v>40</v>
      </c>
      <c r="AL1226" s="1" t="str">
        <f>IFERROR(__xludf.DUMMYFUNCTION("""COMPUTED_VALUE"""),"M")</f>
        <v>M</v>
      </c>
      <c r="AM1226" s="1" t="str">
        <f>IFERROR(__xludf.DUMMYFUNCTION("""COMPUTED_VALUE"""),"M")</f>
        <v>M</v>
      </c>
      <c r="AN1226" s="1" t="str">
        <f>IFERROR(__xludf.DUMMYFUNCTION("""COMPUTED_VALUE"""),"M")</f>
        <v>M</v>
      </c>
    </row>
    <row r="1227" customHeight="1" spans="1:40">
      <c r="A1227" s="1" t="str">
        <f>IFERROR(__xludf.DUMMYFUNCTION("""COMPUTED_VALUE"""),"10° BBM")</f>
        <v>10° BBM</v>
      </c>
      <c r="B1227" s="1"/>
      <c r="C1227" s="119"/>
      <c r="D1227" s="1" t="str">
        <f>IFERROR(__xludf.DUMMYFUNCTION("""COMPUTED_VALUE"""),"JAIR DA SILVA")</f>
        <v>JAIR DA SILVA</v>
      </c>
      <c r="E1227" s="119"/>
      <c r="F1227" s="1" t="str">
        <f>IFERROR(__xludf.DUMMYFUNCTION("""COMPUTED_VALUE"""),"988.568.550-20")</f>
        <v>988.568.550-20</v>
      </c>
      <c r="G1227" s="1"/>
      <c r="H1227" s="1"/>
      <c r="I1227" s="1"/>
      <c r="J1227" s="1"/>
      <c r="K1227" s="1"/>
      <c r="L1227" s="1"/>
      <c r="M1227" s="1"/>
      <c r="N1227" s="120"/>
      <c r="O1227" s="1"/>
      <c r="P1227" s="1"/>
      <c r="Q1227" s="1"/>
      <c r="R1227" s="1"/>
      <c r="S1227" s="1"/>
      <c r="T1227" s="1"/>
      <c r="U1227" s="1"/>
      <c r="V1227" s="1"/>
      <c r="W1227" s="1"/>
      <c r="X1227" s="1"/>
      <c r="Y1227" s="1"/>
      <c r="Z1227" s="1"/>
      <c r="AA1227" s="1"/>
      <c r="AB1227" s="1"/>
      <c r="AC1227" s="1"/>
      <c r="AD1227" s="1"/>
      <c r="AE1227" s="1"/>
      <c r="AF1227" s="1"/>
      <c r="AG1227" s="1"/>
      <c r="AH1227" s="1"/>
      <c r="AI1227" s="1"/>
      <c r="AJ1227" s="1"/>
      <c r="AK1227" s="1"/>
      <c r="AL1227" s="1"/>
      <c r="AM1227" s="1"/>
      <c r="AN1227" s="1"/>
    </row>
    <row r="1228" customHeight="1" spans="1:40">
      <c r="A1228" s="1" t="str">
        <f>IFERROR(__xludf.DUMMYFUNCTION("""COMPUTED_VALUE"""),"10° BBM")</f>
        <v>10° BBM</v>
      </c>
      <c r="B1228" s="1" t="str">
        <f>IFERROR(__xludf.DUMMYFUNCTION("""COMPUTED_VALUE"""),"Cacequi")</f>
        <v>Cacequi</v>
      </c>
      <c r="C1228" s="119" t="str">
        <f>IFERROR(__xludf.DUMMYFUNCTION("""COMPUTED_VALUE"""),"CAB")</f>
        <v>CAB</v>
      </c>
      <c r="D1228" s="1" t="str">
        <f>IFERROR(__xludf.DUMMYFUNCTION("""COMPUTED_VALUE"""),"JEFFERSON DA LUZ FURTADO")</f>
        <v>JEFFERSON DA LUZ FURTADO</v>
      </c>
      <c r="E1228" s="119" t="str">
        <f>IFERROR(__xludf.DUMMYFUNCTION("""COMPUTED_VALUE"""),"Módulo 1 concluído")</f>
        <v>Módulo 1 concluído</v>
      </c>
      <c r="F1228" s="1" t="str">
        <f>IFERROR(__xludf.DUMMYFUNCTION("""COMPUTED_VALUE"""),"034.888.690-08")</f>
        <v>034.888.690-08</v>
      </c>
      <c r="G1228" s="1">
        <f>IFERROR(__xludf.DUMMYFUNCTION("""COMPUTED_VALUE"""),1127922266)</f>
        <v>1127922266</v>
      </c>
      <c r="H1228" s="1" t="str">
        <f>IFERROR(__xludf.DUMMYFUNCTION("""COMPUTED_VALUE"""),"Combatente")</f>
        <v>Combatente</v>
      </c>
      <c r="I1228" s="1" t="str">
        <f>IFERROR(__xludf.DUMMYFUNCTION("""COMPUTED_VALUE"""),"Formação de Brigada de Incêndio e Emergência, Treinamento de Prevenção e Combate a incêndio, Treinamento de serviço civil auxiliar de Bombeiros")</f>
        <v>Formação de Brigada de Incêndio e Emergência, Treinamento de Prevenção e Combate a incêndio, Treinamento de serviço civil auxiliar de Bombeiros</v>
      </c>
      <c r="J1228" s="1" t="str">
        <f>IFERROR(__xludf.DUMMYFUNCTION("""COMPUTED_VALUE"""),"Sim")</f>
        <v>Sim</v>
      </c>
      <c r="K1228" s="1" t="str">
        <f>IFERROR(__xludf.DUMMYFUNCTION("""COMPUTED_VALUE"""),"Não")</f>
        <v>Não</v>
      </c>
      <c r="L1228" s="1" t="str">
        <f>IFERROR(__xludf.DUMMYFUNCTION("""COMPUTED_VALUE"""),"O+")</f>
        <v>O+</v>
      </c>
      <c r="M1228" s="1" t="str">
        <f>IFERROR(__xludf.DUMMYFUNCTION("""COMPUTED_VALUE"""),"FURTADO")</f>
        <v>FURTADO</v>
      </c>
      <c r="N1228" s="120">
        <f>IFERROR(__xludf.DUMMYFUNCTION("""COMPUTED_VALUE"""),36747)</f>
        <v>36747</v>
      </c>
      <c r="O1228" s="1" t="str">
        <f>IFERROR(__xludf.DUMMYFUNCTION("""COMPUTED_VALUE"""),"Masculino")</f>
        <v>Masculino</v>
      </c>
      <c r="P1228" s="1" t="str">
        <f>IFERROR(__xludf.DUMMYFUNCTION("""COMPUTED_VALUE"""),"Parda")</f>
        <v>Parda</v>
      </c>
      <c r="Q1228" s="1" t="str">
        <f>IFERROR(__xludf.DUMMYFUNCTION("""COMPUTED_VALUE"""),"Ensino Médio")</f>
        <v>Ensino Médio</v>
      </c>
      <c r="R1228" s="1" t="str">
        <f>IFERROR(__xludf.DUMMYFUNCTION("""COMPUTED_VALUE"""),"jeffersonfurtado520@gmail.com")</f>
        <v>jeffersonfurtado520@gmail.com</v>
      </c>
      <c r="S1228" s="1" t="str">
        <f>IFERROR(__xludf.DUMMYFUNCTION("""COMPUTED_VALUE"""),"90 kg")</f>
        <v>90 kg</v>
      </c>
      <c r="T1228" s="1" t="str">
        <f>IFERROR(__xludf.DUMMYFUNCTION("""COMPUTED_VALUE"""),"Entre 1,76m e 1,80m")</f>
        <v>Entre 1,76m e 1,80m</v>
      </c>
      <c r="U1228" s="1"/>
      <c r="V1228" s="1" t="str">
        <f>IFERROR(__xludf.DUMMYFUNCTION("""COMPUTED_VALUE"""),"(55)99123-1801")</f>
        <v>(55)99123-1801</v>
      </c>
      <c r="W1228" s="1"/>
      <c r="X1228" s="1" t="str">
        <f>IFERROR(__xludf.DUMMYFUNCTION("""COMPUTED_VALUE"""),"RS")</f>
        <v>RS</v>
      </c>
      <c r="Y1228" s="1" t="str">
        <f>IFERROR(__xludf.DUMMYFUNCTION("""COMPUTED_VALUE"""),"Cacequi")</f>
        <v>Cacequi</v>
      </c>
      <c r="Z1228" s="1" t="str">
        <f>IFERROR(__xludf.DUMMYFUNCTION("""COMPUTED_VALUE"""),"97450-000 ")</f>
        <v>97450-000 </v>
      </c>
      <c r="AA1228" s="1" t="str">
        <f>IFERROR(__xludf.DUMMYFUNCTION("""COMPUTED_VALUE"""),"Argemiro Moreira De Carvalho, 889")</f>
        <v>Argemiro Moreira De Carvalho, 889</v>
      </c>
      <c r="AB1228" s="1" t="str">
        <f>IFERROR(__xludf.DUMMYFUNCTION("""COMPUTED_VALUE"""),"Vila Cândido")</f>
        <v>Vila Cândido</v>
      </c>
      <c r="AC1228" s="1" t="str">
        <f>IFERROR(__xludf.DUMMYFUNCTION("""COMPUTED_VALUE"""),"G")</f>
        <v>G</v>
      </c>
      <c r="AD1228" s="1" t="str">
        <f>IFERROR(__xludf.DUMMYFUNCTION("""COMPUTED_VALUE"""),"G")</f>
        <v>G</v>
      </c>
      <c r="AE1228" s="1" t="str">
        <f>IFERROR(__xludf.DUMMYFUNCTION("""COMPUTED_VALUE"""),"G")</f>
        <v>G</v>
      </c>
      <c r="AF1228" s="1" t="str">
        <f>IFERROR(__xludf.DUMMYFUNCTION("""COMPUTED_VALUE"""),"G")</f>
        <v>G</v>
      </c>
      <c r="AG1228" s="1" t="str">
        <f>IFERROR(__xludf.DUMMYFUNCTION("""COMPUTED_VALUE"""),"G")</f>
        <v>G</v>
      </c>
      <c r="AH1228" s="1">
        <f>IFERROR(__xludf.DUMMYFUNCTION("""COMPUTED_VALUE"""),41)</f>
        <v>41</v>
      </c>
      <c r="AI1228" s="1">
        <f>IFERROR(__xludf.DUMMYFUNCTION("""COMPUTED_VALUE"""),41)</f>
        <v>41</v>
      </c>
      <c r="AJ1228" s="1">
        <f>IFERROR(__xludf.DUMMYFUNCTION("""COMPUTED_VALUE"""),41)</f>
        <v>41</v>
      </c>
      <c r="AK1228" s="1">
        <f>IFERROR(__xludf.DUMMYFUNCTION("""COMPUTED_VALUE"""),41)</f>
        <v>41</v>
      </c>
      <c r="AL1228" s="1" t="str">
        <f>IFERROR(__xludf.DUMMYFUNCTION("""COMPUTED_VALUE"""),"G")</f>
        <v>G</v>
      </c>
      <c r="AM1228" s="1" t="str">
        <f>IFERROR(__xludf.DUMMYFUNCTION("""COMPUTED_VALUE"""),"G")</f>
        <v>G</v>
      </c>
      <c r="AN1228" s="1" t="str">
        <f>IFERROR(__xludf.DUMMYFUNCTION("""COMPUTED_VALUE"""),"M")</f>
        <v>M</v>
      </c>
    </row>
    <row r="1229" customHeight="1" spans="1:40">
      <c r="A1229" s="1" t="str">
        <f>IFERROR(__xludf.DUMMYFUNCTION("""COMPUTED_VALUE"""),"10° BBM")</f>
        <v>10° BBM</v>
      </c>
      <c r="B1229" s="1" t="str">
        <f>IFERROR(__xludf.DUMMYFUNCTION("""COMPUTED_VALUE"""),"Cacequi")</f>
        <v>Cacequi</v>
      </c>
      <c r="C1229" s="119" t="str">
        <f>IFERROR(__xludf.DUMMYFUNCTION("""COMPUTED_VALUE"""),"CAB")</f>
        <v>CAB</v>
      </c>
      <c r="D1229" s="1" t="str">
        <f>IFERROR(__xludf.DUMMYFUNCTION("""COMPUTED_VALUE"""),"JERONIMO CARDOZO CAURIO")</f>
        <v>JERONIMO CARDOZO CAURIO</v>
      </c>
      <c r="E1229" s="119" t="str">
        <f>IFERROR(__xludf.DUMMYFUNCTION("""COMPUTED_VALUE"""),"Módulo 1 concluído")</f>
        <v>Módulo 1 concluído</v>
      </c>
      <c r="F1229" s="1" t="str">
        <f>IFERROR(__xludf.DUMMYFUNCTION("""COMPUTED_VALUE"""),"025.232.670-98")</f>
        <v>025.232.670-98</v>
      </c>
      <c r="G1229" s="1">
        <f>IFERROR(__xludf.DUMMYFUNCTION("""COMPUTED_VALUE"""),1102909668)</f>
        <v>1102909668</v>
      </c>
      <c r="H1229" s="1" t="str">
        <f>IFERROR(__xludf.DUMMYFUNCTION("""COMPUTED_VALUE"""),"Combatente")</f>
        <v>Combatente</v>
      </c>
      <c r="I1229" s="1"/>
      <c r="J1229" s="1" t="str">
        <f>IFERROR(__xludf.DUMMYFUNCTION("""COMPUTED_VALUE"""),"Não")</f>
        <v>Não</v>
      </c>
      <c r="K1229" s="1" t="str">
        <f>IFERROR(__xludf.DUMMYFUNCTION("""COMPUTED_VALUE"""),"Não")</f>
        <v>Não</v>
      </c>
      <c r="L1229" s="1" t="str">
        <f>IFERROR(__xludf.DUMMYFUNCTION("""COMPUTED_VALUE"""),"O-")</f>
        <v>O-</v>
      </c>
      <c r="M1229" s="1" t="str">
        <f>IFERROR(__xludf.DUMMYFUNCTION("""COMPUTED_VALUE"""),"JERONIMO")</f>
        <v>JERONIMO</v>
      </c>
      <c r="N1229" s="120">
        <f>IFERROR(__xludf.DUMMYFUNCTION("""COMPUTED_VALUE"""),32642)</f>
        <v>32642</v>
      </c>
      <c r="O1229" s="1" t="str">
        <f>IFERROR(__xludf.DUMMYFUNCTION("""COMPUTED_VALUE"""),"Masculino")</f>
        <v>Masculino</v>
      </c>
      <c r="P1229" s="1" t="str">
        <f>IFERROR(__xludf.DUMMYFUNCTION("""COMPUTED_VALUE"""),"Branca")</f>
        <v>Branca</v>
      </c>
      <c r="Q1229" s="1" t="str">
        <f>IFERROR(__xludf.DUMMYFUNCTION("""COMPUTED_VALUE"""),"Ensino Superior Incompleto")</f>
        <v>Ensino Superior Incompleto</v>
      </c>
      <c r="R1229" s="1" t="str">
        <f>IFERROR(__xludf.DUMMYFUNCTION("""COMPUTED_VALUE"""),"cauriojeronimocaurio@gmail.com")</f>
        <v>cauriojeronimocaurio@gmail.com</v>
      </c>
      <c r="S1229" s="1"/>
      <c r="T1229" s="1" t="str">
        <f>IFERROR(__xludf.DUMMYFUNCTION("""COMPUTED_VALUE"""),"Entre 1,76m e 1,80m")</f>
        <v>Entre 1,76m e 1,80m</v>
      </c>
      <c r="U1229" s="1"/>
      <c r="V1229" s="1"/>
      <c r="W1229" s="1" t="str">
        <f>IFERROR(__xludf.DUMMYFUNCTION("""COMPUTED_VALUE"""),"(55)99129-8048")</f>
        <v>(55)99129-8048</v>
      </c>
      <c r="X1229" s="1" t="str">
        <f>IFERROR(__xludf.DUMMYFUNCTION("""COMPUTED_VALUE"""),"RS")</f>
        <v>RS</v>
      </c>
      <c r="Y1229" s="1" t="str">
        <f>IFERROR(__xludf.DUMMYFUNCTION("""COMPUTED_VALUE"""),"Cacequi")</f>
        <v>Cacequi</v>
      </c>
      <c r="Z1229" s="1" t="str">
        <f>IFERROR(__xludf.DUMMYFUNCTION("""COMPUTED_VALUE"""),"97450-000")</f>
        <v>97450-000</v>
      </c>
      <c r="AA1229" s="1" t="str">
        <f>IFERROR(__xludf.DUMMYFUNCTION("""COMPUTED_VALUE"""),"Oriovaldo Braga 315")</f>
        <v>Oriovaldo Braga 315</v>
      </c>
      <c r="AB1229" s="1" t="str">
        <f>IFERROR(__xludf.DUMMYFUNCTION("""COMPUTED_VALUE"""),"Maria Nora")</f>
        <v>Maria Nora</v>
      </c>
      <c r="AC1229" s="1" t="str">
        <f>IFERROR(__xludf.DUMMYFUNCTION("""COMPUTED_VALUE"""),"G")</f>
        <v>G</v>
      </c>
      <c r="AD1229" s="1" t="str">
        <f>IFERROR(__xludf.DUMMYFUNCTION("""COMPUTED_VALUE"""),"G")</f>
        <v>G</v>
      </c>
      <c r="AE1229" s="1" t="str">
        <f>IFERROR(__xludf.DUMMYFUNCTION("""COMPUTED_VALUE"""),"G")</f>
        <v>G</v>
      </c>
      <c r="AF1229" s="1" t="str">
        <f>IFERROR(__xludf.DUMMYFUNCTION("""COMPUTED_VALUE"""),"G")</f>
        <v>G</v>
      </c>
      <c r="AG1229" s="1" t="str">
        <f>IFERROR(__xludf.DUMMYFUNCTION("""COMPUTED_VALUE"""),"G")</f>
        <v>G</v>
      </c>
      <c r="AH1229" s="1">
        <f>IFERROR(__xludf.DUMMYFUNCTION("""COMPUTED_VALUE"""),42)</f>
        <v>42</v>
      </c>
      <c r="AI1229" s="1">
        <f>IFERROR(__xludf.DUMMYFUNCTION("""COMPUTED_VALUE"""),42)</f>
        <v>42</v>
      </c>
      <c r="AJ1229" s="1">
        <f>IFERROR(__xludf.DUMMYFUNCTION("""COMPUTED_VALUE"""),42)</f>
        <v>42</v>
      </c>
      <c r="AK1229" s="1">
        <f>IFERROR(__xludf.DUMMYFUNCTION("""COMPUTED_VALUE"""),42)</f>
        <v>42</v>
      </c>
      <c r="AL1229" s="1" t="str">
        <f>IFERROR(__xludf.DUMMYFUNCTION("""COMPUTED_VALUE"""),"G")</f>
        <v>G</v>
      </c>
      <c r="AM1229" s="1" t="str">
        <f>IFERROR(__xludf.DUMMYFUNCTION("""COMPUTED_VALUE"""),"G")</f>
        <v>G</v>
      </c>
      <c r="AN1229" s="1" t="str">
        <f>IFERROR(__xludf.DUMMYFUNCTION("""COMPUTED_VALUE"""),"G")</f>
        <v>G</v>
      </c>
    </row>
    <row r="1230" customHeight="1" spans="1:40">
      <c r="A1230" s="1" t="str">
        <f>IFERROR(__xludf.DUMMYFUNCTION("""COMPUTED_VALUE"""),"10° BBM")</f>
        <v>10° BBM</v>
      </c>
      <c r="B1230" s="1" t="str">
        <f>IFERROR(__xludf.DUMMYFUNCTION("""COMPUTED_VALUE"""),"Cacequi")</f>
        <v>Cacequi</v>
      </c>
      <c r="C1230" s="119" t="str">
        <f>IFERROR(__xludf.DUMMYFUNCTION("""COMPUTED_VALUE"""),"CAB")</f>
        <v>CAB</v>
      </c>
      <c r="D1230" s="1" t="str">
        <f>IFERROR(__xludf.DUMMYFUNCTION("""COMPUTED_VALUE"""),"JOÃO ELMO DE OLIVEIRA RODRIGUES")</f>
        <v>JOÃO ELMO DE OLIVEIRA RODRIGUES</v>
      </c>
      <c r="E1230" s="1" t="str">
        <f>IFERROR(__xludf.DUMMYFUNCTION("""COMPUTED_VALUE"""),"Módulo 1 concluído")</f>
        <v>Módulo 1 concluído</v>
      </c>
      <c r="F1230" s="1" t="str">
        <f>IFERROR(__xludf.DUMMYFUNCTION("""COMPUTED_VALUE"""),"194.194-258-00")</f>
        <v>194.194-258-00</v>
      </c>
      <c r="G1230" s="1">
        <f>IFERROR(__xludf.DUMMYFUNCTION("""COMPUTED_VALUE"""),1068577408)</f>
        <v>1068577408</v>
      </c>
      <c r="H1230" s="1" t="str">
        <f>IFERROR(__xludf.DUMMYFUNCTION("""COMPUTED_VALUE"""),"Combatente")</f>
        <v>Combatente</v>
      </c>
      <c r="I1230" s="1" t="str">
        <f>IFERROR(__xludf.DUMMYFUNCTION("""COMPUTED_VALUE"""),"Treinamento de serviço civil auxiliar de Bombeiros")</f>
        <v>Treinamento de serviço civil auxiliar de Bombeiros</v>
      </c>
      <c r="J1230" s="1" t="str">
        <f>IFERROR(__xludf.DUMMYFUNCTION("""COMPUTED_VALUE"""),"Sim")</f>
        <v>Sim</v>
      </c>
      <c r="K1230" s="1" t="str">
        <f>IFERROR(__xludf.DUMMYFUNCTION("""COMPUTED_VALUE"""),"Não")</f>
        <v>Não</v>
      </c>
      <c r="L1230" s="1" t="str">
        <f>IFERROR(__xludf.DUMMYFUNCTION("""COMPUTED_VALUE"""),"O+")</f>
        <v>O+</v>
      </c>
      <c r="M1230" s="1" t="str">
        <f>IFERROR(__xludf.DUMMYFUNCTION("""COMPUTED_VALUE"""),"MANINHO")</f>
        <v>MANINHO</v>
      </c>
      <c r="N1230" s="120">
        <f>IFERROR(__xludf.DUMMYFUNCTION("""COMPUTED_VALUE"""),28610)</f>
        <v>28610</v>
      </c>
      <c r="O1230" s="1" t="str">
        <f>IFERROR(__xludf.DUMMYFUNCTION("""COMPUTED_VALUE"""),"Masculino")</f>
        <v>Masculino</v>
      </c>
      <c r="P1230" s="1" t="str">
        <f>IFERROR(__xludf.DUMMYFUNCTION("""COMPUTED_VALUE"""),"Morena")</f>
        <v>Morena</v>
      </c>
      <c r="Q1230" s="1" t="str">
        <f>IFERROR(__xludf.DUMMYFUNCTION("""COMPUTED_VALUE"""),"Ensino Médio")</f>
        <v>Ensino Médio</v>
      </c>
      <c r="R1230" s="1" t="str">
        <f>IFERROR(__xludf.DUMMYFUNCTION("""COMPUTED_VALUE"""),"joaoelmo03@gmail.com")</f>
        <v>joaoelmo03@gmail.com</v>
      </c>
      <c r="S1230" s="1" t="str">
        <f>IFERROR(__xludf.DUMMYFUNCTION("""COMPUTED_VALUE"""),"73 kg")</f>
        <v>73 kg</v>
      </c>
      <c r="T1230" s="1" t="str">
        <f>IFERROR(__xludf.DUMMYFUNCTION("""COMPUTED_VALUE"""),"Entre 1,86m e 1,90m")</f>
        <v>Entre 1,86m e 1,90m</v>
      </c>
      <c r="U1230" s="1"/>
      <c r="V1230" s="1" t="str">
        <f>IFERROR(__xludf.DUMMYFUNCTION("""COMPUTED_VALUE"""),"(55)99969-3004")</f>
        <v>(55)99969-3004</v>
      </c>
      <c r="W1230" s="1"/>
      <c r="X1230" s="1" t="str">
        <f>IFERROR(__xludf.DUMMYFUNCTION("""COMPUTED_VALUE"""),"RS")</f>
        <v>RS</v>
      </c>
      <c r="Y1230" s="1" t="str">
        <f>IFERROR(__xludf.DUMMYFUNCTION("""COMPUTED_VALUE"""),"Cacequi")</f>
        <v>Cacequi</v>
      </c>
      <c r="Z1230" s="1" t="str">
        <f>IFERROR(__xludf.DUMMYFUNCTION("""COMPUTED_VALUE"""),"97450-000")</f>
        <v>97450-000</v>
      </c>
      <c r="AA1230" s="1" t="str">
        <f>IFERROR(__xludf.DUMMYFUNCTION("""COMPUTED_VALUE"""),"Jose Bonifacio, 444")</f>
        <v>Jose Bonifacio, 444</v>
      </c>
      <c r="AB1230" s="1" t="str">
        <f>IFERROR(__xludf.DUMMYFUNCTION("""COMPUTED_VALUE"""),"Centro")</f>
        <v>Centro</v>
      </c>
      <c r="AC1230" s="1" t="str">
        <f>IFERROR(__xludf.DUMMYFUNCTION("""COMPUTED_VALUE"""),"M")</f>
        <v>M</v>
      </c>
      <c r="AD1230" s="1" t="str">
        <f>IFERROR(__xludf.DUMMYFUNCTION("""COMPUTED_VALUE"""),"M")</f>
        <v>M</v>
      </c>
      <c r="AE1230" s="1" t="str">
        <f>IFERROR(__xludf.DUMMYFUNCTION("""COMPUTED_VALUE"""),"G")</f>
        <v>G</v>
      </c>
      <c r="AF1230" s="1" t="str">
        <f>IFERROR(__xludf.DUMMYFUNCTION("""COMPUTED_VALUE"""),"G")</f>
        <v>G</v>
      </c>
      <c r="AG1230" s="1" t="str">
        <f>IFERROR(__xludf.DUMMYFUNCTION("""COMPUTED_VALUE"""),"G")</f>
        <v>G</v>
      </c>
      <c r="AH1230" s="1">
        <f>IFERROR(__xludf.DUMMYFUNCTION("""COMPUTED_VALUE"""),42)</f>
        <v>42</v>
      </c>
      <c r="AI1230" s="1">
        <f>IFERROR(__xludf.DUMMYFUNCTION("""COMPUTED_VALUE"""),42)</f>
        <v>42</v>
      </c>
      <c r="AJ1230" s="1">
        <f>IFERROR(__xludf.DUMMYFUNCTION("""COMPUTED_VALUE"""),42)</f>
        <v>42</v>
      </c>
      <c r="AK1230" s="1">
        <f>IFERROR(__xludf.DUMMYFUNCTION("""COMPUTED_VALUE"""),42)</f>
        <v>42</v>
      </c>
      <c r="AL1230" s="1" t="str">
        <f>IFERROR(__xludf.DUMMYFUNCTION("""COMPUTED_VALUE"""),"G")</f>
        <v>G</v>
      </c>
      <c r="AM1230" s="1" t="str">
        <f>IFERROR(__xludf.DUMMYFUNCTION("""COMPUTED_VALUE"""),"M")</f>
        <v>M</v>
      </c>
      <c r="AN1230" s="1" t="str">
        <f>IFERROR(__xludf.DUMMYFUNCTION("""COMPUTED_VALUE"""),"M")</f>
        <v>M</v>
      </c>
    </row>
    <row r="1231" customHeight="1" spans="1:40">
      <c r="A1231" s="1" t="str">
        <f>IFERROR(__xludf.DUMMYFUNCTION("""COMPUTED_VALUE"""),"10° BBM")</f>
        <v>10° BBM</v>
      </c>
      <c r="B1231" s="1" t="str">
        <f>IFERROR(__xludf.DUMMYFUNCTION("""COMPUTED_VALUE"""),"Cacequi")</f>
        <v>Cacequi</v>
      </c>
      <c r="C1231" s="119" t="str">
        <f>IFERROR(__xludf.DUMMYFUNCTION("""COMPUTED_VALUE"""),"CAB")</f>
        <v>CAB</v>
      </c>
      <c r="D1231" s="1" t="str">
        <f>IFERROR(__xludf.DUMMYFUNCTION("""COMPUTED_VALUE"""),"JÚLIA SUSETE PINTO DUTRA")</f>
        <v>JÚLIA SUSETE PINTO DUTRA</v>
      </c>
      <c r="E1231" s="119" t="str">
        <f>IFERROR(__xludf.DUMMYFUNCTION("""COMPUTED_VALUE"""),"Módulo 1 concluído")</f>
        <v>Módulo 1 concluído</v>
      </c>
      <c r="F1231" s="1" t="str">
        <f>IFERROR(__xludf.DUMMYFUNCTION("""COMPUTED_VALUE"""),"630.669.470-68")</f>
        <v>630.669.470-68</v>
      </c>
      <c r="G1231" s="1">
        <f>IFERROR(__xludf.DUMMYFUNCTION("""COMPUTED_VALUE"""),7056988351)</f>
        <v>7056988351</v>
      </c>
      <c r="H1231" s="1" t="str">
        <f>IFERROR(__xludf.DUMMYFUNCTION("""COMPUTED_VALUE"""),"Combatente")</f>
        <v>Combatente</v>
      </c>
      <c r="I1231" s="1" t="str">
        <f>IFERROR(__xludf.DUMMYFUNCTION("""COMPUTED_VALUE"""),"CAB, NR23 - Proteção Contra Incêndios, Primeiros Socorros")</f>
        <v>CAB, NR23 - Proteção Contra Incêndios, Primeiros Socorros</v>
      </c>
      <c r="J1231" s="1" t="str">
        <f>IFERROR(__xludf.DUMMYFUNCTION("""COMPUTED_VALUE"""),"Sim")</f>
        <v>Sim</v>
      </c>
      <c r="K1231" s="1" t="str">
        <f>IFERROR(__xludf.DUMMYFUNCTION("""COMPUTED_VALUE"""),"Não")</f>
        <v>Não</v>
      </c>
      <c r="L1231" s="1" t="str">
        <f>IFERROR(__xludf.DUMMYFUNCTION("""COMPUTED_VALUE"""),"O+")</f>
        <v>O+</v>
      </c>
      <c r="M1231" s="1" t="str">
        <f>IFERROR(__xludf.DUMMYFUNCTION("""COMPUTED_VALUE"""),"JÚLIA")</f>
        <v>JÚLIA</v>
      </c>
      <c r="N1231" s="120">
        <f>IFERROR(__xludf.DUMMYFUNCTION("""COMPUTED_VALUE"""),25473)</f>
        <v>25473</v>
      </c>
      <c r="O1231" s="1" t="str">
        <f>IFERROR(__xludf.DUMMYFUNCTION("""COMPUTED_VALUE"""),"Feminino")</f>
        <v>Feminino</v>
      </c>
      <c r="P1231" s="1" t="str">
        <f>IFERROR(__xludf.DUMMYFUNCTION("""COMPUTED_VALUE"""),"Morena")</f>
        <v>Morena</v>
      </c>
      <c r="Q1231" s="1" t="str">
        <f>IFERROR(__xludf.DUMMYFUNCTION("""COMPUTED_VALUE"""),"Ensino Médio")</f>
        <v>Ensino Médio</v>
      </c>
      <c r="R1231" s="1" t="str">
        <f>IFERROR(__xludf.DUMMYFUNCTION("""COMPUTED_VALUE"""),"juliadutra12344@gmail.com")</f>
        <v>juliadutra12344@gmail.com</v>
      </c>
      <c r="S1231" s="1" t="str">
        <f>IFERROR(__xludf.DUMMYFUNCTION("""COMPUTED_VALUE"""),"59 kg")</f>
        <v>59 kg</v>
      </c>
      <c r="T1231" s="1" t="str">
        <f>IFERROR(__xludf.DUMMYFUNCTION("""COMPUTED_VALUE"""),"Entre 1,61m e 1,65m")</f>
        <v>Entre 1,61m e 1,65m</v>
      </c>
      <c r="U1231" s="1"/>
      <c r="V1231" s="1" t="str">
        <f>IFERROR(__xludf.DUMMYFUNCTION("""COMPUTED_VALUE"""),"(55)99128-5739")</f>
        <v>(55)99128-5739</v>
      </c>
      <c r="W1231" s="1"/>
      <c r="X1231" s="1" t="str">
        <f>IFERROR(__xludf.DUMMYFUNCTION("""COMPUTED_VALUE"""),"RS")</f>
        <v>RS</v>
      </c>
      <c r="Y1231" s="1" t="str">
        <f>IFERROR(__xludf.DUMMYFUNCTION("""COMPUTED_VALUE"""),"Cacequi")</f>
        <v>Cacequi</v>
      </c>
      <c r="Z1231" s="1" t="str">
        <f>IFERROR(__xludf.DUMMYFUNCTION("""COMPUTED_VALUE"""),"97450-000")</f>
        <v>97450-000</v>
      </c>
      <c r="AA1231" s="1" t="str">
        <f>IFERROR(__xludf.DUMMYFUNCTION("""COMPUTED_VALUE"""),"Rua Barros Cassal, 70")</f>
        <v>Rua Barros Cassal, 70</v>
      </c>
      <c r="AB1231" s="1" t="str">
        <f>IFERROR(__xludf.DUMMYFUNCTION("""COMPUTED_VALUE"""),"Povo Novo")</f>
        <v>Povo Novo</v>
      </c>
      <c r="AC1231" s="1" t="str">
        <f>IFERROR(__xludf.DUMMYFUNCTION("""COMPUTED_VALUE"""),"M")</f>
        <v>M</v>
      </c>
      <c r="AD1231" s="1" t="str">
        <f>IFERROR(__xludf.DUMMYFUNCTION("""COMPUTED_VALUE"""),"M")</f>
        <v>M</v>
      </c>
      <c r="AE1231" s="1" t="str">
        <f>IFERROR(__xludf.DUMMYFUNCTION("""COMPUTED_VALUE"""),"M")</f>
        <v>M</v>
      </c>
      <c r="AF1231" s="1" t="str">
        <f>IFERROR(__xludf.DUMMYFUNCTION("""COMPUTED_VALUE"""),"M")</f>
        <v>M</v>
      </c>
      <c r="AG1231" s="1" t="str">
        <f>IFERROR(__xludf.DUMMYFUNCTION("""COMPUTED_VALUE"""),"M")</f>
        <v>M</v>
      </c>
      <c r="AH1231" s="1">
        <f>IFERROR(__xludf.DUMMYFUNCTION("""COMPUTED_VALUE"""),37)</f>
        <v>37</v>
      </c>
      <c r="AI1231" s="1">
        <f>IFERROR(__xludf.DUMMYFUNCTION("""COMPUTED_VALUE"""),37)</f>
        <v>37</v>
      </c>
      <c r="AJ1231" s="1">
        <f>IFERROR(__xludf.DUMMYFUNCTION("""COMPUTED_VALUE"""),37)</f>
        <v>37</v>
      </c>
      <c r="AK1231" s="1">
        <f>IFERROR(__xludf.DUMMYFUNCTION("""COMPUTED_VALUE"""),38)</f>
        <v>38</v>
      </c>
      <c r="AL1231" s="1" t="str">
        <f>IFERROR(__xludf.DUMMYFUNCTION("""COMPUTED_VALUE"""),"M")</f>
        <v>M</v>
      </c>
      <c r="AM1231" s="1" t="str">
        <f>IFERROR(__xludf.DUMMYFUNCTION("""COMPUTED_VALUE"""),"M")</f>
        <v>M</v>
      </c>
      <c r="AN1231" s="1" t="str">
        <f>IFERROR(__xludf.DUMMYFUNCTION("""COMPUTED_VALUE"""),"M")</f>
        <v>M</v>
      </c>
    </row>
    <row r="1232" customHeight="1" spans="1:40">
      <c r="A1232" s="1" t="str">
        <f>IFERROR(__xludf.DUMMYFUNCTION("""COMPUTED_VALUE"""),"10° BBM")</f>
        <v>10° BBM</v>
      </c>
      <c r="B1232" s="1" t="str">
        <f>IFERROR(__xludf.DUMMYFUNCTION("""COMPUTED_VALUE"""),"Cacequi")</f>
        <v>Cacequi</v>
      </c>
      <c r="C1232" s="119" t="str">
        <f>IFERROR(__xludf.DUMMYFUNCTION("""COMPUTED_VALUE"""),"CAB")</f>
        <v>CAB</v>
      </c>
      <c r="D1232" s="1" t="str">
        <f>IFERROR(__xludf.DUMMYFUNCTION("""COMPUTED_VALUE"""),"KAUE RODRIGUES SAUZEM")</f>
        <v>KAUE RODRIGUES SAUZEM</v>
      </c>
      <c r="E1232" s="1" t="str">
        <f>IFERROR(__xludf.DUMMYFUNCTION("""COMPUTED_VALUE"""),"Módulo 1 concluído")</f>
        <v>Módulo 1 concluído</v>
      </c>
      <c r="F1232" s="1" t="str">
        <f>IFERROR(__xludf.DUMMYFUNCTION("""COMPUTED_VALUE"""),"024-064-710-63")</f>
        <v>024-064-710-63</v>
      </c>
      <c r="G1232" s="1">
        <f>IFERROR(__xludf.DUMMYFUNCTION("""COMPUTED_VALUE"""),6108986677)</f>
        <v>6108986677</v>
      </c>
      <c r="H1232" s="1" t="str">
        <f>IFERROR(__xludf.DUMMYFUNCTION("""COMPUTED_VALUE"""),"Combatente/Motorista ")</f>
        <v>Combatente/Motorista </v>
      </c>
      <c r="I1232" s="1" t="str">
        <f>IFERROR(__xludf.DUMMYFUNCTION("""COMPUTED_VALUE"""),"CAB, VEICULOS DE EMERGENCIA, NOÇÕES DE PRIMEIROS SOCORROS, LEGISLAÇÃO DE TRANSITO CARGAS RODOVIARIAS")</f>
        <v>CAB, VEICULOS DE EMERGENCIA, NOÇÕES DE PRIMEIROS SOCORROS, LEGISLAÇÃO DE TRANSITO CARGAS RODOVIARIAS</v>
      </c>
      <c r="J1232" s="1" t="str">
        <f>IFERROR(__xludf.DUMMYFUNCTION("""COMPUTED_VALUE"""),"Sim")</f>
        <v>Sim</v>
      </c>
      <c r="K1232" s="1" t="str">
        <f>IFERROR(__xludf.DUMMYFUNCTION("""COMPUTED_VALUE"""),"Não")</f>
        <v>Não</v>
      </c>
      <c r="L1232" s="1" t="str">
        <f>IFERROR(__xludf.DUMMYFUNCTION("""COMPUTED_VALUE"""),"A+")</f>
        <v>A+</v>
      </c>
      <c r="M1232" s="1" t="str">
        <f>IFERROR(__xludf.DUMMYFUNCTION("""COMPUTED_VALUE"""),"KAUE")</f>
        <v>KAUE</v>
      </c>
      <c r="N1232" s="120">
        <f>IFERROR(__xludf.DUMMYFUNCTION("""COMPUTED_VALUE"""),36920)</f>
        <v>36920</v>
      </c>
      <c r="O1232" s="1" t="str">
        <f>IFERROR(__xludf.DUMMYFUNCTION("""COMPUTED_VALUE"""),"Masculino")</f>
        <v>Masculino</v>
      </c>
      <c r="P1232" s="1" t="str">
        <f>IFERROR(__xludf.DUMMYFUNCTION("""COMPUTED_VALUE"""),"Branca")</f>
        <v>Branca</v>
      </c>
      <c r="Q1232" s="1" t="str">
        <f>IFERROR(__xludf.DUMMYFUNCTION("""COMPUTED_VALUE"""),"Ensino Médio")</f>
        <v>Ensino Médio</v>
      </c>
      <c r="R1232" s="1" t="str">
        <f>IFERROR(__xludf.DUMMYFUNCTION("""COMPUTED_VALUE"""),"kaue.sauzem15@gmail.com")</f>
        <v>kaue.sauzem15@gmail.com</v>
      </c>
      <c r="S1232" s="1" t="str">
        <f>IFERROR(__xludf.DUMMYFUNCTION("""COMPUTED_VALUE"""),"61 kg")</f>
        <v>61 kg</v>
      </c>
      <c r="T1232" s="1" t="str">
        <f>IFERROR(__xludf.DUMMYFUNCTION("""COMPUTED_VALUE"""),"Entre 1,66m e 1,70m")</f>
        <v>Entre 1,66m e 1,70m</v>
      </c>
      <c r="U1232" s="1"/>
      <c r="V1232" s="1" t="str">
        <f>IFERROR(__xludf.DUMMYFUNCTION("""COMPUTED_VALUE"""),"(55)99146-7608")</f>
        <v>(55)99146-7608</v>
      </c>
      <c r="W1232" s="1"/>
      <c r="X1232" s="1" t="str">
        <f>IFERROR(__xludf.DUMMYFUNCTION("""COMPUTED_VALUE"""),"RS")</f>
        <v>RS</v>
      </c>
      <c r="Y1232" s="1" t="str">
        <f>IFERROR(__xludf.DUMMYFUNCTION("""COMPUTED_VALUE"""),"Cacequi")</f>
        <v>Cacequi</v>
      </c>
      <c r="Z1232" s="1" t="str">
        <f>IFERROR(__xludf.DUMMYFUNCTION("""COMPUTED_VALUE"""),"97450-000")</f>
        <v>97450-000</v>
      </c>
      <c r="AA1232" s="1" t="str">
        <f>IFERROR(__xludf.DUMMYFUNCTION("""COMPUTED_VALUE"""),"Cap. Ernesto Rossi, 80")</f>
        <v>Cap. Ernesto Rossi, 80</v>
      </c>
      <c r="AB1232" s="1" t="str">
        <f>IFERROR(__xludf.DUMMYFUNCTION("""COMPUTED_VALUE"""),"Popular")</f>
        <v>Popular</v>
      </c>
      <c r="AC1232" s="1" t="str">
        <f>IFERROR(__xludf.DUMMYFUNCTION("""COMPUTED_VALUE"""),"M")</f>
        <v>M</v>
      </c>
      <c r="AD1232" s="1" t="str">
        <f>IFERROR(__xludf.DUMMYFUNCTION("""COMPUTED_VALUE"""),"M")</f>
        <v>M</v>
      </c>
      <c r="AE1232" s="1" t="str">
        <f>IFERROR(__xludf.DUMMYFUNCTION("""COMPUTED_VALUE"""),"M")</f>
        <v>M</v>
      </c>
      <c r="AF1232" s="1" t="str">
        <f>IFERROR(__xludf.DUMMYFUNCTION("""COMPUTED_VALUE"""),"M")</f>
        <v>M</v>
      </c>
      <c r="AG1232" s="1" t="str">
        <f>IFERROR(__xludf.DUMMYFUNCTION("""COMPUTED_VALUE"""),"M")</f>
        <v>M</v>
      </c>
      <c r="AH1232" s="1">
        <f>IFERROR(__xludf.DUMMYFUNCTION("""COMPUTED_VALUE"""),39)</f>
        <v>39</v>
      </c>
      <c r="AI1232" s="1">
        <f>IFERROR(__xludf.DUMMYFUNCTION("""COMPUTED_VALUE"""),39)</f>
        <v>39</v>
      </c>
      <c r="AJ1232" s="1">
        <f>IFERROR(__xludf.DUMMYFUNCTION("""COMPUTED_VALUE"""),39)</f>
        <v>39</v>
      </c>
      <c r="AK1232" s="1">
        <f>IFERROR(__xludf.DUMMYFUNCTION("""COMPUTED_VALUE"""),39)</f>
        <v>39</v>
      </c>
      <c r="AL1232" s="1" t="str">
        <f>IFERROR(__xludf.DUMMYFUNCTION("""COMPUTED_VALUE"""),"M")</f>
        <v>M</v>
      </c>
      <c r="AM1232" s="1" t="str">
        <f>IFERROR(__xludf.DUMMYFUNCTION("""COMPUTED_VALUE"""),"M")</f>
        <v>M</v>
      </c>
      <c r="AN1232" s="1" t="str">
        <f>IFERROR(__xludf.DUMMYFUNCTION("""COMPUTED_VALUE"""),"M")</f>
        <v>M</v>
      </c>
    </row>
    <row r="1233" customHeight="1" spans="1:40">
      <c r="A1233" s="1" t="str">
        <f>IFERROR(__xludf.DUMMYFUNCTION("""COMPUTED_VALUE"""),"10° BBM")</f>
        <v>10° BBM</v>
      </c>
      <c r="B1233" s="1" t="str">
        <f>IFERROR(__xludf.DUMMYFUNCTION("""COMPUTED_VALUE"""),"Cacequi")</f>
        <v>Cacequi</v>
      </c>
      <c r="C1233" s="119" t="str">
        <f>IFERROR(__xludf.DUMMYFUNCTION("""COMPUTED_VALUE"""),"CAB")</f>
        <v>CAB</v>
      </c>
      <c r="D1233" s="1" t="str">
        <f>IFERROR(__xludf.DUMMYFUNCTION("""COMPUTED_VALUE"""),"KEVEN MALLMANN FONTOURA")</f>
        <v>KEVEN MALLMANN FONTOURA</v>
      </c>
      <c r="E1233" s="119" t="str">
        <f>IFERROR(__xludf.DUMMYFUNCTION("""COMPUTED_VALUE"""),"Curso CAB operador concluído")</f>
        <v>Curso CAB operador concluído</v>
      </c>
      <c r="F1233" s="1" t="str">
        <f>IFERROR(__xludf.DUMMYFUNCTION("""COMPUTED_VALUE"""),"042.368.540-66")</f>
        <v>042.368.540-66</v>
      </c>
      <c r="G1233" s="1">
        <f>IFERROR(__xludf.DUMMYFUNCTION("""COMPUTED_VALUE"""),7128244841)</f>
        <v>7128244841</v>
      </c>
      <c r="H1233" s="1" t="str">
        <f>IFERROR(__xludf.DUMMYFUNCTION("""COMPUTED_VALUE"""),"Combatente")</f>
        <v>Combatente</v>
      </c>
      <c r="I1233" s="1" t="str">
        <f>IFERROR(__xludf.DUMMYFUNCTION("""COMPUTED_VALUE"""),"Técnico em Enfermagem, CAB.")</f>
        <v>Técnico em Enfermagem, CAB.</v>
      </c>
      <c r="J1233" s="1" t="str">
        <f>IFERROR(__xludf.DUMMYFUNCTION("""COMPUTED_VALUE"""),"Sim")</f>
        <v>Sim</v>
      </c>
      <c r="K1233" s="1" t="str">
        <f>IFERROR(__xludf.DUMMYFUNCTION("""COMPUTED_VALUE"""),"Não")</f>
        <v>Não</v>
      </c>
      <c r="L1233" s="1"/>
      <c r="M1233" s="1" t="str">
        <f>IFERROR(__xludf.DUMMYFUNCTION("""COMPUTED_VALUE"""),"KEVINHO")</f>
        <v>KEVINHO</v>
      </c>
      <c r="N1233" s="120">
        <f>IFERROR(__xludf.DUMMYFUNCTION("""COMPUTED_VALUE"""),37543)</f>
        <v>37543</v>
      </c>
      <c r="O1233" s="1" t="str">
        <f>IFERROR(__xludf.DUMMYFUNCTION("""COMPUTED_VALUE"""),"Masculino")</f>
        <v>Masculino</v>
      </c>
      <c r="P1233" s="1" t="str">
        <f>IFERROR(__xludf.DUMMYFUNCTION("""COMPUTED_VALUE"""),"Morena")</f>
        <v>Morena</v>
      </c>
      <c r="Q1233" s="1" t="str">
        <f>IFERROR(__xludf.DUMMYFUNCTION("""COMPUTED_VALUE"""),"Ensino Superior Incompleto")</f>
        <v>Ensino Superior Incompleto</v>
      </c>
      <c r="R1233" s="1" t="str">
        <f>IFERROR(__xludf.DUMMYFUNCTION("""COMPUTED_VALUE"""),"kevendra036@gmail.com")</f>
        <v>kevendra036@gmail.com</v>
      </c>
      <c r="S1233" s="1" t="str">
        <f>IFERROR(__xludf.DUMMYFUNCTION("""COMPUTED_VALUE"""),"83 kg")</f>
        <v>83 kg</v>
      </c>
      <c r="T1233" s="1" t="str">
        <f>IFERROR(__xludf.DUMMYFUNCTION("""COMPUTED_VALUE"""),"Entre 1,71m e 1,75m")</f>
        <v>Entre 1,71m e 1,75m</v>
      </c>
      <c r="U1233" s="1"/>
      <c r="V1233" s="1" t="str">
        <f>IFERROR(__xludf.DUMMYFUNCTION("""COMPUTED_VALUE"""),"(55)99104-0322")</f>
        <v>(55)99104-0322</v>
      </c>
      <c r="W1233" s="1"/>
      <c r="X1233" s="1" t="str">
        <f>IFERROR(__xludf.DUMMYFUNCTION("""COMPUTED_VALUE"""),"RS")</f>
        <v>RS</v>
      </c>
      <c r="Y1233" s="1" t="str">
        <f>IFERROR(__xludf.DUMMYFUNCTION("""COMPUTED_VALUE"""),"Cacequi")</f>
        <v>Cacequi</v>
      </c>
      <c r="Z1233" s="1" t="str">
        <f>IFERROR(__xludf.DUMMYFUNCTION("""COMPUTED_VALUE"""),"97450-000")</f>
        <v>97450-000</v>
      </c>
      <c r="AA1233" s="1" t="str">
        <f>IFERROR(__xludf.DUMMYFUNCTION("""COMPUTED_VALUE"""),"João Pedro Vargas 50")</f>
        <v>João Pedro Vargas 50</v>
      </c>
      <c r="AB1233" s="1" t="str">
        <f>IFERROR(__xludf.DUMMYFUNCTION("""COMPUTED_VALUE"""),"Popular")</f>
        <v>Popular</v>
      </c>
      <c r="AC1233" s="1" t="str">
        <f>IFERROR(__xludf.DUMMYFUNCTION("""COMPUTED_VALUE"""),"G")</f>
        <v>G</v>
      </c>
      <c r="AD1233" s="1" t="str">
        <f>IFERROR(__xludf.DUMMYFUNCTION("""COMPUTED_VALUE"""),"G")</f>
        <v>G</v>
      </c>
      <c r="AE1233" s="1" t="str">
        <f>IFERROR(__xludf.DUMMYFUNCTION("""COMPUTED_VALUE"""),"G")</f>
        <v>G</v>
      </c>
      <c r="AF1233" s="1" t="str">
        <f>IFERROR(__xludf.DUMMYFUNCTION("""COMPUTED_VALUE"""),"G")</f>
        <v>G</v>
      </c>
      <c r="AG1233" s="1" t="str">
        <f>IFERROR(__xludf.DUMMYFUNCTION("""COMPUTED_VALUE"""),"G")</f>
        <v>G</v>
      </c>
      <c r="AH1233" s="1">
        <f>IFERROR(__xludf.DUMMYFUNCTION("""COMPUTED_VALUE"""),42)</f>
        <v>42</v>
      </c>
      <c r="AI1233" s="1">
        <f>IFERROR(__xludf.DUMMYFUNCTION("""COMPUTED_VALUE"""),42)</f>
        <v>42</v>
      </c>
      <c r="AJ1233" s="1">
        <f>IFERROR(__xludf.DUMMYFUNCTION("""COMPUTED_VALUE"""),42)</f>
        <v>42</v>
      </c>
      <c r="AK1233" s="1">
        <f>IFERROR(__xludf.DUMMYFUNCTION("""COMPUTED_VALUE"""),42)</f>
        <v>42</v>
      </c>
      <c r="AL1233" s="1" t="str">
        <f>IFERROR(__xludf.DUMMYFUNCTION("""COMPUTED_VALUE"""),"G")</f>
        <v>G</v>
      </c>
      <c r="AM1233" s="1" t="str">
        <f>IFERROR(__xludf.DUMMYFUNCTION("""COMPUTED_VALUE"""),"G")</f>
        <v>G</v>
      </c>
      <c r="AN1233" s="1" t="str">
        <f>IFERROR(__xludf.DUMMYFUNCTION("""COMPUTED_VALUE"""),"M")</f>
        <v>M</v>
      </c>
    </row>
    <row r="1234" customHeight="1" spans="1:40">
      <c r="A1234" s="1" t="str">
        <f>IFERROR(__xludf.DUMMYFUNCTION("""COMPUTED_VALUE"""),"10° BBM")</f>
        <v>10° BBM</v>
      </c>
      <c r="B1234" s="1" t="str">
        <f>IFERROR(__xludf.DUMMYFUNCTION("""COMPUTED_VALUE"""),"Cacequi")</f>
        <v>Cacequi</v>
      </c>
      <c r="C1234" s="119" t="str">
        <f>IFERROR(__xludf.DUMMYFUNCTION("""COMPUTED_VALUE"""),"CAB")</f>
        <v>CAB</v>
      </c>
      <c r="D1234" s="1" t="str">
        <f>IFERROR(__xludf.DUMMYFUNCTION("""COMPUTED_VALUE"""),"LUCAS MOURA DE OLIVEIRA")</f>
        <v>LUCAS MOURA DE OLIVEIRA</v>
      </c>
      <c r="E1234" s="119" t="str">
        <f>IFERROR(__xludf.DUMMYFUNCTION("""COMPUTED_VALUE"""),"")</f>
        <v/>
      </c>
      <c r="F1234" s="1" t="str">
        <f>IFERROR(__xludf.DUMMYFUNCTION("""COMPUTED_VALUE"""),"024.525.710-16")</f>
        <v>024.525.710-16</v>
      </c>
      <c r="G1234" s="1">
        <f>IFERROR(__xludf.DUMMYFUNCTION("""COMPUTED_VALUE"""),1098333642)</f>
        <v>1098333642</v>
      </c>
      <c r="H1234" s="1" t="str">
        <f>IFERROR(__xludf.DUMMYFUNCTION("""COMPUTED_VALUE"""),"Combatente")</f>
        <v>Combatente</v>
      </c>
      <c r="I1234" s="1" t="str">
        <f>IFERROR(__xludf.DUMMYFUNCTION("""COMPUTED_VALUE"""),"Curso de Bombeiro Civil, Faculdade Jovem Profissional. APH-2019/ 2020/ 2021/ 2022, Socorrista de Primeira Resposta Cruz Vermelha de Santa Maria, Condutor de Veiculos de Emergência, Curso Controle de Hemorragias,")</f>
        <v>Curso de Bombeiro Civil, Faculdade Jovem Profissional. APH-2019/ 2020/ 2021/ 2022, Socorrista de Primeira Resposta Cruz Vermelha de Santa Maria, Condutor de Veiculos de Emergência, Curso Controle de Hemorragias,</v>
      </c>
      <c r="J1234" s="1" t="str">
        <f>IFERROR(__xludf.DUMMYFUNCTION("""COMPUTED_VALUE"""),"Não")</f>
        <v>Não</v>
      </c>
      <c r="K1234" s="1" t="str">
        <f>IFERROR(__xludf.DUMMYFUNCTION("""COMPUTED_VALUE"""),"Não")</f>
        <v>Não</v>
      </c>
      <c r="L1234" s="1"/>
      <c r="M1234" s="1" t="str">
        <f>IFERROR(__xludf.DUMMYFUNCTION("""COMPUTED_VALUE"""),"LUCAS")</f>
        <v>LUCAS</v>
      </c>
      <c r="N1234" s="120">
        <f>IFERROR(__xludf.DUMMYFUNCTION("""COMPUTED_VALUE"""),33322)</f>
        <v>33322</v>
      </c>
      <c r="O1234" s="1" t="str">
        <f>IFERROR(__xludf.DUMMYFUNCTION("""COMPUTED_VALUE"""),"Masculino")</f>
        <v>Masculino</v>
      </c>
      <c r="P1234" s="1" t="str">
        <f>IFERROR(__xludf.DUMMYFUNCTION("""COMPUTED_VALUE"""),"Branca")</f>
        <v>Branca</v>
      </c>
      <c r="Q1234" s="1" t="str">
        <f>IFERROR(__xludf.DUMMYFUNCTION("""COMPUTED_VALUE"""),"Ensino Médio")</f>
        <v>Ensino Médio</v>
      </c>
      <c r="R1234" s="1"/>
      <c r="S1234" s="1" t="str">
        <f>IFERROR(__xludf.DUMMYFUNCTION("""COMPUTED_VALUE"""),"90 kg")</f>
        <v>90 kg</v>
      </c>
      <c r="T1234" s="1" t="str">
        <f>IFERROR(__xludf.DUMMYFUNCTION("""COMPUTED_VALUE"""),"Entre 1,76m e 1,80m")</f>
        <v>Entre 1,76m e 1,80m</v>
      </c>
      <c r="U1234" s="1"/>
      <c r="V1234" s="1" t="str">
        <f>IFERROR(__xludf.DUMMYFUNCTION("""COMPUTED_VALUE"""),"(54)99261-7538")</f>
        <v>(54)99261-7538</v>
      </c>
      <c r="W1234" s="1"/>
      <c r="X1234" s="1" t="str">
        <f>IFERROR(__xludf.DUMMYFUNCTION("""COMPUTED_VALUE"""),"RS")</f>
        <v>RS</v>
      </c>
      <c r="Y1234" s="1" t="str">
        <f>IFERROR(__xludf.DUMMYFUNCTION("""COMPUTED_VALUE"""),"Rosário do Sul")</f>
        <v>Rosário do Sul</v>
      </c>
      <c r="Z1234" s="1" t="str">
        <f>IFERROR(__xludf.DUMMYFUNCTION("""COMPUTED_VALUE"""),"97590-000")</f>
        <v>97590-000</v>
      </c>
      <c r="AA1234" s="1" t="str">
        <f>IFERROR(__xludf.DUMMYFUNCTION("""COMPUTED_VALUE"""),"Osvaldo Aranha, 3547")</f>
        <v>Osvaldo Aranha, 3547</v>
      </c>
      <c r="AB1234" s="1" t="str">
        <f>IFERROR(__xludf.DUMMYFUNCTION("""COMPUTED_VALUE"""),"Zona Industrial")</f>
        <v>Zona Industrial</v>
      </c>
      <c r="AC1234" s="1" t="str">
        <f>IFERROR(__xludf.DUMMYFUNCTION("""COMPUTED_VALUE"""),"G")</f>
        <v>G</v>
      </c>
      <c r="AD1234" s="1" t="str">
        <f>IFERROR(__xludf.DUMMYFUNCTION("""COMPUTED_VALUE"""),"G")</f>
        <v>G</v>
      </c>
      <c r="AE1234" s="1" t="str">
        <f>IFERROR(__xludf.DUMMYFUNCTION("""COMPUTED_VALUE"""),"G")</f>
        <v>G</v>
      </c>
      <c r="AF1234" s="1" t="str">
        <f>IFERROR(__xludf.DUMMYFUNCTION("""COMPUTED_VALUE"""),"G")</f>
        <v>G</v>
      </c>
      <c r="AG1234" s="1" t="str">
        <f>IFERROR(__xludf.DUMMYFUNCTION("""COMPUTED_VALUE"""),"G")</f>
        <v>G</v>
      </c>
      <c r="AH1234" s="1">
        <f>IFERROR(__xludf.DUMMYFUNCTION("""COMPUTED_VALUE"""),43)</f>
        <v>43</v>
      </c>
      <c r="AI1234" s="1">
        <f>IFERROR(__xludf.DUMMYFUNCTION("""COMPUTED_VALUE"""),43)</f>
        <v>43</v>
      </c>
      <c r="AJ1234" s="1">
        <f>IFERROR(__xludf.DUMMYFUNCTION("""COMPUTED_VALUE"""),43)</f>
        <v>43</v>
      </c>
      <c r="AK1234" s="1">
        <f>IFERROR(__xludf.DUMMYFUNCTION("""COMPUTED_VALUE"""),43)</f>
        <v>43</v>
      </c>
      <c r="AL1234" s="1" t="str">
        <f>IFERROR(__xludf.DUMMYFUNCTION("""COMPUTED_VALUE"""),"G")</f>
        <v>G</v>
      </c>
      <c r="AM1234" s="1" t="str">
        <f>IFERROR(__xludf.DUMMYFUNCTION("""COMPUTED_VALUE"""),"G")</f>
        <v>G</v>
      </c>
      <c r="AN1234" s="1" t="str">
        <f>IFERROR(__xludf.DUMMYFUNCTION("""COMPUTED_VALUE"""),"G")</f>
        <v>G</v>
      </c>
    </row>
    <row r="1235" customHeight="1" spans="1:40">
      <c r="A1235" s="1" t="str">
        <f>IFERROR(__xludf.DUMMYFUNCTION("""COMPUTED_VALUE"""),"10° BBM")</f>
        <v>10° BBM</v>
      </c>
      <c r="B1235" s="1" t="str">
        <f>IFERROR(__xludf.DUMMYFUNCTION("""COMPUTED_VALUE"""),"Cacequi")</f>
        <v>Cacequi</v>
      </c>
      <c r="C1235" s="119" t="str">
        <f>IFERROR(__xludf.DUMMYFUNCTION("""COMPUTED_VALUE"""),"CAB")</f>
        <v>CAB</v>
      </c>
      <c r="D1235" s="1" t="str">
        <f>IFERROR(__xludf.DUMMYFUNCTION("""COMPUTED_VALUE"""),"LUCIANE RETAMAR DA SILVA")</f>
        <v>LUCIANE RETAMAR DA SILVA</v>
      </c>
      <c r="E1235" s="119" t="str">
        <f>IFERROR(__xludf.DUMMYFUNCTION("""COMPUTED_VALUE"""),"")</f>
        <v/>
      </c>
      <c r="F1235" s="1" t="str">
        <f>IFERROR(__xludf.DUMMYFUNCTION("""COMPUTED_VALUE"""),"015.998.860.81")</f>
        <v>015.998.860.81</v>
      </c>
      <c r="G1235" s="1">
        <f>IFERROR(__xludf.DUMMYFUNCTION("""COMPUTED_VALUE"""),1101129276)</f>
        <v>1101129276</v>
      </c>
      <c r="H1235" s="1" t="str">
        <f>IFERROR(__xludf.DUMMYFUNCTION("""COMPUTED_VALUE"""),"Combatente")</f>
        <v>Combatente</v>
      </c>
      <c r="I1235" s="1" t="str">
        <f>IFERROR(__xludf.DUMMYFUNCTION("""COMPUTED_VALUE"""),"técnico em enfermagem ")</f>
        <v>técnico em enfermagem </v>
      </c>
      <c r="J1235" s="1" t="str">
        <f>IFERROR(__xludf.DUMMYFUNCTION("""COMPUTED_VALUE"""),"Não")</f>
        <v>Não</v>
      </c>
      <c r="K1235" s="1" t="str">
        <f>IFERROR(__xludf.DUMMYFUNCTION("""COMPUTED_VALUE"""),"Não")</f>
        <v>Não</v>
      </c>
      <c r="L1235" s="1" t="str">
        <f>IFERROR(__xludf.DUMMYFUNCTION("""COMPUTED_VALUE"""),"A+")</f>
        <v>A+</v>
      </c>
      <c r="M1235" s="1" t="str">
        <f>IFERROR(__xludf.DUMMYFUNCTION("""COMPUTED_VALUE"""),"RETAMAR")</f>
        <v>RETAMAR</v>
      </c>
      <c r="N1235" s="120">
        <f>IFERROR(__xludf.DUMMYFUNCTION("""COMPUTED_VALUE"""),32954)</f>
        <v>32954</v>
      </c>
      <c r="O1235" s="1" t="str">
        <f>IFERROR(__xludf.DUMMYFUNCTION("""COMPUTED_VALUE"""),"Feminino")</f>
        <v>Feminino</v>
      </c>
      <c r="P1235" s="1" t="str">
        <f>IFERROR(__xludf.DUMMYFUNCTION("""COMPUTED_VALUE"""),"Branca")</f>
        <v>Branca</v>
      </c>
      <c r="Q1235" s="1" t="str">
        <f>IFERROR(__xludf.DUMMYFUNCTION("""COMPUTED_VALUE"""),"Ensino Médio")</f>
        <v>Ensino Médio</v>
      </c>
      <c r="R1235" s="1" t="str">
        <f>IFERROR(__xludf.DUMMYFUNCTION("""COMPUTED_VALUE"""),"lucianeretamardasilva41@gmail.com")</f>
        <v>lucianeretamardasilva41@gmail.com</v>
      </c>
      <c r="S1235" s="1" t="str">
        <f>IFERROR(__xludf.DUMMYFUNCTION("""COMPUTED_VALUE"""),"73 kg")</f>
        <v>73 kg</v>
      </c>
      <c r="T1235" s="1" t="str">
        <f>IFERROR(__xludf.DUMMYFUNCTION("""COMPUTED_VALUE"""),"Entre 1,61m e 1,65m")</f>
        <v>Entre 1,61m e 1,65m</v>
      </c>
      <c r="U1235" s="1"/>
      <c r="V1235" s="1" t="str">
        <f>IFERROR(__xludf.DUMMYFUNCTION("""COMPUTED_VALUE"""),"(55)99150-8923")</f>
        <v>(55)99150-8923</v>
      </c>
      <c r="W1235" s="1"/>
      <c r="X1235" s="1" t="str">
        <f>IFERROR(__xludf.DUMMYFUNCTION("""COMPUTED_VALUE"""),"RS")</f>
        <v>RS</v>
      </c>
      <c r="Y1235" s="1" t="str">
        <f>IFERROR(__xludf.DUMMYFUNCTION("""COMPUTED_VALUE"""),"Cacequi")</f>
        <v>Cacequi</v>
      </c>
      <c r="Z1235" s="1" t="str">
        <f>IFERROR(__xludf.DUMMYFUNCTION("""COMPUTED_VALUE"""),"97450-000")</f>
        <v>97450-000</v>
      </c>
      <c r="AA1235" s="1" t="str">
        <f>IFERROR(__xludf.DUMMYFUNCTION("""COMPUTED_VALUE"""),"João Broll, 625")</f>
        <v>João Broll, 625</v>
      </c>
      <c r="AB1235" s="1" t="str">
        <f>IFERROR(__xludf.DUMMYFUNCTION("""COMPUTED_VALUE"""),"Cohab")</f>
        <v>Cohab</v>
      </c>
      <c r="AC1235" s="1" t="str">
        <f>IFERROR(__xludf.DUMMYFUNCTION("""COMPUTED_VALUE"""),"M")</f>
        <v>M</v>
      </c>
      <c r="AD1235" s="1" t="str">
        <f>IFERROR(__xludf.DUMMYFUNCTION("""COMPUTED_VALUE"""),"M")</f>
        <v>M</v>
      </c>
      <c r="AE1235" s="1" t="str">
        <f>IFERROR(__xludf.DUMMYFUNCTION("""COMPUTED_VALUE"""),"M")</f>
        <v>M</v>
      </c>
      <c r="AF1235" s="1" t="str">
        <f>IFERROR(__xludf.DUMMYFUNCTION("""COMPUTED_VALUE"""),"M")</f>
        <v>M</v>
      </c>
      <c r="AG1235" s="1" t="str">
        <f>IFERROR(__xludf.DUMMYFUNCTION("""COMPUTED_VALUE"""),"M")</f>
        <v>M</v>
      </c>
      <c r="AH1235" s="1">
        <f>IFERROR(__xludf.DUMMYFUNCTION("""COMPUTED_VALUE"""),37)</f>
        <v>37</v>
      </c>
      <c r="AI1235" s="1">
        <f>IFERROR(__xludf.DUMMYFUNCTION("""COMPUTED_VALUE"""),37)</f>
        <v>37</v>
      </c>
      <c r="AJ1235" s="1">
        <f>IFERROR(__xludf.DUMMYFUNCTION("""COMPUTED_VALUE"""),37)</f>
        <v>37</v>
      </c>
      <c r="AK1235" s="1">
        <f>IFERROR(__xludf.DUMMYFUNCTION("""COMPUTED_VALUE"""),37)</f>
        <v>37</v>
      </c>
      <c r="AL1235" s="1" t="str">
        <f>IFERROR(__xludf.DUMMYFUNCTION("""COMPUTED_VALUE"""),"M")</f>
        <v>M</v>
      </c>
      <c r="AM1235" s="1" t="str">
        <f>IFERROR(__xludf.DUMMYFUNCTION("""COMPUTED_VALUE"""),"M")</f>
        <v>M</v>
      </c>
      <c r="AN1235" s="1" t="str">
        <f>IFERROR(__xludf.DUMMYFUNCTION("""COMPUTED_VALUE"""),"M")</f>
        <v>M</v>
      </c>
    </row>
    <row r="1236" customHeight="1" spans="1:40">
      <c r="A1236" s="1"/>
      <c r="B1236" s="1"/>
      <c r="C1236" s="119"/>
      <c r="D1236" s="1" t="str">
        <f>IFERROR(__xludf.DUMMYFUNCTION("""COMPUTED_VALUE"""),"LUCIANE RETAMAR DA SILVA")</f>
        <v>LUCIANE RETAMAR DA SILVA</v>
      </c>
      <c r="E1236" s="1" t="str">
        <f>IFERROR(__xludf.DUMMYFUNCTION("""COMPUTED_VALUE"""),"Módulo 1 concluído")</f>
        <v>Módulo 1 concluído</v>
      </c>
      <c r="F1236" s="1" t="str">
        <f>IFERROR(__xludf.DUMMYFUNCTION("""COMPUTED_VALUE"""),"015.998.860-81")</f>
        <v>015.998.860-81</v>
      </c>
      <c r="G1236" s="1"/>
      <c r="H1236" s="1"/>
      <c r="I1236" s="1"/>
      <c r="J1236" s="1"/>
      <c r="K1236" s="1"/>
      <c r="L1236" s="1"/>
      <c r="M1236" s="1"/>
      <c r="N1236" s="120"/>
      <c r="O1236" s="1"/>
      <c r="P1236" s="1"/>
      <c r="Q1236" s="1"/>
      <c r="R1236" s="1"/>
      <c r="S1236" s="1"/>
      <c r="T1236" s="1"/>
      <c r="U1236" s="1"/>
      <c r="V1236" s="1"/>
      <c r="W1236" s="1"/>
      <c r="X1236" s="1"/>
      <c r="Y1236" s="1"/>
      <c r="Z1236" s="1"/>
      <c r="AA1236" s="1"/>
      <c r="AB1236" s="1"/>
      <c r="AC1236" s="1"/>
      <c r="AD1236" s="1"/>
      <c r="AE1236" s="1"/>
      <c r="AF1236" s="1"/>
      <c r="AG1236" s="1"/>
      <c r="AH1236" s="1"/>
      <c r="AI1236" s="1"/>
      <c r="AJ1236" s="1"/>
      <c r="AK1236" s="1"/>
      <c r="AL1236" s="1"/>
      <c r="AM1236" s="1"/>
      <c r="AN1236" s="1"/>
    </row>
    <row r="1237" customHeight="1" spans="1:40">
      <c r="A1237" s="1"/>
      <c r="B1237" s="1"/>
      <c r="C1237" s="119"/>
      <c r="D1237" s="1" t="str">
        <f>IFERROR(__xludf.DUMMYFUNCTION("""COMPUTED_VALUE"""),"LUCIANO DA SILVA CANTARELLI")</f>
        <v>LUCIANO DA SILVA CANTARELLI</v>
      </c>
      <c r="E1237" s="1" t="str">
        <f>IFERROR(__xludf.DUMMYFUNCTION("""COMPUTED_VALUE"""),"Módulo 1 concluído")</f>
        <v>Módulo 1 concluído</v>
      </c>
      <c r="F1237" s="1" t="str">
        <f>IFERROR(__xludf.DUMMYFUNCTION("""COMPUTED_VALUE"""),"006.384.290-48")</f>
        <v>006.384.290-48</v>
      </c>
      <c r="G1237" s="1"/>
      <c r="H1237" s="1"/>
      <c r="I1237" s="1"/>
      <c r="J1237" s="1"/>
      <c r="K1237" s="1"/>
      <c r="L1237" s="1"/>
      <c r="M1237" s="1"/>
      <c r="N1237" s="120"/>
      <c r="O1237" s="1"/>
      <c r="P1237" s="1"/>
      <c r="Q1237" s="1"/>
      <c r="R1237" s="1"/>
      <c r="S1237" s="1"/>
      <c r="T1237" s="1"/>
      <c r="U1237" s="1"/>
      <c r="V1237" s="1"/>
      <c r="W1237" s="1"/>
      <c r="X1237" s="1"/>
      <c r="Y1237" s="1"/>
      <c r="Z1237" s="1"/>
      <c r="AA1237" s="1"/>
      <c r="AB1237" s="1"/>
      <c r="AC1237" s="1"/>
      <c r="AD1237" s="1"/>
      <c r="AE1237" s="1"/>
      <c r="AF1237" s="1"/>
      <c r="AG1237" s="1"/>
      <c r="AH1237" s="1"/>
      <c r="AI1237" s="1"/>
      <c r="AJ1237" s="1"/>
      <c r="AK1237" s="1"/>
      <c r="AL1237" s="1"/>
      <c r="AM1237" s="1"/>
      <c r="AN1237" s="1"/>
    </row>
    <row r="1238" customHeight="1" spans="1:40">
      <c r="A1238" s="1" t="str">
        <f>IFERROR(__xludf.DUMMYFUNCTION("""COMPUTED_VALUE"""),"10° BBM")</f>
        <v>10° BBM</v>
      </c>
      <c r="B1238" s="1"/>
      <c r="C1238" s="119"/>
      <c r="D1238" s="1" t="str">
        <f>IFERROR(__xludf.DUMMYFUNCTION("""COMPUTED_VALUE"""),"LUIS FERNANDO MACHADO DO AMARAL")</f>
        <v>LUIS FERNANDO MACHADO DO AMARAL</v>
      </c>
      <c r="E1238" s="119"/>
      <c r="F1238" s="1" t="str">
        <f>IFERROR(__xludf.DUMMYFUNCTION("""COMPUTED_VALUE"""),"829.689.770-91")</f>
        <v>829.689.770-91</v>
      </c>
      <c r="G1238" s="1"/>
      <c r="H1238" s="1"/>
      <c r="I1238" s="1"/>
      <c r="J1238" s="1"/>
      <c r="K1238" s="1"/>
      <c r="L1238" s="1"/>
      <c r="M1238" s="1"/>
      <c r="N1238" s="120"/>
      <c r="O1238" s="1"/>
      <c r="P1238" s="1"/>
      <c r="Q1238" s="1"/>
      <c r="R1238" s="1"/>
      <c r="S1238" s="1"/>
      <c r="T1238" s="1"/>
      <c r="U1238" s="1"/>
      <c r="V1238" s="1"/>
      <c r="W1238" s="1"/>
      <c r="X1238" s="1"/>
      <c r="Y1238" s="1"/>
      <c r="Z1238" s="1"/>
      <c r="AA1238" s="1"/>
      <c r="AB1238" s="1"/>
      <c r="AC1238" s="1"/>
      <c r="AD1238" s="1"/>
      <c r="AE1238" s="1"/>
      <c r="AF1238" s="1"/>
      <c r="AG1238" s="1"/>
      <c r="AH1238" s="1"/>
      <c r="AI1238" s="1"/>
      <c r="AJ1238" s="1"/>
      <c r="AK1238" s="1"/>
      <c r="AL1238" s="1"/>
      <c r="AM1238" s="1"/>
      <c r="AN1238" s="1"/>
    </row>
    <row r="1239" customHeight="1" spans="1:40">
      <c r="A1239" s="1" t="str">
        <f>IFERROR(__xludf.DUMMYFUNCTION("""COMPUTED_VALUE"""),"10° BBM")</f>
        <v>10° BBM</v>
      </c>
      <c r="B1239" s="1" t="str">
        <f>IFERROR(__xludf.DUMMYFUNCTION("""COMPUTED_VALUE"""),"Cacequi")</f>
        <v>Cacequi</v>
      </c>
      <c r="C1239" s="119" t="str">
        <f>IFERROR(__xludf.DUMMYFUNCTION("""COMPUTED_VALUE"""),"CAB")</f>
        <v>CAB</v>
      </c>
      <c r="D1239" s="1" t="str">
        <f>IFERROR(__xludf.DUMMYFUNCTION("""COMPUTED_VALUE"""),"LUIZ EDUARDO DUTRA DA ROCHA")</f>
        <v>LUIZ EDUARDO DUTRA DA ROCHA</v>
      </c>
      <c r="E1239" s="119" t="str">
        <f>IFERROR(__xludf.DUMMYFUNCTION("""COMPUTED_VALUE"""),"Módulo 1 concluído")</f>
        <v>Módulo 1 concluído</v>
      </c>
      <c r="F1239" s="1" t="str">
        <f>IFERROR(__xludf.DUMMYFUNCTION("""COMPUTED_VALUE"""),"002.818.220-00")</f>
        <v>002.818.220-00</v>
      </c>
      <c r="G1239" s="1">
        <f>IFERROR(__xludf.DUMMYFUNCTION("""COMPUTED_VALUE"""),7082934618)</f>
        <v>7082934618</v>
      </c>
      <c r="H1239" s="1" t="str">
        <f>IFERROR(__xludf.DUMMYFUNCTION("""COMPUTED_VALUE"""),"Combatente/Condutor ")</f>
        <v>Combatente/Condutor </v>
      </c>
      <c r="I1239" s="1" t="str">
        <f>IFERROR(__xludf.DUMMYFUNCTION("""COMPUTED_VALUE"""),"Graduado em segurança no trânsito, APH, SBV, Socorrista, Transporte de emergência, Especializado em transporte de emergência, Técnico em automobilística, Treinamento de serviço civil auxiliar de Bombeiros (COV), MOPP")</f>
        <v>Graduado em segurança no trânsito, APH, SBV, Socorrista, Transporte de emergência, Especializado em transporte de emergência, Técnico em automobilística, Treinamento de serviço civil auxiliar de Bombeiros (COV), MOPP</v>
      </c>
      <c r="J1239" s="1" t="str">
        <f>IFERROR(__xludf.DUMMYFUNCTION("""COMPUTED_VALUE"""),"Sim")</f>
        <v>Sim</v>
      </c>
      <c r="K1239" s="1" t="str">
        <f>IFERROR(__xludf.DUMMYFUNCTION("""COMPUTED_VALUE"""),"Não")</f>
        <v>Não</v>
      </c>
      <c r="L1239" s="1" t="str">
        <f>IFERROR(__xludf.DUMMYFUNCTION("""COMPUTED_VALUE"""),"O+")</f>
        <v>O+</v>
      </c>
      <c r="M1239" s="1" t="str">
        <f>IFERROR(__xludf.DUMMYFUNCTION("""COMPUTED_VALUE"""),"LUIZ EDUARDO")</f>
        <v>LUIZ EDUARDO</v>
      </c>
      <c r="N1239" s="120">
        <f>IFERROR(__xludf.DUMMYFUNCTION("""COMPUTED_VALUE"""),30627)</f>
        <v>30627</v>
      </c>
      <c r="O1239" s="1" t="str">
        <f>IFERROR(__xludf.DUMMYFUNCTION("""COMPUTED_VALUE"""),"Masculino")</f>
        <v>Masculino</v>
      </c>
      <c r="P1239" s="1" t="str">
        <f>IFERROR(__xludf.DUMMYFUNCTION("""COMPUTED_VALUE"""),"Morena")</f>
        <v>Morena</v>
      </c>
      <c r="Q1239" s="1" t="str">
        <f>IFERROR(__xludf.DUMMYFUNCTION("""COMPUTED_VALUE"""),"Ensino Superior Completo")</f>
        <v>Ensino Superior Completo</v>
      </c>
      <c r="R1239" s="1" t="str">
        <f>IFERROR(__xludf.DUMMYFUNCTION("""COMPUTED_VALUE"""),"luizrochacacequi@gmail.com ")</f>
        <v>luizrochacacequi@gmail.com </v>
      </c>
      <c r="S1239" s="1" t="str">
        <f>IFERROR(__xludf.DUMMYFUNCTION("""COMPUTED_VALUE"""),"90 kg")</f>
        <v>90 kg</v>
      </c>
      <c r="T1239" s="1" t="str">
        <f>IFERROR(__xludf.DUMMYFUNCTION("""COMPUTED_VALUE"""),"Entre 1,81m e 1,85m")</f>
        <v>Entre 1,81m e 1,85m</v>
      </c>
      <c r="U1239" s="1"/>
      <c r="V1239" s="1" t="str">
        <f>IFERROR(__xludf.DUMMYFUNCTION("""COMPUTED_VALUE"""),"(51)98915-6974")</f>
        <v>(51)98915-6974</v>
      </c>
      <c r="W1239" s="1" t="str">
        <f>IFERROR(__xludf.DUMMYFUNCTION("""COMPUTED_VALUE"""),"(51)98914-9264")</f>
        <v>(51)98914-9264</v>
      </c>
      <c r="X1239" s="1" t="str">
        <f>IFERROR(__xludf.DUMMYFUNCTION("""COMPUTED_VALUE"""),"RS")</f>
        <v>RS</v>
      </c>
      <c r="Y1239" s="1" t="str">
        <f>IFERROR(__xludf.DUMMYFUNCTION("""COMPUTED_VALUE"""),"Cacequi")</f>
        <v>Cacequi</v>
      </c>
      <c r="Z1239" s="1" t="str">
        <f>IFERROR(__xludf.DUMMYFUNCTION("""COMPUTED_VALUE"""),"97450-000 ")</f>
        <v>97450-000 </v>
      </c>
      <c r="AA1239" s="1" t="str">
        <f>IFERROR(__xludf.DUMMYFUNCTION("""COMPUTED_VALUE"""),"Manol Ribas, 1235")</f>
        <v>Manol Ribas, 1235</v>
      </c>
      <c r="AB1239" s="1" t="str">
        <f>IFERROR(__xludf.DUMMYFUNCTION("""COMPUTED_VALUE"""),"Popular")</f>
        <v>Popular</v>
      </c>
      <c r="AC1239" s="1" t="str">
        <f>IFERROR(__xludf.DUMMYFUNCTION("""COMPUTED_VALUE"""),"G")</f>
        <v>G</v>
      </c>
      <c r="AD1239" s="1" t="str">
        <f>IFERROR(__xludf.DUMMYFUNCTION("""COMPUTED_VALUE"""),"G")</f>
        <v>G</v>
      </c>
      <c r="AE1239" s="1" t="str">
        <f>IFERROR(__xludf.DUMMYFUNCTION("""COMPUTED_VALUE"""),"G")</f>
        <v>G</v>
      </c>
      <c r="AF1239" s="1" t="str">
        <f>IFERROR(__xludf.DUMMYFUNCTION("""COMPUTED_VALUE"""),"G")</f>
        <v>G</v>
      </c>
      <c r="AG1239" s="1" t="str">
        <f>IFERROR(__xludf.DUMMYFUNCTION("""COMPUTED_VALUE"""),"G")</f>
        <v>G</v>
      </c>
      <c r="AH1239" s="1">
        <f>IFERROR(__xludf.DUMMYFUNCTION("""COMPUTED_VALUE"""),42)</f>
        <v>42</v>
      </c>
      <c r="AI1239" s="1">
        <f>IFERROR(__xludf.DUMMYFUNCTION("""COMPUTED_VALUE"""),42)</f>
        <v>42</v>
      </c>
      <c r="AJ1239" s="1">
        <f>IFERROR(__xludf.DUMMYFUNCTION("""COMPUTED_VALUE"""),42)</f>
        <v>42</v>
      </c>
      <c r="AK1239" s="1">
        <f>IFERROR(__xludf.DUMMYFUNCTION("""COMPUTED_VALUE"""),42)</f>
        <v>42</v>
      </c>
      <c r="AL1239" s="1" t="str">
        <f>IFERROR(__xludf.DUMMYFUNCTION("""COMPUTED_VALUE"""),"G")</f>
        <v>G</v>
      </c>
      <c r="AM1239" s="1" t="str">
        <f>IFERROR(__xludf.DUMMYFUNCTION("""COMPUTED_VALUE"""),"G")</f>
        <v>G</v>
      </c>
      <c r="AN1239" s="1" t="str">
        <f>IFERROR(__xludf.DUMMYFUNCTION("""COMPUTED_VALUE"""),"M")</f>
        <v>M</v>
      </c>
    </row>
    <row r="1240" customHeight="1" spans="1:40">
      <c r="A1240" s="1" t="str">
        <f>IFERROR(__xludf.DUMMYFUNCTION("""COMPUTED_VALUE"""),"10° BBM")</f>
        <v>10° BBM</v>
      </c>
      <c r="B1240" s="1" t="str">
        <f>IFERROR(__xludf.DUMMYFUNCTION("""COMPUTED_VALUE"""),"Cacequi")</f>
        <v>Cacequi</v>
      </c>
      <c r="C1240" s="119" t="str">
        <f>IFERROR(__xludf.DUMMYFUNCTION("""COMPUTED_VALUE"""),"CAB")</f>
        <v>CAB</v>
      </c>
      <c r="D1240" s="1" t="str">
        <f>IFERROR(__xludf.DUMMYFUNCTION("""COMPUTED_VALUE"""),"MARCELO DA SILVA MOURA")</f>
        <v>MARCELO DA SILVA MOURA</v>
      </c>
      <c r="E1240" s="119" t="str">
        <f>IFERROR(__xludf.DUMMYFUNCTION("""COMPUTED_VALUE"""),"Módulo 1 concluído")</f>
        <v>Módulo 1 concluído</v>
      </c>
      <c r="F1240" s="1" t="str">
        <f>IFERROR(__xludf.DUMMYFUNCTION("""COMPUTED_VALUE"""),"037.361.760-74")</f>
        <v>037.361.760-74</v>
      </c>
      <c r="G1240" s="1">
        <f>IFERROR(__xludf.DUMMYFUNCTION("""COMPUTED_VALUE"""),3110929431)</f>
        <v>3110929431</v>
      </c>
      <c r="H1240" s="1" t="str">
        <f>IFERROR(__xludf.DUMMYFUNCTION("""COMPUTED_VALUE"""),"Combatente")</f>
        <v>Combatente</v>
      </c>
      <c r="I1240" s="1" t="str">
        <f>IFERROR(__xludf.DUMMYFUNCTION("""COMPUTED_VALUE"""),"Técnico em,Enfermagem, Resgate em área de difícil acesso, APH,SBV.")</f>
        <v>Técnico em,Enfermagem, Resgate em área de difícil acesso, APH,SBV.</v>
      </c>
      <c r="J1240" s="1"/>
      <c r="K1240" s="1" t="str">
        <f>IFERROR(__xludf.DUMMYFUNCTION("""COMPUTED_VALUE"""),"Não")</f>
        <v>Não</v>
      </c>
      <c r="L1240" s="1" t="str">
        <f>IFERROR(__xludf.DUMMYFUNCTION("""COMPUTED_VALUE"""),"A-")</f>
        <v>A-</v>
      </c>
      <c r="M1240" s="1" t="str">
        <f>IFERROR(__xludf.DUMMYFUNCTION("""COMPUTED_VALUE"""),"MOURA")</f>
        <v>MOURA</v>
      </c>
      <c r="N1240" s="120">
        <f>IFERROR(__xludf.DUMMYFUNCTION("""COMPUTED_VALUE"""),35826)</f>
        <v>35826</v>
      </c>
      <c r="O1240" s="1" t="str">
        <f>IFERROR(__xludf.DUMMYFUNCTION("""COMPUTED_VALUE"""),"Masculino")</f>
        <v>Masculino</v>
      </c>
      <c r="P1240" s="1" t="str">
        <f>IFERROR(__xludf.DUMMYFUNCTION("""COMPUTED_VALUE"""),"Branca")</f>
        <v>Branca</v>
      </c>
      <c r="Q1240" s="1" t="str">
        <f>IFERROR(__xludf.DUMMYFUNCTION("""COMPUTED_VALUE"""),"Ensino Médio")</f>
        <v>Ensino Médio</v>
      </c>
      <c r="R1240" s="1" t="str">
        <f>IFERROR(__xludf.DUMMYFUNCTION("""COMPUTED_VALUE"""),"marcelinhosilva25@hotmail.com")</f>
        <v>marcelinhosilva25@hotmail.com</v>
      </c>
      <c r="S1240" s="1" t="str">
        <f>IFERROR(__xludf.DUMMYFUNCTION("""COMPUTED_VALUE"""),"65 kg")</f>
        <v>65 kg</v>
      </c>
      <c r="T1240" s="1" t="str">
        <f>IFERROR(__xludf.DUMMYFUNCTION("""COMPUTED_VALUE"""),"Entre 1,61m e 1,65m")</f>
        <v>Entre 1,61m e 1,65m</v>
      </c>
      <c r="U1240" s="1"/>
      <c r="V1240" s="1" t="str">
        <f>IFERROR(__xludf.DUMMYFUNCTION("""COMPUTED_VALUE"""),"(55)99177-3606")</f>
        <v>(55)99177-3606</v>
      </c>
      <c r="W1240" s="1"/>
      <c r="X1240" s="1" t="str">
        <f>IFERROR(__xludf.DUMMYFUNCTION("""COMPUTED_VALUE"""),"RS")</f>
        <v>RS</v>
      </c>
      <c r="Y1240" s="1" t="str">
        <f>IFERROR(__xludf.DUMMYFUNCTION("""COMPUTED_VALUE"""),"Cacequi")</f>
        <v>Cacequi</v>
      </c>
      <c r="Z1240" s="1" t="str">
        <f>IFERROR(__xludf.DUMMYFUNCTION("""COMPUTED_VALUE"""),"97450-000")</f>
        <v>97450-000</v>
      </c>
      <c r="AA1240" s="1" t="str">
        <f>IFERROR(__xludf.DUMMYFUNCTION("""COMPUTED_VALUE"""),"Argemiro Moreira De Carvalho, 18")</f>
        <v>Argemiro Moreira De Carvalho, 18</v>
      </c>
      <c r="AB1240" s="1" t="str">
        <f>IFERROR(__xludf.DUMMYFUNCTION("""COMPUTED_VALUE"""),"Vila Candido")</f>
        <v>Vila Candido</v>
      </c>
      <c r="AC1240" s="1" t="str">
        <f>IFERROR(__xludf.DUMMYFUNCTION("""COMPUTED_VALUE"""),"P")</f>
        <v>P</v>
      </c>
      <c r="AD1240" s="1" t="str">
        <f>IFERROR(__xludf.DUMMYFUNCTION("""COMPUTED_VALUE"""),"P")</f>
        <v>P</v>
      </c>
      <c r="AE1240" s="1" t="str">
        <f>IFERROR(__xludf.DUMMYFUNCTION("""COMPUTED_VALUE"""),"P")</f>
        <v>P</v>
      </c>
      <c r="AF1240" s="1" t="str">
        <f>IFERROR(__xludf.DUMMYFUNCTION("""COMPUTED_VALUE"""),"P")</f>
        <v>P</v>
      </c>
      <c r="AG1240" s="1" t="str">
        <f>IFERROR(__xludf.DUMMYFUNCTION("""COMPUTED_VALUE"""),"P")</f>
        <v>P</v>
      </c>
      <c r="AH1240" s="1">
        <f>IFERROR(__xludf.DUMMYFUNCTION("""COMPUTED_VALUE"""),37)</f>
        <v>37</v>
      </c>
      <c r="AI1240" s="1">
        <f>IFERROR(__xludf.DUMMYFUNCTION("""COMPUTED_VALUE"""),37)</f>
        <v>37</v>
      </c>
      <c r="AJ1240" s="1">
        <f>IFERROR(__xludf.DUMMYFUNCTION("""COMPUTED_VALUE"""),37)</f>
        <v>37</v>
      </c>
      <c r="AK1240" s="1">
        <f>IFERROR(__xludf.DUMMYFUNCTION("""COMPUTED_VALUE"""),37)</f>
        <v>37</v>
      </c>
      <c r="AL1240" s="1" t="str">
        <f>IFERROR(__xludf.DUMMYFUNCTION("""COMPUTED_VALUE"""),"P")</f>
        <v>P</v>
      </c>
      <c r="AM1240" s="1" t="str">
        <f>IFERROR(__xludf.DUMMYFUNCTION("""COMPUTED_VALUE"""),"P")</f>
        <v>P</v>
      </c>
      <c r="AN1240" s="1" t="str">
        <f>IFERROR(__xludf.DUMMYFUNCTION("""COMPUTED_VALUE"""),"P")</f>
        <v>P</v>
      </c>
    </row>
    <row r="1241" customHeight="1" spans="1:40">
      <c r="A1241" s="1" t="str">
        <f>IFERROR(__xludf.DUMMYFUNCTION("""COMPUTED_VALUE"""),"10° BBM")</f>
        <v>10° BBM</v>
      </c>
      <c r="B1241" s="1" t="str">
        <f>IFERROR(__xludf.DUMMYFUNCTION("""COMPUTED_VALUE"""),"Cacequi")</f>
        <v>Cacequi</v>
      </c>
      <c r="C1241" s="119" t="str">
        <f>IFERROR(__xludf.DUMMYFUNCTION("""COMPUTED_VALUE"""),"CAB")</f>
        <v>CAB</v>
      </c>
      <c r="D1241" s="1" t="str">
        <f>IFERROR(__xludf.DUMMYFUNCTION("""COMPUTED_VALUE"""),"MARIA DE LOURDES BONES PEDROSO")</f>
        <v>MARIA DE LOURDES BONES PEDROSO</v>
      </c>
      <c r="E1241" s="119" t="str">
        <f>IFERROR(__xludf.DUMMYFUNCTION("""COMPUTED_VALUE"""),"Curso CAB operador concluído")</f>
        <v>Curso CAB operador concluído</v>
      </c>
      <c r="F1241" s="1" t="str">
        <f>IFERROR(__xludf.DUMMYFUNCTION("""COMPUTED_VALUE"""),"729.678.540-34")</f>
        <v>729.678.540-34</v>
      </c>
      <c r="G1241" s="1">
        <f>IFERROR(__xludf.DUMMYFUNCTION("""COMPUTED_VALUE"""),2056293117)</f>
        <v>2056293117</v>
      </c>
      <c r="H1241" s="1" t="str">
        <f>IFERROR(__xludf.DUMMYFUNCTION("""COMPUTED_VALUE"""),"Combatente")</f>
        <v>Combatente</v>
      </c>
      <c r="I1241" s="1" t="str">
        <f>IFERROR(__xludf.DUMMYFUNCTION("""COMPUTED_VALUE"""),"CAB, TPCCI (ABM), NR 35, Curso Superior Ciências da Natureza, Primeiro Socorros")</f>
        <v>CAB, TPCCI (ABM), NR 35, Curso Superior Ciências da Natureza, Primeiro Socorros</v>
      </c>
      <c r="J1241" s="1" t="str">
        <f>IFERROR(__xludf.DUMMYFUNCTION("""COMPUTED_VALUE"""),"Sim")</f>
        <v>Sim</v>
      </c>
      <c r="K1241" s="1" t="str">
        <f>IFERROR(__xludf.DUMMYFUNCTION("""COMPUTED_VALUE"""),"Não")</f>
        <v>Não</v>
      </c>
      <c r="L1241" s="1" t="str">
        <f>IFERROR(__xludf.DUMMYFUNCTION("""COMPUTED_VALUE"""),"O-")</f>
        <v>O-</v>
      </c>
      <c r="M1241" s="1" t="str">
        <f>IFERROR(__xludf.DUMMYFUNCTION("""COMPUTED_VALUE"""),"PEDROSO")</f>
        <v>PEDROSO</v>
      </c>
      <c r="N1241" s="120">
        <f>IFERROR(__xludf.DUMMYFUNCTION("""COMPUTED_VALUE"""),23605)</f>
        <v>23605</v>
      </c>
      <c r="O1241" s="1" t="str">
        <f>IFERROR(__xludf.DUMMYFUNCTION("""COMPUTED_VALUE"""),"Feminino")</f>
        <v>Feminino</v>
      </c>
      <c r="P1241" s="1" t="str">
        <f>IFERROR(__xludf.DUMMYFUNCTION("""COMPUTED_VALUE"""),"Branca")</f>
        <v>Branca</v>
      </c>
      <c r="Q1241" s="1" t="str">
        <f>IFERROR(__xludf.DUMMYFUNCTION("""COMPUTED_VALUE"""),"Ensino Superior Completo")</f>
        <v>Ensino Superior Completo</v>
      </c>
      <c r="R1241" s="1" t="str">
        <f>IFERROR(__xludf.DUMMYFUNCTION("""COMPUTED_VALUE"""),"mlpedrosocacequi@gmail.com")</f>
        <v>mlpedrosocacequi@gmail.com</v>
      </c>
      <c r="S1241" s="1" t="str">
        <f>IFERROR(__xludf.DUMMYFUNCTION("""COMPUTED_VALUE"""),"68 kg")</f>
        <v>68 kg</v>
      </c>
      <c r="T1241" s="1" t="str">
        <f>IFERROR(__xludf.DUMMYFUNCTION("""COMPUTED_VALUE"""),"Entre 1,61m e 1,65m")</f>
        <v>Entre 1,61m e 1,65m</v>
      </c>
      <c r="U1241" s="1"/>
      <c r="V1241" s="1" t="str">
        <f>IFERROR(__xludf.DUMMYFUNCTION("""COMPUTED_VALUE"""),"(55)99198-7951")</f>
        <v>(55)99198-7951</v>
      </c>
      <c r="W1241" s="1" t="str">
        <f>IFERROR(__xludf.DUMMYFUNCTION("""COMPUTED_VALUE"""),"(55)99131-8282")</f>
        <v>(55)99131-8282</v>
      </c>
      <c r="X1241" s="1" t="str">
        <f>IFERROR(__xludf.DUMMYFUNCTION("""COMPUTED_VALUE"""),"RS")</f>
        <v>RS</v>
      </c>
      <c r="Y1241" s="1" t="str">
        <f>IFERROR(__xludf.DUMMYFUNCTION("""COMPUTED_VALUE"""),"Cacequi")</f>
        <v>Cacequi</v>
      </c>
      <c r="Z1241" s="1" t="str">
        <f>IFERROR(__xludf.DUMMYFUNCTION("""COMPUTED_VALUE"""),"97450-000")</f>
        <v>97450-000</v>
      </c>
      <c r="AA1241" s="1" t="str">
        <f>IFERROR(__xludf.DUMMYFUNCTION("""COMPUTED_VALUE"""),"Beco Padre Querino Bin, 01")</f>
        <v>Beco Padre Querino Bin, 01</v>
      </c>
      <c r="AB1241" s="1" t="str">
        <f>IFERROR(__xludf.DUMMYFUNCTION("""COMPUTED_VALUE"""),"Centro")</f>
        <v>Centro</v>
      </c>
      <c r="AC1241" s="1" t="str">
        <f>IFERROR(__xludf.DUMMYFUNCTION("""COMPUTED_VALUE"""),"M")</f>
        <v>M</v>
      </c>
      <c r="AD1241" s="1" t="str">
        <f>IFERROR(__xludf.DUMMYFUNCTION("""COMPUTED_VALUE"""),"M")</f>
        <v>M</v>
      </c>
      <c r="AE1241" s="1" t="str">
        <f>IFERROR(__xludf.DUMMYFUNCTION("""COMPUTED_VALUE"""),"M")</f>
        <v>M</v>
      </c>
      <c r="AF1241" s="1" t="str">
        <f>IFERROR(__xludf.DUMMYFUNCTION("""COMPUTED_VALUE"""),"G")</f>
        <v>G</v>
      </c>
      <c r="AG1241" s="1" t="str">
        <f>IFERROR(__xludf.DUMMYFUNCTION("""COMPUTED_VALUE"""),"M")</f>
        <v>M</v>
      </c>
      <c r="AH1241" s="1">
        <f>IFERROR(__xludf.DUMMYFUNCTION("""COMPUTED_VALUE"""),34)</f>
        <v>34</v>
      </c>
      <c r="AI1241" s="1">
        <f>IFERROR(__xludf.DUMMYFUNCTION("""COMPUTED_VALUE"""),34)</f>
        <v>34</v>
      </c>
      <c r="AJ1241" s="1">
        <f>IFERROR(__xludf.DUMMYFUNCTION("""COMPUTED_VALUE"""),34)</f>
        <v>34</v>
      </c>
      <c r="AK1241" s="1">
        <f>IFERROR(__xludf.DUMMYFUNCTION("""COMPUTED_VALUE"""),35)</f>
        <v>35</v>
      </c>
      <c r="AL1241" s="1" t="str">
        <f>IFERROR(__xludf.DUMMYFUNCTION("""COMPUTED_VALUE"""),"M")</f>
        <v>M</v>
      </c>
      <c r="AM1241" s="1" t="str">
        <f>IFERROR(__xludf.DUMMYFUNCTION("""COMPUTED_VALUE"""),"M")</f>
        <v>M</v>
      </c>
      <c r="AN1241" s="1" t="str">
        <f>IFERROR(__xludf.DUMMYFUNCTION("""COMPUTED_VALUE"""),"M")</f>
        <v>M</v>
      </c>
    </row>
    <row r="1242" customHeight="1" spans="1:40">
      <c r="A1242" s="1" t="str">
        <f>IFERROR(__xludf.DUMMYFUNCTION("""COMPUTED_VALUE"""),"10° BBM")</f>
        <v>10° BBM</v>
      </c>
      <c r="B1242" s="1" t="str">
        <f>IFERROR(__xludf.DUMMYFUNCTION("""COMPUTED_VALUE"""),"Cacequi")</f>
        <v>Cacequi</v>
      </c>
      <c r="C1242" s="119" t="str">
        <f>IFERROR(__xludf.DUMMYFUNCTION("""COMPUTED_VALUE"""),"CAB")</f>
        <v>CAB</v>
      </c>
      <c r="D1242" s="1" t="str">
        <f>IFERROR(__xludf.DUMMYFUNCTION("""COMPUTED_VALUE"""),"MARÍLIA ELAINE ARANGULES MELO")</f>
        <v>MARÍLIA ELAINE ARANGULES MELO</v>
      </c>
      <c r="E1242" s="119" t="str">
        <f>IFERROR(__xludf.DUMMYFUNCTION("""COMPUTED_VALUE"""),"")</f>
        <v/>
      </c>
      <c r="F1242" s="1" t="str">
        <f>IFERROR(__xludf.DUMMYFUNCTION("""COMPUTED_VALUE"""),"010.368.690.83")</f>
        <v>010.368.690.83</v>
      </c>
      <c r="G1242" s="1">
        <f>IFERROR(__xludf.DUMMYFUNCTION("""COMPUTED_VALUE"""),1084827441)</f>
        <v>1084827441</v>
      </c>
      <c r="H1242" s="1" t="str">
        <f>IFERROR(__xludf.DUMMYFUNCTION("""COMPUTED_VALUE"""),"Combatente")</f>
        <v>Combatente</v>
      </c>
      <c r="I1242" s="1" t="str">
        <f>IFERROR(__xludf.DUMMYFUNCTION("""COMPUTED_VALUE"""),"Treinamento de serviço civil auxiliar de Bombeiros")</f>
        <v>Treinamento de serviço civil auxiliar de Bombeiros</v>
      </c>
      <c r="J1242" s="1" t="str">
        <f>IFERROR(__xludf.DUMMYFUNCTION("""COMPUTED_VALUE"""),"Sim")</f>
        <v>Sim</v>
      </c>
      <c r="K1242" s="1" t="str">
        <f>IFERROR(__xludf.DUMMYFUNCTION("""COMPUTED_VALUE"""),"Não")</f>
        <v>Não</v>
      </c>
      <c r="L1242" s="1" t="str">
        <f>IFERROR(__xludf.DUMMYFUNCTION("""COMPUTED_VALUE"""),"A+")</f>
        <v>A+</v>
      </c>
      <c r="M1242" s="1" t="str">
        <f>IFERROR(__xludf.DUMMYFUNCTION("""COMPUTED_VALUE"""),"MARÍLIA")</f>
        <v>MARÍLIA</v>
      </c>
      <c r="N1242" s="120">
        <f>IFERROR(__xludf.DUMMYFUNCTION("""COMPUTED_VALUE"""),30802)</f>
        <v>30802</v>
      </c>
      <c r="O1242" s="1" t="str">
        <f>IFERROR(__xludf.DUMMYFUNCTION("""COMPUTED_VALUE"""),"Feminino")</f>
        <v>Feminino</v>
      </c>
      <c r="P1242" s="1" t="str">
        <f>IFERROR(__xludf.DUMMYFUNCTION("""COMPUTED_VALUE"""),"Branca")</f>
        <v>Branca</v>
      </c>
      <c r="Q1242" s="1" t="str">
        <f>IFERROR(__xludf.DUMMYFUNCTION("""COMPUTED_VALUE"""),"Ensino Superior Completo")</f>
        <v>Ensino Superior Completo</v>
      </c>
      <c r="R1242" s="1" t="str">
        <f>IFERROR(__xludf.DUMMYFUNCTION("""COMPUTED_VALUE"""),"marilia_bio2020@outlook.com")</f>
        <v>marilia_bio2020@outlook.com</v>
      </c>
      <c r="S1242" s="1" t="str">
        <f>IFERROR(__xludf.DUMMYFUNCTION("""COMPUTED_VALUE"""),"69 kg")</f>
        <v>69 kg</v>
      </c>
      <c r="T1242" s="1" t="str">
        <f>IFERROR(__xludf.DUMMYFUNCTION("""COMPUTED_VALUE"""),"Entre 1,56m e 1,60m")</f>
        <v>Entre 1,56m e 1,60m</v>
      </c>
      <c r="U1242" s="1"/>
      <c r="V1242" s="1" t="str">
        <f>IFERROR(__xludf.DUMMYFUNCTION("""COMPUTED_VALUE"""),"(55)99180-5099")</f>
        <v>(55)99180-5099</v>
      </c>
      <c r="W1242" s="1"/>
      <c r="X1242" s="1" t="str">
        <f>IFERROR(__xludf.DUMMYFUNCTION("""COMPUTED_VALUE"""),"RS")</f>
        <v>RS</v>
      </c>
      <c r="Y1242" s="1" t="str">
        <f>IFERROR(__xludf.DUMMYFUNCTION("""COMPUTED_VALUE"""),"Cacequi")</f>
        <v>Cacequi</v>
      </c>
      <c r="Z1242" s="1" t="str">
        <f>IFERROR(__xludf.DUMMYFUNCTION("""COMPUTED_VALUE"""),"97450-000 ")</f>
        <v>97450-000 </v>
      </c>
      <c r="AA1242" s="1" t="str">
        <f>IFERROR(__xludf.DUMMYFUNCTION("""COMPUTED_VALUE"""),"Senador Salgado Filho, 57")</f>
        <v>Senador Salgado Filho, 57</v>
      </c>
      <c r="AB1242" s="1" t="str">
        <f>IFERROR(__xludf.DUMMYFUNCTION("""COMPUTED_VALUE"""),"Centro")</f>
        <v>Centro</v>
      </c>
      <c r="AC1242" s="1" t="str">
        <f>IFERROR(__xludf.DUMMYFUNCTION("""COMPUTED_VALUE"""),"M")</f>
        <v>M</v>
      </c>
      <c r="AD1242" s="1" t="str">
        <f>IFERROR(__xludf.DUMMYFUNCTION("""COMPUTED_VALUE"""),"M")</f>
        <v>M</v>
      </c>
      <c r="AE1242" s="1" t="str">
        <f>IFERROR(__xludf.DUMMYFUNCTION("""COMPUTED_VALUE"""),"M")</f>
        <v>M</v>
      </c>
      <c r="AF1242" s="1" t="str">
        <f>IFERROR(__xludf.DUMMYFUNCTION("""COMPUTED_VALUE"""),"M")</f>
        <v>M</v>
      </c>
      <c r="AG1242" s="1" t="str">
        <f>IFERROR(__xludf.DUMMYFUNCTION("""COMPUTED_VALUE"""),"M")</f>
        <v>M</v>
      </c>
      <c r="AH1242" s="1">
        <f>IFERROR(__xludf.DUMMYFUNCTION("""COMPUTED_VALUE"""),35)</f>
        <v>35</v>
      </c>
      <c r="AI1242" s="1">
        <f>IFERROR(__xludf.DUMMYFUNCTION("""COMPUTED_VALUE"""),35)</f>
        <v>35</v>
      </c>
      <c r="AJ1242" s="1">
        <f>IFERROR(__xludf.DUMMYFUNCTION("""COMPUTED_VALUE"""),35)</f>
        <v>35</v>
      </c>
      <c r="AK1242" s="1">
        <f>IFERROR(__xludf.DUMMYFUNCTION("""COMPUTED_VALUE"""),35)</f>
        <v>35</v>
      </c>
      <c r="AL1242" s="1" t="str">
        <f>IFERROR(__xludf.DUMMYFUNCTION("""COMPUTED_VALUE"""),"M")</f>
        <v>M</v>
      </c>
      <c r="AM1242" s="1" t="str">
        <f>IFERROR(__xludf.DUMMYFUNCTION("""COMPUTED_VALUE"""),"M")</f>
        <v>M</v>
      </c>
      <c r="AN1242" s="1" t="str">
        <f>IFERROR(__xludf.DUMMYFUNCTION("""COMPUTED_VALUE"""),"P")</f>
        <v>P</v>
      </c>
    </row>
    <row r="1243" customHeight="1" spans="1:40">
      <c r="A1243" s="1" t="str">
        <f>IFERROR(__xludf.DUMMYFUNCTION("""COMPUTED_VALUE"""),"10° BBM")</f>
        <v>10° BBM</v>
      </c>
      <c r="B1243" s="1" t="str">
        <f>IFERROR(__xludf.DUMMYFUNCTION("""COMPUTED_VALUE"""),"Cacequi")</f>
        <v>Cacequi</v>
      </c>
      <c r="C1243" s="119" t="str">
        <f>IFERROR(__xludf.DUMMYFUNCTION("""COMPUTED_VALUE"""),"CAB")</f>
        <v>CAB</v>
      </c>
      <c r="D1243" s="1" t="str">
        <f>IFERROR(__xludf.DUMMYFUNCTION("""COMPUTED_VALUE"""),"MILENA FURQUIM MADRI")</f>
        <v>MILENA FURQUIM MADRI</v>
      </c>
      <c r="E1243" s="119" t="str">
        <f>IFERROR(__xludf.DUMMYFUNCTION("""COMPUTED_VALUE"""),"Curso CAB operador concluído")</f>
        <v>Curso CAB operador concluído</v>
      </c>
      <c r="F1243" s="1" t="str">
        <f>IFERROR(__xludf.DUMMYFUNCTION("""COMPUTED_VALUE"""),"041.460.290-07")</f>
        <v>041.460.290-07</v>
      </c>
      <c r="G1243" s="1">
        <f>IFERROR(__xludf.DUMMYFUNCTION("""COMPUTED_VALUE"""),9124345043)</f>
        <v>9124345043</v>
      </c>
      <c r="H1243" s="1" t="str">
        <f>IFERROR(__xludf.DUMMYFUNCTION("""COMPUTED_VALUE"""),"Combatente")</f>
        <v>Combatente</v>
      </c>
      <c r="I1243" s="1" t="str">
        <f>IFERROR(__xludf.DUMMYFUNCTION("""COMPUTED_VALUE"""),"Atendimento Pré Hospitalar, Combate a incêndio, Brigada de incêndio e Bomba Hidráulica")</f>
        <v>Atendimento Pré Hospitalar, Combate a incêndio, Brigada de incêndio e Bomba Hidráulica</v>
      </c>
      <c r="J1243" s="1" t="str">
        <f>IFERROR(__xludf.DUMMYFUNCTION("""COMPUTED_VALUE"""),"Sim")</f>
        <v>Sim</v>
      </c>
      <c r="K1243" s="1" t="str">
        <f>IFERROR(__xludf.DUMMYFUNCTION("""COMPUTED_VALUE"""),"Não")</f>
        <v>Não</v>
      </c>
      <c r="L1243" s="1" t="str">
        <f>IFERROR(__xludf.DUMMYFUNCTION("""COMPUTED_VALUE"""),"O+")</f>
        <v>O+</v>
      </c>
      <c r="M1243" s="1" t="str">
        <f>IFERROR(__xludf.DUMMYFUNCTION("""COMPUTED_VALUE"""),"MILENA")</f>
        <v>MILENA</v>
      </c>
      <c r="N1243" s="120">
        <f>IFERROR(__xludf.DUMMYFUNCTION("""COMPUTED_VALUE"""),35856)</f>
        <v>35856</v>
      </c>
      <c r="O1243" s="1" t="str">
        <f>IFERROR(__xludf.DUMMYFUNCTION("""COMPUTED_VALUE"""),"Feminino")</f>
        <v>Feminino</v>
      </c>
      <c r="P1243" s="1" t="str">
        <f>IFERROR(__xludf.DUMMYFUNCTION("""COMPUTED_VALUE"""),"Parda")</f>
        <v>Parda</v>
      </c>
      <c r="Q1243" s="1" t="str">
        <f>IFERROR(__xludf.DUMMYFUNCTION("""COMPUTED_VALUE"""),"Ensino Superior Incompleto")</f>
        <v>Ensino Superior Incompleto</v>
      </c>
      <c r="R1243" s="1" t="str">
        <f>IFERROR(__xludf.DUMMYFUNCTION("""COMPUTED_VALUE"""),"milenafurquimmadri22@gmail.com")</f>
        <v>milenafurquimmadri22@gmail.com</v>
      </c>
      <c r="S1243" s="1" t="str">
        <f>IFERROR(__xludf.DUMMYFUNCTION("""COMPUTED_VALUE"""),"84 kg")</f>
        <v>84 kg</v>
      </c>
      <c r="T1243" s="1" t="str">
        <f>IFERROR(__xludf.DUMMYFUNCTION("""COMPUTED_VALUE"""),"Entre 1,50m e 1,55m")</f>
        <v>Entre 1,50m e 1,55m</v>
      </c>
      <c r="U1243" s="1"/>
      <c r="V1243" s="1" t="str">
        <f>IFERROR(__xludf.DUMMYFUNCTION("""COMPUTED_VALUE"""),"(55)99658-6899")</f>
        <v>(55)99658-6899</v>
      </c>
      <c r="W1243" s="1"/>
      <c r="X1243" s="1" t="str">
        <f>IFERROR(__xludf.DUMMYFUNCTION("""COMPUTED_VALUE"""),"RS")</f>
        <v>RS</v>
      </c>
      <c r="Y1243" s="1" t="str">
        <f>IFERROR(__xludf.DUMMYFUNCTION("""COMPUTED_VALUE"""),"Cacequi")</f>
        <v>Cacequi</v>
      </c>
      <c r="Z1243" s="1" t="str">
        <f>IFERROR(__xludf.DUMMYFUNCTION("""COMPUTED_VALUE"""),"97450-000")</f>
        <v>97450-000</v>
      </c>
      <c r="AA1243" s="1" t="str">
        <f>IFERROR(__xludf.DUMMYFUNCTION("""COMPUTED_VALUE"""),"R.: Sadi Menezes, 210")</f>
        <v>R.: Sadi Menezes, 210</v>
      </c>
      <c r="AB1243" s="1" t="str">
        <f>IFERROR(__xludf.DUMMYFUNCTION("""COMPUTED_VALUE"""),"Vila Cruzeiro")</f>
        <v>Vila Cruzeiro</v>
      </c>
      <c r="AC1243" s="1" t="str">
        <f>IFERROR(__xludf.DUMMYFUNCTION("""COMPUTED_VALUE"""),"GG")</f>
        <v>GG</v>
      </c>
      <c r="AD1243" s="1" t="str">
        <f>IFERROR(__xludf.DUMMYFUNCTION("""COMPUTED_VALUE"""),"GG")</f>
        <v>GG</v>
      </c>
      <c r="AE1243" s="1" t="str">
        <f>IFERROR(__xludf.DUMMYFUNCTION("""COMPUTED_VALUE"""),"GG")</f>
        <v>GG</v>
      </c>
      <c r="AF1243" s="1" t="str">
        <f>IFERROR(__xludf.DUMMYFUNCTION("""COMPUTED_VALUE"""),"GG")</f>
        <v>GG</v>
      </c>
      <c r="AG1243" s="1" t="str">
        <f>IFERROR(__xludf.DUMMYFUNCTION("""COMPUTED_VALUE"""),"GG")</f>
        <v>GG</v>
      </c>
      <c r="AH1243" s="1">
        <f>IFERROR(__xludf.DUMMYFUNCTION("""COMPUTED_VALUE"""),36)</f>
        <v>36</v>
      </c>
      <c r="AI1243" s="1">
        <f>IFERROR(__xludf.DUMMYFUNCTION("""COMPUTED_VALUE"""),36)</f>
        <v>36</v>
      </c>
      <c r="AJ1243" s="1">
        <f>IFERROR(__xludf.DUMMYFUNCTION("""COMPUTED_VALUE"""),36)</f>
        <v>36</v>
      </c>
      <c r="AK1243" s="1">
        <f>IFERROR(__xludf.DUMMYFUNCTION("""COMPUTED_VALUE"""),36)</f>
        <v>36</v>
      </c>
      <c r="AL1243" s="1" t="str">
        <f>IFERROR(__xludf.DUMMYFUNCTION("""COMPUTED_VALUE"""),"GG")</f>
        <v>GG</v>
      </c>
      <c r="AM1243" s="1" t="str">
        <f>IFERROR(__xludf.DUMMYFUNCTION("""COMPUTED_VALUE"""),"GG")</f>
        <v>GG</v>
      </c>
      <c r="AN1243" s="1" t="str">
        <f>IFERROR(__xludf.DUMMYFUNCTION("""COMPUTED_VALUE"""),"G")</f>
        <v>G</v>
      </c>
    </row>
    <row r="1244" customHeight="1" spans="1:40">
      <c r="A1244" s="1" t="str">
        <f>IFERROR(__xludf.DUMMYFUNCTION("""COMPUTED_VALUE"""),"10° BBM")</f>
        <v>10° BBM</v>
      </c>
      <c r="B1244" s="1" t="str">
        <f>IFERROR(__xludf.DUMMYFUNCTION("""COMPUTED_VALUE"""),"Cacequi")</f>
        <v>Cacequi</v>
      </c>
      <c r="C1244" s="119" t="str">
        <f>IFERROR(__xludf.DUMMYFUNCTION("""COMPUTED_VALUE"""),"CAB")</f>
        <v>CAB</v>
      </c>
      <c r="D1244" s="1" t="str">
        <f>IFERROR(__xludf.DUMMYFUNCTION("""COMPUTED_VALUE"""),"PABLO DO AMARAL MACIEL")</f>
        <v>PABLO DO AMARAL MACIEL</v>
      </c>
      <c r="E1244" s="119" t="str">
        <f>IFERROR(__xludf.DUMMYFUNCTION("""COMPUTED_VALUE"""),"Módulo 1 concluído")</f>
        <v>Módulo 1 concluído</v>
      </c>
      <c r="F1244" s="1" t="str">
        <f>IFERROR(__xludf.DUMMYFUNCTION("""COMPUTED_VALUE"""),"000.256.390-80")</f>
        <v>000.256.390-80</v>
      </c>
      <c r="G1244" s="1">
        <f>IFERROR(__xludf.DUMMYFUNCTION("""COMPUTED_VALUE"""),2065316164)</f>
        <v>2065316164</v>
      </c>
      <c r="H1244" s="1" t="str">
        <f>IFERROR(__xludf.DUMMYFUNCTION("""COMPUTED_VALUE"""),"Combatente")</f>
        <v>Combatente</v>
      </c>
      <c r="I1244" s="1" t="str">
        <f>IFERROR(__xludf.DUMMYFUNCTION("""COMPUTED_VALUE"""),"Curso de Bombeiro Civil, Treinamento de serviço civil auxiliar de Bombeiros")</f>
        <v>Curso de Bombeiro Civil, Treinamento de serviço civil auxiliar de Bombeiros</v>
      </c>
      <c r="J1244" s="1" t="str">
        <f>IFERROR(__xludf.DUMMYFUNCTION("""COMPUTED_VALUE"""),"Sim")</f>
        <v>Sim</v>
      </c>
      <c r="K1244" s="1" t="str">
        <f>IFERROR(__xludf.DUMMYFUNCTION("""COMPUTED_VALUE"""),"Não")</f>
        <v>Não</v>
      </c>
      <c r="L1244" s="1" t="str">
        <f>IFERROR(__xludf.DUMMYFUNCTION("""COMPUTED_VALUE"""),"O+")</f>
        <v>O+</v>
      </c>
      <c r="M1244" s="1" t="str">
        <f>IFERROR(__xludf.DUMMYFUNCTION("""COMPUTED_VALUE"""),"AMARAL")</f>
        <v>AMARAL</v>
      </c>
      <c r="N1244" s="120">
        <f>IFERROR(__xludf.DUMMYFUNCTION("""COMPUTED_VALUE"""),29833)</f>
        <v>29833</v>
      </c>
      <c r="O1244" s="1" t="str">
        <f>IFERROR(__xludf.DUMMYFUNCTION("""COMPUTED_VALUE"""),"Masculino")</f>
        <v>Masculino</v>
      </c>
      <c r="P1244" s="1" t="str">
        <f>IFERROR(__xludf.DUMMYFUNCTION("""COMPUTED_VALUE"""),"Branca")</f>
        <v>Branca</v>
      </c>
      <c r="Q1244" s="1" t="str">
        <f>IFERROR(__xludf.DUMMYFUNCTION("""COMPUTED_VALUE"""),"Ensino Médio")</f>
        <v>Ensino Médio</v>
      </c>
      <c r="R1244" s="1" t="str">
        <f>IFERROR(__xludf.DUMMYFUNCTION("""COMPUTED_VALUE"""),"macielpablo75@gmail.com")</f>
        <v>macielpablo75@gmail.com</v>
      </c>
      <c r="S1244" s="1" t="str">
        <f>IFERROR(__xludf.DUMMYFUNCTION("""COMPUTED_VALUE"""),"81 kg")</f>
        <v>81 kg</v>
      </c>
      <c r="T1244" s="1" t="str">
        <f>IFERROR(__xludf.DUMMYFUNCTION("""COMPUTED_VALUE"""),"Entre 1,66m e 1,70m")</f>
        <v>Entre 1,66m e 1,70m</v>
      </c>
      <c r="U1244" s="1"/>
      <c r="V1244" s="1" t="str">
        <f>IFERROR(__xludf.DUMMYFUNCTION("""COMPUTED_VALUE"""),"(55)99108-5546")</f>
        <v>(55)99108-5546</v>
      </c>
      <c r="W1244" s="1"/>
      <c r="X1244" s="1" t="str">
        <f>IFERROR(__xludf.DUMMYFUNCTION("""COMPUTED_VALUE"""),"RS")</f>
        <v>RS</v>
      </c>
      <c r="Y1244" s="1" t="str">
        <f>IFERROR(__xludf.DUMMYFUNCTION("""COMPUTED_VALUE"""),"Cacequi")</f>
        <v>Cacequi</v>
      </c>
      <c r="Z1244" s="1" t="str">
        <f>IFERROR(__xludf.DUMMYFUNCTION("""COMPUTED_VALUE"""),"97450-000")</f>
        <v>97450-000</v>
      </c>
      <c r="AA1244" s="1" t="str">
        <f>IFERROR(__xludf.DUMMYFUNCTION("""COMPUTED_VALUE"""),"Rua Senador Salgado Filho Número")</f>
        <v>Rua Senador Salgado Filho Número</v>
      </c>
      <c r="AB1244" s="1" t="str">
        <f>IFERROR(__xludf.DUMMYFUNCTION("""COMPUTED_VALUE"""),"Centro")</f>
        <v>Centro</v>
      </c>
      <c r="AC1244" s="1" t="str">
        <f>IFERROR(__xludf.DUMMYFUNCTION("""COMPUTED_VALUE"""),"M")</f>
        <v>M</v>
      </c>
      <c r="AD1244" s="1" t="str">
        <f>IFERROR(__xludf.DUMMYFUNCTION("""COMPUTED_VALUE"""),"M")</f>
        <v>M</v>
      </c>
      <c r="AE1244" s="1" t="str">
        <f>IFERROR(__xludf.DUMMYFUNCTION("""COMPUTED_VALUE"""),"M")</f>
        <v>M</v>
      </c>
      <c r="AF1244" s="1" t="str">
        <f>IFERROR(__xludf.DUMMYFUNCTION("""COMPUTED_VALUE"""),"M")</f>
        <v>M</v>
      </c>
      <c r="AG1244" s="1" t="str">
        <f>IFERROR(__xludf.DUMMYFUNCTION("""COMPUTED_VALUE"""),"M")</f>
        <v>M</v>
      </c>
      <c r="AH1244" s="1">
        <f>IFERROR(__xludf.DUMMYFUNCTION("""COMPUTED_VALUE"""),41)</f>
        <v>41</v>
      </c>
      <c r="AI1244" s="1">
        <f>IFERROR(__xludf.DUMMYFUNCTION("""COMPUTED_VALUE"""),41)</f>
        <v>41</v>
      </c>
      <c r="AJ1244" s="1">
        <f>IFERROR(__xludf.DUMMYFUNCTION("""COMPUTED_VALUE"""),41)</f>
        <v>41</v>
      </c>
      <c r="AK1244" s="1">
        <f>IFERROR(__xludf.DUMMYFUNCTION("""COMPUTED_VALUE"""),41)</f>
        <v>41</v>
      </c>
      <c r="AL1244" s="1" t="str">
        <f>IFERROR(__xludf.DUMMYFUNCTION("""COMPUTED_VALUE"""),"M")</f>
        <v>M</v>
      </c>
      <c r="AM1244" s="1" t="str">
        <f>IFERROR(__xludf.DUMMYFUNCTION("""COMPUTED_VALUE"""),"M")</f>
        <v>M</v>
      </c>
      <c r="AN1244" s="1" t="str">
        <f>IFERROR(__xludf.DUMMYFUNCTION("""COMPUTED_VALUE"""),"M")</f>
        <v>M</v>
      </c>
    </row>
    <row r="1245" customHeight="1" spans="1:40">
      <c r="A1245" s="1" t="str">
        <f>IFERROR(__xludf.DUMMYFUNCTION("""COMPUTED_VALUE"""),"10° BBM")</f>
        <v>10° BBM</v>
      </c>
      <c r="B1245" s="1"/>
      <c r="C1245" s="119"/>
      <c r="D1245" s="1" t="str">
        <f>IFERROR(__xludf.DUMMYFUNCTION("""COMPUTED_VALUE"""),"PAULO ROBERTO OLDANI DA SILVA")</f>
        <v>PAULO ROBERTO OLDANI DA SILVA</v>
      </c>
      <c r="E1245" s="119"/>
      <c r="F1245" s="1" t="str">
        <f>IFERROR(__xludf.DUMMYFUNCTION("""COMPUTED_VALUE"""),"304.314.760-04")</f>
        <v>304.314.760-04</v>
      </c>
      <c r="G1245" s="1"/>
      <c r="H1245" s="1"/>
      <c r="I1245" s="1"/>
      <c r="J1245" s="1"/>
      <c r="K1245" s="1"/>
      <c r="L1245" s="1"/>
      <c r="M1245" s="1"/>
      <c r="N1245" s="120"/>
      <c r="O1245" s="1"/>
      <c r="P1245" s="1"/>
      <c r="Q1245" s="1"/>
      <c r="R1245" s="1"/>
      <c r="S1245" s="1"/>
      <c r="T1245" s="1"/>
      <c r="U1245" s="1"/>
      <c r="V1245" s="1"/>
      <c r="W1245" s="1"/>
      <c r="X1245" s="1"/>
      <c r="Y1245" s="1"/>
      <c r="Z1245" s="1"/>
      <c r="AA1245" s="1"/>
      <c r="AB1245" s="1"/>
      <c r="AC1245" s="1"/>
      <c r="AD1245" s="1"/>
      <c r="AE1245" s="1"/>
      <c r="AF1245" s="1"/>
      <c r="AG1245" s="1"/>
      <c r="AH1245" s="1"/>
      <c r="AI1245" s="1"/>
      <c r="AJ1245" s="1"/>
      <c r="AK1245" s="1"/>
      <c r="AL1245" s="1"/>
      <c r="AM1245" s="1"/>
      <c r="AN1245" s="1"/>
    </row>
    <row r="1246" customHeight="1" spans="1:40">
      <c r="A1246" s="1" t="str">
        <f>IFERROR(__xludf.DUMMYFUNCTION("""COMPUTED_VALUE"""),"10° BBM")</f>
        <v>10° BBM</v>
      </c>
      <c r="B1246" s="1" t="str">
        <f>IFERROR(__xludf.DUMMYFUNCTION("""COMPUTED_VALUE"""),"Cacequi")</f>
        <v>Cacequi</v>
      </c>
      <c r="C1246" s="119" t="str">
        <f>IFERROR(__xludf.DUMMYFUNCTION("""COMPUTED_VALUE"""),"CAB")</f>
        <v>CAB</v>
      </c>
      <c r="D1246" s="1" t="str">
        <f>IFERROR(__xludf.DUMMYFUNCTION("""COMPUTED_VALUE"""),"PAULO SOARES DUTRA")</f>
        <v>PAULO SOARES DUTRA</v>
      </c>
      <c r="E1246" s="119" t="str">
        <f>IFERROR(__xludf.DUMMYFUNCTION("""COMPUTED_VALUE"""),"Módulo 1 concluído")</f>
        <v>Módulo 1 concluído</v>
      </c>
      <c r="F1246" s="1" t="str">
        <f>IFERROR(__xludf.DUMMYFUNCTION("""COMPUTED_VALUE"""),"474.250.910-20")</f>
        <v>474.250.910-20</v>
      </c>
      <c r="G1246" s="1">
        <f>IFERROR(__xludf.DUMMYFUNCTION("""COMPUTED_VALUE"""),7045296154)</f>
        <v>7045296154</v>
      </c>
      <c r="H1246" s="1" t="str">
        <f>IFERROR(__xludf.DUMMYFUNCTION("""COMPUTED_VALUE"""),"Combatente")</f>
        <v>Combatente</v>
      </c>
      <c r="I1246" s="1"/>
      <c r="J1246" s="1" t="str">
        <f>IFERROR(__xludf.DUMMYFUNCTION("""COMPUTED_VALUE"""),"Sim")</f>
        <v>Sim</v>
      </c>
      <c r="K1246" s="1" t="str">
        <f>IFERROR(__xludf.DUMMYFUNCTION("""COMPUTED_VALUE"""),"Não")</f>
        <v>Não</v>
      </c>
      <c r="L1246" s="1" t="str">
        <f>IFERROR(__xludf.DUMMYFUNCTION("""COMPUTED_VALUE"""),"O+")</f>
        <v>O+</v>
      </c>
      <c r="M1246" s="1" t="str">
        <f>IFERROR(__xludf.DUMMYFUNCTION("""COMPUTED_VALUE"""),"DUTRA")</f>
        <v>DUTRA</v>
      </c>
      <c r="N1246" s="120">
        <f>IFERROR(__xludf.DUMMYFUNCTION("""COMPUTED_VALUE"""),24485)</f>
        <v>24485</v>
      </c>
      <c r="O1246" s="1" t="str">
        <f>IFERROR(__xludf.DUMMYFUNCTION("""COMPUTED_VALUE"""),"Masculino")</f>
        <v>Masculino</v>
      </c>
      <c r="P1246" s="1" t="str">
        <f>IFERROR(__xludf.DUMMYFUNCTION("""COMPUTED_VALUE"""),"Branca")</f>
        <v>Branca</v>
      </c>
      <c r="Q1246" s="1" t="str">
        <f>IFERROR(__xludf.DUMMYFUNCTION("""COMPUTED_VALUE"""),"Ensino Médio")</f>
        <v>Ensino Médio</v>
      </c>
      <c r="R1246" s="1" t="str">
        <f>IFERROR(__xludf.DUMMYFUNCTION("""COMPUTED_VALUE"""),"paulodutra12344@gmail.com")</f>
        <v>paulodutra12344@gmail.com</v>
      </c>
      <c r="S1246" s="1" t="str">
        <f>IFERROR(__xludf.DUMMYFUNCTION("""COMPUTED_VALUE"""),"73 kg")</f>
        <v>73 kg</v>
      </c>
      <c r="T1246" s="1" t="str">
        <f>IFERROR(__xludf.DUMMYFUNCTION("""COMPUTED_VALUE"""),"Entre 1,71m e 1,75m")</f>
        <v>Entre 1,71m e 1,75m</v>
      </c>
      <c r="U1246" s="1"/>
      <c r="V1246" s="1" t="str">
        <f>IFERROR(__xludf.DUMMYFUNCTION("""COMPUTED_VALUE"""),"(55)99219-1265")</f>
        <v>(55)99219-1265</v>
      </c>
      <c r="W1246" s="1"/>
      <c r="X1246" s="1" t="str">
        <f>IFERROR(__xludf.DUMMYFUNCTION("""COMPUTED_VALUE"""),"RS")</f>
        <v>RS</v>
      </c>
      <c r="Y1246" s="1" t="str">
        <f>IFERROR(__xludf.DUMMYFUNCTION("""COMPUTED_VALUE"""),"Cacequi")</f>
        <v>Cacequi</v>
      </c>
      <c r="Z1246" s="1" t="str">
        <f>IFERROR(__xludf.DUMMYFUNCTION("""COMPUTED_VALUE"""),"97450-000")</f>
        <v>97450-000</v>
      </c>
      <c r="AA1246" s="1" t="str">
        <f>IFERROR(__xludf.DUMMYFUNCTION("""COMPUTED_VALUE"""),"Rua Barros Cassal, 70")</f>
        <v>Rua Barros Cassal, 70</v>
      </c>
      <c r="AB1246" s="1" t="str">
        <f>IFERROR(__xludf.DUMMYFUNCTION("""COMPUTED_VALUE"""),"Povo Novo")</f>
        <v>Povo Novo</v>
      </c>
      <c r="AC1246" s="1" t="str">
        <f>IFERROR(__xludf.DUMMYFUNCTION("""COMPUTED_VALUE"""),"G")</f>
        <v>G</v>
      </c>
      <c r="AD1246" s="1" t="str">
        <f>IFERROR(__xludf.DUMMYFUNCTION("""COMPUTED_VALUE"""),"G")</f>
        <v>G</v>
      </c>
      <c r="AE1246" s="1" t="str">
        <f>IFERROR(__xludf.DUMMYFUNCTION("""COMPUTED_VALUE"""),"G")</f>
        <v>G</v>
      </c>
      <c r="AF1246" s="1" t="str">
        <f>IFERROR(__xludf.DUMMYFUNCTION("""COMPUTED_VALUE"""),"G")</f>
        <v>G</v>
      </c>
      <c r="AG1246" s="1" t="str">
        <f>IFERROR(__xludf.DUMMYFUNCTION("""COMPUTED_VALUE"""),"G")</f>
        <v>G</v>
      </c>
      <c r="AH1246" s="1">
        <f>IFERROR(__xludf.DUMMYFUNCTION("""COMPUTED_VALUE"""),42)</f>
        <v>42</v>
      </c>
      <c r="AI1246" s="1">
        <f>IFERROR(__xludf.DUMMYFUNCTION("""COMPUTED_VALUE"""),42)</f>
        <v>42</v>
      </c>
      <c r="AJ1246" s="1">
        <f>IFERROR(__xludf.DUMMYFUNCTION("""COMPUTED_VALUE"""),42)</f>
        <v>42</v>
      </c>
      <c r="AK1246" s="1">
        <f>IFERROR(__xludf.DUMMYFUNCTION("""COMPUTED_VALUE"""),42)</f>
        <v>42</v>
      </c>
      <c r="AL1246" s="1" t="str">
        <f>IFERROR(__xludf.DUMMYFUNCTION("""COMPUTED_VALUE"""),"G")</f>
        <v>G</v>
      </c>
      <c r="AM1246" s="1" t="str">
        <f>IFERROR(__xludf.DUMMYFUNCTION("""COMPUTED_VALUE"""),"G")</f>
        <v>G</v>
      </c>
      <c r="AN1246" s="1" t="str">
        <f>IFERROR(__xludf.DUMMYFUNCTION("""COMPUTED_VALUE"""),"M")</f>
        <v>M</v>
      </c>
    </row>
    <row r="1247" customHeight="1" spans="1:40">
      <c r="A1247" s="1" t="str">
        <f>IFERROR(__xludf.DUMMYFUNCTION("""COMPUTED_VALUE"""),"10° BBM")</f>
        <v>10° BBM</v>
      </c>
      <c r="B1247" s="1" t="str">
        <f>IFERROR(__xludf.DUMMYFUNCTION("""COMPUTED_VALUE"""),"Cacequi")</f>
        <v>Cacequi</v>
      </c>
      <c r="C1247" s="119" t="str">
        <f>IFERROR(__xludf.DUMMYFUNCTION("""COMPUTED_VALUE"""),"CAB")</f>
        <v>CAB</v>
      </c>
      <c r="D1247" s="1" t="str">
        <f>IFERROR(__xludf.DUMMYFUNCTION("""COMPUTED_VALUE"""),"PEDRO CARVALHO DA ROSA")</f>
        <v>PEDRO CARVALHO DA ROSA</v>
      </c>
      <c r="E1247" s="119" t="str">
        <f>IFERROR(__xludf.DUMMYFUNCTION("""COMPUTED_VALUE"""),"Módulo 1 concluído")</f>
        <v>Módulo 1 concluído</v>
      </c>
      <c r="F1247" s="1" t="str">
        <f>IFERROR(__xludf.DUMMYFUNCTION("""COMPUTED_VALUE"""),"034.815.600-60")</f>
        <v>034.815.600-60</v>
      </c>
      <c r="G1247" s="1">
        <f>IFERROR(__xludf.DUMMYFUNCTION("""COMPUTED_VALUE"""),6112641698)</f>
        <v>6112641698</v>
      </c>
      <c r="H1247" s="1" t="str">
        <f>IFERROR(__xludf.DUMMYFUNCTION("""COMPUTED_VALUE"""),"Combatente")</f>
        <v>Combatente</v>
      </c>
      <c r="I1247" s="1" t="str">
        <f>IFERROR(__xludf.DUMMYFUNCTION("""COMPUTED_VALUE"""),"CAB - CURSANDO TEC em Enfermagem - APH/SBV - EMERGÊNCIA INTRA-HOSPITALAR - URGENCIAS  PSIQUIATRICAS - PRIMEIROS SOCORROS COM ENFASE NA LEI LUCAS - CURSO BASICO DE ATENDIMENTO A EMERGÊNCIAS - Condutor de Veículo de Emergência ")</f>
        <v>CAB - CURSANDO TEC em Enfermagem - APH/SBV - EMERGÊNCIA INTRA-HOSPITALAR - URGENCIAS  PSIQUIATRICAS - PRIMEIROS SOCORROS COM ENFASE NA LEI LUCAS - CURSO BASICO DE ATENDIMENTO A EMERGÊNCIAS - Condutor de Veículo de Emergência </v>
      </c>
      <c r="J1247" s="1" t="str">
        <f>IFERROR(__xludf.DUMMYFUNCTION("""COMPUTED_VALUE"""),"Sim")</f>
        <v>Sim</v>
      </c>
      <c r="K1247" s="1" t="str">
        <f>IFERROR(__xludf.DUMMYFUNCTION("""COMPUTED_VALUE"""),"Não")</f>
        <v>Não</v>
      </c>
      <c r="L1247" s="1" t="str">
        <f>IFERROR(__xludf.DUMMYFUNCTION("""COMPUTED_VALUE"""),"O+")</f>
        <v>O+</v>
      </c>
      <c r="M1247" s="1" t="str">
        <f>IFERROR(__xludf.DUMMYFUNCTION("""COMPUTED_VALUE"""),"PEDRO")</f>
        <v>PEDRO</v>
      </c>
      <c r="N1247" s="120">
        <f>IFERROR(__xludf.DUMMYFUNCTION("""COMPUTED_VALUE"""),35374)</f>
        <v>35374</v>
      </c>
      <c r="O1247" s="1" t="str">
        <f>IFERROR(__xludf.DUMMYFUNCTION("""COMPUTED_VALUE"""),"Masculino")</f>
        <v>Masculino</v>
      </c>
      <c r="P1247" s="1" t="str">
        <f>IFERROR(__xludf.DUMMYFUNCTION("""COMPUTED_VALUE"""),"Branca")</f>
        <v>Branca</v>
      </c>
      <c r="Q1247" s="1" t="str">
        <f>IFERROR(__xludf.DUMMYFUNCTION("""COMPUTED_VALUE"""),"Ensino Médio")</f>
        <v>Ensino Médio</v>
      </c>
      <c r="R1247" s="1" t="str">
        <f>IFERROR(__xludf.DUMMYFUNCTION("""COMPUTED_VALUE"""),"pedrocarvalhodarosa@gmail.com")</f>
        <v>pedrocarvalhodarosa@gmail.com</v>
      </c>
      <c r="S1247" s="1" t="str">
        <f>IFERROR(__xludf.DUMMYFUNCTION("""COMPUTED_VALUE"""),"100 kg")</f>
        <v>100 kg</v>
      </c>
      <c r="T1247" s="1" t="str">
        <f>IFERROR(__xludf.DUMMYFUNCTION("""COMPUTED_VALUE"""),"Entre 1,66m e 1,70m")</f>
        <v>Entre 1,66m e 1,70m</v>
      </c>
      <c r="U1247" s="1"/>
      <c r="V1247" s="1" t="str">
        <f>IFERROR(__xludf.DUMMYFUNCTION("""COMPUTED_VALUE"""),"(55)99196-2002")</f>
        <v>(55)99196-2002</v>
      </c>
      <c r="W1247" s="1" t="str">
        <f>IFERROR(__xludf.DUMMYFUNCTION("""COMPUTED_VALUE"""),"(55)99113-2086")</f>
        <v>(55)99113-2086</v>
      </c>
      <c r="X1247" s="1" t="str">
        <f>IFERROR(__xludf.DUMMYFUNCTION("""COMPUTED_VALUE"""),"RS")</f>
        <v>RS</v>
      </c>
      <c r="Y1247" s="1" t="str">
        <f>IFERROR(__xludf.DUMMYFUNCTION("""COMPUTED_VALUE"""),"Santa Maria")</f>
        <v>Santa Maria</v>
      </c>
      <c r="Z1247" s="1" t="str">
        <f>IFERROR(__xludf.DUMMYFUNCTION("""COMPUTED_VALUE"""),"97032-090")</f>
        <v>97032-090</v>
      </c>
      <c r="AA1247" s="1" t="str">
        <f>IFERROR(__xludf.DUMMYFUNCTION("""COMPUTED_VALUE"""),"Carlos Pauletto , 10")</f>
        <v>Carlos Pauletto , 10</v>
      </c>
      <c r="AB1247" s="1" t="str">
        <f>IFERROR(__xludf.DUMMYFUNCTION("""COMPUTED_VALUE"""),"Tancredo Neves")</f>
        <v>Tancredo Neves</v>
      </c>
      <c r="AC1247" s="1" t="str">
        <f>IFERROR(__xludf.DUMMYFUNCTION("""COMPUTED_VALUE"""),"GG")</f>
        <v>GG</v>
      </c>
      <c r="AD1247" s="1" t="str">
        <f>IFERROR(__xludf.DUMMYFUNCTION("""COMPUTED_VALUE"""),"GG")</f>
        <v>GG</v>
      </c>
      <c r="AE1247" s="1" t="str">
        <f>IFERROR(__xludf.DUMMYFUNCTION("""COMPUTED_VALUE"""),"GG")</f>
        <v>GG</v>
      </c>
      <c r="AF1247" s="1" t="str">
        <f>IFERROR(__xludf.DUMMYFUNCTION("""COMPUTED_VALUE"""),"GG")</f>
        <v>GG</v>
      </c>
      <c r="AG1247" s="1" t="str">
        <f>IFERROR(__xludf.DUMMYFUNCTION("""COMPUTED_VALUE"""),"GG")</f>
        <v>GG</v>
      </c>
      <c r="AH1247" s="1">
        <f>IFERROR(__xludf.DUMMYFUNCTION("""COMPUTED_VALUE"""),40)</f>
        <v>40</v>
      </c>
      <c r="AI1247" s="1">
        <f>IFERROR(__xludf.DUMMYFUNCTION("""COMPUTED_VALUE"""),40)</f>
        <v>40</v>
      </c>
      <c r="AJ1247" s="1">
        <f>IFERROR(__xludf.DUMMYFUNCTION("""COMPUTED_VALUE"""),40)</f>
        <v>40</v>
      </c>
      <c r="AK1247" s="1">
        <f>IFERROR(__xludf.DUMMYFUNCTION("""COMPUTED_VALUE"""),40)</f>
        <v>40</v>
      </c>
      <c r="AL1247" s="1" t="str">
        <f>IFERROR(__xludf.DUMMYFUNCTION("""COMPUTED_VALUE"""),"GG")</f>
        <v>GG</v>
      </c>
      <c r="AM1247" s="1" t="str">
        <f>IFERROR(__xludf.DUMMYFUNCTION("""COMPUTED_VALUE"""),"GG")</f>
        <v>GG</v>
      </c>
      <c r="AN1247" s="1" t="str">
        <f>IFERROR(__xludf.DUMMYFUNCTION("""COMPUTED_VALUE"""),"G")</f>
        <v>G</v>
      </c>
    </row>
    <row r="1248" customHeight="1" spans="1:40">
      <c r="A1248" s="1" t="str">
        <f>IFERROR(__xludf.DUMMYFUNCTION("""COMPUTED_VALUE"""),"10° BBM")</f>
        <v>10° BBM</v>
      </c>
      <c r="B1248" s="1" t="str">
        <f>IFERROR(__xludf.DUMMYFUNCTION("""COMPUTED_VALUE"""),"Cacequi")</f>
        <v>Cacequi</v>
      </c>
      <c r="C1248" s="119" t="str">
        <f>IFERROR(__xludf.DUMMYFUNCTION("""COMPUTED_VALUE"""),"CAB")</f>
        <v>CAB</v>
      </c>
      <c r="D1248" s="1" t="str">
        <f>IFERROR(__xludf.DUMMYFUNCTION("""COMPUTED_VALUE"""),"RAFAELA ALVES PEDROZO")</f>
        <v>RAFAELA ALVES PEDROZO</v>
      </c>
      <c r="E1248" s="119" t="str">
        <f>IFERROR(__xludf.DUMMYFUNCTION("""COMPUTED_VALUE"""),"Módulo 1 concluído")</f>
        <v>Módulo 1 concluído</v>
      </c>
      <c r="F1248" s="1" t="str">
        <f>IFERROR(__xludf.DUMMYFUNCTION("""COMPUTED_VALUE"""),"002.633.410-03")</f>
        <v>002.633.410-03</v>
      </c>
      <c r="G1248" s="1">
        <f>IFERROR(__xludf.DUMMYFUNCTION("""COMPUTED_VALUE"""),1084826864)</f>
        <v>1084826864</v>
      </c>
      <c r="H1248" s="1" t="str">
        <f>IFERROR(__xludf.DUMMYFUNCTION("""COMPUTED_VALUE"""),"Combatente")</f>
        <v>Combatente</v>
      </c>
      <c r="I1248" s="1" t="str">
        <f>IFERROR(__xludf.DUMMYFUNCTION("""COMPUTED_VALUE"""),"CAB, motorista ")</f>
        <v>CAB, motorista </v>
      </c>
      <c r="J1248" s="1" t="str">
        <f>IFERROR(__xludf.DUMMYFUNCTION("""COMPUTED_VALUE"""),"Sim")</f>
        <v>Sim</v>
      </c>
      <c r="K1248" s="1" t="str">
        <f>IFERROR(__xludf.DUMMYFUNCTION("""COMPUTED_VALUE"""),"Não")</f>
        <v>Não</v>
      </c>
      <c r="L1248" s="1" t="str">
        <f>IFERROR(__xludf.DUMMYFUNCTION("""COMPUTED_VALUE"""),"O+")</f>
        <v>O+</v>
      </c>
      <c r="M1248" s="1" t="str">
        <f>IFERROR(__xludf.DUMMYFUNCTION("""COMPUTED_VALUE"""),"PEDROZO")</f>
        <v>PEDROZO</v>
      </c>
      <c r="N1248" s="120">
        <f>IFERROR(__xludf.DUMMYFUNCTION("""COMPUTED_VALUE"""),30745)</f>
        <v>30745</v>
      </c>
      <c r="O1248" s="1" t="str">
        <f>IFERROR(__xludf.DUMMYFUNCTION("""COMPUTED_VALUE"""),"Feminino")</f>
        <v>Feminino</v>
      </c>
      <c r="P1248" s="1" t="str">
        <f>IFERROR(__xludf.DUMMYFUNCTION("""COMPUTED_VALUE"""),"Parda")</f>
        <v>Parda</v>
      </c>
      <c r="Q1248" s="1" t="str">
        <f>IFERROR(__xludf.DUMMYFUNCTION("""COMPUTED_VALUE"""),"Ensino Superior Completo")</f>
        <v>Ensino Superior Completo</v>
      </c>
      <c r="R1248" s="1" t="str">
        <f>IFERROR(__xludf.DUMMYFUNCTION("""COMPUTED_VALUE"""),"rafa_cacequi@hotmail.com")</f>
        <v>rafa_cacequi@hotmail.com</v>
      </c>
      <c r="S1248" s="1" t="str">
        <f>IFERROR(__xludf.DUMMYFUNCTION("""COMPUTED_VALUE"""),"70 kg")</f>
        <v>70 kg</v>
      </c>
      <c r="T1248" s="1" t="str">
        <f>IFERROR(__xludf.DUMMYFUNCTION("""COMPUTED_VALUE"""),"Entre 1,61m e 1,65m")</f>
        <v>Entre 1,61m e 1,65m</v>
      </c>
      <c r="U1248" s="1"/>
      <c r="V1248" s="1" t="str">
        <f>IFERROR(__xludf.DUMMYFUNCTION("""COMPUTED_VALUE"""),"(55)99645-5844")</f>
        <v>(55)99645-5844</v>
      </c>
      <c r="W1248" s="1" t="str">
        <f>IFERROR(__xludf.DUMMYFUNCTION("""COMPUTED_VALUE"""),"(55)99925-9600")</f>
        <v>(55)99925-9600</v>
      </c>
      <c r="X1248" s="1" t="str">
        <f>IFERROR(__xludf.DUMMYFUNCTION("""COMPUTED_VALUE"""),"RS")</f>
        <v>RS</v>
      </c>
      <c r="Y1248" s="1" t="str">
        <f>IFERROR(__xludf.DUMMYFUNCTION("""COMPUTED_VALUE"""),"Cacequi")</f>
        <v>Cacequi</v>
      </c>
      <c r="Z1248" s="1" t="str">
        <f>IFERROR(__xludf.DUMMYFUNCTION("""COMPUTED_VALUE"""),"97450-000")</f>
        <v>97450-000</v>
      </c>
      <c r="AA1248" s="1" t="str">
        <f>IFERROR(__xludf.DUMMYFUNCTION("""COMPUTED_VALUE"""),"Av. Oswaldo Aranha, 187")</f>
        <v>Av. Oswaldo Aranha, 187</v>
      </c>
      <c r="AB1248" s="1" t="str">
        <f>IFERROR(__xludf.DUMMYFUNCTION("""COMPUTED_VALUE"""),"Centro")</f>
        <v>Centro</v>
      </c>
      <c r="AC1248" s="1" t="str">
        <f>IFERROR(__xludf.DUMMYFUNCTION("""COMPUTED_VALUE"""),"M")</f>
        <v>M</v>
      </c>
      <c r="AD1248" s="1" t="str">
        <f>IFERROR(__xludf.DUMMYFUNCTION("""COMPUTED_VALUE"""),"G")</f>
        <v>G</v>
      </c>
      <c r="AE1248" s="1" t="str">
        <f>IFERROR(__xludf.DUMMYFUNCTION("""COMPUTED_VALUE"""),"M")</f>
        <v>M</v>
      </c>
      <c r="AF1248" s="1" t="str">
        <f>IFERROR(__xludf.DUMMYFUNCTION("""COMPUTED_VALUE"""),"M")</f>
        <v>M</v>
      </c>
      <c r="AG1248" s="1" t="str">
        <f>IFERROR(__xludf.DUMMYFUNCTION("""COMPUTED_VALUE"""),"M")</f>
        <v>M</v>
      </c>
      <c r="AH1248" s="1">
        <f>IFERROR(__xludf.DUMMYFUNCTION("""COMPUTED_VALUE"""),34)</f>
        <v>34</v>
      </c>
      <c r="AI1248" s="1">
        <f>IFERROR(__xludf.DUMMYFUNCTION("""COMPUTED_VALUE"""),34)</f>
        <v>34</v>
      </c>
      <c r="AJ1248" s="1">
        <f>IFERROR(__xludf.DUMMYFUNCTION("""COMPUTED_VALUE"""),34)</f>
        <v>34</v>
      </c>
      <c r="AK1248" s="1">
        <f>IFERROR(__xludf.DUMMYFUNCTION("""COMPUTED_VALUE"""),34)</f>
        <v>34</v>
      </c>
      <c r="AL1248" s="1" t="str">
        <f>IFERROR(__xludf.DUMMYFUNCTION("""COMPUTED_VALUE"""),"G")</f>
        <v>G</v>
      </c>
      <c r="AM1248" s="1" t="str">
        <f>IFERROR(__xludf.DUMMYFUNCTION("""COMPUTED_VALUE"""),"G")</f>
        <v>G</v>
      </c>
      <c r="AN1248" s="1" t="str">
        <f>IFERROR(__xludf.DUMMYFUNCTION("""COMPUTED_VALUE"""),"M")</f>
        <v>M</v>
      </c>
    </row>
    <row r="1249" customHeight="1" spans="1:40">
      <c r="A1249" s="1" t="str">
        <f>IFERROR(__xludf.DUMMYFUNCTION("""COMPUTED_VALUE"""),"10° BBM")</f>
        <v>10° BBM</v>
      </c>
      <c r="B1249" s="1"/>
      <c r="C1249" s="119"/>
      <c r="D1249" s="1" t="str">
        <f>IFERROR(__xludf.DUMMYFUNCTION("""COMPUTED_VALUE"""),"RENATO COELHO BALOCK")</f>
        <v>RENATO COELHO BALOCK</v>
      </c>
      <c r="E1249" s="119"/>
      <c r="F1249" s="1" t="str">
        <f>IFERROR(__xludf.DUMMYFUNCTION("""COMPUTED_VALUE"""),"026.284.950-07")</f>
        <v>026.284.950-07</v>
      </c>
      <c r="G1249" s="1"/>
      <c r="H1249" s="1"/>
      <c r="I1249" s="1"/>
      <c r="J1249" s="1"/>
      <c r="K1249" s="1"/>
      <c r="L1249" s="1"/>
      <c r="M1249" s="1"/>
      <c r="N1249" s="120"/>
      <c r="O1249" s="1"/>
      <c r="P1249" s="1"/>
      <c r="Q1249" s="1"/>
      <c r="R1249" s="1"/>
      <c r="S1249" s="1"/>
      <c r="T1249" s="1"/>
      <c r="U1249" s="1"/>
      <c r="V1249" s="1"/>
      <c r="W1249" s="1"/>
      <c r="X1249" s="1"/>
      <c r="Y1249" s="1"/>
      <c r="Z1249" s="1"/>
      <c r="AA1249" s="1"/>
      <c r="AB1249" s="1"/>
      <c r="AC1249" s="1"/>
      <c r="AD1249" s="1"/>
      <c r="AE1249" s="1"/>
      <c r="AF1249" s="1"/>
      <c r="AG1249" s="1"/>
      <c r="AH1249" s="1"/>
      <c r="AI1249" s="1"/>
      <c r="AJ1249" s="1"/>
      <c r="AK1249" s="1"/>
      <c r="AL1249" s="1"/>
      <c r="AM1249" s="1"/>
      <c r="AN1249" s="1"/>
    </row>
    <row r="1250" customHeight="1" spans="1:40">
      <c r="A1250" s="1" t="str">
        <f>IFERROR(__xludf.DUMMYFUNCTION("""COMPUTED_VALUE"""),"10° BBM")</f>
        <v>10° BBM</v>
      </c>
      <c r="B1250" s="1" t="str">
        <f>IFERROR(__xludf.DUMMYFUNCTION("""COMPUTED_VALUE"""),"Cacequi")</f>
        <v>Cacequi</v>
      </c>
      <c r="C1250" s="119" t="str">
        <f>IFERROR(__xludf.DUMMYFUNCTION("""COMPUTED_VALUE"""),"CAB")</f>
        <v>CAB</v>
      </c>
      <c r="D1250" s="1" t="str">
        <f>IFERROR(__xludf.DUMMYFUNCTION("""COMPUTED_VALUE"""),"RUANE OLIVEIRA DE ANDRADES")</f>
        <v>RUANE OLIVEIRA DE ANDRADES</v>
      </c>
      <c r="E1250" s="119" t="str">
        <f>IFERROR(__xludf.DUMMYFUNCTION("""COMPUTED_VALUE"""),"Módulo 1 concluído")</f>
        <v>Módulo 1 concluído</v>
      </c>
      <c r="F1250" s="1" t="str">
        <f>IFERROR(__xludf.DUMMYFUNCTION("""COMPUTED_VALUE"""),"033.723.920-78")</f>
        <v>033.723.920-78</v>
      </c>
      <c r="G1250" s="1">
        <f>IFERROR(__xludf.DUMMYFUNCTION("""COMPUTED_VALUE"""),1103940902)</f>
        <v>1103940902</v>
      </c>
      <c r="H1250" s="1" t="str">
        <f>IFERROR(__xludf.DUMMYFUNCTION("""COMPUTED_VALUE"""),"Combatente")</f>
        <v>Combatente</v>
      </c>
      <c r="I1250" s="1" t="str">
        <f>IFERROR(__xludf.DUMMYFUNCTION("""COMPUTED_VALUE"""),"Socorrista, CAB.")</f>
        <v>Socorrista, CAB.</v>
      </c>
      <c r="J1250" s="1" t="str">
        <f>IFERROR(__xludf.DUMMYFUNCTION("""COMPUTED_VALUE"""),"Sim")</f>
        <v>Sim</v>
      </c>
      <c r="K1250" s="1" t="str">
        <f>IFERROR(__xludf.DUMMYFUNCTION("""COMPUTED_VALUE"""),"Não")</f>
        <v>Não</v>
      </c>
      <c r="L1250" s="1" t="str">
        <f>IFERROR(__xludf.DUMMYFUNCTION("""COMPUTED_VALUE"""),"A+")</f>
        <v>A+</v>
      </c>
      <c r="M1250" s="1" t="str">
        <f>IFERROR(__xludf.DUMMYFUNCTION("""COMPUTED_VALUE"""),"RUANE")</f>
        <v>RUANE</v>
      </c>
      <c r="N1250" s="120">
        <f>IFERROR(__xludf.DUMMYFUNCTION("""COMPUTED_VALUE"""),33757)</f>
        <v>33757</v>
      </c>
      <c r="O1250" s="1" t="str">
        <f>IFERROR(__xludf.DUMMYFUNCTION("""COMPUTED_VALUE"""),"Feminino")</f>
        <v>Feminino</v>
      </c>
      <c r="P1250" s="1" t="str">
        <f>IFERROR(__xludf.DUMMYFUNCTION("""COMPUTED_VALUE"""),"Branca")</f>
        <v>Branca</v>
      </c>
      <c r="Q1250" s="1" t="str">
        <f>IFERROR(__xludf.DUMMYFUNCTION("""COMPUTED_VALUE"""),"Ensino Médio")</f>
        <v>Ensino Médio</v>
      </c>
      <c r="R1250" s="1" t="str">
        <f>IFERROR(__xludf.DUMMYFUNCTION("""COMPUTED_VALUE"""),"andradesruane@gmail.com")</f>
        <v>andradesruane@gmail.com</v>
      </c>
      <c r="S1250" s="1" t="str">
        <f>IFERROR(__xludf.DUMMYFUNCTION("""COMPUTED_VALUE"""),"56 kg")</f>
        <v>56 kg</v>
      </c>
      <c r="T1250" s="1" t="str">
        <f>IFERROR(__xludf.DUMMYFUNCTION("""COMPUTED_VALUE"""),"Entre 1,56m e 1,60m")</f>
        <v>Entre 1,56m e 1,60m</v>
      </c>
      <c r="U1250" s="1"/>
      <c r="V1250" s="1"/>
      <c r="W1250" s="1" t="str">
        <f>IFERROR(__xludf.DUMMYFUNCTION("""COMPUTED_VALUE"""),"(55)99169-7991")</f>
        <v>(55)99169-7991</v>
      </c>
      <c r="X1250" s="1" t="str">
        <f>IFERROR(__xludf.DUMMYFUNCTION("""COMPUTED_VALUE"""),"RS")</f>
        <v>RS</v>
      </c>
      <c r="Y1250" s="1" t="str">
        <f>IFERROR(__xludf.DUMMYFUNCTION("""COMPUTED_VALUE"""),"Cacequi")</f>
        <v>Cacequi</v>
      </c>
      <c r="Z1250" s="1" t="str">
        <f>IFERROR(__xludf.DUMMYFUNCTION("""COMPUTED_VALUE"""),"97450-000")</f>
        <v>97450-000</v>
      </c>
      <c r="AA1250" s="1" t="str">
        <f>IFERROR(__xludf.DUMMYFUNCTION("""COMPUTED_VALUE"""),"Oriovaldo Braga 315")</f>
        <v>Oriovaldo Braga 315</v>
      </c>
      <c r="AB1250" s="1" t="str">
        <f>IFERROR(__xludf.DUMMYFUNCTION("""COMPUTED_VALUE"""),"Maria Nora")</f>
        <v>Maria Nora</v>
      </c>
      <c r="AC1250" s="1" t="str">
        <f>IFERROR(__xludf.DUMMYFUNCTION("""COMPUTED_VALUE"""),"M")</f>
        <v>M</v>
      </c>
      <c r="AD1250" s="1" t="str">
        <f>IFERROR(__xludf.DUMMYFUNCTION("""COMPUTED_VALUE"""),"M")</f>
        <v>M</v>
      </c>
      <c r="AE1250" s="1" t="str">
        <f>IFERROR(__xludf.DUMMYFUNCTION("""COMPUTED_VALUE"""),"M")</f>
        <v>M</v>
      </c>
      <c r="AF1250" s="1" t="str">
        <f>IFERROR(__xludf.DUMMYFUNCTION("""COMPUTED_VALUE"""),"M")</f>
        <v>M</v>
      </c>
      <c r="AG1250" s="1" t="str">
        <f>IFERROR(__xludf.DUMMYFUNCTION("""COMPUTED_VALUE"""),"M")</f>
        <v>M</v>
      </c>
      <c r="AH1250" s="1">
        <f>IFERROR(__xludf.DUMMYFUNCTION("""COMPUTED_VALUE"""),35)</f>
        <v>35</v>
      </c>
      <c r="AI1250" s="1">
        <f>IFERROR(__xludf.DUMMYFUNCTION("""COMPUTED_VALUE"""),35)</f>
        <v>35</v>
      </c>
      <c r="AJ1250" s="1">
        <f>IFERROR(__xludf.DUMMYFUNCTION("""COMPUTED_VALUE"""),35)</f>
        <v>35</v>
      </c>
      <c r="AK1250" s="1">
        <f>IFERROR(__xludf.DUMMYFUNCTION("""COMPUTED_VALUE"""),35)</f>
        <v>35</v>
      </c>
      <c r="AL1250" s="1" t="str">
        <f>IFERROR(__xludf.DUMMYFUNCTION("""COMPUTED_VALUE"""),"M")</f>
        <v>M</v>
      </c>
      <c r="AM1250" s="1" t="str">
        <f>IFERROR(__xludf.DUMMYFUNCTION("""COMPUTED_VALUE"""),"M")</f>
        <v>M</v>
      </c>
      <c r="AN1250" s="1" t="str">
        <f>IFERROR(__xludf.DUMMYFUNCTION("""COMPUTED_VALUE"""),"M")</f>
        <v>M</v>
      </c>
    </row>
    <row r="1251" customHeight="1" spans="1:40">
      <c r="A1251" s="1"/>
      <c r="B1251" s="1"/>
      <c r="C1251" s="119"/>
      <c r="D1251" s="1" t="str">
        <f>IFERROR(__xludf.DUMMYFUNCTION("""COMPUTED_VALUE"""),"SANDRO RENAN DE OLIVEIRA BORGES")</f>
        <v>SANDRO RENAN DE OLIVEIRA BORGES</v>
      </c>
      <c r="E1251" s="1" t="str">
        <f>IFERROR(__xludf.DUMMYFUNCTION("""COMPUTED_VALUE"""),"Módulo 2 e 3 concluído")</f>
        <v>Módulo 2 e 3 concluído</v>
      </c>
      <c r="F1251" s="1" t="str">
        <f>IFERROR(__xludf.DUMMYFUNCTION("""COMPUTED_VALUE"""),"937.731.290-68")</f>
        <v>937.731.290-68</v>
      </c>
      <c r="G1251" s="1"/>
      <c r="H1251" s="1"/>
      <c r="I1251" s="1"/>
      <c r="J1251" s="1"/>
      <c r="K1251" s="1"/>
      <c r="L1251" s="1"/>
      <c r="M1251" s="1"/>
      <c r="N1251" s="120"/>
      <c r="O1251" s="1"/>
      <c r="P1251" s="1"/>
      <c r="Q1251" s="1"/>
      <c r="R1251" s="1"/>
      <c r="S1251" s="1"/>
      <c r="T1251" s="1"/>
      <c r="U1251" s="1"/>
      <c r="V1251" s="1"/>
      <c r="W1251" s="1"/>
      <c r="X1251" s="1"/>
      <c r="Y1251" s="1"/>
      <c r="Z1251" s="1"/>
      <c r="AA1251" s="1"/>
      <c r="AB1251" s="1"/>
      <c r="AC1251" s="1"/>
      <c r="AD1251" s="1"/>
      <c r="AE1251" s="1"/>
      <c r="AF1251" s="1"/>
      <c r="AG1251" s="1"/>
      <c r="AH1251" s="1"/>
      <c r="AI1251" s="1"/>
      <c r="AJ1251" s="1"/>
      <c r="AK1251" s="1"/>
      <c r="AL1251" s="1"/>
      <c r="AM1251" s="1"/>
      <c r="AN1251" s="1"/>
    </row>
    <row r="1252" customHeight="1" spans="1:40">
      <c r="A1252" s="1" t="str">
        <f>IFERROR(__xludf.DUMMYFUNCTION("""COMPUTED_VALUE"""),"10° BBM")</f>
        <v>10° BBM</v>
      </c>
      <c r="B1252" s="1"/>
      <c r="C1252" s="119"/>
      <c r="D1252" s="1" t="str">
        <f>IFERROR(__xludf.DUMMYFUNCTION("""COMPUTED_VALUE"""),"THIAGO RIBEIRO NUNES")</f>
        <v>THIAGO RIBEIRO NUNES</v>
      </c>
      <c r="E1252" s="119"/>
      <c r="F1252" s="1" t="str">
        <f>IFERROR(__xludf.DUMMYFUNCTION("""COMPUTED_VALUE"""),"012.172.010-17")</f>
        <v>012.172.010-17</v>
      </c>
      <c r="G1252" s="1"/>
      <c r="H1252" s="1"/>
      <c r="I1252" s="1"/>
      <c r="J1252" s="1"/>
      <c r="K1252" s="1"/>
      <c r="L1252" s="1"/>
      <c r="M1252" s="1"/>
      <c r="N1252" s="120"/>
      <c r="O1252" s="1"/>
      <c r="P1252" s="1"/>
      <c r="Q1252" s="1"/>
      <c r="R1252" s="1"/>
      <c r="S1252" s="1"/>
      <c r="T1252" s="1"/>
      <c r="U1252" s="1"/>
      <c r="V1252" s="1"/>
      <c r="W1252" s="1"/>
      <c r="X1252" s="1"/>
      <c r="Y1252" s="1"/>
      <c r="Z1252" s="1"/>
      <c r="AA1252" s="1"/>
      <c r="AB1252" s="1"/>
      <c r="AC1252" s="1"/>
      <c r="AD1252" s="1"/>
      <c r="AE1252" s="1"/>
      <c r="AF1252" s="1"/>
      <c r="AG1252" s="1"/>
      <c r="AH1252" s="1"/>
      <c r="AI1252" s="1"/>
      <c r="AJ1252" s="1"/>
      <c r="AK1252" s="1"/>
      <c r="AL1252" s="1"/>
      <c r="AM1252" s="1"/>
      <c r="AN1252" s="1"/>
    </row>
    <row r="1253" customHeight="1" spans="1:40">
      <c r="A1253" s="1" t="str">
        <f>IFERROR(__xludf.DUMMYFUNCTION("""COMPUTED_VALUE"""),"10° BBM")</f>
        <v>10° BBM</v>
      </c>
      <c r="B1253" s="1" t="str">
        <f>IFERROR(__xludf.DUMMYFUNCTION("""COMPUTED_VALUE"""),"Cacequi")</f>
        <v>Cacequi</v>
      </c>
      <c r="C1253" s="119" t="str">
        <f>IFERROR(__xludf.DUMMYFUNCTION("""COMPUTED_VALUE"""),"CAB")</f>
        <v>CAB</v>
      </c>
      <c r="D1253" s="1" t="str">
        <f>IFERROR(__xludf.DUMMYFUNCTION("""COMPUTED_VALUE"""),"UMBERTO DE ALENCAR DE ALMEIDA DE OLIVEIRA")</f>
        <v>UMBERTO DE ALENCAR DE ALMEIDA DE OLIVEIRA</v>
      </c>
      <c r="E1253" s="119" t="str">
        <f>IFERROR(__xludf.DUMMYFUNCTION("""COMPUTED_VALUE"""),"Módulo 1 concluído")</f>
        <v>Módulo 1 concluído</v>
      </c>
      <c r="F1253" s="1" t="str">
        <f>IFERROR(__xludf.DUMMYFUNCTION("""COMPUTED_VALUE"""),"952.283.490-49")</f>
        <v>952.283.490-49</v>
      </c>
      <c r="G1253" s="1">
        <f>IFERROR(__xludf.DUMMYFUNCTION("""COMPUTED_VALUE"""),4075173866)</f>
        <v>4075173866</v>
      </c>
      <c r="H1253" s="1" t="str">
        <f>IFERROR(__xludf.DUMMYFUNCTION("""COMPUTED_VALUE"""),"Motorista")</f>
        <v>Motorista</v>
      </c>
      <c r="I1253" s="1" t="str">
        <f>IFERROR(__xludf.DUMMYFUNCTION("""COMPUTED_VALUE"""),"CAB, motorista.")</f>
        <v>CAB, motorista.</v>
      </c>
      <c r="J1253" s="1" t="str">
        <f>IFERROR(__xludf.DUMMYFUNCTION("""COMPUTED_VALUE"""),"Sim")</f>
        <v>Sim</v>
      </c>
      <c r="K1253" s="1" t="str">
        <f>IFERROR(__xludf.DUMMYFUNCTION("""COMPUTED_VALUE"""),"Não")</f>
        <v>Não</v>
      </c>
      <c r="L1253" s="1" t="str">
        <f>IFERROR(__xludf.DUMMYFUNCTION("""COMPUTED_VALUE"""),"O+")</f>
        <v>O+</v>
      </c>
      <c r="M1253" s="1" t="str">
        <f>IFERROR(__xludf.DUMMYFUNCTION("""COMPUTED_VALUE"""),"UMBERTO")</f>
        <v>UMBERTO</v>
      </c>
      <c r="N1253" s="120">
        <f>IFERROR(__xludf.DUMMYFUNCTION("""COMPUTED_VALUE"""),28685)</f>
        <v>28685</v>
      </c>
      <c r="O1253" s="1" t="str">
        <f>IFERROR(__xludf.DUMMYFUNCTION("""COMPUTED_VALUE"""),"Masculino")</f>
        <v>Masculino</v>
      </c>
      <c r="P1253" s="1" t="str">
        <f>IFERROR(__xludf.DUMMYFUNCTION("""COMPUTED_VALUE"""),"Branca")</f>
        <v>Branca</v>
      </c>
      <c r="Q1253" s="1" t="str">
        <f>IFERROR(__xludf.DUMMYFUNCTION("""COMPUTED_VALUE"""),"Ensino Médio")</f>
        <v>Ensino Médio</v>
      </c>
      <c r="R1253" s="1" t="str">
        <f>IFERROR(__xludf.DUMMYFUNCTION("""COMPUTED_VALUE"""),"umbertoalencar@hotmail.com")</f>
        <v>umbertoalencar@hotmail.com</v>
      </c>
      <c r="S1253" s="1" t="str">
        <f>IFERROR(__xludf.DUMMYFUNCTION("""COMPUTED_VALUE"""),"74 kg")</f>
        <v>74 kg</v>
      </c>
      <c r="T1253" s="1" t="str">
        <f>IFERROR(__xludf.DUMMYFUNCTION("""COMPUTED_VALUE"""),"Entre 1,56m e 1,60m")</f>
        <v>Entre 1,56m e 1,60m</v>
      </c>
      <c r="U1253" s="1"/>
      <c r="V1253" s="1" t="str">
        <f>IFERROR(__xludf.DUMMYFUNCTION("""COMPUTED_VALUE"""),"(55)99958-9728")</f>
        <v>(55)99958-9728</v>
      </c>
      <c r="W1253" s="1" t="str">
        <f>IFERROR(__xludf.DUMMYFUNCTION("""COMPUTED_VALUE"""),"(55)99140-1181")</f>
        <v>(55)99140-1181</v>
      </c>
      <c r="X1253" s="1" t="str">
        <f>IFERROR(__xludf.DUMMYFUNCTION("""COMPUTED_VALUE"""),"RS")</f>
        <v>RS</v>
      </c>
      <c r="Y1253" s="1" t="str">
        <f>IFERROR(__xludf.DUMMYFUNCTION("""COMPUTED_VALUE"""),"Cacequi")</f>
        <v>Cacequi</v>
      </c>
      <c r="Z1253" s="1" t="str">
        <f>IFERROR(__xludf.DUMMYFUNCTION("""COMPUTED_VALUE"""),"97450-000")</f>
        <v>97450-000</v>
      </c>
      <c r="AA1253" s="1" t="str">
        <f>IFERROR(__xludf.DUMMYFUNCTION("""COMPUTED_VALUE"""),"João Antonio Da Silveira, 65")</f>
        <v>João Antonio Da Silveira, 65</v>
      </c>
      <c r="AB1253" s="1" t="str">
        <f>IFERROR(__xludf.DUMMYFUNCTION("""COMPUTED_VALUE"""),"Centro")</f>
        <v>Centro</v>
      </c>
      <c r="AC1253" s="1" t="str">
        <f>IFERROR(__xludf.DUMMYFUNCTION("""COMPUTED_VALUE"""),"M")</f>
        <v>M</v>
      </c>
      <c r="AD1253" s="1" t="str">
        <f>IFERROR(__xludf.DUMMYFUNCTION("""COMPUTED_VALUE"""),"M")</f>
        <v>M</v>
      </c>
      <c r="AE1253" s="1" t="str">
        <f>IFERROR(__xludf.DUMMYFUNCTION("""COMPUTED_VALUE"""),"M")</f>
        <v>M</v>
      </c>
      <c r="AF1253" s="1" t="str">
        <f>IFERROR(__xludf.DUMMYFUNCTION("""COMPUTED_VALUE"""),"G")</f>
        <v>G</v>
      </c>
      <c r="AG1253" s="1" t="str">
        <f>IFERROR(__xludf.DUMMYFUNCTION("""COMPUTED_VALUE"""),"M")</f>
        <v>M</v>
      </c>
      <c r="AH1253" s="1">
        <f>IFERROR(__xludf.DUMMYFUNCTION("""COMPUTED_VALUE"""),39)</f>
        <v>39</v>
      </c>
      <c r="AI1253" s="1">
        <f>IFERROR(__xludf.DUMMYFUNCTION("""COMPUTED_VALUE"""),39)</f>
        <v>39</v>
      </c>
      <c r="AJ1253" s="1">
        <f>IFERROR(__xludf.DUMMYFUNCTION("""COMPUTED_VALUE"""),39)</f>
        <v>39</v>
      </c>
      <c r="AK1253" s="1">
        <f>IFERROR(__xludf.DUMMYFUNCTION("""COMPUTED_VALUE"""),39)</f>
        <v>39</v>
      </c>
      <c r="AL1253" s="1" t="str">
        <f>IFERROR(__xludf.DUMMYFUNCTION("""COMPUTED_VALUE"""),"M")</f>
        <v>M</v>
      </c>
      <c r="AM1253" s="1" t="str">
        <f>IFERROR(__xludf.DUMMYFUNCTION("""COMPUTED_VALUE"""),"G")</f>
        <v>G</v>
      </c>
      <c r="AN1253" s="1" t="str">
        <f>IFERROR(__xludf.DUMMYFUNCTION("""COMPUTED_VALUE"""),"M")</f>
        <v>M</v>
      </c>
    </row>
    <row r="1254" customHeight="1" spans="1:40">
      <c r="A1254" s="1" t="str">
        <f>IFERROR(__xludf.DUMMYFUNCTION("""COMPUTED_VALUE"""),"10° BBM")</f>
        <v>10° BBM</v>
      </c>
      <c r="B1254" s="1" t="str">
        <f>IFERROR(__xludf.DUMMYFUNCTION("""COMPUTED_VALUE"""),"Cacequi")</f>
        <v>Cacequi</v>
      </c>
      <c r="C1254" s="119" t="str">
        <f>IFERROR(__xludf.DUMMYFUNCTION("""COMPUTED_VALUE"""),"CAB")</f>
        <v>CAB</v>
      </c>
      <c r="D1254" s="1" t="str">
        <f>IFERROR(__xludf.DUMMYFUNCTION("""COMPUTED_VALUE"""),"WILLIAN RODRIGUES ALLENDE")</f>
        <v>WILLIAN RODRIGUES ALLENDE</v>
      </c>
      <c r="E1254" s="119" t="str">
        <f>IFERROR(__xludf.DUMMYFUNCTION("""COMPUTED_VALUE"""),"")</f>
        <v/>
      </c>
      <c r="F1254" s="1" t="str">
        <f>IFERROR(__xludf.DUMMYFUNCTION("""COMPUTED_VALUE"""),"039.091.220-43")</f>
        <v>039.091.220-43</v>
      </c>
      <c r="G1254" s="1">
        <f>IFERROR(__xludf.DUMMYFUNCTION("""COMPUTED_VALUE"""),1122127085)</f>
        <v>1122127085</v>
      </c>
      <c r="H1254" s="1" t="str">
        <f>IFERROR(__xludf.DUMMYFUNCTION("""COMPUTED_VALUE"""),"Combatente")</f>
        <v>Combatente</v>
      </c>
      <c r="I1254" s="1" t="str">
        <f>IFERROR(__xludf.DUMMYFUNCTION("""COMPUTED_VALUE"""),"Bombeiro Civil")</f>
        <v>Bombeiro Civil</v>
      </c>
      <c r="J1254" s="1" t="str">
        <f>IFERROR(__xludf.DUMMYFUNCTION("""COMPUTED_VALUE"""),"Sim")</f>
        <v>Sim</v>
      </c>
      <c r="K1254" s="1" t="str">
        <f>IFERROR(__xludf.DUMMYFUNCTION("""COMPUTED_VALUE"""),"Não")</f>
        <v>Não</v>
      </c>
      <c r="L1254" s="1" t="str">
        <f>IFERROR(__xludf.DUMMYFUNCTION("""COMPUTED_VALUE"""),"A+")</f>
        <v>A+</v>
      </c>
      <c r="M1254" s="1" t="str">
        <f>IFERROR(__xludf.DUMMYFUNCTION("""COMPUTED_VALUE"""),"WILLIAN")</f>
        <v>WILLIAN</v>
      </c>
      <c r="N1254" s="120">
        <f>IFERROR(__xludf.DUMMYFUNCTION("""COMPUTED_VALUE"""),36583)</f>
        <v>36583</v>
      </c>
      <c r="O1254" s="1" t="str">
        <f>IFERROR(__xludf.DUMMYFUNCTION("""COMPUTED_VALUE"""),"Masculino")</f>
        <v>Masculino</v>
      </c>
      <c r="P1254" s="1" t="str">
        <f>IFERROR(__xludf.DUMMYFUNCTION("""COMPUTED_VALUE"""),"Branca")</f>
        <v>Branca</v>
      </c>
      <c r="Q1254" s="1" t="str">
        <f>IFERROR(__xludf.DUMMYFUNCTION("""COMPUTED_VALUE"""),"Ensino Médio")</f>
        <v>Ensino Médio</v>
      </c>
      <c r="R1254" s="1" t="str">
        <f>IFERROR(__xludf.DUMMYFUNCTION("""COMPUTED_VALUE"""),"Willianallende007@gmail.com")</f>
        <v>Willianallende007@gmail.com</v>
      </c>
      <c r="S1254" s="1" t="str">
        <f>IFERROR(__xludf.DUMMYFUNCTION("""COMPUTED_VALUE"""),"135 kg")</f>
        <v>135 kg</v>
      </c>
      <c r="T1254" s="1" t="str">
        <f>IFERROR(__xludf.DUMMYFUNCTION("""COMPUTED_VALUE"""),"Entre 1,76m e 1,80m")</f>
        <v>Entre 1,76m e 1,80m</v>
      </c>
      <c r="U1254" s="1"/>
      <c r="V1254" s="1"/>
      <c r="W1254" s="1" t="str">
        <f>IFERROR(__xludf.DUMMYFUNCTION("""COMPUTED_VALUE"""),"(55)99934-1691")</f>
        <v>(55)99934-1691</v>
      </c>
      <c r="X1254" s="1" t="str">
        <f>IFERROR(__xludf.DUMMYFUNCTION("""COMPUTED_VALUE"""),"RS")</f>
        <v>RS</v>
      </c>
      <c r="Y1254" s="1" t="str">
        <f>IFERROR(__xludf.DUMMYFUNCTION("""COMPUTED_VALUE"""),"Rosário do Sul")</f>
        <v>Rosário do Sul</v>
      </c>
      <c r="Z1254" s="1" t="str">
        <f>IFERROR(__xludf.DUMMYFUNCTION("""COMPUTED_VALUE"""),"97590-000")</f>
        <v>97590-000</v>
      </c>
      <c r="AA1254" s="1" t="str">
        <f>IFERROR(__xludf.DUMMYFUNCTION("""COMPUTED_VALUE"""),"Bairro Oliverio Ramos Dê Vasconcellos")</f>
        <v>Bairro Oliverio Ramos Dê Vasconcellos</v>
      </c>
      <c r="AB1254" s="1" t="str">
        <f>IFERROR(__xludf.DUMMYFUNCTION("""COMPUTED_VALUE"""),"Rosario")</f>
        <v>Rosario</v>
      </c>
      <c r="AC1254" s="1" t="str">
        <f>IFERROR(__xludf.DUMMYFUNCTION("""COMPUTED_VALUE"""),"GG")</f>
        <v>GG</v>
      </c>
      <c r="AD1254" s="1" t="str">
        <f>IFERROR(__xludf.DUMMYFUNCTION("""COMPUTED_VALUE"""),"GG")</f>
        <v>GG</v>
      </c>
      <c r="AE1254" s="1" t="str">
        <f>IFERROR(__xludf.DUMMYFUNCTION("""COMPUTED_VALUE"""),"GG")</f>
        <v>GG</v>
      </c>
      <c r="AF1254" s="1" t="str">
        <f>IFERROR(__xludf.DUMMYFUNCTION("""COMPUTED_VALUE"""),"GG")</f>
        <v>GG</v>
      </c>
      <c r="AG1254" s="1" t="str">
        <f>IFERROR(__xludf.DUMMYFUNCTION("""COMPUTED_VALUE"""),"GG")</f>
        <v>GG</v>
      </c>
      <c r="AH1254" s="1">
        <f>IFERROR(__xludf.DUMMYFUNCTION("""COMPUTED_VALUE"""),49)</f>
        <v>49</v>
      </c>
      <c r="AI1254" s="1">
        <f>IFERROR(__xludf.DUMMYFUNCTION("""COMPUTED_VALUE"""),49)</f>
        <v>49</v>
      </c>
      <c r="AJ1254" s="1">
        <f>IFERROR(__xludf.DUMMYFUNCTION("""COMPUTED_VALUE"""),49)</f>
        <v>49</v>
      </c>
      <c r="AK1254" s="1">
        <f>IFERROR(__xludf.DUMMYFUNCTION("""COMPUTED_VALUE"""),49)</f>
        <v>49</v>
      </c>
      <c r="AL1254" s="1" t="str">
        <f>IFERROR(__xludf.DUMMYFUNCTION("""COMPUTED_VALUE"""),"GG")</f>
        <v>GG</v>
      </c>
      <c r="AM1254" s="1" t="str">
        <f>IFERROR(__xludf.DUMMYFUNCTION("""COMPUTED_VALUE"""),"GG")</f>
        <v>GG</v>
      </c>
      <c r="AN1254" s="1" t="str">
        <f>IFERROR(__xludf.DUMMYFUNCTION("""COMPUTED_VALUE"""),"M")</f>
        <v>M</v>
      </c>
    </row>
    <row r="1255" customHeight="1" spans="1:40">
      <c r="A1255" s="1" t="str">
        <f>IFERROR(__xludf.DUMMYFUNCTION("""COMPUTED_VALUE"""),"10° BBM")</f>
        <v>10° BBM</v>
      </c>
      <c r="B1255" s="1" t="str">
        <f>IFERROR(__xludf.DUMMYFUNCTION("""COMPUTED_VALUE"""),"Cacequi")</f>
        <v>Cacequi</v>
      </c>
      <c r="C1255" s="119" t="str">
        <f>IFERROR(__xludf.DUMMYFUNCTION("""COMPUTED_VALUE"""),"CAB")</f>
        <v>CAB</v>
      </c>
      <c r="D1255" s="1" t="str">
        <f>IFERROR(__xludf.DUMMYFUNCTION("""COMPUTED_VALUE"""),"WILLIAN WITT RODRIGUES")</f>
        <v>WILLIAN WITT RODRIGUES</v>
      </c>
      <c r="E1255" s="119" t="str">
        <f>IFERROR(__xludf.DUMMYFUNCTION("""COMPUTED_VALUE"""),"Módulo 1 concluído")</f>
        <v>Módulo 1 concluído</v>
      </c>
      <c r="F1255" s="1" t="str">
        <f>IFERROR(__xludf.DUMMYFUNCTION("""COMPUTED_VALUE"""),"034.933.240-14")</f>
        <v>034.933.240-14</v>
      </c>
      <c r="G1255" s="1">
        <f>IFERROR(__xludf.DUMMYFUNCTION("""COMPUTED_VALUE"""),2111469447)</f>
        <v>2111469447</v>
      </c>
      <c r="H1255" s="1" t="str">
        <f>IFERROR(__xludf.DUMMYFUNCTION("""COMPUTED_VALUE"""),"Combatente")</f>
        <v>Combatente</v>
      </c>
      <c r="I1255" s="1" t="str">
        <f>IFERROR(__xludf.DUMMYFUNCTION("""COMPUTED_VALUE"""),"CAB. APH, SBV, PRIMEIROS SOCORROS, TREINAMENTO CIVIL AUXILIAR DE BOMBEIRO, MONITOR EM SOBREVIVÊNCIA, RAPEL, CONDUTOR DE VEÍCULO DE EMERGÊNCIA, SUPERIOR EM LOGÍSTICA ")</f>
        <v>CAB. APH, SBV, PRIMEIROS SOCORROS, TREINAMENTO CIVIL AUXILIAR DE BOMBEIRO, MONITOR EM SOBREVIVÊNCIA, RAPEL, CONDUTOR DE VEÍCULO DE EMERGÊNCIA, SUPERIOR EM LOGÍSTICA </v>
      </c>
      <c r="J1255" s="1" t="str">
        <f>IFERROR(__xludf.DUMMYFUNCTION("""COMPUTED_VALUE"""),"Sim")</f>
        <v>Sim</v>
      </c>
      <c r="K1255" s="1" t="str">
        <f>IFERROR(__xludf.DUMMYFUNCTION("""COMPUTED_VALUE"""),"Não")</f>
        <v>Não</v>
      </c>
      <c r="L1255" s="1" t="str">
        <f>IFERROR(__xludf.DUMMYFUNCTION("""COMPUTED_VALUE"""),"AB+")</f>
        <v>AB+</v>
      </c>
      <c r="M1255" s="1" t="str">
        <f>IFERROR(__xludf.DUMMYFUNCTION("""COMPUTED_VALUE"""),"WILLIAN")</f>
        <v>WILLIAN</v>
      </c>
      <c r="N1255" s="120">
        <f>IFERROR(__xludf.DUMMYFUNCTION("""COMPUTED_VALUE"""),35093)</f>
        <v>35093</v>
      </c>
      <c r="O1255" s="1" t="str">
        <f>IFERROR(__xludf.DUMMYFUNCTION("""COMPUTED_VALUE"""),"Masculino")</f>
        <v>Masculino</v>
      </c>
      <c r="P1255" s="1" t="str">
        <f>IFERROR(__xludf.DUMMYFUNCTION("""COMPUTED_VALUE"""),"Branca")</f>
        <v>Branca</v>
      </c>
      <c r="Q1255" s="1" t="str">
        <f>IFERROR(__xludf.DUMMYFUNCTION("""COMPUTED_VALUE"""),"Ensino Superior Completo")</f>
        <v>Ensino Superior Completo</v>
      </c>
      <c r="R1255" s="1" t="str">
        <f>IFERROR(__xludf.DUMMYFUNCTION("""COMPUTED_VALUE"""),"willianwittr35@gmail.com")</f>
        <v>willianwittr35@gmail.com</v>
      </c>
      <c r="S1255" s="1" t="str">
        <f>IFERROR(__xludf.DUMMYFUNCTION("""COMPUTED_VALUE"""),"85 kg")</f>
        <v>85 kg</v>
      </c>
      <c r="T1255" s="1" t="str">
        <f>IFERROR(__xludf.DUMMYFUNCTION("""COMPUTED_VALUE"""),"Entre 1,66m e 1,70m")</f>
        <v>Entre 1,66m e 1,70m</v>
      </c>
      <c r="U1255" s="1"/>
      <c r="V1255" s="1" t="str">
        <f>IFERROR(__xludf.DUMMYFUNCTION("""COMPUTED_VALUE"""),"(55)99191-8556")</f>
        <v>(55)99191-8556</v>
      </c>
      <c r="W1255" s="1" t="str">
        <f>IFERROR(__xludf.DUMMYFUNCTION("""COMPUTED_VALUE"""),"(55)98441-5082")</f>
        <v>(55)98441-5082</v>
      </c>
      <c r="X1255" s="1" t="str">
        <f>IFERROR(__xludf.DUMMYFUNCTION("""COMPUTED_VALUE"""),"RS")</f>
        <v>RS</v>
      </c>
      <c r="Y1255" s="1" t="str">
        <f>IFERROR(__xludf.DUMMYFUNCTION("""COMPUTED_VALUE"""),"Cacequi")</f>
        <v>Cacequi</v>
      </c>
      <c r="Z1255" s="1" t="str">
        <f>IFERROR(__xludf.DUMMYFUNCTION("""COMPUTED_VALUE"""),"97450-000")</f>
        <v>97450-000</v>
      </c>
      <c r="AA1255" s="1" t="str">
        <f>IFERROR(__xludf.DUMMYFUNCTION("""COMPUTED_VALUE"""),"Pinheiro Machado, 254")</f>
        <v>Pinheiro Machado, 254</v>
      </c>
      <c r="AB1255" s="1" t="str">
        <f>IFERROR(__xludf.DUMMYFUNCTION("""COMPUTED_VALUE"""),"Povo Novo")</f>
        <v>Povo Novo</v>
      </c>
      <c r="AC1255" s="1" t="str">
        <f>IFERROR(__xludf.DUMMYFUNCTION("""COMPUTED_VALUE"""),"M")</f>
        <v>M</v>
      </c>
      <c r="AD1255" s="1" t="str">
        <f>IFERROR(__xludf.DUMMYFUNCTION("""COMPUTED_VALUE"""),"G")</f>
        <v>G</v>
      </c>
      <c r="AE1255" s="1" t="str">
        <f>IFERROR(__xludf.DUMMYFUNCTION("""COMPUTED_VALUE"""),"G")</f>
        <v>G</v>
      </c>
      <c r="AF1255" s="1" t="str">
        <f>IFERROR(__xludf.DUMMYFUNCTION("""COMPUTED_VALUE"""),"G")</f>
        <v>G</v>
      </c>
      <c r="AG1255" s="1" t="str">
        <f>IFERROR(__xludf.DUMMYFUNCTION("""COMPUTED_VALUE"""),"G")</f>
        <v>G</v>
      </c>
      <c r="AH1255" s="1">
        <f>IFERROR(__xludf.DUMMYFUNCTION("""COMPUTED_VALUE"""),39)</f>
        <v>39</v>
      </c>
      <c r="AI1255" s="1">
        <f>IFERROR(__xludf.DUMMYFUNCTION("""COMPUTED_VALUE"""),39)</f>
        <v>39</v>
      </c>
      <c r="AJ1255" s="1">
        <f>IFERROR(__xludf.DUMMYFUNCTION("""COMPUTED_VALUE"""),39)</f>
        <v>39</v>
      </c>
      <c r="AK1255" s="1">
        <f>IFERROR(__xludf.DUMMYFUNCTION("""COMPUTED_VALUE"""),39)</f>
        <v>39</v>
      </c>
      <c r="AL1255" s="1" t="str">
        <f>IFERROR(__xludf.DUMMYFUNCTION("""COMPUTED_VALUE"""),"G")</f>
        <v>G</v>
      </c>
      <c r="AM1255" s="1" t="str">
        <f>IFERROR(__xludf.DUMMYFUNCTION("""COMPUTED_VALUE"""),"G")</f>
        <v>G</v>
      </c>
      <c r="AN1255" s="1" t="str">
        <f>IFERROR(__xludf.DUMMYFUNCTION("""COMPUTED_VALUE"""),"M")</f>
        <v>M</v>
      </c>
    </row>
    <row r="1259" customHeight="1" spans="1:1">
      <c r="A1259" s="126"/>
    </row>
    <row r="1271" customHeight="1" spans="1:1">
      <c r="A1271" s="126"/>
    </row>
    <row r="1302" customHeight="1" spans="1:40">
      <c r="A1302" s="126" t="str">
        <f>IFERROR(__xludf.DUMMYFUNCTION("IMPORTRANGE(""1uCBYq_B1noXDnZ2hAWfjmyqidVGOrreR1eUpbj41kZg/edit?gid=516654854"",""11BBM!A2:AN"")"),"11° BBM")</f>
        <v>11° BBM</v>
      </c>
      <c r="B1302" s="1" t="str">
        <f>IFERROR(__xludf.DUMMYFUNCTION("""COMPUTED_VALUE"""),"Santo Cristo")</f>
        <v>Santo Cristo</v>
      </c>
      <c r="C1302" s="119" t="str">
        <f>IFERROR(__xludf.DUMMYFUNCTION("""COMPUTED_VALUE"""),"CAB")</f>
        <v>CAB</v>
      </c>
      <c r="D1302" s="1" t="str">
        <f>IFERROR(__xludf.DUMMYFUNCTION("""COMPUTED_VALUE"""),"ADAIR JOSÉ LAUXEN")</f>
        <v>ADAIR JOSÉ LAUXEN</v>
      </c>
      <c r="E1302" s="119" t="str">
        <f>IFERROR(__xludf.DUMMYFUNCTION("""COMPUTED_VALUE"""),"")</f>
        <v/>
      </c>
      <c r="F1302" s="1" t="str">
        <f>IFERROR(__xludf.DUMMYFUNCTION("""COMPUTED_VALUE"""),"006.140.300-80")</f>
        <v>006.140.300-80</v>
      </c>
      <c r="G1302" s="1">
        <f>IFERROR(__xludf.DUMMYFUNCTION("""COMPUTED_VALUE"""),9088753356)</f>
        <v>9088753356</v>
      </c>
      <c r="H1302" s="1" t="str">
        <f>IFERROR(__xludf.DUMMYFUNCTION("""COMPUTED_VALUE"""),"Combatente")</f>
        <v>Combatente</v>
      </c>
      <c r="I1302" s="1" t="str">
        <f>IFERROR(__xludf.DUMMYFUNCTION("""COMPUTED_VALUE"""),"Curso de APH, Curso de Resgate Terrestre e Técnicas de prevenção e combate a incêndios.")</f>
        <v>Curso de APH, Curso de Resgate Terrestre e Técnicas de prevenção e combate a incêndios.</v>
      </c>
      <c r="J1302" s="1" t="str">
        <f>IFERROR(__xludf.DUMMYFUNCTION("""COMPUTED_VALUE"""),"Sim")</f>
        <v>Sim</v>
      </c>
      <c r="K1302" s="1" t="str">
        <f>IFERROR(__xludf.DUMMYFUNCTION("""COMPUTED_VALUE"""),"Sim")</f>
        <v>Sim</v>
      </c>
      <c r="L1302" s="1" t="str">
        <f>IFERROR(__xludf.DUMMYFUNCTION("""COMPUTED_VALUE"""),"B+")</f>
        <v>B+</v>
      </c>
      <c r="M1302" s="1" t="str">
        <f>IFERROR(__xludf.DUMMYFUNCTION("""COMPUTED_VALUE"""),"CAB LAUXEN")</f>
        <v>CAB LAUXEN</v>
      </c>
      <c r="N1302" s="120">
        <f>IFERROR(__xludf.DUMMYFUNCTION("""COMPUTED_VALUE"""),31153)</f>
        <v>31153</v>
      </c>
      <c r="O1302" s="1" t="str">
        <f>IFERROR(__xludf.DUMMYFUNCTION("""COMPUTED_VALUE"""),"Masculino")</f>
        <v>Masculino</v>
      </c>
      <c r="P1302" s="1" t="str">
        <f>IFERROR(__xludf.DUMMYFUNCTION("""COMPUTED_VALUE"""),"Branca")</f>
        <v>Branca</v>
      </c>
      <c r="Q1302" s="1" t="str">
        <f>IFERROR(__xludf.DUMMYFUNCTION("""COMPUTED_VALUE"""),"Ensino Médio")</f>
        <v>Ensino Médio</v>
      </c>
      <c r="R1302" s="1" t="str">
        <f>IFERROR(__xludf.DUMMYFUNCTION("""COMPUTED_VALUE"""),"Adairjlauxen@hotmail.com")</f>
        <v>Adairjlauxen@hotmail.com</v>
      </c>
      <c r="S1302" s="1" t="str">
        <f>IFERROR(__xludf.DUMMYFUNCTION("""COMPUTED_VALUE"""),"80 Kg")</f>
        <v>80 Kg</v>
      </c>
      <c r="T1302" s="1" t="str">
        <f>IFERROR(__xludf.DUMMYFUNCTION("""COMPUTED_VALUE"""),"Entre 1,71m e 1,75m")</f>
        <v>Entre 1,71m e 1,75m</v>
      </c>
      <c r="U1302" s="1"/>
      <c r="V1302" s="1" t="str">
        <f>IFERROR(__xludf.DUMMYFUNCTION("""COMPUTED_VALUE"""),"55-996377937")</f>
        <v>55-996377937</v>
      </c>
      <c r="W1302" s="1"/>
      <c r="X1302" s="1" t="str">
        <f>IFERROR(__xludf.DUMMYFUNCTION("""COMPUTED_VALUE"""),"RS")</f>
        <v>RS</v>
      </c>
      <c r="Y1302" s="1" t="str">
        <f>IFERROR(__xludf.DUMMYFUNCTION("""COMPUTED_VALUE"""),"Santo Cristo")</f>
        <v>Santo Cristo</v>
      </c>
      <c r="Z1302" s="1" t="str">
        <f>IFERROR(__xludf.DUMMYFUNCTION("""COMPUTED_VALUE"""),"98960-000")</f>
        <v>98960-000</v>
      </c>
      <c r="AA1302" s="1" t="str">
        <f>IFERROR(__xludf.DUMMYFUNCTION("""COMPUTED_VALUE"""),"RUA OSCAR ANGST, 32")</f>
        <v>RUA OSCAR ANGST, 32</v>
      </c>
      <c r="AB1302" s="1" t="str">
        <f>IFERROR(__xludf.DUMMYFUNCTION("""COMPUTED_VALUE"""),"CENTRO")</f>
        <v>CENTRO</v>
      </c>
      <c r="AC1302" s="1" t="str">
        <f>IFERROR(__xludf.DUMMYFUNCTION("""COMPUTED_VALUE"""),"G")</f>
        <v>G</v>
      </c>
      <c r="AD1302" s="1" t="str">
        <f>IFERROR(__xludf.DUMMYFUNCTION("""COMPUTED_VALUE"""),"G")</f>
        <v>G</v>
      </c>
      <c r="AE1302" s="1" t="str">
        <f>IFERROR(__xludf.DUMMYFUNCTION("""COMPUTED_VALUE"""),"G")</f>
        <v>G</v>
      </c>
      <c r="AF1302" s="1" t="str">
        <f>IFERROR(__xludf.DUMMYFUNCTION("""COMPUTED_VALUE"""),"G")</f>
        <v>G</v>
      </c>
      <c r="AG1302" s="1" t="str">
        <f>IFERROR(__xludf.DUMMYFUNCTION("""COMPUTED_VALUE"""),"G")</f>
        <v>G</v>
      </c>
      <c r="AH1302" s="1">
        <f>IFERROR(__xludf.DUMMYFUNCTION("""COMPUTED_VALUE"""),39)</f>
        <v>39</v>
      </c>
      <c r="AI1302" s="1">
        <f>IFERROR(__xludf.DUMMYFUNCTION("""COMPUTED_VALUE"""),39)</f>
        <v>39</v>
      </c>
      <c r="AJ1302" s="1">
        <f>IFERROR(__xludf.DUMMYFUNCTION("""COMPUTED_VALUE"""),39)</f>
        <v>39</v>
      </c>
      <c r="AK1302" s="1">
        <f>IFERROR(__xludf.DUMMYFUNCTION("""COMPUTED_VALUE"""),39)</f>
        <v>39</v>
      </c>
      <c r="AL1302" s="1" t="str">
        <f>IFERROR(__xludf.DUMMYFUNCTION("""COMPUTED_VALUE"""),"G")</f>
        <v>G</v>
      </c>
      <c r="AM1302" s="1" t="str">
        <f>IFERROR(__xludf.DUMMYFUNCTION("""COMPUTED_VALUE"""),"G")</f>
        <v>G</v>
      </c>
      <c r="AN1302" s="1" t="str">
        <f>IFERROR(__xludf.DUMMYFUNCTION("""COMPUTED_VALUE"""),"G")</f>
        <v>G</v>
      </c>
    </row>
    <row r="1303" customHeight="1" spans="1:40">
      <c r="A1303" s="1" t="str">
        <f>IFERROR(__xludf.DUMMYFUNCTION("""COMPUTED_VALUE"""),"11° BBM")</f>
        <v>11° BBM</v>
      </c>
      <c r="B1303" s="1" t="str">
        <f>IFERROR(__xludf.DUMMYFUNCTION("""COMPUTED_VALUE"""),"Cerro Largo")</f>
        <v>Cerro Largo</v>
      </c>
      <c r="C1303" s="119" t="str">
        <f>IFERROR(__xludf.DUMMYFUNCTION("""COMPUTED_VALUE"""),"CAB")</f>
        <v>CAB</v>
      </c>
      <c r="D1303" s="1" t="str">
        <f>IFERROR(__xludf.DUMMYFUNCTION("""COMPUTED_VALUE"""),"ALAN HERTHER LEAL")</f>
        <v>ALAN HERTHER LEAL</v>
      </c>
      <c r="E1303" s="119" t="str">
        <f>IFERROR(__xludf.DUMMYFUNCTION("""COMPUTED_VALUE"""),"Módulo 1 concluído")</f>
        <v>Módulo 1 concluído</v>
      </c>
      <c r="F1303" s="1" t="str">
        <f>IFERROR(__xludf.DUMMYFUNCTION("""COMPUTED_VALUE"""),"030.936.080-31")</f>
        <v>030.936.080-31</v>
      </c>
      <c r="G1303" s="1">
        <f>IFERROR(__xludf.DUMMYFUNCTION("""COMPUTED_VALUE"""),1097771917)</f>
        <v>1097771917</v>
      </c>
      <c r="H1303" s="1" t="str">
        <f>IFERROR(__xludf.DUMMYFUNCTION("""COMPUTED_VALUE"""),"COMBATENTE")</f>
        <v>COMBATENTE</v>
      </c>
      <c r="I1303" s="1" t="str">
        <f>IFERROR(__xludf.DUMMYFUNCTION("""COMPUTED_VALUE"""),"Resgate em Altura, Técnicas de Prevenção e Combate a Incêndio, APH, TEC. SEGURANÇA DO TRABALHO")</f>
        <v>Resgate em Altura, Técnicas de Prevenção e Combate a Incêndio, APH, TEC. SEGURANÇA DO TRABALHO</v>
      </c>
      <c r="J1303" s="1" t="str">
        <f>IFERROR(__xludf.DUMMYFUNCTION("""COMPUTED_VALUE"""),"Sim")</f>
        <v>Sim</v>
      </c>
      <c r="K1303" s="1" t="str">
        <f>IFERROR(__xludf.DUMMYFUNCTION("""COMPUTED_VALUE"""),"Não")</f>
        <v>Não</v>
      </c>
      <c r="L1303" s="1" t="str">
        <f>IFERROR(__xludf.DUMMYFUNCTION("""COMPUTED_VALUE"""),"A+")</f>
        <v>A+</v>
      </c>
      <c r="M1303" s="1" t="str">
        <f>IFERROR(__xludf.DUMMYFUNCTION("""COMPUTED_VALUE"""),"CAB ALAN")</f>
        <v>CAB ALAN</v>
      </c>
      <c r="N1303" s="120">
        <f>IFERROR(__xludf.DUMMYFUNCTION("""COMPUTED_VALUE"""),33322)</f>
        <v>33322</v>
      </c>
      <c r="O1303" s="1" t="str">
        <f>IFERROR(__xludf.DUMMYFUNCTION("""COMPUTED_VALUE"""),"Masculino")</f>
        <v>Masculino</v>
      </c>
      <c r="P1303" s="1" t="str">
        <f>IFERROR(__xludf.DUMMYFUNCTION("""COMPUTED_VALUE"""),"Branca")</f>
        <v>Branca</v>
      </c>
      <c r="Q1303" s="1" t="str">
        <f>IFERROR(__xludf.DUMMYFUNCTION("""COMPUTED_VALUE"""),"Ensino Médio")</f>
        <v>Ensino Médio</v>
      </c>
      <c r="R1303" s="1" t="str">
        <f>IFERROR(__xludf.DUMMYFUNCTION("""COMPUTED_VALUE"""),"alanherther@hotmail.com")</f>
        <v>alanherther@hotmail.com</v>
      </c>
      <c r="S1303" s="1" t="str">
        <f>IFERROR(__xludf.DUMMYFUNCTION("""COMPUTED_VALUE"""),"79 kg")</f>
        <v>79 kg</v>
      </c>
      <c r="T1303" s="1" t="str">
        <f>IFERROR(__xludf.DUMMYFUNCTION("""COMPUTED_VALUE"""),"Entre 1,66m e 1,70m")</f>
        <v>Entre 1,66m e 1,70m</v>
      </c>
      <c r="U1303" s="1"/>
      <c r="V1303" s="1" t="str">
        <f>IFERROR(__xludf.DUMMYFUNCTION("""COMPUTED_VALUE"""),"(55) 996255457")</f>
        <v>(55) 996255457</v>
      </c>
      <c r="W1303" s="1"/>
      <c r="X1303" s="1" t="str">
        <f>IFERROR(__xludf.DUMMYFUNCTION("""COMPUTED_VALUE"""),"RS")</f>
        <v>RS</v>
      </c>
      <c r="Y1303" s="1" t="str">
        <f>IFERROR(__xludf.DUMMYFUNCTION("""COMPUTED_VALUE"""),"Cerro Largo")</f>
        <v>Cerro Largo</v>
      </c>
      <c r="Z1303" s="1" t="str">
        <f>IFERROR(__xludf.DUMMYFUNCTION("""COMPUTED_VALUE"""),"97900-000")</f>
        <v>97900-000</v>
      </c>
      <c r="AA1303" s="1" t="str">
        <f>IFERROR(__xludf.DUMMYFUNCTION("""COMPUTED_VALUE"""),"Rua Coronel Jorge Frantz, 1637")</f>
        <v>Rua Coronel Jorge Frantz, 1637</v>
      </c>
      <c r="AB1303" s="1" t="str">
        <f>IFERROR(__xludf.DUMMYFUNCTION("""COMPUTED_VALUE"""),"Centro")</f>
        <v>Centro</v>
      </c>
      <c r="AC1303" s="1" t="str">
        <f>IFERROR(__xludf.DUMMYFUNCTION("""COMPUTED_VALUE"""),"M")</f>
        <v>M</v>
      </c>
      <c r="AD1303" s="1" t="str">
        <f>IFERROR(__xludf.DUMMYFUNCTION("""COMPUTED_VALUE"""),"M")</f>
        <v>M</v>
      </c>
      <c r="AE1303" s="1" t="str">
        <f>IFERROR(__xludf.DUMMYFUNCTION("""COMPUTED_VALUE"""),"M")</f>
        <v>M</v>
      </c>
      <c r="AF1303" s="1" t="str">
        <f>IFERROR(__xludf.DUMMYFUNCTION("""COMPUTED_VALUE"""),"M")</f>
        <v>M</v>
      </c>
      <c r="AG1303" s="1" t="str">
        <f>IFERROR(__xludf.DUMMYFUNCTION("""COMPUTED_VALUE"""),"M")</f>
        <v>M</v>
      </c>
      <c r="AH1303" s="1">
        <f>IFERROR(__xludf.DUMMYFUNCTION("""COMPUTED_VALUE"""),40)</f>
        <v>40</v>
      </c>
      <c r="AI1303" s="1">
        <f>IFERROR(__xludf.DUMMYFUNCTION("""COMPUTED_VALUE"""),40)</f>
        <v>40</v>
      </c>
      <c r="AJ1303" s="1">
        <f>IFERROR(__xludf.DUMMYFUNCTION("""COMPUTED_VALUE"""),40)</f>
        <v>40</v>
      </c>
      <c r="AK1303" s="1">
        <f>IFERROR(__xludf.DUMMYFUNCTION("""COMPUTED_VALUE"""),40)</f>
        <v>40</v>
      </c>
      <c r="AL1303" s="1" t="str">
        <f>IFERROR(__xludf.DUMMYFUNCTION("""COMPUTED_VALUE"""),"M")</f>
        <v>M</v>
      </c>
      <c r="AM1303" s="1" t="str">
        <f>IFERROR(__xludf.DUMMYFUNCTION("""COMPUTED_VALUE"""),"M")</f>
        <v>M</v>
      </c>
      <c r="AN1303" s="1" t="str">
        <f>IFERROR(__xludf.DUMMYFUNCTION("""COMPUTED_VALUE"""),"M")</f>
        <v>M</v>
      </c>
    </row>
    <row r="1304" customHeight="1" spans="1:40">
      <c r="A1304" s="1" t="str">
        <f>IFERROR(__xludf.DUMMYFUNCTION("""COMPUTED_VALUE"""),"11° BBM")</f>
        <v>11° BBM</v>
      </c>
      <c r="B1304" s="1" t="str">
        <f>IFERROR(__xludf.DUMMYFUNCTION("""COMPUTED_VALUE"""),"Três de Maio")</f>
        <v>Três de Maio</v>
      </c>
      <c r="C1304" s="119" t="str">
        <f>IFERROR(__xludf.DUMMYFUNCTION("""COMPUTED_VALUE"""),"Comunitario")</f>
        <v>Comunitario</v>
      </c>
      <c r="D1304" s="1" t="str">
        <f>IFERROR(__xludf.DUMMYFUNCTION("""COMPUTED_VALUE"""),"ALENCAR JUNIOR PEIXOTO")</f>
        <v>ALENCAR JUNIOR PEIXOTO</v>
      </c>
      <c r="E1304" s="119" t="str">
        <f>IFERROR(__xludf.DUMMYFUNCTION("""COMPUTED_VALUE"""),"")</f>
        <v/>
      </c>
      <c r="F1304" s="1" t="str">
        <f>IFERROR(__xludf.DUMMYFUNCTION("""COMPUTED_VALUE"""),"024.705.360-06")</f>
        <v>024.705.360-06</v>
      </c>
      <c r="G1304" s="1">
        <f>IFERROR(__xludf.DUMMYFUNCTION("""COMPUTED_VALUE"""),9103214715)</f>
        <v>9103214715</v>
      </c>
      <c r="H1304" s="1" t="str">
        <f>IFERROR(__xludf.DUMMYFUNCTION("""COMPUTED_VALUE"""),"Combatente, Socorrista e Auxiliar. VOLUNTÁRIO")</f>
        <v>Combatente, Socorrista e Auxiliar. VOLUNTÁRIO</v>
      </c>
      <c r="I1304" s="1" t="str">
        <f>IFERROR(__xludf.DUMMYFUNCTION("""COMPUTED_VALUE"""),"Curso de Técnica e Tática de Combate a Incêndio NÍVEL 1 e NÍVEL 2, Condutor de Veículo de Emergência, Atendimento Pré Hospitalar e Suporte Básico de Vida.")</f>
        <v>Curso de Técnica e Tática de Combate a Incêndio NÍVEL 1 e NÍVEL 2, Condutor de Veículo de Emergência, Atendimento Pré Hospitalar e Suporte Básico de Vida.</v>
      </c>
      <c r="J1304" s="1" t="str">
        <f>IFERROR(__xludf.DUMMYFUNCTION("""COMPUTED_VALUE"""),"Sim")</f>
        <v>Sim</v>
      </c>
      <c r="K1304" s="1" t="str">
        <f>IFERROR(__xludf.DUMMYFUNCTION("""COMPUTED_VALUE"""),"Não")</f>
        <v>Não</v>
      </c>
      <c r="L1304" s="1" t="str">
        <f>IFERROR(__xludf.DUMMYFUNCTION("""COMPUTED_VALUE"""),"A+")</f>
        <v>A+</v>
      </c>
      <c r="M1304" s="1" t="str">
        <f>IFERROR(__xludf.DUMMYFUNCTION("""COMPUTED_VALUE"""),"ALENCAR")</f>
        <v>ALENCAR</v>
      </c>
      <c r="N1304" s="121">
        <f>IFERROR(__xludf.DUMMYFUNCTION("""COMPUTED_VALUE"""),33993)</f>
        <v>33993</v>
      </c>
      <c r="O1304" s="1" t="str">
        <f>IFERROR(__xludf.DUMMYFUNCTION("""COMPUTED_VALUE"""),"Masculino")</f>
        <v>Masculino</v>
      </c>
      <c r="P1304" s="1" t="str">
        <f>IFERROR(__xludf.DUMMYFUNCTION("""COMPUTED_VALUE"""),"Branca")</f>
        <v>Branca</v>
      </c>
      <c r="Q1304" s="1" t="str">
        <f>IFERROR(__xludf.DUMMYFUNCTION("""COMPUTED_VALUE"""),"Ensino Médio")</f>
        <v>Ensino Médio</v>
      </c>
      <c r="R1304" s="1" t="str">
        <f>IFERROR(__xludf.DUMMYFUNCTION("""COMPUTED_VALUE"""),"alencarpeixoto1234@gmail.com")</f>
        <v>alencarpeixoto1234@gmail.com</v>
      </c>
      <c r="S1304" s="1">
        <f>IFERROR(__xludf.DUMMYFUNCTION("""COMPUTED_VALUE"""),78)</f>
        <v>78</v>
      </c>
      <c r="T1304" s="1" t="str">
        <f>IFERROR(__xludf.DUMMYFUNCTION("""COMPUTED_VALUE"""),"Entre 1,76m e 1,80m")</f>
        <v>Entre 1,76m e 1,80m</v>
      </c>
      <c r="U1304" s="1"/>
      <c r="V1304" s="1">
        <f>IFERROR(__xludf.DUMMYFUNCTION("""COMPUTED_VALUE"""),55999883210)</f>
        <v>55999883210</v>
      </c>
      <c r="W1304" s="1">
        <f>IFERROR(__xludf.DUMMYFUNCTION("""COMPUTED_VALUE"""),55999174956)</f>
        <v>55999174956</v>
      </c>
      <c r="X1304" s="1" t="str">
        <f>IFERROR(__xludf.DUMMYFUNCTION("""COMPUTED_VALUE"""),"RIO GRANDE DO SUL")</f>
        <v>RIO GRANDE DO SUL</v>
      </c>
      <c r="Y1304" s="1" t="str">
        <f>IFERROR(__xludf.DUMMYFUNCTION("""COMPUTED_VALUE"""),"São Martinho")</f>
        <v>São Martinho</v>
      </c>
      <c r="Z1304" s="1">
        <f>IFERROR(__xludf.DUMMYFUNCTION("""COMPUTED_VALUE"""),98690000)</f>
        <v>98690000</v>
      </c>
      <c r="AA1304" s="1" t="str">
        <f>IFERROR(__xludf.DUMMYFUNCTION("""COMPUTED_VALUE"""),"RUA AFONSO KLEIN")</f>
        <v>RUA AFONSO KLEIN</v>
      </c>
      <c r="AB1304" s="1" t="str">
        <f>IFERROR(__xludf.DUMMYFUNCTION("""COMPUTED_VALUE"""),"CENTRO")</f>
        <v>CENTRO</v>
      </c>
      <c r="AC1304" s="1" t="str">
        <f>IFERROR(__xludf.DUMMYFUNCTION("""COMPUTED_VALUE"""),"M")</f>
        <v>M</v>
      </c>
      <c r="AD1304" s="1" t="str">
        <f>IFERROR(__xludf.DUMMYFUNCTION("""COMPUTED_VALUE"""),"M")</f>
        <v>M</v>
      </c>
      <c r="AE1304" s="1" t="str">
        <f>IFERROR(__xludf.DUMMYFUNCTION("""COMPUTED_VALUE"""),"M")</f>
        <v>M</v>
      </c>
      <c r="AF1304" s="1" t="str">
        <f>IFERROR(__xludf.DUMMYFUNCTION("""COMPUTED_VALUE"""),"M")</f>
        <v>M</v>
      </c>
      <c r="AG1304" s="1" t="str">
        <f>IFERROR(__xludf.DUMMYFUNCTION("""COMPUTED_VALUE"""),"M")</f>
        <v>M</v>
      </c>
      <c r="AH1304" s="1">
        <f>IFERROR(__xludf.DUMMYFUNCTION("""COMPUTED_VALUE"""),40)</f>
        <v>40</v>
      </c>
      <c r="AI1304" s="1">
        <f>IFERROR(__xludf.DUMMYFUNCTION("""COMPUTED_VALUE"""),40)</f>
        <v>40</v>
      </c>
      <c r="AJ1304" s="1">
        <f>IFERROR(__xludf.DUMMYFUNCTION("""COMPUTED_VALUE"""),40)</f>
        <v>40</v>
      </c>
      <c r="AK1304" s="1">
        <f>IFERROR(__xludf.DUMMYFUNCTION("""COMPUTED_VALUE"""),40)</f>
        <v>40</v>
      </c>
      <c r="AL1304" s="1" t="str">
        <f>IFERROR(__xludf.DUMMYFUNCTION("""COMPUTED_VALUE"""),"G")</f>
        <v>G</v>
      </c>
      <c r="AM1304" s="1" t="str">
        <f>IFERROR(__xludf.DUMMYFUNCTION("""COMPUTED_VALUE"""),"G")</f>
        <v>G</v>
      </c>
      <c r="AN1304" s="1" t="str">
        <f>IFERROR(__xludf.DUMMYFUNCTION("""COMPUTED_VALUE"""),"G")</f>
        <v>G</v>
      </c>
    </row>
    <row r="1305" customHeight="1" spans="1:40">
      <c r="A1305" s="1" t="str">
        <f>IFERROR(__xludf.DUMMYFUNCTION("""COMPUTED_VALUE"""),"11° BBM")</f>
        <v>11° BBM</v>
      </c>
      <c r="B1305" s="1" t="str">
        <f>IFERROR(__xludf.DUMMYFUNCTION("""COMPUTED_VALUE"""),"Santo Cristo")</f>
        <v>Santo Cristo</v>
      </c>
      <c r="C1305" s="119" t="str">
        <f>IFERROR(__xludf.DUMMYFUNCTION("""COMPUTED_VALUE"""),"CAB")</f>
        <v>CAB</v>
      </c>
      <c r="D1305" s="1" t="str">
        <f>IFERROR(__xludf.DUMMYFUNCTION("""COMPUTED_VALUE"""),"BENTO INÁCIO BOTH")</f>
        <v>BENTO INÁCIO BOTH</v>
      </c>
      <c r="E1305" s="119" t="str">
        <f>IFERROR(__xludf.DUMMYFUNCTION("""COMPUTED_VALUE"""),"")</f>
        <v/>
      </c>
      <c r="F1305" s="1" t="str">
        <f>IFERROR(__xludf.DUMMYFUNCTION("""COMPUTED_VALUE"""),"998.146.410-49")</f>
        <v>998.146.410-49</v>
      </c>
      <c r="G1305" s="1">
        <f>IFERROR(__xludf.DUMMYFUNCTION("""COMPUTED_VALUE"""),1073695189)</f>
        <v>1073695189</v>
      </c>
      <c r="H1305" s="1" t="str">
        <f>IFERROR(__xludf.DUMMYFUNCTION("""COMPUTED_VALUE"""),"Combatente")</f>
        <v>Combatente</v>
      </c>
      <c r="I1305" s="1" t="str">
        <f>IFERROR(__xludf.DUMMYFUNCTION("""COMPUTED_VALUE"""),"Resgate em Altura, Resgate Terrestre, Resgate Veicular, Técnicas de Prevenção e Combate a Incêndio")</f>
        <v>Resgate em Altura, Resgate Terrestre, Resgate Veicular, Técnicas de Prevenção e Combate a Incêndio</v>
      </c>
      <c r="J1305" s="1" t="str">
        <f>IFERROR(__xludf.DUMMYFUNCTION("""COMPUTED_VALUE"""),"Sim")</f>
        <v>Sim</v>
      </c>
      <c r="K1305" s="1" t="str">
        <f>IFERROR(__xludf.DUMMYFUNCTION("""COMPUTED_VALUE"""),"Sim")</f>
        <v>Sim</v>
      </c>
      <c r="L1305" s="1" t="str">
        <f>IFERROR(__xludf.DUMMYFUNCTION("""COMPUTED_VALUE"""),"A+")</f>
        <v>A+</v>
      </c>
      <c r="M1305" s="1" t="str">
        <f>IFERROR(__xludf.DUMMYFUNCTION("""COMPUTED_VALUE"""),"CAB BOTH")</f>
        <v>CAB BOTH</v>
      </c>
      <c r="N1305" s="120">
        <f>IFERROR(__xludf.DUMMYFUNCTION("""COMPUTED_VALUE"""),28161)</f>
        <v>28161</v>
      </c>
      <c r="O1305" s="1" t="str">
        <f>IFERROR(__xludf.DUMMYFUNCTION("""COMPUTED_VALUE"""),"Masculino")</f>
        <v>Masculino</v>
      </c>
      <c r="P1305" s="1" t="str">
        <f>IFERROR(__xludf.DUMMYFUNCTION("""COMPUTED_VALUE"""),"Branca")</f>
        <v>Branca</v>
      </c>
      <c r="Q1305" s="1" t="str">
        <f>IFERROR(__xludf.DUMMYFUNCTION("""COMPUTED_VALUE"""),"Ensino Médio")</f>
        <v>Ensino Médio</v>
      </c>
      <c r="R1305" s="1" t="str">
        <f>IFERROR(__xludf.DUMMYFUNCTION("""COMPUTED_VALUE"""),"bentoboth05@gmail.com")</f>
        <v>bentoboth05@gmail.com</v>
      </c>
      <c r="S1305" s="1" t="str">
        <f>IFERROR(__xludf.DUMMYFUNCTION("""COMPUTED_VALUE"""),"80 Kg")</f>
        <v>80 Kg</v>
      </c>
      <c r="T1305" s="1" t="str">
        <f>IFERROR(__xludf.DUMMYFUNCTION("""COMPUTED_VALUE"""),"Entre 1,76m e 1,80m")</f>
        <v>Entre 1,76m e 1,80m</v>
      </c>
      <c r="U1305" s="1"/>
      <c r="V1305" s="1" t="str">
        <f>IFERROR(__xludf.DUMMYFUNCTION("""COMPUTED_VALUE"""),"55-996967696")</f>
        <v>55-996967696</v>
      </c>
      <c r="W1305" s="1"/>
      <c r="X1305" s="1" t="str">
        <f>IFERROR(__xludf.DUMMYFUNCTION("""COMPUTED_VALUE"""),"RS")</f>
        <v>RS</v>
      </c>
      <c r="Y1305" s="1" t="str">
        <f>IFERROR(__xludf.DUMMYFUNCTION("""COMPUTED_VALUE"""),"Santo Cristo")</f>
        <v>Santo Cristo</v>
      </c>
      <c r="Z1305" s="1" t="str">
        <f>IFERROR(__xludf.DUMMYFUNCTION("""COMPUTED_VALUE"""),"98960-000")</f>
        <v>98960-000</v>
      </c>
      <c r="AA1305" s="1" t="str">
        <f>IFERROR(__xludf.DUMMYFUNCTION("""COMPUTED_VALUE"""),"RUA BENJAMIM CONSTAT, 11")</f>
        <v>RUA BENJAMIM CONSTAT, 11</v>
      </c>
      <c r="AB1305" s="1" t="str">
        <f>IFERROR(__xludf.DUMMYFUNCTION("""COMPUTED_VALUE"""),"BECO BURG")</f>
        <v>BECO BURG</v>
      </c>
      <c r="AC1305" s="1" t="str">
        <f>IFERROR(__xludf.DUMMYFUNCTION("""COMPUTED_VALUE"""),"G")</f>
        <v>G</v>
      </c>
      <c r="AD1305" s="1" t="str">
        <f>IFERROR(__xludf.DUMMYFUNCTION("""COMPUTED_VALUE"""),"G")</f>
        <v>G</v>
      </c>
      <c r="AE1305" s="1" t="str">
        <f>IFERROR(__xludf.DUMMYFUNCTION("""COMPUTED_VALUE"""),"G")</f>
        <v>G</v>
      </c>
      <c r="AF1305" s="1" t="str">
        <f>IFERROR(__xludf.DUMMYFUNCTION("""COMPUTED_VALUE"""),"G")</f>
        <v>G</v>
      </c>
      <c r="AG1305" s="1" t="str">
        <f>IFERROR(__xludf.DUMMYFUNCTION("""COMPUTED_VALUE"""),"G")</f>
        <v>G</v>
      </c>
      <c r="AH1305" s="1">
        <f>IFERROR(__xludf.DUMMYFUNCTION("""COMPUTED_VALUE"""),42)</f>
        <v>42</v>
      </c>
      <c r="AI1305" s="1">
        <f>IFERROR(__xludf.DUMMYFUNCTION("""COMPUTED_VALUE"""),42)</f>
        <v>42</v>
      </c>
      <c r="AJ1305" s="1">
        <f>IFERROR(__xludf.DUMMYFUNCTION("""COMPUTED_VALUE"""),42)</f>
        <v>42</v>
      </c>
      <c r="AK1305" s="1">
        <f>IFERROR(__xludf.DUMMYFUNCTION("""COMPUTED_VALUE"""),42)</f>
        <v>42</v>
      </c>
      <c r="AL1305" s="1" t="str">
        <f>IFERROR(__xludf.DUMMYFUNCTION("""COMPUTED_VALUE"""),"M")</f>
        <v>M</v>
      </c>
      <c r="AM1305" s="1" t="str">
        <f>IFERROR(__xludf.DUMMYFUNCTION("""COMPUTED_VALUE"""),"M")</f>
        <v>M</v>
      </c>
      <c r="AN1305" s="1" t="str">
        <f>IFERROR(__xludf.DUMMYFUNCTION("""COMPUTED_VALUE"""),"G")</f>
        <v>G</v>
      </c>
    </row>
    <row r="1306" customHeight="1" spans="1:40">
      <c r="A1306" s="1" t="str">
        <f>IFERROR(__xludf.DUMMYFUNCTION("""COMPUTED_VALUE"""),"11° BBM")</f>
        <v>11° BBM</v>
      </c>
      <c r="B1306" s="1" t="str">
        <f>IFERROR(__xludf.DUMMYFUNCTION("""COMPUTED_VALUE"""),"Três de Maio")</f>
        <v>Três de Maio</v>
      </c>
      <c r="C1306" s="119" t="str">
        <f>IFERROR(__xludf.DUMMYFUNCTION("""COMPUTED_VALUE"""),"Comunitario")</f>
        <v>Comunitario</v>
      </c>
      <c r="D1306" s="1" t="str">
        <f>IFERROR(__xludf.DUMMYFUNCTION("""COMPUTED_VALUE"""),"BERLI LEMOS")</f>
        <v>BERLI LEMOS</v>
      </c>
      <c r="E1306" s="119" t="str">
        <f>IFERROR(__xludf.DUMMYFUNCTION("""COMPUTED_VALUE"""),"")</f>
        <v/>
      </c>
      <c r="F1306" s="1" t="str">
        <f>IFERROR(__xludf.DUMMYFUNCTION("""COMPUTED_VALUE"""),"669.796.170-87")</f>
        <v>669.796.170-87</v>
      </c>
      <c r="G1306" s="1">
        <f>IFERROR(__xludf.DUMMYFUNCTION("""COMPUTED_VALUE"""),6052276299)</f>
        <v>6052276299</v>
      </c>
      <c r="H1306" s="1" t="str">
        <f>IFERROR(__xludf.DUMMYFUNCTION("""COMPUTED_VALUE"""),"Combatente, Socorrista e Auxiliar. VOLUNTÁRIO")</f>
        <v>Combatente, Socorrista e Auxiliar. VOLUNTÁRIO</v>
      </c>
      <c r="I1306" s="1" t="str">
        <f>IFERROR(__xludf.DUMMYFUNCTION("""COMPUTED_VALUE"""),"Curso de Técnica e Tática de Combate a Incêndio NÍVEL 1 e NÍVEL 2.")</f>
        <v>Curso de Técnica e Tática de Combate a Incêndio NÍVEL 1 e NÍVEL 2.</v>
      </c>
      <c r="J1306" s="1" t="str">
        <f>IFERROR(__xludf.DUMMYFUNCTION("""COMPUTED_VALUE"""),"Sim")</f>
        <v>Sim</v>
      </c>
      <c r="K1306" s="1" t="str">
        <f>IFERROR(__xludf.DUMMYFUNCTION("""COMPUTED_VALUE"""),"Não")</f>
        <v>Não</v>
      </c>
      <c r="L1306" s="1" t="str">
        <f>IFERROR(__xludf.DUMMYFUNCTION("""COMPUTED_VALUE"""),"O+")</f>
        <v>O+</v>
      </c>
      <c r="M1306" s="1" t="str">
        <f>IFERROR(__xludf.DUMMYFUNCTION("""COMPUTED_VALUE"""),"BERLI")</f>
        <v>BERLI</v>
      </c>
      <c r="N1306" s="120">
        <f>IFERROR(__xludf.DUMMYFUNCTION("""COMPUTED_VALUE"""),27280)</f>
        <v>27280</v>
      </c>
      <c r="O1306" s="1" t="str">
        <f>IFERROR(__xludf.DUMMYFUNCTION("""COMPUTED_VALUE"""),"Masculino")</f>
        <v>Masculino</v>
      </c>
      <c r="P1306" s="1" t="str">
        <f>IFERROR(__xludf.DUMMYFUNCTION("""COMPUTED_VALUE"""),"Parda")</f>
        <v>Parda</v>
      </c>
      <c r="Q1306" s="1" t="str">
        <f>IFERROR(__xludf.DUMMYFUNCTION("""COMPUTED_VALUE"""),"Ensino Médio")</f>
        <v>Ensino Médio</v>
      </c>
      <c r="R1306" s="1" t="str">
        <f>IFERROR(__xludf.DUMMYFUNCTION("""COMPUTED_VALUE"""),"berlilemos@gmail.com")</f>
        <v>berlilemos@gmail.com</v>
      </c>
      <c r="S1306" s="1">
        <f>IFERROR(__xludf.DUMMYFUNCTION("""COMPUTED_VALUE"""),77)</f>
        <v>77</v>
      </c>
      <c r="T1306" s="1" t="str">
        <f>IFERROR(__xludf.DUMMYFUNCTION("""COMPUTED_VALUE"""),"Entre 1,66m e 1,70m")</f>
        <v>Entre 1,66m e 1,70m</v>
      </c>
      <c r="U1306" s="1"/>
      <c r="V1306" s="1">
        <f>IFERROR(__xludf.DUMMYFUNCTION("""COMPUTED_VALUE"""),55999772071)</f>
        <v>55999772071</v>
      </c>
      <c r="W1306" s="1">
        <f>IFERROR(__xludf.DUMMYFUNCTION("""COMPUTED_VALUE"""),55999161843)</f>
        <v>55999161843</v>
      </c>
      <c r="X1306" s="1" t="str">
        <f>IFERROR(__xludf.DUMMYFUNCTION("""COMPUTED_VALUE"""),"RIO GRANDE DO SUL")</f>
        <v>RIO GRANDE DO SUL</v>
      </c>
      <c r="Y1306" s="1" t="str">
        <f>IFERROR(__xludf.DUMMYFUNCTION("""COMPUTED_VALUE"""),"Boa Vista do Buricá")</f>
        <v>Boa Vista do Buricá</v>
      </c>
      <c r="Z1306" s="1">
        <f>IFERROR(__xludf.DUMMYFUNCTION("""COMPUTED_VALUE"""),98918000)</f>
        <v>98918000</v>
      </c>
      <c r="AA1306" s="1" t="str">
        <f>IFERROR(__xludf.DUMMYFUNCTION("""COMPUTED_VALUE"""),"RUA GOIAS,70")</f>
        <v>RUA GOIAS,70</v>
      </c>
      <c r="AB1306" s="1" t="str">
        <f>IFERROR(__xludf.DUMMYFUNCTION("""COMPUTED_VALUE"""),"CENTRO")</f>
        <v>CENTRO</v>
      </c>
      <c r="AC1306" s="1" t="str">
        <f>IFERROR(__xludf.DUMMYFUNCTION("""COMPUTED_VALUE"""),"M")</f>
        <v>M</v>
      </c>
      <c r="AD1306" s="1" t="str">
        <f>IFERROR(__xludf.DUMMYFUNCTION("""COMPUTED_VALUE"""),"M")</f>
        <v>M</v>
      </c>
      <c r="AE1306" s="1" t="str">
        <f>IFERROR(__xludf.DUMMYFUNCTION("""COMPUTED_VALUE"""),"M")</f>
        <v>M</v>
      </c>
      <c r="AF1306" s="1" t="str">
        <f>IFERROR(__xludf.DUMMYFUNCTION("""COMPUTED_VALUE"""),"M")</f>
        <v>M</v>
      </c>
      <c r="AG1306" s="1" t="str">
        <f>IFERROR(__xludf.DUMMYFUNCTION("""COMPUTED_VALUE"""),"M")</f>
        <v>M</v>
      </c>
      <c r="AH1306" s="1">
        <f>IFERROR(__xludf.DUMMYFUNCTION("""COMPUTED_VALUE"""),39)</f>
        <v>39</v>
      </c>
      <c r="AI1306" s="1">
        <f>IFERROR(__xludf.DUMMYFUNCTION("""COMPUTED_VALUE"""),39)</f>
        <v>39</v>
      </c>
      <c r="AJ1306" s="1">
        <f>IFERROR(__xludf.DUMMYFUNCTION("""COMPUTED_VALUE"""),39)</f>
        <v>39</v>
      </c>
      <c r="AK1306" s="1">
        <f>IFERROR(__xludf.DUMMYFUNCTION("""COMPUTED_VALUE"""),39)</f>
        <v>39</v>
      </c>
      <c r="AL1306" s="1" t="str">
        <f>IFERROR(__xludf.DUMMYFUNCTION("""COMPUTED_VALUE"""),"M")</f>
        <v>M</v>
      </c>
      <c r="AM1306" s="1" t="str">
        <f>IFERROR(__xludf.DUMMYFUNCTION("""COMPUTED_VALUE"""),"M")</f>
        <v>M</v>
      </c>
      <c r="AN1306" s="1" t="str">
        <f>IFERROR(__xludf.DUMMYFUNCTION("""COMPUTED_VALUE"""),"M")</f>
        <v>M</v>
      </c>
    </row>
    <row r="1307" customHeight="1" spans="1:40">
      <c r="A1307" s="1" t="str">
        <f>IFERROR(__xludf.DUMMYFUNCTION("""COMPUTED_VALUE"""),"11° BBM")</f>
        <v>11° BBM</v>
      </c>
      <c r="B1307" s="1" t="str">
        <f>IFERROR(__xludf.DUMMYFUNCTION("""COMPUTED_VALUE"""),"Cerro Largo")</f>
        <v>Cerro Largo</v>
      </c>
      <c r="C1307" s="119" t="str">
        <f>IFERROR(__xludf.DUMMYFUNCTION("""COMPUTED_VALUE"""),"CAB")</f>
        <v>CAB</v>
      </c>
      <c r="D1307" s="1" t="str">
        <f>IFERROR(__xludf.DUMMYFUNCTION("""COMPUTED_VALUE"""),"BRUNO BORGES")</f>
        <v>BRUNO BORGES</v>
      </c>
      <c r="E1307" s="119" t="str">
        <f>IFERROR(__xludf.DUMMYFUNCTION("""COMPUTED_VALUE"""),"Módulo 1 concluído")</f>
        <v>Módulo 1 concluído</v>
      </c>
      <c r="F1307" s="1" t="str">
        <f>IFERROR(__xludf.DUMMYFUNCTION("""COMPUTED_VALUE"""),"018.887.860-27")</f>
        <v>018.887.860-27</v>
      </c>
      <c r="G1307" s="1">
        <f>IFERROR(__xludf.DUMMYFUNCTION("""COMPUTED_VALUE"""),2101485403)</f>
        <v>2101485403</v>
      </c>
      <c r="H1307" s="1" t="str">
        <f>IFERROR(__xludf.DUMMYFUNCTION("""COMPUTED_VALUE"""),"COMBATENTE")</f>
        <v>COMBATENTE</v>
      </c>
      <c r="I1307" s="1" t="str">
        <f>IFERROR(__xludf.DUMMYFUNCTION("""COMPUTED_VALUE"""),"Resgate Veicular, Resgate Terrestre, Curso de APH, Técnicas de Prevenção e Combate a Incêndio")</f>
        <v>Resgate Veicular, Resgate Terrestre, Curso de APH, Técnicas de Prevenção e Combate a Incêndio</v>
      </c>
      <c r="J1307" s="1" t="str">
        <f>IFERROR(__xludf.DUMMYFUNCTION("""COMPUTED_VALUE"""),"Sim")</f>
        <v>Sim</v>
      </c>
      <c r="K1307" s="1" t="str">
        <f>IFERROR(__xludf.DUMMYFUNCTION("""COMPUTED_VALUE"""),"Não")</f>
        <v>Não</v>
      </c>
      <c r="L1307" s="1" t="str">
        <f>IFERROR(__xludf.DUMMYFUNCTION("""COMPUTED_VALUE"""),"A+")</f>
        <v>A+</v>
      </c>
      <c r="M1307" s="1" t="str">
        <f>IFERROR(__xludf.DUMMYFUNCTION("""COMPUTED_VALUE"""),"CAB BRUNO")</f>
        <v>CAB BRUNO</v>
      </c>
      <c r="N1307" s="120">
        <f>IFERROR(__xludf.DUMMYFUNCTION("""COMPUTED_VALUE"""),33126)</f>
        <v>33126</v>
      </c>
      <c r="O1307" s="1" t="str">
        <f>IFERROR(__xludf.DUMMYFUNCTION("""COMPUTED_VALUE"""),"Masculino")</f>
        <v>Masculino</v>
      </c>
      <c r="P1307" s="1" t="str">
        <f>IFERROR(__xludf.DUMMYFUNCTION("""COMPUTED_VALUE"""),"Parda")</f>
        <v>Parda</v>
      </c>
      <c r="Q1307" s="1" t="str">
        <f>IFERROR(__xludf.DUMMYFUNCTION("""COMPUTED_VALUE"""),"Ensino Médio")</f>
        <v>Ensino Médio</v>
      </c>
      <c r="R1307" s="1" t="str">
        <f>IFERROR(__xludf.DUMMYFUNCTION("""COMPUTED_VALUE"""),"brunoborg736@gmail.com")</f>
        <v>brunoborg736@gmail.com</v>
      </c>
      <c r="S1307" s="1" t="str">
        <f>IFERROR(__xludf.DUMMYFUNCTION("""COMPUTED_VALUE"""),"67 Kg")</f>
        <v>67 Kg</v>
      </c>
      <c r="T1307" s="1" t="str">
        <f>IFERROR(__xludf.DUMMYFUNCTION("""COMPUTED_VALUE"""),"Entre 1,66m e 1,70m")</f>
        <v>Entre 1,66m e 1,70m</v>
      </c>
      <c r="U1307" s="1"/>
      <c r="V1307" s="1" t="str">
        <f>IFERROR(__xludf.DUMMYFUNCTION("""COMPUTED_VALUE"""),"(55) 991672466")</f>
        <v>(55) 991672466</v>
      </c>
      <c r="W1307" s="1" t="str">
        <f>IFERROR(__xludf.DUMMYFUNCTION("""COMPUTED_VALUE"""),"(55) 991672466")</f>
        <v>(55) 991672466</v>
      </c>
      <c r="X1307" s="1" t="str">
        <f>IFERROR(__xludf.DUMMYFUNCTION("""COMPUTED_VALUE"""),"RS")</f>
        <v>RS</v>
      </c>
      <c r="Y1307" s="1" t="str">
        <f>IFERROR(__xludf.DUMMYFUNCTION("""COMPUTED_VALUE"""),"Cerro Largo")</f>
        <v>Cerro Largo</v>
      </c>
      <c r="Z1307" s="1" t="str">
        <f>IFERROR(__xludf.DUMMYFUNCTION("""COMPUTED_VALUE"""),"97900-000")</f>
        <v>97900-000</v>
      </c>
      <c r="AA1307" s="1" t="str">
        <f>IFERROR(__xludf.DUMMYFUNCTION("""COMPUTED_VALUE"""),"Rua Felipe Eich, 581")</f>
        <v>Rua Felipe Eich, 581</v>
      </c>
      <c r="AB1307" s="1" t="str">
        <f>IFERROR(__xludf.DUMMYFUNCTION("""COMPUTED_VALUE"""),"Brasília")</f>
        <v>Brasília</v>
      </c>
      <c r="AC1307" s="1" t="str">
        <f>IFERROR(__xludf.DUMMYFUNCTION("""COMPUTED_VALUE"""),"M")</f>
        <v>M</v>
      </c>
      <c r="AD1307" s="1" t="str">
        <f>IFERROR(__xludf.DUMMYFUNCTION("""COMPUTED_VALUE"""),"M")</f>
        <v>M</v>
      </c>
      <c r="AE1307" s="1" t="str">
        <f>IFERROR(__xludf.DUMMYFUNCTION("""COMPUTED_VALUE"""),"M")</f>
        <v>M</v>
      </c>
      <c r="AF1307" s="1" t="str">
        <f>IFERROR(__xludf.DUMMYFUNCTION("""COMPUTED_VALUE"""),"M")</f>
        <v>M</v>
      </c>
      <c r="AG1307" s="1" t="str">
        <f>IFERROR(__xludf.DUMMYFUNCTION("""COMPUTED_VALUE"""),"G")</f>
        <v>G</v>
      </c>
      <c r="AH1307" s="1">
        <f>IFERROR(__xludf.DUMMYFUNCTION("""COMPUTED_VALUE"""),38)</f>
        <v>38</v>
      </c>
      <c r="AI1307" s="1">
        <f>IFERROR(__xludf.DUMMYFUNCTION("""COMPUTED_VALUE"""),38)</f>
        <v>38</v>
      </c>
      <c r="AJ1307" s="1">
        <f>IFERROR(__xludf.DUMMYFUNCTION("""COMPUTED_VALUE"""),38)</f>
        <v>38</v>
      </c>
      <c r="AK1307" s="1">
        <f>IFERROR(__xludf.DUMMYFUNCTION("""COMPUTED_VALUE"""),39)</f>
        <v>39</v>
      </c>
      <c r="AL1307" s="1" t="str">
        <f>IFERROR(__xludf.DUMMYFUNCTION("""COMPUTED_VALUE"""),"M")</f>
        <v>M</v>
      </c>
      <c r="AM1307" s="1" t="str">
        <f>IFERROR(__xludf.DUMMYFUNCTION("""COMPUTED_VALUE"""),"M")</f>
        <v>M</v>
      </c>
      <c r="AN1307" s="1" t="str">
        <f>IFERROR(__xludf.DUMMYFUNCTION("""COMPUTED_VALUE"""),"M")</f>
        <v>M</v>
      </c>
    </row>
    <row r="1308" customHeight="1" spans="1:40">
      <c r="A1308" s="1" t="str">
        <f>IFERROR(__xludf.DUMMYFUNCTION("""COMPUTED_VALUE"""),"11° BBM")</f>
        <v>11° BBM</v>
      </c>
      <c r="B1308" s="1" t="str">
        <f>IFERROR(__xludf.DUMMYFUNCTION("""COMPUTED_VALUE"""),"Três de Maio")</f>
        <v>Três de Maio</v>
      </c>
      <c r="C1308" s="119" t="str">
        <f>IFERROR(__xludf.DUMMYFUNCTION("""COMPUTED_VALUE"""),"Comunitario")</f>
        <v>Comunitario</v>
      </c>
      <c r="D1308" s="1" t="str">
        <f>IFERROR(__xludf.DUMMYFUNCTION("""COMPUTED_VALUE"""),"CARLOS JULIANO GIRARDI")</f>
        <v>CARLOS JULIANO GIRARDI</v>
      </c>
      <c r="E1308" s="119" t="str">
        <f>IFERROR(__xludf.DUMMYFUNCTION("""COMPUTED_VALUE"""),"")</f>
        <v/>
      </c>
      <c r="F1308" s="1" t="str">
        <f>IFERROR(__xludf.DUMMYFUNCTION("""COMPUTED_VALUE"""),"002.513.080-30")</f>
        <v>002.513.080-30</v>
      </c>
      <c r="G1308" s="1">
        <f>IFERROR(__xludf.DUMMYFUNCTION("""COMPUTED_VALUE"""),3075520027)</f>
        <v>3075520027</v>
      </c>
      <c r="H1308" s="1" t="str">
        <f>IFERROR(__xludf.DUMMYFUNCTION("""COMPUTED_VALUE"""),"Combatente, Socorrista e Auxiliar. VOLUNTÁRIO")</f>
        <v>Combatente, Socorrista e Auxiliar. VOLUNTÁRIO</v>
      </c>
      <c r="I1308" s="1" t="str">
        <f>IFERROR(__xludf.DUMMYFUNCTION("""COMPUTED_VALUE"""),"Curso de Técnica e Tática de Combate a Incêndio NÍVEL 1.")</f>
        <v>Curso de Técnica e Tática de Combate a Incêndio NÍVEL 1.</v>
      </c>
      <c r="J1308" s="1" t="str">
        <f>IFERROR(__xludf.DUMMYFUNCTION("""COMPUTED_VALUE"""),"Sim")</f>
        <v>Sim</v>
      </c>
      <c r="K1308" s="1" t="str">
        <f>IFERROR(__xludf.DUMMYFUNCTION("""COMPUTED_VALUE"""),"Não")</f>
        <v>Não</v>
      </c>
      <c r="L1308" s="1" t="str">
        <f>IFERROR(__xludf.DUMMYFUNCTION("""COMPUTED_VALUE"""),"B+")</f>
        <v>B+</v>
      </c>
      <c r="M1308" s="1" t="str">
        <f>IFERROR(__xludf.DUMMYFUNCTION("""COMPUTED_VALUE"""),"GIRARDI")</f>
        <v>GIRARDI</v>
      </c>
      <c r="N1308" s="120">
        <f>IFERROR(__xludf.DUMMYFUNCTION("""COMPUTED_VALUE"""),30421)</f>
        <v>30421</v>
      </c>
      <c r="O1308" s="1" t="str">
        <f>IFERROR(__xludf.DUMMYFUNCTION("""COMPUTED_VALUE"""),"Masculino")</f>
        <v>Masculino</v>
      </c>
      <c r="P1308" s="1" t="str">
        <f>IFERROR(__xludf.DUMMYFUNCTION("""COMPUTED_VALUE"""),"Branca")</f>
        <v>Branca</v>
      </c>
      <c r="Q1308" s="1" t="str">
        <f>IFERROR(__xludf.DUMMYFUNCTION("""COMPUTED_VALUE"""),"Ensino Médio")</f>
        <v>Ensino Médio</v>
      </c>
      <c r="R1308" s="1" t="str">
        <f>IFERROR(__xludf.DUMMYFUNCTION("""COMPUTED_VALUE"""),"juliogirardi22@gmail.com")</f>
        <v>juliogirardi22@gmail.com</v>
      </c>
      <c r="S1308" s="1">
        <f>IFERROR(__xludf.DUMMYFUNCTION("""COMPUTED_VALUE"""),74)</f>
        <v>74</v>
      </c>
      <c r="T1308" s="1" t="str">
        <f>IFERROR(__xludf.DUMMYFUNCTION("""COMPUTED_VALUE"""),"Entre 1,71m e 1,75m")</f>
        <v>Entre 1,71m e 1,75m</v>
      </c>
      <c r="U1308" s="1"/>
      <c r="V1308" s="1">
        <f>IFERROR(__xludf.DUMMYFUNCTION("""COMPUTED_VALUE"""),55999564974)</f>
        <v>55999564974</v>
      </c>
      <c r="W1308" s="1">
        <f>IFERROR(__xludf.DUMMYFUNCTION("""COMPUTED_VALUE"""),55996166622)</f>
        <v>55996166622</v>
      </c>
      <c r="X1308" s="1" t="str">
        <f>IFERROR(__xludf.DUMMYFUNCTION("""COMPUTED_VALUE"""),"RIO GRANDE DO SUL")</f>
        <v>RIO GRANDE DO SUL</v>
      </c>
      <c r="Y1308" s="1" t="str">
        <f>IFERROR(__xludf.DUMMYFUNCTION("""COMPUTED_VALUE"""),"Três de Maio")</f>
        <v>Três de Maio</v>
      </c>
      <c r="Z1308" s="1">
        <f>IFERROR(__xludf.DUMMYFUNCTION("""COMPUTED_VALUE"""),98910000)</f>
        <v>98910000</v>
      </c>
      <c r="AA1308" s="1" t="str">
        <f>IFERROR(__xludf.DUMMYFUNCTION("""COMPUTED_VALUE"""),"RUA GUILHERME HIRSCH, 42")</f>
        <v>RUA GUILHERME HIRSCH, 42</v>
      </c>
      <c r="AB1308" s="1" t="str">
        <f>IFERROR(__xludf.DUMMYFUNCTION("""COMPUTED_VALUE"""),"ORIENTAL")</f>
        <v>ORIENTAL</v>
      </c>
      <c r="AC1308" s="1" t="str">
        <f>IFERROR(__xludf.DUMMYFUNCTION("""COMPUTED_VALUE"""),"G")</f>
        <v>G</v>
      </c>
      <c r="AD1308" s="1" t="str">
        <f>IFERROR(__xludf.DUMMYFUNCTION("""COMPUTED_VALUE"""),"G")</f>
        <v>G</v>
      </c>
      <c r="AE1308" s="1" t="str">
        <f>IFERROR(__xludf.DUMMYFUNCTION("""COMPUTED_VALUE"""),"G")</f>
        <v>G</v>
      </c>
      <c r="AF1308" s="1" t="str">
        <f>IFERROR(__xludf.DUMMYFUNCTION("""COMPUTED_VALUE"""),"G")</f>
        <v>G</v>
      </c>
      <c r="AG1308" s="1" t="str">
        <f>IFERROR(__xludf.DUMMYFUNCTION("""COMPUTED_VALUE"""),"G")</f>
        <v>G</v>
      </c>
      <c r="AH1308" s="1">
        <f>IFERROR(__xludf.DUMMYFUNCTION("""COMPUTED_VALUE"""),42)</f>
        <v>42</v>
      </c>
      <c r="AI1308" s="1">
        <f>IFERROR(__xludf.DUMMYFUNCTION("""COMPUTED_VALUE"""),42)</f>
        <v>42</v>
      </c>
      <c r="AJ1308" s="1">
        <f>IFERROR(__xludf.DUMMYFUNCTION("""COMPUTED_VALUE"""),42)</f>
        <v>42</v>
      </c>
      <c r="AK1308" s="1">
        <f>IFERROR(__xludf.DUMMYFUNCTION("""COMPUTED_VALUE"""),43)</f>
        <v>43</v>
      </c>
      <c r="AL1308" s="1" t="str">
        <f>IFERROR(__xludf.DUMMYFUNCTION("""COMPUTED_VALUE"""),"G")</f>
        <v>G</v>
      </c>
      <c r="AM1308" s="1" t="str">
        <f>IFERROR(__xludf.DUMMYFUNCTION("""COMPUTED_VALUE"""),"G")</f>
        <v>G</v>
      </c>
      <c r="AN1308" s="1" t="str">
        <f>IFERROR(__xludf.DUMMYFUNCTION("""COMPUTED_VALUE"""),"G")</f>
        <v>G</v>
      </c>
    </row>
    <row r="1309" customHeight="1" spans="1:40">
      <c r="A1309" s="1" t="str">
        <f>IFERROR(__xludf.DUMMYFUNCTION("""COMPUTED_VALUE"""),"11° BBM")</f>
        <v>11° BBM</v>
      </c>
      <c r="B1309" s="1" t="str">
        <f>IFERROR(__xludf.DUMMYFUNCTION("""COMPUTED_VALUE"""),"Santo Cristo")</f>
        <v>Santo Cristo</v>
      </c>
      <c r="C1309" s="119" t="str">
        <f>IFERROR(__xludf.DUMMYFUNCTION("""COMPUTED_VALUE"""),"CAB")</f>
        <v>CAB</v>
      </c>
      <c r="D1309" s="1" t="str">
        <f>IFERROR(__xludf.DUMMYFUNCTION("""COMPUTED_VALUE"""),"CELSO JOSÉ FINGER")</f>
        <v>CELSO JOSÉ FINGER</v>
      </c>
      <c r="E1309" s="119" t="str">
        <f>IFERROR(__xludf.DUMMYFUNCTION("""COMPUTED_VALUE"""),"")</f>
        <v/>
      </c>
      <c r="F1309" s="1" t="str">
        <f>IFERROR(__xludf.DUMMYFUNCTION("""COMPUTED_VALUE"""),"989.387.890-04")</f>
        <v>989.387.890-04</v>
      </c>
      <c r="G1309" s="1">
        <f>IFERROR(__xludf.DUMMYFUNCTION("""COMPUTED_VALUE"""),2063605758)</f>
        <v>2063605758</v>
      </c>
      <c r="H1309" s="1" t="str">
        <f>IFERROR(__xludf.DUMMYFUNCTION("""COMPUTED_VALUE"""),"Combatente")</f>
        <v>Combatente</v>
      </c>
      <c r="I1309" s="1" t="str">
        <f>IFERROR(__xludf.DUMMYFUNCTION("""COMPUTED_VALUE"""),"Resgate em Altura, Resgate Terrestre, Resgate Veicular, Técnicas de Prevenção e Combate a Incêndio")</f>
        <v>Resgate em Altura, Resgate Terrestre, Resgate Veicular, Técnicas de Prevenção e Combate a Incêndio</v>
      </c>
      <c r="J1309" s="1" t="str">
        <f>IFERROR(__xludf.DUMMYFUNCTION("""COMPUTED_VALUE"""),"Sim")</f>
        <v>Sim</v>
      </c>
      <c r="K1309" s="1" t="str">
        <f>IFERROR(__xludf.DUMMYFUNCTION("""COMPUTED_VALUE"""),"Sim")</f>
        <v>Sim</v>
      </c>
      <c r="L1309" s="1" t="str">
        <f>IFERROR(__xludf.DUMMYFUNCTION("""COMPUTED_VALUE"""),"B+")</f>
        <v>B+</v>
      </c>
      <c r="M1309" s="1" t="str">
        <f>IFERROR(__xludf.DUMMYFUNCTION("""COMPUTED_VALUE"""),"CAB FINGER")</f>
        <v>CAB FINGER</v>
      </c>
      <c r="N1309" s="120">
        <f>IFERROR(__xludf.DUMMYFUNCTION("""COMPUTED_VALUE"""),28999)</f>
        <v>28999</v>
      </c>
      <c r="O1309" s="1" t="str">
        <f>IFERROR(__xludf.DUMMYFUNCTION("""COMPUTED_VALUE"""),"Masculino")</f>
        <v>Masculino</v>
      </c>
      <c r="P1309" s="1" t="str">
        <f>IFERROR(__xludf.DUMMYFUNCTION("""COMPUTED_VALUE"""),"Branca")</f>
        <v>Branca</v>
      </c>
      <c r="Q1309" s="1" t="str">
        <f>IFERROR(__xludf.DUMMYFUNCTION("""COMPUTED_VALUE"""),"Ensino Médio")</f>
        <v>Ensino Médio</v>
      </c>
      <c r="R1309" s="1" t="str">
        <f>IFERROR(__xludf.DUMMYFUNCTION("""COMPUTED_VALUE"""),"celsojconterra@gmail.com")</f>
        <v>celsojconterra@gmail.com</v>
      </c>
      <c r="S1309" s="1" t="str">
        <f>IFERROR(__xludf.DUMMYFUNCTION("""COMPUTED_VALUE"""),"93 Kg")</f>
        <v>93 Kg</v>
      </c>
      <c r="T1309" s="1" t="str">
        <f>IFERROR(__xludf.DUMMYFUNCTION("""COMPUTED_VALUE"""),"Entre 1,86m e 1,90m")</f>
        <v>Entre 1,86m e 1,90m</v>
      </c>
      <c r="U1309" s="1"/>
      <c r="V1309" s="1" t="str">
        <f>IFERROR(__xludf.DUMMYFUNCTION("""COMPUTED_VALUE"""),"55-996874164")</f>
        <v>55-996874164</v>
      </c>
      <c r="W1309" s="1"/>
      <c r="X1309" s="1" t="str">
        <f>IFERROR(__xludf.DUMMYFUNCTION("""COMPUTED_VALUE"""),"RS")</f>
        <v>RS</v>
      </c>
      <c r="Y1309" s="1" t="str">
        <f>IFERROR(__xludf.DUMMYFUNCTION("""COMPUTED_VALUE"""),"Santo Cristo")</f>
        <v>Santo Cristo</v>
      </c>
      <c r="Z1309" s="1" t="str">
        <f>IFERROR(__xludf.DUMMYFUNCTION("""COMPUTED_VALUE"""),"98960-000")</f>
        <v>98960-000</v>
      </c>
      <c r="AA1309" s="1" t="str">
        <f>IFERROR(__xludf.DUMMYFUNCTION("""COMPUTED_VALUE"""),"LINHA VENUS")</f>
        <v>LINHA VENUS</v>
      </c>
      <c r="AB1309" s="1" t="str">
        <f>IFERROR(__xludf.DUMMYFUNCTION("""COMPUTED_VALUE"""),"LINAH VENUS")</f>
        <v>LINAH VENUS</v>
      </c>
      <c r="AC1309" s="1" t="str">
        <f>IFERROR(__xludf.DUMMYFUNCTION("""COMPUTED_VALUE"""),"G")</f>
        <v>G</v>
      </c>
      <c r="AD1309" s="1" t="str">
        <f>IFERROR(__xludf.DUMMYFUNCTION("""COMPUTED_VALUE"""),"G")</f>
        <v>G</v>
      </c>
      <c r="AE1309" s="1" t="str">
        <f>IFERROR(__xludf.DUMMYFUNCTION("""COMPUTED_VALUE"""),"G")</f>
        <v>G</v>
      </c>
      <c r="AF1309" s="1" t="str">
        <f>IFERROR(__xludf.DUMMYFUNCTION("""COMPUTED_VALUE"""),"G")</f>
        <v>G</v>
      </c>
      <c r="AG1309" s="1" t="str">
        <f>IFERROR(__xludf.DUMMYFUNCTION("""COMPUTED_VALUE"""),"G")</f>
        <v>G</v>
      </c>
      <c r="AH1309" s="1">
        <f>IFERROR(__xludf.DUMMYFUNCTION("""COMPUTED_VALUE"""),45)</f>
        <v>45</v>
      </c>
      <c r="AI1309" s="1">
        <f>IFERROR(__xludf.DUMMYFUNCTION("""COMPUTED_VALUE"""),45)</f>
        <v>45</v>
      </c>
      <c r="AJ1309" s="1">
        <f>IFERROR(__xludf.DUMMYFUNCTION("""COMPUTED_VALUE"""),45)</f>
        <v>45</v>
      </c>
      <c r="AK1309" s="1">
        <f>IFERROR(__xludf.DUMMYFUNCTION("""COMPUTED_VALUE"""),45)</f>
        <v>45</v>
      </c>
      <c r="AL1309" s="1" t="str">
        <f>IFERROR(__xludf.DUMMYFUNCTION("""COMPUTED_VALUE"""),"M")</f>
        <v>M</v>
      </c>
      <c r="AM1309" s="1" t="str">
        <f>IFERROR(__xludf.DUMMYFUNCTION("""COMPUTED_VALUE"""),"M")</f>
        <v>M</v>
      </c>
      <c r="AN1309" s="1" t="str">
        <f>IFERROR(__xludf.DUMMYFUNCTION("""COMPUTED_VALUE"""),"G")</f>
        <v>G</v>
      </c>
    </row>
    <row r="1310" customHeight="1" spans="1:40">
      <c r="A1310" s="1" t="str">
        <f>IFERROR(__xludf.DUMMYFUNCTION("""COMPUTED_VALUE"""),"11° BBM")</f>
        <v>11° BBM</v>
      </c>
      <c r="B1310" s="1" t="str">
        <f>IFERROR(__xludf.DUMMYFUNCTION("""COMPUTED_VALUE"""),"Três de Maio")</f>
        <v>Três de Maio</v>
      </c>
      <c r="C1310" s="119" t="str">
        <f>IFERROR(__xludf.DUMMYFUNCTION("""COMPUTED_VALUE"""),"Comunitario")</f>
        <v>Comunitario</v>
      </c>
      <c r="D1310" s="1" t="str">
        <f>IFERROR(__xludf.DUMMYFUNCTION("""COMPUTED_VALUE"""),"CEZAR JAIR LUDWIG ZIMMERMANN")</f>
        <v>CEZAR JAIR LUDWIG ZIMMERMANN</v>
      </c>
      <c r="E1310" s="119"/>
      <c r="F1310" s="1" t="str">
        <f>IFERROR(__xludf.DUMMYFUNCTION("""COMPUTED_VALUE"""),"712.995.210-53")</f>
        <v>712.995.210-53</v>
      </c>
      <c r="G1310" s="1">
        <f>IFERROR(__xludf.DUMMYFUNCTION("""COMPUTED_VALUE"""),1051634358)</f>
        <v>1051634358</v>
      </c>
      <c r="H1310" s="1" t="str">
        <f>IFERROR(__xludf.DUMMYFUNCTION("""COMPUTED_VALUE"""),"Motorista, Combatente, Socorrista e Auxiliar. SERVIDOR MUNICIPAL")</f>
        <v>Motorista, Combatente, Socorrista e Auxiliar. SERVIDOR MUNICIPAL</v>
      </c>
      <c r="I1310" s="1" t="str">
        <f>IFERROR(__xludf.DUMMYFUNCTION("""COMPUTED_VALUE"""),"Curso de Técnica e Tática de Combate a Incêndio NÍVEL 1 e NÍVEL 2, Emergencista Pré Hospitalar, Condutor de Veículos de Emergência e Seminário de Prevenção Contra Incêndio.")</f>
        <v>Curso de Técnica e Tática de Combate a Incêndio NÍVEL 1 e NÍVEL 2, Emergencista Pré Hospitalar, Condutor de Veículos de Emergência e Seminário de Prevenção Contra Incêndio.</v>
      </c>
      <c r="J1310" s="1" t="str">
        <f>IFERROR(__xludf.DUMMYFUNCTION("""COMPUTED_VALUE"""),"Sim")</f>
        <v>Sim</v>
      </c>
      <c r="K1310" s="1" t="str">
        <f>IFERROR(__xludf.DUMMYFUNCTION("""COMPUTED_VALUE"""),"Não")</f>
        <v>Não</v>
      </c>
      <c r="L1310" s="1" t="str">
        <f>IFERROR(__xludf.DUMMYFUNCTION("""COMPUTED_VALUE"""),"A+")</f>
        <v>A+</v>
      </c>
      <c r="M1310" s="1" t="str">
        <f>IFERROR(__xludf.DUMMYFUNCTION("""COMPUTED_VALUE"""),"CEZAR")</f>
        <v>CEZAR</v>
      </c>
      <c r="N1310" s="120">
        <f>IFERROR(__xludf.DUMMYFUNCTION("""COMPUTED_VALUE"""),26187)</f>
        <v>26187</v>
      </c>
      <c r="O1310" s="1" t="str">
        <f>IFERROR(__xludf.DUMMYFUNCTION("""COMPUTED_VALUE"""),"Masculino")</f>
        <v>Masculino</v>
      </c>
      <c r="P1310" s="1" t="str">
        <f>IFERROR(__xludf.DUMMYFUNCTION("""COMPUTED_VALUE"""),"Branca")</f>
        <v>Branca</v>
      </c>
      <c r="Q1310" s="1" t="str">
        <f>IFERROR(__xludf.DUMMYFUNCTION("""COMPUTED_VALUE"""),"Ensino Médio")</f>
        <v>Ensino Médio</v>
      </c>
      <c r="R1310" s="1" t="str">
        <f>IFERROR(__xludf.DUMMYFUNCTION("""COMPUTED_VALUE"""),"cezarzimmann@yahoo.com.br")</f>
        <v>cezarzimmann@yahoo.com.br</v>
      </c>
      <c r="S1310" s="1">
        <f>IFERROR(__xludf.DUMMYFUNCTION("""COMPUTED_VALUE"""),78)</f>
        <v>78</v>
      </c>
      <c r="T1310" s="1" t="str">
        <f>IFERROR(__xludf.DUMMYFUNCTION("""COMPUTED_VALUE"""),"Entre 1,66m e 1,70m")</f>
        <v>Entre 1,66m e 1,70m</v>
      </c>
      <c r="U1310" s="1"/>
      <c r="V1310" s="1">
        <f>IFERROR(__xludf.DUMMYFUNCTION("""COMPUTED_VALUE"""),55999536458)</f>
        <v>55999536458</v>
      </c>
      <c r="W1310" s="1">
        <f>IFERROR(__xludf.DUMMYFUNCTION("""COMPUTED_VALUE"""),55996299249)</f>
        <v>55996299249</v>
      </c>
      <c r="X1310" s="1" t="str">
        <f>IFERROR(__xludf.DUMMYFUNCTION("""COMPUTED_VALUE"""),"RIO GRANDE DO SUL")</f>
        <v>RIO GRANDE DO SUL</v>
      </c>
      <c r="Y1310" s="1" t="str">
        <f>IFERROR(__xludf.DUMMYFUNCTION("""COMPUTED_VALUE"""),"Três de Maio")</f>
        <v>Três de Maio</v>
      </c>
      <c r="Z1310" s="1">
        <f>IFERROR(__xludf.DUMMYFUNCTION("""COMPUTED_VALUE"""),98910000)</f>
        <v>98910000</v>
      </c>
      <c r="AA1310" s="1" t="str">
        <f>IFERROR(__xludf.DUMMYFUNCTION("""COMPUTED_VALUE"""),"RUA ALFREDO MENSCH, 651")</f>
        <v>RUA ALFREDO MENSCH, 651</v>
      </c>
      <c r="AB1310" s="1" t="str">
        <f>IFERROR(__xludf.DUMMYFUNCTION("""COMPUTED_VALUE"""),"JARDIM DAS ACACIAS")</f>
        <v>JARDIM DAS ACACIAS</v>
      </c>
      <c r="AC1310" s="1" t="str">
        <f>IFERROR(__xludf.DUMMYFUNCTION("""COMPUTED_VALUE"""),"G")</f>
        <v>G</v>
      </c>
      <c r="AD1310" s="1" t="str">
        <f>IFERROR(__xludf.DUMMYFUNCTION("""COMPUTED_VALUE"""),"G")</f>
        <v>G</v>
      </c>
      <c r="AE1310" s="1" t="str">
        <f>IFERROR(__xludf.DUMMYFUNCTION("""COMPUTED_VALUE"""),"G")</f>
        <v>G</v>
      </c>
      <c r="AF1310" s="1" t="str">
        <f>IFERROR(__xludf.DUMMYFUNCTION("""COMPUTED_VALUE"""),"G")</f>
        <v>G</v>
      </c>
      <c r="AG1310" s="1" t="str">
        <f>IFERROR(__xludf.DUMMYFUNCTION("""COMPUTED_VALUE"""),"G")</f>
        <v>G</v>
      </c>
      <c r="AH1310" s="1">
        <f>IFERROR(__xludf.DUMMYFUNCTION("""COMPUTED_VALUE"""),42)</f>
        <v>42</v>
      </c>
      <c r="AI1310" s="1">
        <f>IFERROR(__xludf.DUMMYFUNCTION("""COMPUTED_VALUE"""),42)</f>
        <v>42</v>
      </c>
      <c r="AJ1310" s="1">
        <f>IFERROR(__xludf.DUMMYFUNCTION("""COMPUTED_VALUE"""),42)</f>
        <v>42</v>
      </c>
      <c r="AK1310" s="1">
        <f>IFERROR(__xludf.DUMMYFUNCTION("""COMPUTED_VALUE"""),42)</f>
        <v>42</v>
      </c>
      <c r="AL1310" s="1" t="str">
        <f>IFERROR(__xludf.DUMMYFUNCTION("""COMPUTED_VALUE"""),"G")</f>
        <v>G</v>
      </c>
      <c r="AM1310" s="1" t="str">
        <f>IFERROR(__xludf.DUMMYFUNCTION("""COMPUTED_VALUE"""),"G")</f>
        <v>G</v>
      </c>
      <c r="AN1310" s="1" t="str">
        <f>IFERROR(__xludf.DUMMYFUNCTION("""COMPUTED_VALUE"""),"G")</f>
        <v>G</v>
      </c>
    </row>
    <row r="1311" customHeight="1" spans="1:40">
      <c r="A1311" s="1" t="str">
        <f>IFERROR(__xludf.DUMMYFUNCTION("""COMPUTED_VALUE"""),"11° BBM")</f>
        <v>11° BBM</v>
      </c>
      <c r="B1311" s="1" t="str">
        <f>IFERROR(__xludf.DUMMYFUNCTION("""COMPUTED_VALUE"""),"Cerro Largo")</f>
        <v>Cerro Largo</v>
      </c>
      <c r="C1311" s="119" t="str">
        <f>IFERROR(__xludf.DUMMYFUNCTION("""COMPUTED_VALUE"""),"CAB")</f>
        <v>CAB</v>
      </c>
      <c r="D1311" s="1" t="str">
        <f>IFERROR(__xludf.DUMMYFUNCTION("""COMPUTED_VALUE"""),"CLEBER ORTIZ MELO")</f>
        <v>CLEBER ORTIZ MELO</v>
      </c>
      <c r="E1311" s="119" t="str">
        <f>IFERROR(__xludf.DUMMYFUNCTION("""COMPUTED_VALUE"""),"")</f>
        <v/>
      </c>
      <c r="F1311" s="1" t="str">
        <f>IFERROR(__xludf.DUMMYFUNCTION("""COMPUTED_VALUE"""),"025.986.170-70")</f>
        <v>025.986.170-70</v>
      </c>
      <c r="G1311" s="1">
        <f>IFERROR(__xludf.DUMMYFUNCTION("""COMPUTED_VALUE"""),4101773895)</f>
        <v>4101773895</v>
      </c>
      <c r="H1311" s="1" t="str">
        <f>IFERROR(__xludf.DUMMYFUNCTION("""COMPUTED_VALUE"""),"MOTORISTA / COMBATENTECOV")</f>
        <v>MOTORISTA / COMBATENTECOV</v>
      </c>
      <c r="I1311" s="1" t="str">
        <f>IFERROR(__xludf.DUMMYFUNCTION("""COMPUTED_VALUE"""),"Resgate Veicular,Resgate Terrestre, Curso de APH, CNH D")</f>
        <v>Resgate Veicular,Resgate Terrestre, Curso de APH, CNH D</v>
      </c>
      <c r="J1311" s="1" t="str">
        <f>IFERROR(__xludf.DUMMYFUNCTION("""COMPUTED_VALUE"""),"Não")</f>
        <v>Não</v>
      </c>
      <c r="K1311" s="1" t="str">
        <f>IFERROR(__xludf.DUMMYFUNCTION("""COMPUTED_VALUE"""),"Sim")</f>
        <v>Sim</v>
      </c>
      <c r="L1311" s="1" t="str">
        <f>IFERROR(__xludf.DUMMYFUNCTION("""COMPUTED_VALUE"""),"A-")</f>
        <v>A-</v>
      </c>
      <c r="M1311" s="1" t="str">
        <f>IFERROR(__xludf.DUMMYFUNCTION("""COMPUTED_VALUE"""),"CAB CLEBER")</f>
        <v>CAB CLEBER</v>
      </c>
      <c r="N1311" s="120">
        <f>IFERROR(__xludf.DUMMYFUNCTION("""COMPUTED_VALUE"""),32658)</f>
        <v>32658</v>
      </c>
      <c r="O1311" s="1" t="str">
        <f>IFERROR(__xludf.DUMMYFUNCTION("""COMPUTED_VALUE"""),"Masculino")</f>
        <v>Masculino</v>
      </c>
      <c r="P1311" s="1" t="str">
        <f>IFERROR(__xludf.DUMMYFUNCTION("""COMPUTED_VALUE"""),"Branca")</f>
        <v>Branca</v>
      </c>
      <c r="Q1311" s="1" t="str">
        <f>IFERROR(__xludf.DUMMYFUNCTION("""COMPUTED_VALUE"""),"Ensino Médio")</f>
        <v>Ensino Médio</v>
      </c>
      <c r="R1311" s="1" t="str">
        <f>IFERROR(__xludf.DUMMYFUNCTION("""COMPUTED_VALUE"""),"cleberomelo@hotmail.com")</f>
        <v>cleberomelo@hotmail.com</v>
      </c>
      <c r="S1311" s="1" t="str">
        <f>IFERROR(__xludf.DUMMYFUNCTION("""COMPUTED_VALUE"""),"85 Kg")</f>
        <v>85 Kg</v>
      </c>
      <c r="T1311" s="1" t="str">
        <f>IFERROR(__xludf.DUMMYFUNCTION("""COMPUTED_VALUE"""),"Entre 1,71m e 1,75m")</f>
        <v>Entre 1,71m e 1,75m</v>
      </c>
      <c r="U1311" s="1"/>
      <c r="V1311" s="1" t="str">
        <f>IFERROR(__xludf.DUMMYFUNCTION("""COMPUTED_VALUE"""),"(55) 99704-7339")</f>
        <v>(55) 99704-7339</v>
      </c>
      <c r="W1311" s="1"/>
      <c r="X1311" s="1" t="str">
        <f>IFERROR(__xludf.DUMMYFUNCTION("""COMPUTED_VALUE"""),"RS")</f>
        <v>RS</v>
      </c>
      <c r="Y1311" s="1" t="str">
        <f>IFERROR(__xludf.DUMMYFUNCTION("""COMPUTED_VALUE"""),"Cerro Largo")</f>
        <v>Cerro Largo</v>
      </c>
      <c r="Z1311" s="1" t="str">
        <f>IFERROR(__xludf.DUMMYFUNCTION("""COMPUTED_VALUE"""),"97900-000")</f>
        <v>97900-000</v>
      </c>
      <c r="AA1311" s="1" t="str">
        <f>IFERROR(__xludf.DUMMYFUNCTION("""COMPUTED_VALUE"""),"Rua Bonifácio Lopes Camões, 780")</f>
        <v>Rua Bonifácio Lopes Camões, 780</v>
      </c>
      <c r="AB1311" s="1" t="str">
        <f>IFERROR(__xludf.DUMMYFUNCTION("""COMPUTED_VALUE"""),"Esquina Gaúcha")</f>
        <v>Esquina Gaúcha</v>
      </c>
      <c r="AC1311" s="1" t="str">
        <f>IFERROR(__xludf.DUMMYFUNCTION("""COMPUTED_VALUE"""),"G")</f>
        <v>G</v>
      </c>
      <c r="AD1311" s="1" t="str">
        <f>IFERROR(__xludf.DUMMYFUNCTION("""COMPUTED_VALUE"""),"G")</f>
        <v>G</v>
      </c>
      <c r="AE1311" s="1" t="str">
        <f>IFERROR(__xludf.DUMMYFUNCTION("""COMPUTED_VALUE"""),"G")</f>
        <v>G</v>
      </c>
      <c r="AF1311" s="1" t="str">
        <f>IFERROR(__xludf.DUMMYFUNCTION("""COMPUTED_VALUE"""),"G")</f>
        <v>G</v>
      </c>
      <c r="AG1311" s="1" t="str">
        <f>IFERROR(__xludf.DUMMYFUNCTION("""COMPUTED_VALUE"""),"GG")</f>
        <v>GG</v>
      </c>
      <c r="AH1311" s="1">
        <f>IFERROR(__xludf.DUMMYFUNCTION("""COMPUTED_VALUE"""),38)</f>
        <v>38</v>
      </c>
      <c r="AI1311" s="1">
        <f>IFERROR(__xludf.DUMMYFUNCTION("""COMPUTED_VALUE"""),38)</f>
        <v>38</v>
      </c>
      <c r="AJ1311" s="1">
        <f>IFERROR(__xludf.DUMMYFUNCTION("""COMPUTED_VALUE"""),38)</f>
        <v>38</v>
      </c>
      <c r="AK1311" s="1">
        <f>IFERROR(__xludf.DUMMYFUNCTION("""COMPUTED_VALUE"""),38)</f>
        <v>38</v>
      </c>
      <c r="AL1311" s="1" t="str">
        <f>IFERROR(__xludf.DUMMYFUNCTION("""COMPUTED_VALUE"""),"G")</f>
        <v>G</v>
      </c>
      <c r="AM1311" s="1" t="str">
        <f>IFERROR(__xludf.DUMMYFUNCTION("""COMPUTED_VALUE"""),"G")</f>
        <v>G</v>
      </c>
      <c r="AN1311" s="1" t="str">
        <f>IFERROR(__xludf.DUMMYFUNCTION("""COMPUTED_VALUE"""),"G")</f>
        <v>G</v>
      </c>
    </row>
    <row r="1312" customHeight="1" spans="1:40">
      <c r="A1312" s="1" t="str">
        <f>IFERROR(__xludf.DUMMYFUNCTION("""COMPUTED_VALUE"""),"11° BBM")</f>
        <v>11° BBM</v>
      </c>
      <c r="B1312" s="1" t="str">
        <f>IFERROR(__xludf.DUMMYFUNCTION("""COMPUTED_VALUE"""),"Cerro Largo")</f>
        <v>Cerro Largo</v>
      </c>
      <c r="C1312" s="119" t="str">
        <f>IFERROR(__xludf.DUMMYFUNCTION("""COMPUTED_VALUE"""),"CAB")</f>
        <v>CAB</v>
      </c>
      <c r="D1312" s="1" t="str">
        <f>IFERROR(__xludf.DUMMYFUNCTION("""COMPUTED_VALUE"""),"CRISTINA NERES NOGUEIRA")</f>
        <v>CRISTINA NERES NOGUEIRA</v>
      </c>
      <c r="E1312" s="119" t="str">
        <f>IFERROR(__xludf.DUMMYFUNCTION("""COMPUTED_VALUE"""),"")</f>
        <v/>
      </c>
      <c r="F1312" s="1" t="str">
        <f>IFERROR(__xludf.DUMMYFUNCTION("""COMPUTED_VALUE"""),"322.312.648-11")</f>
        <v>322.312.648-11</v>
      </c>
      <c r="G1312" s="1">
        <f>IFERROR(__xludf.DUMMYFUNCTION("""COMPUTED_VALUE"""),6615807)</f>
        <v>6615807</v>
      </c>
      <c r="H1312" s="1" t="str">
        <f>IFERROR(__xludf.DUMMYFUNCTION("""COMPUTED_VALUE"""),"COMBATENTE/SOCORRISTA")</f>
        <v>COMBATENTE/SOCORRISTA</v>
      </c>
      <c r="I1312" s="1" t="str">
        <f>IFERROR(__xludf.DUMMYFUNCTION("""COMPUTED_VALUE"""),"Resgate Terrestre, Curso de APH")</f>
        <v>Resgate Terrestre, Curso de APH</v>
      </c>
      <c r="J1312" s="1" t="str">
        <f>IFERROR(__xludf.DUMMYFUNCTION("""COMPUTED_VALUE"""),"Não")</f>
        <v>Não</v>
      </c>
      <c r="K1312" s="1" t="str">
        <f>IFERROR(__xludf.DUMMYFUNCTION("""COMPUTED_VALUE"""),"Não")</f>
        <v>Não</v>
      </c>
      <c r="L1312" s="1" t="str">
        <f>IFERROR(__xludf.DUMMYFUNCTION("""COMPUTED_VALUE"""),"O+")</f>
        <v>O+</v>
      </c>
      <c r="M1312" s="1" t="str">
        <f>IFERROR(__xludf.DUMMYFUNCTION("""COMPUTED_VALUE"""),"CAB CRISTINA")</f>
        <v>CAB CRISTINA</v>
      </c>
      <c r="N1312" s="120">
        <f>IFERROR(__xludf.DUMMYFUNCTION("""COMPUTED_VALUE"""),30451)</f>
        <v>30451</v>
      </c>
      <c r="O1312" s="1" t="str">
        <f>IFERROR(__xludf.DUMMYFUNCTION("""COMPUTED_VALUE"""),"Feminino")</f>
        <v>Feminino</v>
      </c>
      <c r="P1312" s="1" t="str">
        <f>IFERROR(__xludf.DUMMYFUNCTION("""COMPUTED_VALUE"""),"Morena")</f>
        <v>Morena</v>
      </c>
      <c r="Q1312" s="1" t="str">
        <f>IFERROR(__xludf.DUMMYFUNCTION("""COMPUTED_VALUE"""),"Ensino Superior Incompleto")</f>
        <v>Ensino Superior Incompleto</v>
      </c>
      <c r="R1312" s="1" t="str">
        <f>IFERROR(__xludf.DUMMYFUNCTION("""COMPUTED_VALUE"""),"cris32.neres@gmail.com")</f>
        <v>cris32.neres@gmail.com</v>
      </c>
      <c r="S1312" s="1" t="str">
        <f>IFERROR(__xludf.DUMMYFUNCTION("""COMPUTED_VALUE"""),"68 Kg")</f>
        <v>68 Kg</v>
      </c>
      <c r="T1312" s="1" t="str">
        <f>IFERROR(__xludf.DUMMYFUNCTION("""COMPUTED_VALUE"""),"Entre 1,61m e 1,65m")</f>
        <v>Entre 1,61m e 1,65m</v>
      </c>
      <c r="U1312" s="1"/>
      <c r="V1312" s="1" t="str">
        <f>IFERROR(__xludf.DUMMYFUNCTION("""COMPUTED_VALUE"""),"55 98110-7919")</f>
        <v>55 98110-7919</v>
      </c>
      <c r="W1312" s="1"/>
      <c r="X1312" s="1" t="str">
        <f>IFERROR(__xludf.DUMMYFUNCTION("""COMPUTED_VALUE"""),"RS")</f>
        <v>RS</v>
      </c>
      <c r="Y1312" s="1" t="str">
        <f>IFERROR(__xludf.DUMMYFUNCTION("""COMPUTED_VALUE"""),"Cerro Largo")</f>
        <v>Cerro Largo</v>
      </c>
      <c r="Z1312" s="1" t="str">
        <f>IFERROR(__xludf.DUMMYFUNCTION("""COMPUTED_VALUE"""),"97900-000")</f>
        <v>97900-000</v>
      </c>
      <c r="AA1312" s="1" t="str">
        <f>IFERROR(__xludf.DUMMYFUNCTION("""COMPUTED_VALUE"""),"Rua João Batista Jung, 192")</f>
        <v>Rua João Batista Jung, 192</v>
      </c>
      <c r="AB1312" s="1" t="str">
        <f>IFERROR(__xludf.DUMMYFUNCTION("""COMPUTED_VALUE"""),"Centro")</f>
        <v>Centro</v>
      </c>
      <c r="AC1312" s="1" t="str">
        <f>IFERROR(__xludf.DUMMYFUNCTION("""COMPUTED_VALUE"""),"M")</f>
        <v>M</v>
      </c>
      <c r="AD1312" s="1" t="str">
        <f>IFERROR(__xludf.DUMMYFUNCTION("""COMPUTED_VALUE"""),"G")</f>
        <v>G</v>
      </c>
      <c r="AE1312" s="1" t="str">
        <f>IFERROR(__xludf.DUMMYFUNCTION("""COMPUTED_VALUE"""),"G")</f>
        <v>G</v>
      </c>
      <c r="AF1312" s="1" t="str">
        <f>IFERROR(__xludf.DUMMYFUNCTION("""COMPUTED_VALUE"""),"G")</f>
        <v>G</v>
      </c>
      <c r="AG1312" s="1" t="str">
        <f>IFERROR(__xludf.DUMMYFUNCTION("""COMPUTED_VALUE"""),"P")</f>
        <v>P</v>
      </c>
      <c r="AH1312" s="1">
        <f>IFERROR(__xludf.DUMMYFUNCTION("""COMPUTED_VALUE"""),37)</f>
        <v>37</v>
      </c>
      <c r="AI1312" s="1">
        <f>IFERROR(__xludf.DUMMYFUNCTION("""COMPUTED_VALUE"""),37)</f>
        <v>37</v>
      </c>
      <c r="AJ1312" s="1">
        <f>IFERROR(__xludf.DUMMYFUNCTION("""COMPUTED_VALUE"""),37)</f>
        <v>37</v>
      </c>
      <c r="AK1312" s="1">
        <f>IFERROR(__xludf.DUMMYFUNCTION("""COMPUTED_VALUE"""),37)</f>
        <v>37</v>
      </c>
      <c r="AL1312" s="1" t="str">
        <f>IFERROR(__xludf.DUMMYFUNCTION("""COMPUTED_VALUE"""),"GG")</f>
        <v>GG</v>
      </c>
      <c r="AM1312" s="1" t="str">
        <f>IFERROR(__xludf.DUMMYFUNCTION("""COMPUTED_VALUE"""),"G")</f>
        <v>G</v>
      </c>
      <c r="AN1312" s="1" t="str">
        <f>IFERROR(__xludf.DUMMYFUNCTION("""COMPUTED_VALUE"""),"G")</f>
        <v>G</v>
      </c>
    </row>
    <row r="1313" customHeight="1" spans="1:40">
      <c r="A1313" s="1" t="str">
        <f>IFERROR(__xludf.DUMMYFUNCTION("""COMPUTED_VALUE"""),"11° BBM")</f>
        <v>11° BBM</v>
      </c>
      <c r="B1313" s="1" t="str">
        <f>IFERROR(__xludf.DUMMYFUNCTION("""COMPUTED_VALUE"""),"Três de Maio")</f>
        <v>Três de Maio</v>
      </c>
      <c r="C1313" s="119" t="str">
        <f>IFERROR(__xludf.DUMMYFUNCTION("""COMPUTED_VALUE"""),"Comunitario")</f>
        <v>Comunitario</v>
      </c>
      <c r="D1313" s="1" t="str">
        <f>IFERROR(__xludf.DUMMYFUNCTION("""COMPUTED_VALUE"""),"DANILO PITROWSKI")</f>
        <v>DANILO PITROWSKI</v>
      </c>
      <c r="E1313" s="119"/>
      <c r="F1313" s="1" t="str">
        <f>IFERROR(__xludf.DUMMYFUNCTION("""COMPUTED_VALUE"""),"020.612.570-46")</f>
        <v>020.612.570-46</v>
      </c>
      <c r="G1313" s="1">
        <f>IFERROR(__xludf.DUMMYFUNCTION("""COMPUTED_VALUE"""),2091405627)</f>
        <v>2091405627</v>
      </c>
      <c r="H1313" s="1" t="str">
        <f>IFERROR(__xludf.DUMMYFUNCTION("""COMPUTED_VALUE"""),"Combatente, Socorrista e Auxiliar. VOLUNTÁRIO")</f>
        <v>Combatente, Socorrista e Auxiliar. VOLUNTÁRIO</v>
      </c>
      <c r="I1313" s="1" t="str">
        <f>IFERROR(__xludf.DUMMYFUNCTION("""COMPUTED_VALUE"""),"Curso de Técnica e Tática de Combate a Incêndio NÍVEL 1, Treinamento de Prevenção e Combate a Incêndios para Risco Pequeno e Médio.")</f>
        <v>Curso de Técnica e Tática de Combate a Incêndio NÍVEL 1, Treinamento de Prevenção e Combate a Incêndios para Risco Pequeno e Médio.</v>
      </c>
      <c r="J1313" s="1" t="str">
        <f>IFERROR(__xludf.DUMMYFUNCTION("""COMPUTED_VALUE"""),"Sim")</f>
        <v>Sim</v>
      </c>
      <c r="K1313" s="1" t="str">
        <f>IFERROR(__xludf.DUMMYFUNCTION("""COMPUTED_VALUE"""),"Não")</f>
        <v>Não</v>
      </c>
      <c r="L1313" s="1" t="str">
        <f>IFERROR(__xludf.DUMMYFUNCTION("""COMPUTED_VALUE"""),"B+")</f>
        <v>B+</v>
      </c>
      <c r="M1313" s="1" t="str">
        <f>IFERROR(__xludf.DUMMYFUNCTION("""COMPUTED_VALUE"""),"PITROWSKI")</f>
        <v>PITROWSKI</v>
      </c>
      <c r="N1313" s="120">
        <f>IFERROR(__xludf.DUMMYFUNCTION("""COMPUTED_VALUE"""),32540)</f>
        <v>32540</v>
      </c>
      <c r="O1313" s="1" t="str">
        <f>IFERROR(__xludf.DUMMYFUNCTION("""COMPUTED_VALUE"""),"Masculino")</f>
        <v>Masculino</v>
      </c>
      <c r="P1313" s="1" t="str">
        <f>IFERROR(__xludf.DUMMYFUNCTION("""COMPUTED_VALUE"""),"Parda")</f>
        <v>Parda</v>
      </c>
      <c r="Q1313" s="1" t="str">
        <f>IFERROR(__xludf.DUMMYFUNCTION("""COMPUTED_VALUE"""),"Ensino Médio")</f>
        <v>Ensino Médio</v>
      </c>
      <c r="R1313" s="1" t="str">
        <f>IFERROR(__xludf.DUMMYFUNCTION("""COMPUTED_VALUE"""),"danilopitrowski89@gmai.com")</f>
        <v>danilopitrowski89@gmai.com</v>
      </c>
      <c r="S1313" s="1">
        <f>IFERROR(__xludf.DUMMYFUNCTION("""COMPUTED_VALUE"""),72)</f>
        <v>72</v>
      </c>
      <c r="T1313" s="1" t="str">
        <f>IFERROR(__xludf.DUMMYFUNCTION("""COMPUTED_VALUE"""),"Entre 1,61m e 1,65m")</f>
        <v>Entre 1,61m e 1,65m</v>
      </c>
      <c r="U1313" s="1"/>
      <c r="V1313" s="1">
        <f>IFERROR(__xludf.DUMMYFUNCTION("""COMPUTED_VALUE"""),55999071604)</f>
        <v>55999071604</v>
      </c>
      <c r="W1313" s="1">
        <f>IFERROR(__xludf.DUMMYFUNCTION("""COMPUTED_VALUE"""),55999202360)</f>
        <v>55999202360</v>
      </c>
      <c r="X1313" s="1" t="str">
        <f>IFERROR(__xludf.DUMMYFUNCTION("""COMPUTED_VALUE"""),"RIO GRANDE DO SUL")</f>
        <v>RIO GRANDE DO SUL</v>
      </c>
      <c r="Y1313" s="1" t="str">
        <f>IFERROR(__xludf.DUMMYFUNCTION("""COMPUTED_VALUE"""),"Três de Maio")</f>
        <v>Três de Maio</v>
      </c>
      <c r="Z1313" s="1">
        <f>IFERROR(__xludf.DUMMYFUNCTION("""COMPUTED_VALUE"""),98910000)</f>
        <v>98910000</v>
      </c>
      <c r="AA1313" s="1" t="str">
        <f>IFERROR(__xludf.DUMMYFUNCTION("""COMPUTED_VALUE"""),"RUA DAS LARANJEIRAS")</f>
        <v>RUA DAS LARANJEIRAS</v>
      </c>
      <c r="AB1313" s="1" t="str">
        <f>IFERROR(__xludf.DUMMYFUNCTION("""COMPUTED_VALUE"""),"LARANJEIRAS")</f>
        <v>LARANJEIRAS</v>
      </c>
      <c r="AC1313" s="1" t="str">
        <f>IFERROR(__xludf.DUMMYFUNCTION("""COMPUTED_VALUE"""),"G")</f>
        <v>G</v>
      </c>
      <c r="AD1313" s="1" t="str">
        <f>IFERROR(__xludf.DUMMYFUNCTION("""COMPUTED_VALUE"""),"G")</f>
        <v>G</v>
      </c>
      <c r="AE1313" s="1" t="str">
        <f>IFERROR(__xludf.DUMMYFUNCTION("""COMPUTED_VALUE"""),"G")</f>
        <v>G</v>
      </c>
      <c r="AF1313" s="1" t="str">
        <f>IFERROR(__xludf.DUMMYFUNCTION("""COMPUTED_VALUE"""),"G")</f>
        <v>G</v>
      </c>
      <c r="AG1313" s="1" t="str">
        <f>IFERROR(__xludf.DUMMYFUNCTION("""COMPUTED_VALUE"""),"G")</f>
        <v>G</v>
      </c>
      <c r="AH1313" s="1">
        <f>IFERROR(__xludf.DUMMYFUNCTION("""COMPUTED_VALUE"""),39)</f>
        <v>39</v>
      </c>
      <c r="AI1313" s="1">
        <f>IFERROR(__xludf.DUMMYFUNCTION("""COMPUTED_VALUE"""),39)</f>
        <v>39</v>
      </c>
      <c r="AJ1313" s="1">
        <f>IFERROR(__xludf.DUMMYFUNCTION("""COMPUTED_VALUE"""),39)</f>
        <v>39</v>
      </c>
      <c r="AK1313" s="1">
        <f>IFERROR(__xludf.DUMMYFUNCTION("""COMPUTED_VALUE"""),39)</f>
        <v>39</v>
      </c>
      <c r="AL1313" s="1" t="str">
        <f>IFERROR(__xludf.DUMMYFUNCTION("""COMPUTED_VALUE"""),"G")</f>
        <v>G</v>
      </c>
      <c r="AM1313" s="1" t="str">
        <f>IFERROR(__xludf.DUMMYFUNCTION("""COMPUTED_VALUE"""),"G")</f>
        <v>G</v>
      </c>
      <c r="AN1313" s="1" t="str">
        <f>IFERROR(__xludf.DUMMYFUNCTION("""COMPUTED_VALUE"""),"M")</f>
        <v>M</v>
      </c>
    </row>
    <row r="1314" customHeight="1" spans="1:40">
      <c r="A1314" s="1" t="str">
        <f>IFERROR(__xludf.DUMMYFUNCTION("""COMPUTED_VALUE"""),"11° BBM")</f>
        <v>11° BBM</v>
      </c>
      <c r="B1314" s="1" t="str">
        <f>IFERROR(__xludf.DUMMYFUNCTION("""COMPUTED_VALUE"""),"Cerro Largo")</f>
        <v>Cerro Largo</v>
      </c>
      <c r="C1314" s="119" t="str">
        <f>IFERROR(__xludf.DUMMYFUNCTION("""COMPUTED_VALUE"""),"CAB")</f>
        <v>CAB</v>
      </c>
      <c r="D1314" s="1" t="str">
        <f>IFERROR(__xludf.DUMMYFUNCTION("""COMPUTED_VALUE"""),"DJENIFER BRUM DO NASCIMENTO")</f>
        <v>DJENIFER BRUM DO NASCIMENTO</v>
      </c>
      <c r="E1314" s="119" t="str">
        <f>IFERROR(__xludf.DUMMYFUNCTION("""COMPUTED_VALUE"""),"")</f>
        <v/>
      </c>
      <c r="F1314" s="1" t="str">
        <f>IFERROR(__xludf.DUMMYFUNCTION("""COMPUTED_VALUE"""),"043.662.841-46")</f>
        <v>043.662.841-46</v>
      </c>
      <c r="G1314" s="1">
        <f>IFERROR(__xludf.DUMMYFUNCTION("""COMPUTED_VALUE"""),5140019315)</f>
        <v>5140019315</v>
      </c>
      <c r="H1314" s="1" t="str">
        <f>IFERROR(__xludf.DUMMYFUNCTION("""COMPUTED_VALUE"""),"MOTORISTA / COMBATENTE")</f>
        <v>MOTORISTA / COMBATENTE</v>
      </c>
      <c r="I1314" s="1" t="str">
        <f>IFERROR(__xludf.DUMMYFUNCTION("""COMPUTED_VALUE"""),"Técnicas de Prevenção e Combate a Incêndio, CNH D")</f>
        <v>Técnicas de Prevenção e Combate a Incêndio, CNH D</v>
      </c>
      <c r="J1314" s="1" t="str">
        <f>IFERROR(__xludf.DUMMYFUNCTION("""COMPUTED_VALUE"""),"Sim")</f>
        <v>Sim</v>
      </c>
      <c r="K1314" s="1" t="str">
        <f>IFERROR(__xludf.DUMMYFUNCTION("""COMPUTED_VALUE"""),"Não")</f>
        <v>Não</v>
      </c>
      <c r="L1314" s="1" t="str">
        <f>IFERROR(__xludf.DUMMYFUNCTION("""COMPUTED_VALUE"""),"O+")</f>
        <v>O+</v>
      </c>
      <c r="M1314" s="1" t="str">
        <f>IFERROR(__xludf.DUMMYFUNCTION("""COMPUTED_VALUE"""),"CAB DJENIFER")</f>
        <v>CAB DJENIFER</v>
      </c>
      <c r="N1314" s="120">
        <f>IFERROR(__xludf.DUMMYFUNCTION("""COMPUTED_VALUE"""),33435)</f>
        <v>33435</v>
      </c>
      <c r="O1314" s="1" t="str">
        <f>IFERROR(__xludf.DUMMYFUNCTION("""COMPUTED_VALUE"""),"Feminino")</f>
        <v>Feminino</v>
      </c>
      <c r="P1314" s="1" t="str">
        <f>IFERROR(__xludf.DUMMYFUNCTION("""COMPUTED_VALUE"""),"Parda")</f>
        <v>Parda</v>
      </c>
      <c r="Q1314" s="1" t="str">
        <f>IFERROR(__xludf.DUMMYFUNCTION("""COMPUTED_VALUE"""),"Ensino Superior Incompleto")</f>
        <v>Ensino Superior Incompleto</v>
      </c>
      <c r="R1314" s="1" t="str">
        <f>IFERROR(__xludf.DUMMYFUNCTION("""COMPUTED_VALUE"""),"djenifergui@gmail.com ")</f>
        <v>djenifergui@gmail.com </v>
      </c>
      <c r="S1314" s="1" t="str">
        <f>IFERROR(__xludf.DUMMYFUNCTION("""COMPUTED_VALUE"""),"68 Kg")</f>
        <v>68 Kg</v>
      </c>
      <c r="T1314" s="1" t="str">
        <f>IFERROR(__xludf.DUMMYFUNCTION("""COMPUTED_VALUE"""),"Entre 1,61m e 1,65m")</f>
        <v>Entre 1,61m e 1,65m</v>
      </c>
      <c r="U1314" s="1" t="str">
        <f>IFERROR(__xludf.DUMMYFUNCTION("""COMPUTED_VALUE"""),"3350-0115 ")</f>
        <v>3350-0115 </v>
      </c>
      <c r="V1314" s="1" t="str">
        <f>IFERROR(__xludf.DUMMYFUNCTION("""COMPUTED_VALUE"""),"(55)99104-9672")</f>
        <v>(55)99104-9672</v>
      </c>
      <c r="W1314" s="1">
        <f>IFERROR(__xludf.DUMMYFUNCTION("""COMPUTED_VALUE"""),55991049672)</f>
        <v>55991049672</v>
      </c>
      <c r="X1314" s="1" t="str">
        <f>IFERROR(__xludf.DUMMYFUNCTION("""COMPUTED_VALUE"""),"RS")</f>
        <v>RS</v>
      </c>
      <c r="Y1314" s="1" t="str">
        <f>IFERROR(__xludf.DUMMYFUNCTION("""COMPUTED_VALUE"""),"Cerro Largo")</f>
        <v>Cerro Largo</v>
      </c>
      <c r="Z1314" s="1" t="str">
        <f>IFERROR(__xludf.DUMMYFUNCTION("""COMPUTED_VALUE"""),"97900-000")</f>
        <v>97900-000</v>
      </c>
      <c r="AA1314" s="1" t="str">
        <f>IFERROR(__xludf.DUMMYFUNCTION("""COMPUTED_VALUE"""),"Rua independência, 300")</f>
        <v>Rua independência, 300</v>
      </c>
      <c r="AB1314" s="1" t="str">
        <f>IFERROR(__xludf.DUMMYFUNCTION("""COMPUTED_VALUE"""),"Esplanada ")</f>
        <v>Esplanada </v>
      </c>
      <c r="AC1314" s="1" t="str">
        <f>IFERROR(__xludf.DUMMYFUNCTION("""COMPUTED_VALUE"""),"P")</f>
        <v>P</v>
      </c>
      <c r="AD1314" s="1" t="str">
        <f>IFERROR(__xludf.DUMMYFUNCTION("""COMPUTED_VALUE"""),"P")</f>
        <v>P</v>
      </c>
      <c r="AE1314" s="1" t="str">
        <f>IFERROR(__xludf.DUMMYFUNCTION("""COMPUTED_VALUE"""),"P")</f>
        <v>P</v>
      </c>
      <c r="AF1314" s="1" t="str">
        <f>IFERROR(__xludf.DUMMYFUNCTION("""COMPUTED_VALUE"""),"P")</f>
        <v>P</v>
      </c>
      <c r="AG1314" s="1" t="str">
        <f>IFERROR(__xludf.DUMMYFUNCTION("""COMPUTED_VALUE"""),"GG")</f>
        <v>GG</v>
      </c>
      <c r="AH1314" s="1">
        <f>IFERROR(__xludf.DUMMYFUNCTION("""COMPUTED_VALUE"""),35)</f>
        <v>35</v>
      </c>
      <c r="AI1314" s="1">
        <f>IFERROR(__xludf.DUMMYFUNCTION("""COMPUTED_VALUE"""),36)</f>
        <v>36</v>
      </c>
      <c r="AJ1314" s="1">
        <f>IFERROR(__xludf.DUMMYFUNCTION("""COMPUTED_VALUE"""),35)</f>
        <v>35</v>
      </c>
      <c r="AK1314" s="1">
        <f>IFERROR(__xludf.DUMMYFUNCTION("""COMPUTED_VALUE"""),36)</f>
        <v>36</v>
      </c>
      <c r="AL1314" s="1" t="str">
        <f>IFERROR(__xludf.DUMMYFUNCTION("""COMPUTED_VALUE"""),"P")</f>
        <v>P</v>
      </c>
      <c r="AM1314" s="1" t="str">
        <f>IFERROR(__xludf.DUMMYFUNCTION("""COMPUTED_VALUE"""),"P")</f>
        <v>P</v>
      </c>
      <c r="AN1314" s="1" t="str">
        <f>IFERROR(__xludf.DUMMYFUNCTION("""COMPUTED_VALUE"""),"P")</f>
        <v>P</v>
      </c>
    </row>
    <row r="1315" customHeight="1" spans="1:40">
      <c r="A1315" s="1" t="str">
        <f>IFERROR(__xludf.DUMMYFUNCTION("""COMPUTED_VALUE"""),"11° BBM")</f>
        <v>11° BBM</v>
      </c>
      <c r="B1315" s="1" t="str">
        <f>IFERROR(__xludf.DUMMYFUNCTION("""COMPUTED_VALUE"""),"Três de Maio")</f>
        <v>Três de Maio</v>
      </c>
      <c r="C1315" s="119" t="str">
        <f>IFERROR(__xludf.DUMMYFUNCTION("""COMPUTED_VALUE"""),"Comunitario")</f>
        <v>Comunitario</v>
      </c>
      <c r="D1315" s="1" t="str">
        <f>IFERROR(__xludf.DUMMYFUNCTION("""COMPUTED_VALUE"""),"EDELAR SCHMIDT")</f>
        <v>EDELAR SCHMIDT</v>
      </c>
      <c r="E1315" s="119" t="str">
        <f>IFERROR(__xludf.DUMMYFUNCTION("""COMPUTED_VALUE"""),"")</f>
        <v/>
      </c>
      <c r="F1315" s="1" t="str">
        <f>IFERROR(__xludf.DUMMYFUNCTION("""COMPUTED_VALUE"""),"680.847.140-15")</f>
        <v>680.847.140-15</v>
      </c>
      <c r="G1315" s="1">
        <f>IFERROR(__xludf.DUMMYFUNCTION("""COMPUTED_VALUE"""),1052749941)</f>
        <v>1052749941</v>
      </c>
      <c r="H1315" s="1" t="str">
        <f>IFERROR(__xludf.DUMMYFUNCTION("""COMPUTED_VALUE"""),"Combatente, Socorrista e Auxiliar. VOLUNTÁRIO")</f>
        <v>Combatente, Socorrista e Auxiliar. VOLUNTÁRIO</v>
      </c>
      <c r="I1315" s="1" t="str">
        <f>IFERROR(__xludf.DUMMYFUNCTION("""COMPUTED_VALUE"""),"Curso de Técnica e Tática de Combate a Incêndio NÍVEL 1 e NÍVEL 2.")</f>
        <v>Curso de Técnica e Tática de Combate a Incêndio NÍVEL 1 e NÍVEL 2.</v>
      </c>
      <c r="J1315" s="1" t="str">
        <f>IFERROR(__xludf.DUMMYFUNCTION("""COMPUTED_VALUE"""),"Sim")</f>
        <v>Sim</v>
      </c>
      <c r="K1315" s="1" t="str">
        <f>IFERROR(__xludf.DUMMYFUNCTION("""COMPUTED_VALUE"""),"Não")</f>
        <v>Não</v>
      </c>
      <c r="L1315" s="1" t="str">
        <f>IFERROR(__xludf.DUMMYFUNCTION("""COMPUTED_VALUE"""),"A-")</f>
        <v>A-</v>
      </c>
      <c r="M1315" s="1" t="str">
        <f>IFERROR(__xludf.DUMMYFUNCTION("""COMPUTED_VALUE"""),"SHIMIDT")</f>
        <v>SHIMIDT</v>
      </c>
      <c r="N1315" s="120">
        <f>IFERROR(__xludf.DUMMYFUNCTION("""COMPUTED_VALUE"""),26407)</f>
        <v>26407</v>
      </c>
      <c r="O1315" s="1" t="str">
        <f>IFERROR(__xludf.DUMMYFUNCTION("""COMPUTED_VALUE"""),"Masculino")</f>
        <v>Masculino</v>
      </c>
      <c r="P1315" s="1" t="str">
        <f>IFERROR(__xludf.DUMMYFUNCTION("""COMPUTED_VALUE"""),"Branca")</f>
        <v>Branca</v>
      </c>
      <c r="Q1315" s="1" t="str">
        <f>IFERROR(__xludf.DUMMYFUNCTION("""COMPUTED_VALUE"""),"Ensino Médio")</f>
        <v>Ensino Médio</v>
      </c>
      <c r="R1315" s="1" t="str">
        <f>IFERROR(__xludf.DUMMYFUNCTION("""COMPUTED_VALUE"""),"edelarshimidt@gmail.com")</f>
        <v>edelarshimidt@gmail.com</v>
      </c>
      <c r="S1315" s="1">
        <f>IFERROR(__xludf.DUMMYFUNCTION("""COMPUTED_VALUE"""),90)</f>
        <v>90</v>
      </c>
      <c r="T1315" s="1" t="str">
        <f>IFERROR(__xludf.DUMMYFUNCTION("""COMPUTED_VALUE"""),"Entre 1,81m e 1,85m")</f>
        <v>Entre 1,81m e 1,85m</v>
      </c>
      <c r="U1315" s="1"/>
      <c r="V1315" s="1">
        <f>IFERROR(__xludf.DUMMYFUNCTION("""COMPUTED_VALUE"""),55996044118)</f>
        <v>55996044118</v>
      </c>
      <c r="W1315" s="1">
        <f>IFERROR(__xludf.DUMMYFUNCTION("""COMPUTED_VALUE"""),55999007071)</f>
        <v>55999007071</v>
      </c>
      <c r="X1315" s="1" t="str">
        <f>IFERROR(__xludf.DUMMYFUNCTION("""COMPUTED_VALUE"""),"RIO GRANDE DO SUL")</f>
        <v>RIO GRANDE DO SUL</v>
      </c>
      <c r="Y1315" s="1" t="str">
        <f>IFERROR(__xludf.DUMMYFUNCTION("""COMPUTED_VALUE"""),"Três de Maio")</f>
        <v>Três de Maio</v>
      </c>
      <c r="Z1315" s="1">
        <f>IFERROR(__xludf.DUMMYFUNCTION("""COMPUTED_VALUE"""),98910000)</f>
        <v>98910000</v>
      </c>
      <c r="AA1315" s="1" t="str">
        <f>IFERROR(__xludf.DUMMYFUNCTION("""COMPUTED_VALUE"""),"RUA SÃO GERALDO, 301 AP03")</f>
        <v>RUA SÃO GERALDO, 301 AP03</v>
      </c>
      <c r="AB1315" s="1" t="str">
        <f>IFERROR(__xludf.DUMMYFUNCTION("""COMPUTED_VALUE"""),"CENTRO")</f>
        <v>CENTRO</v>
      </c>
      <c r="AC1315" s="1" t="str">
        <f>IFERROR(__xludf.DUMMYFUNCTION("""COMPUTED_VALUE"""),"GG")</f>
        <v>GG</v>
      </c>
      <c r="AD1315" s="1" t="str">
        <f>IFERROR(__xludf.DUMMYFUNCTION("""COMPUTED_VALUE"""),"GG")</f>
        <v>GG</v>
      </c>
      <c r="AE1315" s="1" t="str">
        <f>IFERROR(__xludf.DUMMYFUNCTION("""COMPUTED_VALUE"""),"GG")</f>
        <v>GG</v>
      </c>
      <c r="AF1315" s="1" t="str">
        <f>IFERROR(__xludf.DUMMYFUNCTION("""COMPUTED_VALUE"""),"GG")</f>
        <v>GG</v>
      </c>
      <c r="AG1315" s="1" t="str">
        <f>IFERROR(__xludf.DUMMYFUNCTION("""COMPUTED_VALUE"""),"GG")</f>
        <v>GG</v>
      </c>
      <c r="AH1315" s="1">
        <f>IFERROR(__xludf.DUMMYFUNCTION("""COMPUTED_VALUE"""),43)</f>
        <v>43</v>
      </c>
      <c r="AI1315" s="1">
        <f>IFERROR(__xludf.DUMMYFUNCTION("""COMPUTED_VALUE"""),43)</f>
        <v>43</v>
      </c>
      <c r="AJ1315" s="1">
        <f>IFERROR(__xludf.DUMMYFUNCTION("""COMPUTED_VALUE"""),43)</f>
        <v>43</v>
      </c>
      <c r="AK1315" s="1">
        <f>IFERROR(__xludf.DUMMYFUNCTION("""COMPUTED_VALUE"""),43)</f>
        <v>43</v>
      </c>
      <c r="AL1315" s="1" t="str">
        <f>IFERROR(__xludf.DUMMYFUNCTION("""COMPUTED_VALUE"""),"GG")</f>
        <v>GG</v>
      </c>
      <c r="AM1315" s="1" t="str">
        <f>IFERROR(__xludf.DUMMYFUNCTION("""COMPUTED_VALUE"""),"GG")</f>
        <v>GG</v>
      </c>
      <c r="AN1315" s="1" t="str">
        <f>IFERROR(__xludf.DUMMYFUNCTION("""COMPUTED_VALUE"""),"G")</f>
        <v>G</v>
      </c>
    </row>
    <row r="1316" customHeight="1" spans="1:40">
      <c r="A1316" s="1" t="str">
        <f>IFERROR(__xludf.DUMMYFUNCTION("""COMPUTED_VALUE"""),"11° BBM")</f>
        <v>11° BBM</v>
      </c>
      <c r="B1316" s="1" t="str">
        <f>IFERROR(__xludf.DUMMYFUNCTION("""COMPUTED_VALUE"""),"Cerro Largo")</f>
        <v>Cerro Largo</v>
      </c>
      <c r="C1316" s="119" t="str">
        <f>IFERROR(__xludf.DUMMYFUNCTION("""COMPUTED_VALUE"""),"CAB")</f>
        <v>CAB</v>
      </c>
      <c r="D1316" s="1" t="str">
        <f>IFERROR(__xludf.DUMMYFUNCTION("""COMPUTED_VALUE"""),"ELÁRIO JOSÉ SCHAURICH")</f>
        <v>ELÁRIO JOSÉ SCHAURICH</v>
      </c>
      <c r="E1316" s="119" t="str">
        <f>IFERROR(__xludf.DUMMYFUNCTION("""COMPUTED_VALUE"""),"")</f>
        <v/>
      </c>
      <c r="F1316" s="1" t="str">
        <f>IFERROR(__xludf.DUMMYFUNCTION("""COMPUTED_VALUE"""),"169.831.060-91")</f>
        <v>169.831.060-91</v>
      </c>
      <c r="G1316" s="1">
        <f>IFERROR(__xludf.DUMMYFUNCTION("""COMPUTED_VALUE"""),8000531411)</f>
        <v>8000531411</v>
      </c>
      <c r="H1316" s="1" t="str">
        <f>IFERROR(__xludf.DUMMYFUNCTION("""COMPUTED_VALUE"""),"MOTORISTA / COMBATENTE")</f>
        <v>MOTORISTA / COMBATENTE</v>
      </c>
      <c r="I1316" s="1" t="str">
        <f>IFERROR(__xludf.DUMMYFUNCTION("""COMPUTED_VALUE"""),"Resgate Terrestre, Curso de APH, Técnicas de Prevenção e Combate a Incêndio, CNH C")</f>
        <v>Resgate Terrestre, Curso de APH, Técnicas de Prevenção e Combate a Incêndio, CNH C</v>
      </c>
      <c r="J1316" s="1" t="str">
        <f>IFERROR(__xludf.DUMMYFUNCTION("""COMPUTED_VALUE"""),"Sim")</f>
        <v>Sim</v>
      </c>
      <c r="K1316" s="1" t="str">
        <f>IFERROR(__xludf.DUMMYFUNCTION("""COMPUTED_VALUE"""),"Não")</f>
        <v>Não</v>
      </c>
      <c r="L1316" s="1" t="str">
        <f>IFERROR(__xludf.DUMMYFUNCTION("""COMPUTED_VALUE"""),"O-")</f>
        <v>O-</v>
      </c>
      <c r="M1316" s="1" t="str">
        <f>IFERROR(__xludf.DUMMYFUNCTION("""COMPUTED_VALUE"""),"CAB ELÁRIO")</f>
        <v>CAB ELÁRIO</v>
      </c>
      <c r="N1316" s="120">
        <f>IFERROR(__xludf.DUMMYFUNCTION("""COMPUTED_VALUE"""),19236)</f>
        <v>19236</v>
      </c>
      <c r="O1316" s="1" t="str">
        <f>IFERROR(__xludf.DUMMYFUNCTION("""COMPUTED_VALUE"""),"Masculino")</f>
        <v>Masculino</v>
      </c>
      <c r="P1316" s="1" t="str">
        <f>IFERROR(__xludf.DUMMYFUNCTION("""COMPUTED_VALUE"""),"Branca")</f>
        <v>Branca</v>
      </c>
      <c r="Q1316" s="1" t="str">
        <f>IFERROR(__xludf.DUMMYFUNCTION("""COMPUTED_VALUE"""),"Ensino Superior Completo")</f>
        <v>Ensino Superior Completo</v>
      </c>
      <c r="R1316" s="1" t="str">
        <f>IFERROR(__xludf.DUMMYFUNCTION("""COMPUTED_VALUE"""),"elariojs@gmail.com")</f>
        <v>elariojs@gmail.com</v>
      </c>
      <c r="S1316" s="1" t="str">
        <f>IFERROR(__xludf.DUMMYFUNCTION("""COMPUTED_VALUE"""),"105 Kg")</f>
        <v>105 Kg</v>
      </c>
      <c r="T1316" s="1" t="str">
        <f>IFERROR(__xludf.DUMMYFUNCTION("""COMPUTED_VALUE"""),"Entre 1,86m e 1,90m")</f>
        <v>Entre 1,86m e 1,90m</v>
      </c>
      <c r="U1316" s="1">
        <f>IFERROR(__xludf.DUMMYFUNCTION("""COMPUTED_VALUE"""),5533591432)</f>
        <v>5533591432</v>
      </c>
      <c r="V1316" s="1" t="str">
        <f>IFERROR(__xludf.DUMMYFUNCTION("""COMPUTED_VALUE"""),"55 981169684")</f>
        <v>55 981169684</v>
      </c>
      <c r="W1316" s="1"/>
      <c r="X1316" s="1" t="str">
        <f>IFERROR(__xludf.DUMMYFUNCTION("""COMPUTED_VALUE"""),"RS")</f>
        <v>RS</v>
      </c>
      <c r="Y1316" s="1" t="str">
        <f>IFERROR(__xludf.DUMMYFUNCTION("""COMPUTED_VALUE"""),"Cerro Largo")</f>
        <v>Cerro Largo</v>
      </c>
      <c r="Z1316" s="1" t="str">
        <f>IFERROR(__xludf.DUMMYFUNCTION("""COMPUTED_VALUE"""),"97900-000")</f>
        <v>97900-000</v>
      </c>
      <c r="AA1316" s="1" t="str">
        <f>IFERROR(__xludf.DUMMYFUNCTION("""COMPUTED_VALUE"""),"Rua Helmuth Schmidt, 1027")</f>
        <v>Rua Helmuth Schmidt, 1027</v>
      </c>
      <c r="AB1316" s="1" t="str">
        <f>IFERROR(__xludf.DUMMYFUNCTION("""COMPUTED_VALUE"""),"Centro")</f>
        <v>Centro</v>
      </c>
      <c r="AC1316" s="1" t="str">
        <f>IFERROR(__xludf.DUMMYFUNCTION("""COMPUTED_VALUE"""),"GG")</f>
        <v>GG</v>
      </c>
      <c r="AD1316" s="1" t="str">
        <f>IFERROR(__xludf.DUMMYFUNCTION("""COMPUTED_VALUE"""),"GG")</f>
        <v>GG</v>
      </c>
      <c r="AE1316" s="1" t="str">
        <f>IFERROR(__xludf.DUMMYFUNCTION("""COMPUTED_VALUE"""),"EXG")</f>
        <v>EXG</v>
      </c>
      <c r="AF1316" s="1" t="str">
        <f>IFERROR(__xludf.DUMMYFUNCTION("""COMPUTED_VALUE"""),"EXG")</f>
        <v>EXG</v>
      </c>
      <c r="AG1316" s="1" t="str">
        <f>IFERROR(__xludf.DUMMYFUNCTION("""COMPUTED_VALUE"""),"G")</f>
        <v>G</v>
      </c>
      <c r="AH1316" s="1">
        <f>IFERROR(__xludf.DUMMYFUNCTION("""COMPUTED_VALUE"""),44)</f>
        <v>44</v>
      </c>
      <c r="AI1316" s="1">
        <f>IFERROR(__xludf.DUMMYFUNCTION("""COMPUTED_VALUE"""),44)</f>
        <v>44</v>
      </c>
      <c r="AJ1316" s="1">
        <f>IFERROR(__xludf.DUMMYFUNCTION("""COMPUTED_VALUE"""),44)</f>
        <v>44</v>
      </c>
      <c r="AK1316" s="1">
        <f>IFERROR(__xludf.DUMMYFUNCTION("""COMPUTED_VALUE"""),44)</f>
        <v>44</v>
      </c>
      <c r="AL1316" s="1" t="str">
        <f>IFERROR(__xludf.DUMMYFUNCTION("""COMPUTED_VALUE"""),"GG")</f>
        <v>GG</v>
      </c>
      <c r="AM1316" s="1" t="str">
        <f>IFERROR(__xludf.DUMMYFUNCTION("""COMPUTED_VALUE"""),"GG")</f>
        <v>GG</v>
      </c>
      <c r="AN1316" s="1" t="str">
        <f>IFERROR(__xludf.DUMMYFUNCTION("""COMPUTED_VALUE"""),"GG")</f>
        <v>GG</v>
      </c>
    </row>
    <row r="1317" customHeight="1" spans="1:40">
      <c r="A1317" s="1" t="str">
        <f>IFERROR(__xludf.DUMMYFUNCTION("""COMPUTED_VALUE"""),"11° BBM")</f>
        <v>11° BBM</v>
      </c>
      <c r="B1317" s="1" t="str">
        <f>IFERROR(__xludf.DUMMYFUNCTION("""COMPUTED_VALUE"""),"Cerro Largo")</f>
        <v>Cerro Largo</v>
      </c>
      <c r="C1317" s="119" t="str">
        <f>IFERROR(__xludf.DUMMYFUNCTION("""COMPUTED_VALUE"""),"CAB")</f>
        <v>CAB</v>
      </c>
      <c r="D1317" s="1" t="str">
        <f>IFERROR(__xludf.DUMMYFUNCTION("""COMPUTED_VALUE"""),"ELOISA DA SILVA PAULETTI")</f>
        <v>ELOISA DA SILVA PAULETTI</v>
      </c>
      <c r="E1317" s="119" t="str">
        <f>IFERROR(__xludf.DUMMYFUNCTION("""COMPUTED_VALUE"""),"")</f>
        <v/>
      </c>
      <c r="F1317" s="1" t="str">
        <f>IFERROR(__xludf.DUMMYFUNCTION("""COMPUTED_VALUE"""),"094.854.429-55")</f>
        <v>094.854.429-55</v>
      </c>
      <c r="G1317" s="1">
        <f>IFERROR(__xludf.DUMMYFUNCTION("""COMPUTED_VALUE"""),6315316)</f>
        <v>6315316</v>
      </c>
      <c r="H1317" s="1" t="str">
        <f>IFERROR(__xludf.DUMMYFUNCTION("""COMPUTED_VALUE"""),"COMBATENTE")</f>
        <v>COMBATENTE</v>
      </c>
      <c r="I1317" s="1" t="str">
        <f>IFERROR(__xludf.DUMMYFUNCTION("""COMPUTED_VALUE"""),"Resgate Terrestre, Curso de APH, Técnicas de Prevenção e Combate a Incêndio")</f>
        <v>Resgate Terrestre, Curso de APH, Técnicas de Prevenção e Combate a Incêndio</v>
      </c>
      <c r="J1317" s="1" t="str">
        <f>IFERROR(__xludf.DUMMYFUNCTION("""COMPUTED_VALUE"""),"Sim")</f>
        <v>Sim</v>
      </c>
      <c r="K1317" s="1" t="str">
        <f>IFERROR(__xludf.DUMMYFUNCTION("""COMPUTED_VALUE"""),"Não")</f>
        <v>Não</v>
      </c>
      <c r="L1317" s="1" t="str">
        <f>IFERROR(__xludf.DUMMYFUNCTION("""COMPUTED_VALUE"""),"A+")</f>
        <v>A+</v>
      </c>
      <c r="M1317" s="1" t="str">
        <f>IFERROR(__xludf.DUMMYFUNCTION("""COMPUTED_VALUE"""),"CAB ELOISA")</f>
        <v>CAB ELOISA</v>
      </c>
      <c r="N1317" s="121">
        <f>IFERROR(__xludf.DUMMYFUNCTION("""COMPUTED_VALUE"""),35059)</f>
        <v>35059</v>
      </c>
      <c r="O1317" s="1" t="str">
        <f>IFERROR(__xludf.DUMMYFUNCTION("""COMPUTED_VALUE"""),"Feminino")</f>
        <v>Feminino</v>
      </c>
      <c r="P1317" s="1" t="str">
        <f>IFERROR(__xludf.DUMMYFUNCTION("""COMPUTED_VALUE"""),"Parda")</f>
        <v>Parda</v>
      </c>
      <c r="Q1317" s="1" t="str">
        <f>IFERROR(__xludf.DUMMYFUNCTION("""COMPUTED_VALUE"""),"Mestrado")</f>
        <v>Mestrado</v>
      </c>
      <c r="R1317" s="1" t="str">
        <f>IFERROR(__xludf.DUMMYFUNCTION("""COMPUTED_VALUE"""),"eloisaspauletti@gmail.com")</f>
        <v>eloisaspauletti@gmail.com</v>
      </c>
      <c r="S1317" s="1" t="str">
        <f>IFERROR(__xludf.DUMMYFUNCTION("""COMPUTED_VALUE"""),"84 Kg")</f>
        <v>84 Kg</v>
      </c>
      <c r="T1317" s="1" t="str">
        <f>IFERROR(__xludf.DUMMYFUNCTION("""COMPUTED_VALUE"""),"Entre 1,61m e 1,65m")</f>
        <v>Entre 1,61m e 1,65m</v>
      </c>
      <c r="U1317" s="1"/>
      <c r="V1317" s="1" t="str">
        <f>IFERROR(__xludf.DUMMYFUNCTION("""COMPUTED_VALUE"""),"(55)984534126")</f>
        <v>(55)984534126</v>
      </c>
      <c r="W1317" s="1" t="str">
        <f>IFERROR(__xludf.DUMMYFUNCTION("""COMPUTED_VALUE"""),"(55)984534126")</f>
        <v>(55)984534126</v>
      </c>
      <c r="X1317" s="1" t="str">
        <f>IFERROR(__xludf.DUMMYFUNCTION("""COMPUTED_VALUE"""),"RS")</f>
        <v>RS</v>
      </c>
      <c r="Y1317" s="1" t="str">
        <f>IFERROR(__xludf.DUMMYFUNCTION("""COMPUTED_VALUE"""),"Cerro Largo")</f>
        <v>Cerro Largo</v>
      </c>
      <c r="Z1317" s="1" t="str">
        <f>IFERROR(__xludf.DUMMYFUNCTION("""COMPUTED_VALUE"""),"97900-000")</f>
        <v>97900-000</v>
      </c>
      <c r="AA1317" s="1" t="str">
        <f>IFERROR(__xludf.DUMMYFUNCTION("""COMPUTED_VALUE"""),"Rua jacob theobald II, 156")</f>
        <v>Rua jacob theobald II, 156</v>
      </c>
      <c r="AB1317" s="1" t="str">
        <f>IFERROR(__xludf.DUMMYFUNCTION("""COMPUTED_VALUE"""),"Ciep")</f>
        <v>Ciep</v>
      </c>
      <c r="AC1317" s="1" t="str">
        <f>IFERROR(__xludf.DUMMYFUNCTION("""COMPUTED_VALUE"""),"G")</f>
        <v>G</v>
      </c>
      <c r="AD1317" s="1" t="str">
        <f>IFERROR(__xludf.DUMMYFUNCTION("""COMPUTED_VALUE"""),"G")</f>
        <v>G</v>
      </c>
      <c r="AE1317" s="1" t="str">
        <f>IFERROR(__xludf.DUMMYFUNCTION("""COMPUTED_VALUE"""),"G")</f>
        <v>G</v>
      </c>
      <c r="AF1317" s="1" t="str">
        <f>IFERROR(__xludf.DUMMYFUNCTION("""COMPUTED_VALUE"""),"G")</f>
        <v>G</v>
      </c>
      <c r="AG1317" s="1" t="str">
        <f>IFERROR(__xludf.DUMMYFUNCTION("""COMPUTED_VALUE"""),"G")</f>
        <v>G</v>
      </c>
      <c r="AH1317" s="1">
        <f>IFERROR(__xludf.DUMMYFUNCTION("""COMPUTED_VALUE"""),38)</f>
        <v>38</v>
      </c>
      <c r="AI1317" s="1">
        <f>IFERROR(__xludf.DUMMYFUNCTION("""COMPUTED_VALUE"""),38)</f>
        <v>38</v>
      </c>
      <c r="AJ1317" s="1">
        <f>IFERROR(__xludf.DUMMYFUNCTION("""COMPUTED_VALUE"""),38)</f>
        <v>38</v>
      </c>
      <c r="AK1317" s="1">
        <f>IFERROR(__xludf.DUMMYFUNCTION("""COMPUTED_VALUE"""),38)</f>
        <v>38</v>
      </c>
      <c r="AL1317" s="1" t="str">
        <f>IFERROR(__xludf.DUMMYFUNCTION("""COMPUTED_VALUE"""),"G")</f>
        <v>G</v>
      </c>
      <c r="AM1317" s="1" t="str">
        <f>IFERROR(__xludf.DUMMYFUNCTION("""COMPUTED_VALUE"""),"G")</f>
        <v>G</v>
      </c>
      <c r="AN1317" s="1" t="str">
        <f>IFERROR(__xludf.DUMMYFUNCTION("""COMPUTED_VALUE"""),"G")</f>
        <v>G</v>
      </c>
    </row>
    <row r="1318" customHeight="1" spans="1:40">
      <c r="A1318" s="1" t="str">
        <f>IFERROR(__xludf.DUMMYFUNCTION("""COMPUTED_VALUE"""),"11° BBM")</f>
        <v>11° BBM</v>
      </c>
      <c r="B1318" s="1" t="str">
        <f>IFERROR(__xludf.DUMMYFUNCTION("""COMPUTED_VALUE"""),"Três de Maio")</f>
        <v>Três de Maio</v>
      </c>
      <c r="C1318" s="119" t="str">
        <f>IFERROR(__xludf.DUMMYFUNCTION("""COMPUTED_VALUE"""),"Comunitario")</f>
        <v>Comunitario</v>
      </c>
      <c r="D1318" s="1" t="str">
        <f>IFERROR(__xludf.DUMMYFUNCTION("""COMPUTED_VALUE"""),"EVERTON LUIS SOARES")</f>
        <v>EVERTON LUIS SOARES</v>
      </c>
      <c r="E1318" s="119"/>
      <c r="F1318" s="1" t="str">
        <f>IFERROR(__xludf.DUMMYFUNCTION("""COMPUTED_VALUE"""),"937.264.730-68")</f>
        <v>937.264.730-68</v>
      </c>
      <c r="G1318" s="1">
        <f>IFERROR(__xludf.DUMMYFUNCTION("""COMPUTED_VALUE"""),7073681781)</f>
        <v>7073681781</v>
      </c>
      <c r="H1318" s="1" t="str">
        <f>IFERROR(__xludf.DUMMYFUNCTION("""COMPUTED_VALUE"""),"Combatente, Socorrista e Auxiliar.VOLUNTÁRIO")</f>
        <v>Combatente, Socorrista e Auxiliar.VOLUNTÁRIO</v>
      </c>
      <c r="I1318" s="1" t="str">
        <f>IFERROR(__xludf.DUMMYFUNCTION("""COMPUTED_VALUE"""),"Curso de Técnica e Tática de Combate a Incêndio NÍVEL 1 e NÍVEL 2, Atendimento Pré Hospitalar, Atendimento Pré Hospitalar Difícil Acesso, Atendimento Pré Hospitalar Áreas Remotas, BREC, Curso de Guarda Vidas Aquático, Salvamento em Altura, Transporte de E"&amp;"mergência, Suporte Básico de Vida Adulto e Pediátrico.")</f>
        <v>Curso de Técnica e Tática de Combate a Incêndio NÍVEL 1 e NÍVEL 2, Atendimento Pré Hospitalar, Atendimento Pré Hospitalar Difícil Acesso, Atendimento Pré Hospitalar Áreas Remotas, BREC, Curso de Guarda Vidas Aquático, Salvamento em Altura, Transporte de Emergência, Suporte Básico de Vida Adulto e Pediátrico.</v>
      </c>
      <c r="J1318" s="1" t="str">
        <f>IFERROR(__xludf.DUMMYFUNCTION("""COMPUTED_VALUE"""),"Sim")</f>
        <v>Sim</v>
      </c>
      <c r="K1318" s="1" t="str">
        <f>IFERROR(__xludf.DUMMYFUNCTION("""COMPUTED_VALUE"""),"Não")</f>
        <v>Não</v>
      </c>
      <c r="L1318" s="1" t="str">
        <f>IFERROR(__xludf.DUMMYFUNCTION("""COMPUTED_VALUE"""),"O+")</f>
        <v>O+</v>
      </c>
      <c r="M1318" s="1" t="str">
        <f>IFERROR(__xludf.DUMMYFUNCTION("""COMPUTED_VALUE"""),"SOARES")</f>
        <v>SOARES</v>
      </c>
      <c r="N1318" s="120">
        <f>IFERROR(__xludf.DUMMYFUNCTION("""COMPUTED_VALUE"""),29256)</f>
        <v>29256</v>
      </c>
      <c r="O1318" s="1" t="str">
        <f>IFERROR(__xludf.DUMMYFUNCTION("""COMPUTED_VALUE"""),"Masculino")</f>
        <v>Masculino</v>
      </c>
      <c r="P1318" s="1" t="str">
        <f>IFERROR(__xludf.DUMMYFUNCTION("""COMPUTED_VALUE"""),"Parda")</f>
        <v>Parda</v>
      </c>
      <c r="Q1318" s="1" t="str">
        <f>IFERROR(__xludf.DUMMYFUNCTION("""COMPUTED_VALUE"""),"Ensino Médio")</f>
        <v>Ensino Médio</v>
      </c>
      <c r="R1318" s="1" t="str">
        <f>IFERROR(__xludf.DUMMYFUNCTION("""COMPUTED_VALUE"""),"soaresevertonluis@yahoo.com.br")</f>
        <v>soaresevertonluis@yahoo.com.br</v>
      </c>
      <c r="S1318" s="1">
        <f>IFERROR(__xludf.DUMMYFUNCTION("""COMPUTED_VALUE"""),90)</f>
        <v>90</v>
      </c>
      <c r="T1318" s="1" t="str">
        <f>IFERROR(__xludf.DUMMYFUNCTION("""COMPUTED_VALUE"""),"Entre 1,66m e 1,70m")</f>
        <v>Entre 1,66m e 1,70m</v>
      </c>
      <c r="U1318" s="1"/>
      <c r="V1318" s="1">
        <f>IFERROR(__xludf.DUMMYFUNCTION("""COMPUTED_VALUE"""),55996435394)</f>
        <v>55996435394</v>
      </c>
      <c r="W1318" s="1">
        <f>IFERROR(__xludf.DUMMYFUNCTION("""COMPUTED_VALUE"""),55996975090)</f>
        <v>55996975090</v>
      </c>
      <c r="X1318" s="1" t="str">
        <f>IFERROR(__xludf.DUMMYFUNCTION("""COMPUTED_VALUE"""),"RIO GRANDE DO SUL")</f>
        <v>RIO GRANDE DO SUL</v>
      </c>
      <c r="Y1318" s="1" t="str">
        <f>IFERROR(__xludf.DUMMYFUNCTION("""COMPUTED_VALUE"""),"Três de Maio")</f>
        <v>Três de Maio</v>
      </c>
      <c r="Z1318" s="1">
        <f>IFERROR(__xludf.DUMMYFUNCTION("""COMPUTED_VALUE"""),98910000)</f>
        <v>98910000</v>
      </c>
      <c r="AA1318" s="1" t="str">
        <f>IFERROR(__xludf.DUMMYFUNCTION("""COMPUTED_VALUE"""),"RUA AUGUSTO RUTZEM,398")</f>
        <v>RUA AUGUSTO RUTZEM,398</v>
      </c>
      <c r="AB1318" s="1" t="str">
        <f>IFERROR(__xludf.DUMMYFUNCTION("""COMPUTED_VALUE"""),"ORIENTAL")</f>
        <v>ORIENTAL</v>
      </c>
      <c r="AC1318" s="1" t="str">
        <f>IFERROR(__xludf.DUMMYFUNCTION("""COMPUTED_VALUE"""),"G")</f>
        <v>G</v>
      </c>
      <c r="AD1318" s="1" t="str">
        <f>IFERROR(__xludf.DUMMYFUNCTION("""COMPUTED_VALUE"""),"G")</f>
        <v>G</v>
      </c>
      <c r="AE1318" s="1" t="str">
        <f>IFERROR(__xludf.DUMMYFUNCTION("""COMPUTED_VALUE"""),"G")</f>
        <v>G</v>
      </c>
      <c r="AF1318" s="1" t="str">
        <f>IFERROR(__xludf.DUMMYFUNCTION("""COMPUTED_VALUE"""),"G")</f>
        <v>G</v>
      </c>
      <c r="AG1318" s="1" t="str">
        <f>IFERROR(__xludf.DUMMYFUNCTION("""COMPUTED_VALUE"""),"GG")</f>
        <v>GG</v>
      </c>
      <c r="AH1318" s="1">
        <f>IFERROR(__xludf.DUMMYFUNCTION("""COMPUTED_VALUE"""),40)</f>
        <v>40</v>
      </c>
      <c r="AI1318" s="1">
        <f>IFERROR(__xludf.DUMMYFUNCTION("""COMPUTED_VALUE"""),39)</f>
        <v>39</v>
      </c>
      <c r="AJ1318" s="1">
        <f>IFERROR(__xludf.DUMMYFUNCTION("""COMPUTED_VALUE"""),39)</f>
        <v>39</v>
      </c>
      <c r="AK1318" s="1">
        <f>IFERROR(__xludf.DUMMYFUNCTION("""COMPUTED_VALUE"""),40)</f>
        <v>40</v>
      </c>
      <c r="AL1318" s="1" t="str">
        <f>IFERROR(__xludf.DUMMYFUNCTION("""COMPUTED_VALUE"""),"G")</f>
        <v>G</v>
      </c>
      <c r="AM1318" s="1" t="str">
        <f>IFERROR(__xludf.DUMMYFUNCTION("""COMPUTED_VALUE"""),"G")</f>
        <v>G</v>
      </c>
      <c r="AN1318" s="1" t="str">
        <f>IFERROR(__xludf.DUMMYFUNCTION("""COMPUTED_VALUE"""),"M")</f>
        <v>M</v>
      </c>
    </row>
    <row r="1319" customHeight="1" spans="1:40">
      <c r="A1319" s="1" t="str">
        <f>IFERROR(__xludf.DUMMYFUNCTION("""COMPUTED_VALUE"""),"11° BBM")</f>
        <v>11° BBM</v>
      </c>
      <c r="B1319" s="1" t="str">
        <f>IFERROR(__xludf.DUMMYFUNCTION("""COMPUTED_VALUE"""),"Cerro Largo")</f>
        <v>Cerro Largo</v>
      </c>
      <c r="C1319" s="119" t="str">
        <f>IFERROR(__xludf.DUMMYFUNCTION("""COMPUTED_VALUE"""),"CAB")</f>
        <v>CAB</v>
      </c>
      <c r="D1319" s="1" t="str">
        <f>IFERROR(__xludf.DUMMYFUNCTION("""COMPUTED_VALUE"""),"FABRICIO LOBO")</f>
        <v>FABRICIO LOBO</v>
      </c>
      <c r="E1319" s="119" t="str">
        <f>IFERROR(__xludf.DUMMYFUNCTION("""COMPUTED_VALUE"""),"")</f>
        <v/>
      </c>
      <c r="F1319" s="1" t="str">
        <f>IFERROR(__xludf.DUMMYFUNCTION("""COMPUTED_VALUE"""),"026.554.909-40")</f>
        <v>026.554.909-40</v>
      </c>
      <c r="G1319" s="1">
        <f>IFERROR(__xludf.DUMMYFUNCTION("""COMPUTED_VALUE"""),6127690425)</f>
        <v>6127690425</v>
      </c>
      <c r="H1319" s="1" t="str">
        <f>IFERROR(__xludf.DUMMYFUNCTION("""COMPUTED_VALUE"""),"MOTORISTA / COMBATENTE")</f>
        <v>MOTORISTA / COMBATENTE</v>
      </c>
      <c r="I1319" s="1" t="str">
        <f>IFERROR(__xludf.DUMMYFUNCTION("""COMPUTED_VALUE"""),"RESGATE EM ALTURA, APH, CNH AD")</f>
        <v>RESGATE EM ALTURA, APH, CNH AD</v>
      </c>
      <c r="J1319" s="1" t="str">
        <f>IFERROR(__xludf.DUMMYFUNCTION("""COMPUTED_VALUE"""),"Não")</f>
        <v>Não</v>
      </c>
      <c r="K1319" s="1" t="str">
        <f>IFERROR(__xludf.DUMMYFUNCTION("""COMPUTED_VALUE"""),"Sim")</f>
        <v>Sim</v>
      </c>
      <c r="L1319" s="1" t="str">
        <f>IFERROR(__xludf.DUMMYFUNCTION("""COMPUTED_VALUE"""),"A+")</f>
        <v>A+</v>
      </c>
      <c r="M1319" s="1" t="str">
        <f>IFERROR(__xludf.DUMMYFUNCTION("""COMPUTED_VALUE"""),"CAB FABRÍCIO")</f>
        <v>CAB FABRÍCIO</v>
      </c>
      <c r="N1319" s="120">
        <f>IFERROR(__xludf.DUMMYFUNCTION("""COMPUTED_VALUE"""),28674)</f>
        <v>28674</v>
      </c>
      <c r="O1319" s="1" t="str">
        <f>IFERROR(__xludf.DUMMYFUNCTION("""COMPUTED_VALUE"""),"Masculino")</f>
        <v>Masculino</v>
      </c>
      <c r="P1319" s="1" t="str">
        <f>IFERROR(__xludf.DUMMYFUNCTION("""COMPUTED_VALUE"""),"Parda")</f>
        <v>Parda</v>
      </c>
      <c r="Q1319" s="1" t="str">
        <f>IFERROR(__xludf.DUMMYFUNCTION("""COMPUTED_VALUE"""),"Ensino Superior Incompleto")</f>
        <v>Ensino Superior Incompleto</v>
      </c>
      <c r="R1319" s="1" t="str">
        <f>IFERROR(__xludf.DUMMYFUNCTION("""COMPUTED_VALUE"""),"lobofabricio190@gmail.com")</f>
        <v>lobofabricio190@gmail.com</v>
      </c>
      <c r="S1319" s="1" t="str">
        <f>IFERROR(__xludf.DUMMYFUNCTION("""COMPUTED_VALUE"""),"75 Kg")</f>
        <v>75 Kg</v>
      </c>
      <c r="T1319" s="1" t="str">
        <f>IFERROR(__xludf.DUMMYFUNCTION("""COMPUTED_VALUE"""),"Entre 1,66m e 1,70m")</f>
        <v>Entre 1,66m e 1,70m</v>
      </c>
      <c r="U1319" s="1"/>
      <c r="V1319" s="1" t="str">
        <f>IFERROR(__xludf.DUMMYFUNCTION("""COMPUTED_VALUE"""),"55 999377911")</f>
        <v>55 999377911</v>
      </c>
      <c r="W1319" s="1" t="str">
        <f>IFERROR(__xludf.DUMMYFUNCTION("""COMPUTED_VALUE"""),"55 999513513 esposa e 55 996951198 filho")</f>
        <v>55 999513513 esposa e 55 996951198 filho</v>
      </c>
      <c r="X1319" s="1" t="str">
        <f>IFERROR(__xludf.DUMMYFUNCTION("""COMPUTED_VALUE"""),"RS")</f>
        <v>RS</v>
      </c>
      <c r="Y1319" s="1" t="str">
        <f>IFERROR(__xludf.DUMMYFUNCTION("""COMPUTED_VALUE"""),"Cerro Largo")</f>
        <v>Cerro Largo</v>
      </c>
      <c r="Z1319" s="1" t="str">
        <f>IFERROR(__xludf.DUMMYFUNCTION("""COMPUTED_VALUE"""),"97900-000")</f>
        <v>97900-000</v>
      </c>
      <c r="AA1319" s="1" t="str">
        <f>IFERROR(__xludf.DUMMYFUNCTION("""COMPUTED_VALUE"""),"ua General Daltro Filho, 400")</f>
        <v>ua General Daltro Filho, 400</v>
      </c>
      <c r="AB1319" s="1" t="str">
        <f>IFERROR(__xludf.DUMMYFUNCTION("""COMPUTED_VALUE"""),"Floresta")</f>
        <v>Floresta</v>
      </c>
      <c r="AC1319" s="1" t="str">
        <f>IFERROR(__xludf.DUMMYFUNCTION("""COMPUTED_VALUE"""),"M")</f>
        <v>M</v>
      </c>
      <c r="AD1319" s="1" t="str">
        <f>IFERROR(__xludf.DUMMYFUNCTION("""COMPUTED_VALUE"""),"M")</f>
        <v>M</v>
      </c>
      <c r="AE1319" s="1" t="str">
        <f>IFERROR(__xludf.DUMMYFUNCTION("""COMPUTED_VALUE"""),"G")</f>
        <v>G</v>
      </c>
      <c r="AF1319" s="1" t="str">
        <f>IFERROR(__xludf.DUMMYFUNCTION("""COMPUTED_VALUE"""),"G")</f>
        <v>G</v>
      </c>
      <c r="AG1319" s="1" t="str">
        <f>IFERROR(__xludf.DUMMYFUNCTION("""COMPUTED_VALUE"""),"M")</f>
        <v>M</v>
      </c>
      <c r="AH1319" s="1">
        <f>IFERROR(__xludf.DUMMYFUNCTION("""COMPUTED_VALUE"""),42)</f>
        <v>42</v>
      </c>
      <c r="AI1319" s="1">
        <f>IFERROR(__xludf.DUMMYFUNCTION("""COMPUTED_VALUE"""),42)</f>
        <v>42</v>
      </c>
      <c r="AJ1319" s="1">
        <f>IFERROR(__xludf.DUMMYFUNCTION("""COMPUTED_VALUE"""),42)</f>
        <v>42</v>
      </c>
      <c r="AK1319" s="1">
        <f>IFERROR(__xludf.DUMMYFUNCTION("""COMPUTED_VALUE"""),42)</f>
        <v>42</v>
      </c>
      <c r="AL1319" s="1" t="str">
        <f>IFERROR(__xludf.DUMMYFUNCTION("""COMPUTED_VALUE"""),"M")</f>
        <v>M</v>
      </c>
      <c r="AM1319" s="1" t="str">
        <f>IFERROR(__xludf.DUMMYFUNCTION("""COMPUTED_VALUE"""),"M")</f>
        <v>M</v>
      </c>
      <c r="AN1319" s="1" t="str">
        <f>IFERROR(__xludf.DUMMYFUNCTION("""COMPUTED_VALUE"""),"G")</f>
        <v>G</v>
      </c>
    </row>
    <row r="1320" customHeight="1" spans="1:40">
      <c r="A1320" s="1" t="str">
        <f>IFERROR(__xludf.DUMMYFUNCTION("""COMPUTED_VALUE"""),"11° BBM")</f>
        <v>11° BBM</v>
      </c>
      <c r="B1320" s="1" t="str">
        <f>IFERROR(__xludf.DUMMYFUNCTION("""COMPUTED_VALUE"""),"Três de Maio")</f>
        <v>Três de Maio</v>
      </c>
      <c r="C1320" s="119" t="str">
        <f>IFERROR(__xludf.DUMMYFUNCTION("""COMPUTED_VALUE"""),"Comunitario")</f>
        <v>Comunitario</v>
      </c>
      <c r="D1320" s="1" t="str">
        <f>IFERROR(__xludf.DUMMYFUNCTION("""COMPUTED_VALUE"""),"GERSON BENDER")</f>
        <v>GERSON BENDER</v>
      </c>
      <c r="E1320" s="119" t="str">
        <f>IFERROR(__xludf.DUMMYFUNCTION("""COMPUTED_VALUE"""),"")</f>
        <v/>
      </c>
      <c r="F1320" s="1" t="str">
        <f>IFERROR(__xludf.DUMMYFUNCTION("""COMPUTED_VALUE"""),"486.931.620-04")</f>
        <v>486.931.620-04</v>
      </c>
      <c r="G1320" s="1">
        <f>IFERROR(__xludf.DUMMYFUNCTION("""COMPUTED_VALUE"""),7036780299)</f>
        <v>7036780299</v>
      </c>
      <c r="H1320" s="1" t="str">
        <f>IFERROR(__xludf.DUMMYFUNCTION("""COMPUTED_VALUE"""),"Combatente, Socorrista e Auxiliar. VOLUNTÁRIO")</f>
        <v>Combatente, Socorrista e Auxiliar. VOLUNTÁRIO</v>
      </c>
      <c r="I1320" s="1" t="str">
        <f>IFERROR(__xludf.DUMMYFUNCTION("""COMPUTED_VALUE"""),"Curso de Técnica e Tática de Combate a Incêndio NÍVEL 1 e NÍVEL 2, Atendimento Pré Hospitalar, Atendimento Pré Hospitalar Difícil Acesso, Atendimento Pré Hospitalar Áreas Remotas, BREC, Curso de Guarda Vidas Aquático, Salvamento em Altura, Transporte de E"&amp;"mergência, Suporte Básico de Vida Adulto e Pediátrico.")</f>
        <v>Curso de Técnica e Tática de Combate a Incêndio NÍVEL 1 e NÍVEL 2, Atendimento Pré Hospitalar, Atendimento Pré Hospitalar Difícil Acesso, Atendimento Pré Hospitalar Áreas Remotas, BREC, Curso de Guarda Vidas Aquático, Salvamento em Altura, Transporte de Emergência, Suporte Básico de Vida Adulto e Pediátrico.</v>
      </c>
      <c r="J1320" s="1" t="str">
        <f>IFERROR(__xludf.DUMMYFUNCTION("""COMPUTED_VALUE"""),"Sim")</f>
        <v>Sim</v>
      </c>
      <c r="K1320" s="1" t="str">
        <f>IFERROR(__xludf.DUMMYFUNCTION("""COMPUTED_VALUE"""),"Não")</f>
        <v>Não</v>
      </c>
      <c r="L1320" s="1" t="str">
        <f>IFERROR(__xludf.DUMMYFUNCTION("""COMPUTED_VALUE"""),"O+")</f>
        <v>O+</v>
      </c>
      <c r="M1320" s="1" t="str">
        <f>IFERROR(__xludf.DUMMYFUNCTION("""COMPUTED_VALUE"""),"BENDER")</f>
        <v>BENDER</v>
      </c>
      <c r="N1320" s="120">
        <f>IFERROR(__xludf.DUMMYFUNCTION("""COMPUTED_VALUE"""),24875)</f>
        <v>24875</v>
      </c>
      <c r="O1320" s="1" t="str">
        <f>IFERROR(__xludf.DUMMYFUNCTION("""COMPUTED_VALUE"""),"Masculino")</f>
        <v>Masculino</v>
      </c>
      <c r="P1320" s="1" t="str">
        <f>IFERROR(__xludf.DUMMYFUNCTION("""COMPUTED_VALUE"""),"Branca")</f>
        <v>Branca</v>
      </c>
      <c r="Q1320" s="1" t="str">
        <f>IFERROR(__xludf.DUMMYFUNCTION("""COMPUTED_VALUE"""),"Ensino Médio")</f>
        <v>Ensino Médio</v>
      </c>
      <c r="R1320" s="1" t="str">
        <f>IFERROR(__xludf.DUMMYFUNCTION("""COMPUTED_VALUE"""),"elianebaiotto981@gmail.com")</f>
        <v>elianebaiotto981@gmail.com</v>
      </c>
      <c r="S1320" s="1">
        <f>IFERROR(__xludf.DUMMYFUNCTION("""COMPUTED_VALUE"""),82)</f>
        <v>82</v>
      </c>
      <c r="T1320" s="1" t="str">
        <f>IFERROR(__xludf.DUMMYFUNCTION("""COMPUTED_VALUE"""),"Entre 1,66m e 1,70m")</f>
        <v>Entre 1,66m e 1,70m</v>
      </c>
      <c r="U1320" s="1"/>
      <c r="V1320" s="1">
        <f>IFERROR(__xludf.DUMMYFUNCTION("""COMPUTED_VALUE"""),55991136888)</f>
        <v>55991136888</v>
      </c>
      <c r="W1320" s="1">
        <f>IFERROR(__xludf.DUMMYFUNCTION("""COMPUTED_VALUE"""),55996679570)</f>
        <v>55996679570</v>
      </c>
      <c r="X1320" s="1" t="str">
        <f>IFERROR(__xludf.DUMMYFUNCTION("""COMPUTED_VALUE"""),"RIO GRANDE DO SUL")</f>
        <v>RIO GRANDE DO SUL</v>
      </c>
      <c r="Y1320" s="1" t="str">
        <f>IFERROR(__xludf.DUMMYFUNCTION("""COMPUTED_VALUE"""),"Santa Rosa")</f>
        <v>Santa Rosa</v>
      </c>
      <c r="Z1320" s="1">
        <f>IFERROR(__xludf.DUMMYFUNCTION("""COMPUTED_VALUE"""),98792130)</f>
        <v>98792130</v>
      </c>
      <c r="AA1320" s="1" t="str">
        <f>IFERROR(__xludf.DUMMYFUNCTION("""COMPUTED_VALUE"""),"RUA SANTA ROSA")</f>
        <v>RUA SANTA ROSA</v>
      </c>
      <c r="AB1320" s="1" t="str">
        <f>IFERROR(__xludf.DUMMYFUNCTION("""COMPUTED_VALUE"""),"SÃO FRANCISCO")</f>
        <v>SÃO FRANCISCO</v>
      </c>
      <c r="AC1320" s="1" t="str">
        <f>IFERROR(__xludf.DUMMYFUNCTION("""COMPUTED_VALUE"""),"GG")</f>
        <v>GG</v>
      </c>
      <c r="AD1320" s="1" t="str">
        <f>IFERROR(__xludf.DUMMYFUNCTION("""COMPUTED_VALUE"""),"GG")</f>
        <v>GG</v>
      </c>
      <c r="AE1320" s="1" t="str">
        <f>IFERROR(__xludf.DUMMYFUNCTION("""COMPUTED_VALUE"""),"GG")</f>
        <v>GG</v>
      </c>
      <c r="AF1320" s="1" t="str">
        <f>IFERROR(__xludf.DUMMYFUNCTION("""COMPUTED_VALUE"""),"GG")</f>
        <v>GG</v>
      </c>
      <c r="AG1320" s="1" t="str">
        <f>IFERROR(__xludf.DUMMYFUNCTION("""COMPUTED_VALUE"""),"GG")</f>
        <v>GG</v>
      </c>
      <c r="AH1320" s="1">
        <f>IFERROR(__xludf.DUMMYFUNCTION("""COMPUTED_VALUE"""),39)</f>
        <v>39</v>
      </c>
      <c r="AI1320" s="1">
        <f>IFERROR(__xludf.DUMMYFUNCTION("""COMPUTED_VALUE"""),39)</f>
        <v>39</v>
      </c>
      <c r="AJ1320" s="1">
        <f>IFERROR(__xludf.DUMMYFUNCTION("""COMPUTED_VALUE"""),39)</f>
        <v>39</v>
      </c>
      <c r="AK1320" s="1">
        <f>IFERROR(__xludf.DUMMYFUNCTION("""COMPUTED_VALUE"""),39)</f>
        <v>39</v>
      </c>
      <c r="AL1320" s="1" t="str">
        <f>IFERROR(__xludf.DUMMYFUNCTION("""COMPUTED_VALUE"""),"GG")</f>
        <v>GG</v>
      </c>
      <c r="AM1320" s="1" t="str">
        <f>IFERROR(__xludf.DUMMYFUNCTION("""COMPUTED_VALUE"""),"GG")</f>
        <v>GG</v>
      </c>
      <c r="AN1320" s="1" t="str">
        <f>IFERROR(__xludf.DUMMYFUNCTION("""COMPUTED_VALUE"""),"G")</f>
        <v>G</v>
      </c>
    </row>
    <row r="1321" customHeight="1" spans="1:40">
      <c r="A1321" s="1" t="str">
        <f>IFERROR(__xludf.DUMMYFUNCTION("""COMPUTED_VALUE"""),"11° BBM")</f>
        <v>11° BBM</v>
      </c>
      <c r="B1321" s="1" t="str">
        <f>IFERROR(__xludf.DUMMYFUNCTION("""COMPUTED_VALUE"""),"Três de Maio")</f>
        <v>Três de Maio</v>
      </c>
      <c r="C1321" s="119" t="str">
        <f>IFERROR(__xludf.DUMMYFUNCTION("""COMPUTED_VALUE"""),"Comunitario")</f>
        <v>Comunitario</v>
      </c>
      <c r="D1321" s="1" t="str">
        <f>IFERROR(__xludf.DUMMYFUNCTION("""COMPUTED_VALUE"""),"GILBERTO DA SILVA DICKEL")</f>
        <v>GILBERTO DA SILVA DICKEL</v>
      </c>
      <c r="E1321" s="119"/>
      <c r="F1321" s="1" t="str">
        <f>IFERROR(__xludf.DUMMYFUNCTION("""COMPUTED_VALUE"""),"932.714.680-87")</f>
        <v>932.714.680-87</v>
      </c>
      <c r="G1321" s="1">
        <f>IFERROR(__xludf.DUMMYFUNCTION("""COMPUTED_VALUE"""),6063589748)</f>
        <v>6063589748</v>
      </c>
      <c r="H1321" s="1" t="str">
        <f>IFERROR(__xludf.DUMMYFUNCTION("""COMPUTED_VALUE"""),"Combatente, Socorrista e Auxiliar. VOLUNTÁRIO")</f>
        <v>Combatente, Socorrista e Auxiliar. VOLUNTÁRIO</v>
      </c>
      <c r="I1321" s="1" t="str">
        <f>IFERROR(__xludf.DUMMYFUNCTION("""COMPUTED_VALUE"""),"Curso de Técnica e Tática de Combate a Incêndio NÍVEL 1 e NÍVEL 2, Atendimento Pré Hospitalar, Atendimento Pré Hospitalar Difícil Acesso, Atendimento Pré Hospitalar Áreas Remotas, BREC, Curso de Guarda Vidas Aquático, Salvamento em Altura, Transporte de E"&amp;"mergência, Suporte Básico de Vida Adulto e Pediátrico.")</f>
        <v>Curso de Técnica e Tática de Combate a Incêndio NÍVEL 1 e NÍVEL 2, Atendimento Pré Hospitalar, Atendimento Pré Hospitalar Difícil Acesso, Atendimento Pré Hospitalar Áreas Remotas, BREC, Curso de Guarda Vidas Aquático, Salvamento em Altura, Transporte de Emergência, Suporte Básico de Vida Adulto e Pediátrico.</v>
      </c>
      <c r="J1321" s="1" t="str">
        <f>IFERROR(__xludf.DUMMYFUNCTION("""COMPUTED_VALUE"""),"Sim")</f>
        <v>Sim</v>
      </c>
      <c r="K1321" s="1" t="str">
        <f>IFERROR(__xludf.DUMMYFUNCTION("""COMPUTED_VALUE"""),"Não")</f>
        <v>Não</v>
      </c>
      <c r="L1321" s="1" t="str">
        <f>IFERROR(__xludf.DUMMYFUNCTION("""COMPUTED_VALUE"""),"O+")</f>
        <v>O+</v>
      </c>
      <c r="M1321" s="1" t="str">
        <f>IFERROR(__xludf.DUMMYFUNCTION("""COMPUTED_VALUE"""),"DICKEL")</f>
        <v>DICKEL</v>
      </c>
      <c r="N1321" s="120">
        <f>IFERROR(__xludf.DUMMYFUNCTION("""COMPUTED_VALUE"""),27766)</f>
        <v>27766</v>
      </c>
      <c r="O1321" s="1" t="str">
        <f>IFERROR(__xludf.DUMMYFUNCTION("""COMPUTED_VALUE"""),"Masculino")</f>
        <v>Masculino</v>
      </c>
      <c r="P1321" s="1" t="str">
        <f>IFERROR(__xludf.DUMMYFUNCTION("""COMPUTED_VALUE"""),"Branca")</f>
        <v>Branca</v>
      </c>
      <c r="Q1321" s="1" t="str">
        <f>IFERROR(__xludf.DUMMYFUNCTION("""COMPUTED_VALUE"""),"Ensino Médio")</f>
        <v>Ensino Médio</v>
      </c>
      <c r="R1321" s="1" t="str">
        <f>IFERROR(__xludf.DUMMYFUNCTION("""COMPUTED_VALUE"""),"rmiceiadickel@gmail.com")</f>
        <v>rmiceiadickel@gmail.com</v>
      </c>
      <c r="S1321" s="1">
        <f>IFERROR(__xludf.DUMMYFUNCTION("""COMPUTED_VALUE"""),66)</f>
        <v>66</v>
      </c>
      <c r="T1321" s="1" t="str">
        <f>IFERROR(__xludf.DUMMYFUNCTION("""COMPUTED_VALUE"""),"Entre 1,66m e 1,70m")</f>
        <v>Entre 1,66m e 1,70m</v>
      </c>
      <c r="U1321" s="1"/>
      <c r="V1321" s="1">
        <f>IFERROR(__xludf.DUMMYFUNCTION("""COMPUTED_VALUE"""),55996589827)</f>
        <v>55996589827</v>
      </c>
      <c r="W1321" s="1">
        <f>IFERROR(__xludf.DUMMYFUNCTION("""COMPUTED_VALUE"""),55996589827)</f>
        <v>55996589827</v>
      </c>
      <c r="X1321" s="1" t="str">
        <f>IFERROR(__xludf.DUMMYFUNCTION("""COMPUTED_VALUE"""),"RIO GRANDE DO SUL")</f>
        <v>RIO GRANDE DO SUL</v>
      </c>
      <c r="Y1321" s="1" t="str">
        <f>IFERROR(__xludf.DUMMYFUNCTION("""COMPUTED_VALUE"""),"Independência")</f>
        <v>Independência</v>
      </c>
      <c r="Z1321" s="1">
        <f>IFERROR(__xludf.DUMMYFUNCTION("""COMPUTED_VALUE"""),98915000)</f>
        <v>98915000</v>
      </c>
      <c r="AA1321" s="1" t="str">
        <f>IFERROR(__xludf.DUMMYFUNCTION("""COMPUTED_VALUE"""),"RUA MARECHAL DEODORO, 687")</f>
        <v>RUA MARECHAL DEODORO, 687</v>
      </c>
      <c r="AB1321" s="1" t="str">
        <f>IFERROR(__xludf.DUMMYFUNCTION("""COMPUTED_VALUE"""),"CENTRO")</f>
        <v>CENTRO</v>
      </c>
      <c r="AC1321" s="1" t="str">
        <f>IFERROR(__xludf.DUMMYFUNCTION("""COMPUTED_VALUE"""),"M")</f>
        <v>M</v>
      </c>
      <c r="AD1321" s="1" t="str">
        <f>IFERROR(__xludf.DUMMYFUNCTION("""COMPUTED_VALUE"""),"M")</f>
        <v>M</v>
      </c>
      <c r="AE1321" s="1" t="str">
        <f>IFERROR(__xludf.DUMMYFUNCTION("""COMPUTED_VALUE"""),"M")</f>
        <v>M</v>
      </c>
      <c r="AF1321" s="1" t="str">
        <f>IFERROR(__xludf.DUMMYFUNCTION("""COMPUTED_VALUE"""),"G")</f>
        <v>G</v>
      </c>
      <c r="AG1321" s="1" t="str">
        <f>IFERROR(__xludf.DUMMYFUNCTION("""COMPUTED_VALUE"""),"M")</f>
        <v>M</v>
      </c>
      <c r="AH1321" s="1">
        <f>IFERROR(__xludf.DUMMYFUNCTION("""COMPUTED_VALUE"""),42)</f>
        <v>42</v>
      </c>
      <c r="AI1321" s="1">
        <f>IFERROR(__xludf.DUMMYFUNCTION("""COMPUTED_VALUE"""),42)</f>
        <v>42</v>
      </c>
      <c r="AJ1321" s="1">
        <f>IFERROR(__xludf.DUMMYFUNCTION("""COMPUTED_VALUE"""),42)</f>
        <v>42</v>
      </c>
      <c r="AK1321" s="1">
        <f>IFERROR(__xludf.DUMMYFUNCTION("""COMPUTED_VALUE"""),42)</f>
        <v>42</v>
      </c>
      <c r="AL1321" s="1" t="str">
        <f>IFERROR(__xludf.DUMMYFUNCTION("""COMPUTED_VALUE"""),"M")</f>
        <v>M</v>
      </c>
      <c r="AM1321" s="1" t="str">
        <f>IFERROR(__xludf.DUMMYFUNCTION("""COMPUTED_VALUE"""),"M")</f>
        <v>M</v>
      </c>
      <c r="AN1321" s="1" t="str">
        <f>IFERROR(__xludf.DUMMYFUNCTION("""COMPUTED_VALUE"""),"G")</f>
        <v>G</v>
      </c>
    </row>
    <row r="1322" customHeight="1" spans="1:40">
      <c r="A1322" s="1" t="str">
        <f>IFERROR(__xludf.DUMMYFUNCTION("""COMPUTED_VALUE"""),"11° BBM")</f>
        <v>11° BBM</v>
      </c>
      <c r="B1322" s="1" t="str">
        <f>IFERROR(__xludf.DUMMYFUNCTION("""COMPUTED_VALUE"""),"Santo Cristo")</f>
        <v>Santo Cristo</v>
      </c>
      <c r="C1322" s="119" t="str">
        <f>IFERROR(__xludf.DUMMYFUNCTION("""COMPUTED_VALUE"""),"CAB")</f>
        <v>CAB</v>
      </c>
      <c r="D1322" s="1" t="str">
        <f>IFERROR(__xludf.DUMMYFUNCTION("""COMPUTED_VALUE"""),"GIOVANI ANDRÉ FROELICH")</f>
        <v>GIOVANI ANDRÉ FROELICH</v>
      </c>
      <c r="E1322" s="119" t="str">
        <f>IFERROR(__xludf.DUMMYFUNCTION("""COMPUTED_VALUE"""),"")</f>
        <v/>
      </c>
      <c r="F1322" s="1" t="str">
        <f>IFERROR(__xludf.DUMMYFUNCTION("""COMPUTED_VALUE"""),"010.199.670-84")</f>
        <v>010.199.670-84</v>
      </c>
      <c r="G1322" s="1">
        <f>IFERROR(__xludf.DUMMYFUNCTION("""COMPUTED_VALUE"""),9086950285)</f>
        <v>9086950285</v>
      </c>
      <c r="H1322" s="1" t="str">
        <f>IFERROR(__xludf.DUMMYFUNCTION("""COMPUTED_VALUE"""),"1º Tesoureiro")</f>
        <v>1º Tesoureiro</v>
      </c>
      <c r="I1322" s="1" t="str">
        <f>IFERROR(__xludf.DUMMYFUNCTION("""COMPUTED_VALUE"""),"Resgate em Altura, Resgate Terrestre, Resgate Veicular, Técnicas de Prevenção e Combate a Incêndio, Curso de APH, SBV.")</f>
        <v>Resgate em Altura, Resgate Terrestre, Resgate Veicular, Técnicas de Prevenção e Combate a Incêndio, Curso de APH, SBV.</v>
      </c>
      <c r="J1322" s="1" t="str">
        <f>IFERROR(__xludf.DUMMYFUNCTION("""COMPUTED_VALUE"""),"Sim")</f>
        <v>Sim</v>
      </c>
      <c r="K1322" s="1" t="str">
        <f>IFERROR(__xludf.DUMMYFUNCTION("""COMPUTED_VALUE"""),"Sim")</f>
        <v>Sim</v>
      </c>
      <c r="L1322" s="1" t="str">
        <f>IFERROR(__xludf.DUMMYFUNCTION("""COMPUTED_VALUE"""),"O+")</f>
        <v>O+</v>
      </c>
      <c r="M1322" s="1" t="str">
        <f>IFERROR(__xludf.DUMMYFUNCTION("""COMPUTED_VALUE"""),"CAB FROELICH")</f>
        <v>CAB FROELICH</v>
      </c>
      <c r="N1322" s="121">
        <f>IFERROR(__xludf.DUMMYFUNCTION("""COMPUTED_VALUE"""),31141)</f>
        <v>31141</v>
      </c>
      <c r="O1322" s="1" t="str">
        <f>IFERROR(__xludf.DUMMYFUNCTION("""COMPUTED_VALUE"""),"Masculino")</f>
        <v>Masculino</v>
      </c>
      <c r="P1322" s="1" t="str">
        <f>IFERROR(__xludf.DUMMYFUNCTION("""COMPUTED_VALUE"""),"Branca")</f>
        <v>Branca</v>
      </c>
      <c r="Q1322" s="1" t="str">
        <f>IFERROR(__xludf.DUMMYFUNCTION("""COMPUTED_VALUE"""),"Ensino Médio")</f>
        <v>Ensino Médio</v>
      </c>
      <c r="R1322" s="1" t="str">
        <f>IFERROR(__xludf.DUMMYFUNCTION("""COMPUTED_VALUE"""),"_giovani_froelich@outlook.com")</f>
        <v>_giovani_froelich@outlook.com</v>
      </c>
      <c r="S1322" s="1" t="str">
        <f>IFERROR(__xludf.DUMMYFUNCTION("""COMPUTED_VALUE"""),"98 Kg")</f>
        <v>98 Kg</v>
      </c>
      <c r="T1322" s="1" t="str">
        <f>IFERROR(__xludf.DUMMYFUNCTION("""COMPUTED_VALUE"""),"Entre 1,86m e 1,90m")</f>
        <v>Entre 1,86m e 1,90m</v>
      </c>
      <c r="U1322" s="1"/>
      <c r="V1322" s="1" t="str">
        <f>IFERROR(__xludf.DUMMYFUNCTION("""COMPUTED_VALUE"""),"55-996204234")</f>
        <v>55-996204234</v>
      </c>
      <c r="W1322" s="1"/>
      <c r="X1322" s="1" t="str">
        <f>IFERROR(__xludf.DUMMYFUNCTION("""COMPUTED_VALUE"""),"RS")</f>
        <v>RS</v>
      </c>
      <c r="Y1322" s="1" t="str">
        <f>IFERROR(__xludf.DUMMYFUNCTION("""COMPUTED_VALUE"""),"Santo Cristo")</f>
        <v>Santo Cristo</v>
      </c>
      <c r="Z1322" s="1" t="str">
        <f>IFERROR(__xludf.DUMMYFUNCTION("""COMPUTED_VALUE"""),"98960-000")</f>
        <v>98960-000</v>
      </c>
      <c r="AA1322" s="1" t="str">
        <f>IFERROR(__xludf.DUMMYFUNCTION("""COMPUTED_VALUE"""),"RUA JOAO STEFFEN, 96")</f>
        <v>RUA JOAO STEFFEN, 96</v>
      </c>
      <c r="AB1322" s="1" t="str">
        <f>IFERROR(__xludf.DUMMYFUNCTION("""COMPUTED_VALUE"""),"LA SALLE")</f>
        <v>LA SALLE</v>
      </c>
      <c r="AC1322" s="1" t="str">
        <f>IFERROR(__xludf.DUMMYFUNCTION("""COMPUTED_VALUE"""),"G")</f>
        <v>G</v>
      </c>
      <c r="AD1322" s="1" t="str">
        <f>IFERROR(__xludf.DUMMYFUNCTION("""COMPUTED_VALUE"""),"G")</f>
        <v>G</v>
      </c>
      <c r="AE1322" s="1" t="str">
        <f>IFERROR(__xludf.DUMMYFUNCTION("""COMPUTED_VALUE"""),"G")</f>
        <v>G</v>
      </c>
      <c r="AF1322" s="1" t="str">
        <f>IFERROR(__xludf.DUMMYFUNCTION("""COMPUTED_VALUE"""),"G")</f>
        <v>G</v>
      </c>
      <c r="AG1322" s="1" t="str">
        <f>IFERROR(__xludf.DUMMYFUNCTION("""COMPUTED_VALUE"""),"EXG")</f>
        <v>EXG</v>
      </c>
      <c r="AH1322" s="1">
        <f>IFERROR(__xludf.DUMMYFUNCTION("""COMPUTED_VALUE"""),42)</f>
        <v>42</v>
      </c>
      <c r="AI1322" s="1">
        <f>IFERROR(__xludf.DUMMYFUNCTION("""COMPUTED_VALUE"""),42)</f>
        <v>42</v>
      </c>
      <c r="AJ1322" s="1">
        <f>IFERROR(__xludf.DUMMYFUNCTION("""COMPUTED_VALUE"""),42)</f>
        <v>42</v>
      </c>
      <c r="AK1322" s="1">
        <f>IFERROR(__xludf.DUMMYFUNCTION("""COMPUTED_VALUE"""),42)</f>
        <v>42</v>
      </c>
      <c r="AL1322" s="1" t="str">
        <f>IFERROR(__xludf.DUMMYFUNCTION("""COMPUTED_VALUE"""),"G")</f>
        <v>G</v>
      </c>
      <c r="AM1322" s="1" t="str">
        <f>IFERROR(__xludf.DUMMYFUNCTION("""COMPUTED_VALUE"""),"G")</f>
        <v>G</v>
      </c>
      <c r="AN1322" s="1" t="str">
        <f>IFERROR(__xludf.DUMMYFUNCTION("""COMPUTED_VALUE"""),"G")</f>
        <v>G</v>
      </c>
    </row>
    <row r="1323" customHeight="1" spans="1:40">
      <c r="A1323" s="1"/>
      <c r="B1323" s="1"/>
      <c r="C1323" s="119"/>
      <c r="D1323" s="1" t="str">
        <f>IFERROR(__xludf.DUMMYFUNCTION("""COMPUTED_VALUE"""),"ISMAEL DOS SANTOS DE LEON")</f>
        <v>ISMAEL DOS SANTOS DE LEON</v>
      </c>
      <c r="E1323" s="119"/>
      <c r="F1323" s="1" t="str">
        <f>IFERROR(__xludf.DUMMYFUNCTION("""COMPUTED_VALUE"""),"712.314.800-25")</f>
        <v>712.314.800-25</v>
      </c>
      <c r="G1323" s="1"/>
      <c r="H1323" s="1"/>
      <c r="I1323" s="1"/>
      <c r="J1323" s="1"/>
      <c r="K1323" s="1"/>
      <c r="L1323" s="1"/>
      <c r="M1323" s="1"/>
      <c r="N1323" s="120"/>
      <c r="O1323" s="1"/>
      <c r="P1323" s="1"/>
      <c r="Q1323" s="1"/>
      <c r="R1323" s="1"/>
      <c r="S1323" s="1"/>
      <c r="T1323" s="1"/>
      <c r="U1323" s="1"/>
      <c r="V1323" s="1"/>
      <c r="W1323" s="1"/>
      <c r="X1323" s="1"/>
      <c r="Y1323" s="1"/>
      <c r="Z1323" s="1"/>
      <c r="AA1323" s="1"/>
      <c r="AB1323" s="1"/>
      <c r="AC1323" s="1"/>
      <c r="AD1323" s="1"/>
      <c r="AE1323" s="1"/>
      <c r="AF1323" s="1"/>
      <c r="AG1323" s="1"/>
      <c r="AH1323" s="1"/>
      <c r="AI1323" s="1"/>
      <c r="AJ1323" s="1"/>
      <c r="AK1323" s="1"/>
      <c r="AL1323" s="1"/>
      <c r="AM1323" s="1"/>
      <c r="AN1323" s="1"/>
    </row>
    <row r="1324" customHeight="1" spans="1:40">
      <c r="A1324" s="1" t="str">
        <f>IFERROR(__xludf.DUMMYFUNCTION("""COMPUTED_VALUE"""),"11° BBM")</f>
        <v>11° BBM</v>
      </c>
      <c r="B1324" s="1" t="str">
        <f>IFERROR(__xludf.DUMMYFUNCTION("""COMPUTED_VALUE"""),"Três de Maio")</f>
        <v>Três de Maio</v>
      </c>
      <c r="C1324" s="119" t="str">
        <f>IFERROR(__xludf.DUMMYFUNCTION("""COMPUTED_VALUE"""),"Comunitario")</f>
        <v>Comunitario</v>
      </c>
      <c r="D1324" s="1" t="str">
        <f>IFERROR(__xludf.DUMMYFUNCTION("""COMPUTED_VALUE"""),"JANIO DOUTEL FREITAS")</f>
        <v>JANIO DOUTEL FREITAS</v>
      </c>
      <c r="E1324" s="119" t="str">
        <f>IFERROR(__xludf.DUMMYFUNCTION("""COMPUTED_VALUE"""),"")</f>
        <v/>
      </c>
      <c r="F1324" s="1" t="str">
        <f>IFERROR(__xludf.DUMMYFUNCTION("""COMPUTED_VALUE"""),"682.942.800-97")</f>
        <v>682.942.800-97</v>
      </c>
      <c r="G1324" s="1">
        <f>IFERROR(__xludf.DUMMYFUNCTION("""COMPUTED_VALUE"""),8041445787)</f>
        <v>8041445787</v>
      </c>
      <c r="H1324" s="1" t="str">
        <f>IFERROR(__xludf.DUMMYFUNCTION("""COMPUTED_VALUE"""),"Combatente, Socorrista e Auxiliar. VOLUNTÁRIO")</f>
        <v>Combatente, Socorrista e Auxiliar. VOLUNTÁRIO</v>
      </c>
      <c r="I1324" s="1" t="str">
        <f>IFERROR(__xludf.DUMMYFUNCTION("""COMPUTED_VALUE"""),"nocoes basicas/combate/ABT")</f>
        <v>nocoes basicas/combate/ABT</v>
      </c>
      <c r="J1324" s="1" t="str">
        <f>IFERROR(__xludf.DUMMYFUNCTION("""COMPUTED_VALUE"""),"Sim")</f>
        <v>Sim</v>
      </c>
      <c r="K1324" s="1" t="str">
        <f>IFERROR(__xludf.DUMMYFUNCTION("""COMPUTED_VALUE"""),"Não")</f>
        <v>Não</v>
      </c>
      <c r="L1324" s="1" t="str">
        <f>IFERROR(__xludf.DUMMYFUNCTION("""COMPUTED_VALUE"""),"A+")</f>
        <v>A+</v>
      </c>
      <c r="M1324" s="1" t="str">
        <f>IFERROR(__xludf.DUMMYFUNCTION("""COMPUTED_VALUE"""),"FREITAS")</f>
        <v>FREITAS</v>
      </c>
      <c r="N1324" s="120">
        <f>IFERROR(__xludf.DUMMYFUNCTION("""COMPUTED_VALUE"""),25401)</f>
        <v>25401</v>
      </c>
      <c r="O1324" s="1" t="str">
        <f>IFERROR(__xludf.DUMMYFUNCTION("""COMPUTED_VALUE"""),"Masculino")</f>
        <v>Masculino</v>
      </c>
      <c r="P1324" s="1" t="str">
        <f>IFERROR(__xludf.DUMMYFUNCTION("""COMPUTED_VALUE"""),"Branca")</f>
        <v>Branca</v>
      </c>
      <c r="Q1324" s="1" t="str">
        <f>IFERROR(__xludf.DUMMYFUNCTION("""COMPUTED_VALUE"""),"Ensino Médio")</f>
        <v>Ensino Médio</v>
      </c>
      <c r="R1324" s="1" t="str">
        <f>IFERROR(__xludf.DUMMYFUNCTION("""COMPUTED_VALUE"""),"janiodoutelfreitas@gmail.com")</f>
        <v>janiodoutelfreitas@gmail.com</v>
      </c>
      <c r="S1324" s="1">
        <f>IFERROR(__xludf.DUMMYFUNCTION("""COMPUTED_VALUE"""),78)</f>
        <v>78</v>
      </c>
      <c r="T1324" s="1" t="str">
        <f>IFERROR(__xludf.DUMMYFUNCTION("""COMPUTED_VALUE"""),"Entre 1,66m e 1,70m")</f>
        <v>Entre 1,66m e 1,70m</v>
      </c>
      <c r="U1324" s="1"/>
      <c r="V1324" s="1">
        <f>IFERROR(__xludf.DUMMYFUNCTION("""COMPUTED_VALUE"""),55996693987)</f>
        <v>55996693987</v>
      </c>
      <c r="W1324" s="1">
        <f>IFERROR(__xludf.DUMMYFUNCTION("""COMPUTED_VALUE"""),55999960773)</f>
        <v>55999960773</v>
      </c>
      <c r="X1324" s="1" t="str">
        <f>IFERROR(__xludf.DUMMYFUNCTION("""COMPUTED_VALUE"""),"RIO GRANDE DO SUL")</f>
        <v>RIO GRANDE DO SUL</v>
      </c>
      <c r="Y1324" s="1" t="str">
        <f>IFERROR(__xludf.DUMMYFUNCTION("""COMPUTED_VALUE"""),"Crissiumal")</f>
        <v>Crissiumal</v>
      </c>
      <c r="Z1324" s="1">
        <f>IFERROR(__xludf.DUMMYFUNCTION("""COMPUTED_VALUE"""),98640000)</f>
        <v>98640000</v>
      </c>
      <c r="AA1324" s="1" t="str">
        <f>IFERROR(__xludf.DUMMYFUNCTION("""COMPUTED_VALUE"""),"RUA XV DE NOVEMBRO 839")</f>
        <v>RUA XV DE NOVEMBRO 839</v>
      </c>
      <c r="AB1324" s="1" t="str">
        <f>IFERROR(__xludf.DUMMYFUNCTION("""COMPUTED_VALUE"""),"CENTRO")</f>
        <v>CENTRO</v>
      </c>
      <c r="AC1324" s="1" t="str">
        <f>IFERROR(__xludf.DUMMYFUNCTION("""COMPUTED_VALUE"""),"G")</f>
        <v>G</v>
      </c>
      <c r="AD1324" s="1" t="str">
        <f>IFERROR(__xludf.DUMMYFUNCTION("""COMPUTED_VALUE"""),"G")</f>
        <v>G</v>
      </c>
      <c r="AE1324" s="1" t="str">
        <f>IFERROR(__xludf.DUMMYFUNCTION("""COMPUTED_VALUE"""),"G")</f>
        <v>G</v>
      </c>
      <c r="AF1324" s="1" t="str">
        <f>IFERROR(__xludf.DUMMYFUNCTION("""COMPUTED_VALUE"""),"G")</f>
        <v>G</v>
      </c>
      <c r="AG1324" s="1" t="str">
        <f>IFERROR(__xludf.DUMMYFUNCTION("""COMPUTED_VALUE"""),"G")</f>
        <v>G</v>
      </c>
      <c r="AH1324" s="1">
        <f>IFERROR(__xludf.DUMMYFUNCTION("""COMPUTED_VALUE"""),42)</f>
        <v>42</v>
      </c>
      <c r="AI1324" s="1">
        <f>IFERROR(__xludf.DUMMYFUNCTION("""COMPUTED_VALUE"""),42)</f>
        <v>42</v>
      </c>
      <c r="AJ1324" s="1">
        <f>IFERROR(__xludf.DUMMYFUNCTION("""COMPUTED_VALUE"""),42)</f>
        <v>42</v>
      </c>
      <c r="AK1324" s="1">
        <f>IFERROR(__xludf.DUMMYFUNCTION("""COMPUTED_VALUE"""),42)</f>
        <v>42</v>
      </c>
      <c r="AL1324" s="1" t="str">
        <f>IFERROR(__xludf.DUMMYFUNCTION("""COMPUTED_VALUE"""),"G")</f>
        <v>G</v>
      </c>
      <c r="AM1324" s="1" t="str">
        <f>IFERROR(__xludf.DUMMYFUNCTION("""COMPUTED_VALUE"""),"G")</f>
        <v>G</v>
      </c>
      <c r="AN1324" s="1" t="str">
        <f>IFERROR(__xludf.DUMMYFUNCTION("""COMPUTED_VALUE"""),"G")</f>
        <v>G</v>
      </c>
    </row>
    <row r="1325" customHeight="1" spans="1:40">
      <c r="A1325" s="1" t="str">
        <f>IFERROR(__xludf.DUMMYFUNCTION("""COMPUTED_VALUE"""),"11° BBM")</f>
        <v>11° BBM</v>
      </c>
      <c r="B1325" s="1" t="str">
        <f>IFERROR(__xludf.DUMMYFUNCTION("""COMPUTED_VALUE"""),"Três de Maio")</f>
        <v>Três de Maio</v>
      </c>
      <c r="C1325" s="119" t="str">
        <f>IFERROR(__xludf.DUMMYFUNCTION("""COMPUTED_VALUE"""),"Comunitario")</f>
        <v>Comunitario</v>
      </c>
      <c r="D1325" s="1" t="str">
        <f>IFERROR(__xludf.DUMMYFUNCTION("""COMPUTED_VALUE"""),"JARDEL VINICIUS BORGES DE BARROS")</f>
        <v>JARDEL VINICIUS BORGES DE BARROS</v>
      </c>
      <c r="E1325" s="119"/>
      <c r="F1325" s="1" t="str">
        <f>IFERROR(__xludf.DUMMYFUNCTION("""COMPUTED_VALUE"""),"032.200.710-07")</f>
        <v>032.200.710-07</v>
      </c>
      <c r="G1325" s="1">
        <f>IFERROR(__xludf.DUMMYFUNCTION("""COMPUTED_VALUE"""),7105167899)</f>
        <v>7105167899</v>
      </c>
      <c r="H1325" s="1" t="str">
        <f>IFERROR(__xludf.DUMMYFUNCTION("""COMPUTED_VALUE"""),"Combatente, Socorrista e Auxiliar. VOLUNTÁRIO")</f>
        <v>Combatente, Socorrista e Auxiliar. VOLUNTÁRIO</v>
      </c>
      <c r="I1325" s="1" t="str">
        <f>IFERROR(__xludf.DUMMYFUNCTION("""COMPUTED_VALUE"""),"nocoes basicas/combate/ABT")</f>
        <v>nocoes basicas/combate/ABT</v>
      </c>
      <c r="J1325" s="1" t="str">
        <f>IFERROR(__xludf.DUMMYFUNCTION("""COMPUTED_VALUE"""),"Sim")</f>
        <v>Sim</v>
      </c>
      <c r="K1325" s="1" t="str">
        <f>IFERROR(__xludf.DUMMYFUNCTION("""COMPUTED_VALUE"""),"Não")</f>
        <v>Não</v>
      </c>
      <c r="L1325" s="1" t="str">
        <f>IFERROR(__xludf.DUMMYFUNCTION("""COMPUTED_VALUE"""),"O+")</f>
        <v>O+</v>
      </c>
      <c r="M1325" s="1" t="str">
        <f>IFERROR(__xludf.DUMMYFUNCTION("""COMPUTED_VALUE"""),"BORGES")</f>
        <v>BORGES</v>
      </c>
      <c r="N1325" s="120">
        <f>IFERROR(__xludf.DUMMYFUNCTION("""COMPUTED_VALUE"""),33438)</f>
        <v>33438</v>
      </c>
      <c r="O1325" s="1" t="str">
        <f>IFERROR(__xludf.DUMMYFUNCTION("""COMPUTED_VALUE"""),"Masculino")</f>
        <v>Masculino</v>
      </c>
      <c r="P1325" s="1" t="str">
        <f>IFERROR(__xludf.DUMMYFUNCTION("""COMPUTED_VALUE"""),"Branca")</f>
        <v>Branca</v>
      </c>
      <c r="Q1325" s="1" t="str">
        <f>IFERROR(__xludf.DUMMYFUNCTION("""COMPUTED_VALUE"""),"Ensino Médio")</f>
        <v>Ensino Médio</v>
      </c>
      <c r="R1325" s="1" t="str">
        <f>IFERROR(__xludf.DUMMYFUNCTION("""COMPUTED_VALUE"""),"jardelborge649@gmail.com")</f>
        <v>jardelborge649@gmail.com</v>
      </c>
      <c r="S1325" s="1">
        <f>IFERROR(__xludf.DUMMYFUNCTION("""COMPUTED_VALUE"""),92)</f>
        <v>92</v>
      </c>
      <c r="T1325" s="1" t="str">
        <f>IFERROR(__xludf.DUMMYFUNCTION("""COMPUTED_VALUE"""),"Entre 1,81m e 1,85m")</f>
        <v>Entre 1,81m e 1,85m</v>
      </c>
      <c r="U1325" s="1"/>
      <c r="V1325" s="1">
        <f>IFERROR(__xludf.DUMMYFUNCTION("""COMPUTED_VALUE"""),55984187224)</f>
        <v>55984187224</v>
      </c>
      <c r="W1325" s="1">
        <f>IFERROR(__xludf.DUMMYFUNCTION("""COMPUTED_VALUE"""),55999189374)</f>
        <v>55999189374</v>
      </c>
      <c r="X1325" s="1" t="str">
        <f>IFERROR(__xludf.DUMMYFUNCTION("""COMPUTED_VALUE"""),"RIO GRANDE DO SUL")</f>
        <v>RIO GRANDE DO SUL</v>
      </c>
      <c r="Y1325" s="1" t="str">
        <f>IFERROR(__xludf.DUMMYFUNCTION("""COMPUTED_VALUE"""),"Independência")</f>
        <v>Independência</v>
      </c>
      <c r="Z1325" s="1">
        <f>IFERROR(__xludf.DUMMYFUNCTION("""COMPUTED_VALUE"""),98915000)</f>
        <v>98915000</v>
      </c>
      <c r="AA1325" s="1" t="str">
        <f>IFERROR(__xludf.DUMMYFUNCTION("""COMPUTED_VALUE"""),"RUA SÃO ROQUE, 594")</f>
        <v>RUA SÃO ROQUE, 594</v>
      </c>
      <c r="AB1325" s="1" t="str">
        <f>IFERROR(__xludf.DUMMYFUNCTION("""COMPUTED_VALUE"""),"CENTRO")</f>
        <v>CENTRO</v>
      </c>
      <c r="AC1325" s="1" t="str">
        <f>IFERROR(__xludf.DUMMYFUNCTION("""COMPUTED_VALUE"""),"G")</f>
        <v>G</v>
      </c>
      <c r="AD1325" s="1" t="str">
        <f>IFERROR(__xludf.DUMMYFUNCTION("""COMPUTED_VALUE"""),"G")</f>
        <v>G</v>
      </c>
      <c r="AE1325" s="1" t="str">
        <f>IFERROR(__xludf.DUMMYFUNCTION("""COMPUTED_VALUE"""),"G")</f>
        <v>G</v>
      </c>
      <c r="AF1325" s="1" t="str">
        <f>IFERROR(__xludf.DUMMYFUNCTION("""COMPUTED_VALUE"""),"G")</f>
        <v>G</v>
      </c>
      <c r="AG1325" s="1" t="str">
        <f>IFERROR(__xludf.DUMMYFUNCTION("""COMPUTED_VALUE"""),"G")</f>
        <v>G</v>
      </c>
      <c r="AH1325" s="1">
        <f>IFERROR(__xludf.DUMMYFUNCTION("""COMPUTED_VALUE"""),41)</f>
        <v>41</v>
      </c>
      <c r="AI1325" s="1">
        <f>IFERROR(__xludf.DUMMYFUNCTION("""COMPUTED_VALUE"""),41)</f>
        <v>41</v>
      </c>
      <c r="AJ1325" s="1">
        <f>IFERROR(__xludf.DUMMYFUNCTION("""COMPUTED_VALUE"""),41)</f>
        <v>41</v>
      </c>
      <c r="AK1325" s="1">
        <f>IFERROR(__xludf.DUMMYFUNCTION("""COMPUTED_VALUE"""),42)</f>
        <v>42</v>
      </c>
      <c r="AL1325" s="1" t="str">
        <f>IFERROR(__xludf.DUMMYFUNCTION("""COMPUTED_VALUE"""),"G")</f>
        <v>G</v>
      </c>
      <c r="AM1325" s="1" t="str">
        <f>IFERROR(__xludf.DUMMYFUNCTION("""COMPUTED_VALUE"""),"G")</f>
        <v>G</v>
      </c>
      <c r="AN1325" s="1" t="str">
        <f>IFERROR(__xludf.DUMMYFUNCTION("""COMPUTED_VALUE"""),"G")</f>
        <v>G</v>
      </c>
    </row>
    <row r="1326" customHeight="1" spans="1:40">
      <c r="A1326" s="1" t="str">
        <f>IFERROR(__xludf.DUMMYFUNCTION("""COMPUTED_VALUE"""),"11° BBM")</f>
        <v>11° BBM</v>
      </c>
      <c r="B1326" s="1" t="str">
        <f>IFERROR(__xludf.DUMMYFUNCTION("""COMPUTED_VALUE"""),"Santo Cristo")</f>
        <v>Santo Cristo</v>
      </c>
      <c r="C1326" s="119" t="str">
        <f>IFERROR(__xludf.DUMMYFUNCTION("""COMPUTED_VALUE"""),"CAB")</f>
        <v>CAB</v>
      </c>
      <c r="D1326" s="1" t="str">
        <f>IFERROR(__xludf.DUMMYFUNCTION("""COMPUTED_VALUE"""),"JOÃO HILARIO PUHL")</f>
        <v>JOÃO HILARIO PUHL</v>
      </c>
      <c r="E1326" s="119" t="str">
        <f>IFERROR(__xludf.DUMMYFUNCTION("""COMPUTED_VALUE"""),"")</f>
        <v/>
      </c>
      <c r="F1326" s="1" t="str">
        <f>IFERROR(__xludf.DUMMYFUNCTION("""COMPUTED_VALUE"""),"275.235.860-15")</f>
        <v>275.235.860-15</v>
      </c>
      <c r="G1326" s="1">
        <f>IFERROR(__xludf.DUMMYFUNCTION("""COMPUTED_VALUE"""),9011037174)</f>
        <v>9011037174</v>
      </c>
      <c r="H1326" s="1" t="str">
        <f>IFERROR(__xludf.DUMMYFUNCTION("""COMPUTED_VALUE"""),"COV")</f>
        <v>COV</v>
      </c>
      <c r="I1326" s="1" t="str">
        <f>IFERROR(__xludf.DUMMYFUNCTION("""COMPUTED_VALUE"""),"Resgate em Altura, Resgate Terrestre, Resgate Veicular, Técnicas de Prevenção e Combate a Incêndio")</f>
        <v>Resgate em Altura, Resgate Terrestre, Resgate Veicular, Técnicas de Prevenção e Combate a Incêndio</v>
      </c>
      <c r="J1326" s="1" t="str">
        <f>IFERROR(__xludf.DUMMYFUNCTION("""COMPUTED_VALUE"""),"Sim")</f>
        <v>Sim</v>
      </c>
      <c r="K1326" s="1" t="str">
        <f>IFERROR(__xludf.DUMMYFUNCTION("""COMPUTED_VALUE"""),"Sim")</f>
        <v>Sim</v>
      </c>
      <c r="L1326" s="1" t="str">
        <f>IFERROR(__xludf.DUMMYFUNCTION("""COMPUTED_VALUE"""),"A+")</f>
        <v>A+</v>
      </c>
      <c r="M1326" s="1" t="str">
        <f>IFERROR(__xludf.DUMMYFUNCTION("""COMPUTED_VALUE"""),"CAB PUHL")</f>
        <v>CAB PUHL</v>
      </c>
      <c r="N1326" s="120">
        <f>IFERROR(__xludf.DUMMYFUNCTION("""COMPUTED_VALUE"""),21309)</f>
        <v>21309</v>
      </c>
      <c r="O1326" s="1" t="str">
        <f>IFERROR(__xludf.DUMMYFUNCTION("""COMPUTED_VALUE"""),"Masculino")</f>
        <v>Masculino</v>
      </c>
      <c r="P1326" s="1" t="str">
        <f>IFERROR(__xludf.DUMMYFUNCTION("""COMPUTED_VALUE"""),"Branca")</f>
        <v>Branca</v>
      </c>
      <c r="Q1326" s="1" t="str">
        <f>IFERROR(__xludf.DUMMYFUNCTION("""COMPUTED_VALUE"""),"Ensino Médio")</f>
        <v>Ensino Médio</v>
      </c>
      <c r="R1326" s="1" t="str">
        <f>IFERROR(__xludf.DUMMYFUNCTION("""COMPUTED_VALUE"""),"ricardotchemilk@hotmail.com")</f>
        <v>ricardotchemilk@hotmail.com</v>
      </c>
      <c r="S1326" s="1" t="str">
        <f>IFERROR(__xludf.DUMMYFUNCTION("""COMPUTED_VALUE"""),"100 Kg")</f>
        <v>100 Kg</v>
      </c>
      <c r="T1326" s="1" t="str">
        <f>IFERROR(__xludf.DUMMYFUNCTION("""COMPUTED_VALUE"""),"Entre 1,76m e 1,80m")</f>
        <v>Entre 1,76m e 1,80m</v>
      </c>
      <c r="U1326" s="1"/>
      <c r="V1326" s="1" t="str">
        <f>IFERROR(__xludf.DUMMYFUNCTION("""COMPUTED_VALUE"""),"55-999304212")</f>
        <v>55-999304212</v>
      </c>
      <c r="W1326" s="1"/>
      <c r="X1326" s="1" t="str">
        <f>IFERROR(__xludf.DUMMYFUNCTION("""COMPUTED_VALUE"""),"RS")</f>
        <v>RS</v>
      </c>
      <c r="Y1326" s="1" t="str">
        <f>IFERROR(__xludf.DUMMYFUNCTION("""COMPUTED_VALUE"""),"Santo Cristo")</f>
        <v>Santo Cristo</v>
      </c>
      <c r="Z1326" s="1" t="str">
        <f>IFERROR(__xludf.DUMMYFUNCTION("""COMPUTED_VALUE"""),"98960-000")</f>
        <v>98960-000</v>
      </c>
      <c r="AA1326" s="1" t="str">
        <f>IFERROR(__xludf.DUMMYFUNCTION("""COMPUTED_VALUE"""),"LINHA REVOLTA")</f>
        <v>LINHA REVOLTA</v>
      </c>
      <c r="AB1326" s="1" t="str">
        <f>IFERROR(__xludf.DUMMYFUNCTION("""COMPUTED_VALUE"""),"LINHA REVOLTA")</f>
        <v>LINHA REVOLTA</v>
      </c>
      <c r="AC1326" s="1" t="str">
        <f>IFERROR(__xludf.DUMMYFUNCTION("""COMPUTED_VALUE"""),"EXG")</f>
        <v>EXG</v>
      </c>
      <c r="AD1326" s="1" t="str">
        <f>IFERROR(__xludf.DUMMYFUNCTION("""COMPUTED_VALUE"""),"EXG")</f>
        <v>EXG</v>
      </c>
      <c r="AE1326" s="1" t="str">
        <f>IFERROR(__xludf.DUMMYFUNCTION("""COMPUTED_VALUE"""),"EXG")</f>
        <v>EXG</v>
      </c>
      <c r="AF1326" s="1" t="str">
        <f>IFERROR(__xludf.DUMMYFUNCTION("""COMPUTED_VALUE"""),"EXG")</f>
        <v>EXG</v>
      </c>
      <c r="AG1326" s="1" t="str">
        <f>IFERROR(__xludf.DUMMYFUNCTION("""COMPUTED_VALUE"""),"G")</f>
        <v>G</v>
      </c>
      <c r="AH1326" s="1">
        <f>IFERROR(__xludf.DUMMYFUNCTION("""COMPUTED_VALUE"""),42)</f>
        <v>42</v>
      </c>
      <c r="AI1326" s="1">
        <f>IFERROR(__xludf.DUMMYFUNCTION("""COMPUTED_VALUE"""),42)</f>
        <v>42</v>
      </c>
      <c r="AJ1326" s="1">
        <f>IFERROR(__xludf.DUMMYFUNCTION("""COMPUTED_VALUE"""),42)</f>
        <v>42</v>
      </c>
      <c r="AK1326" s="1">
        <f>IFERROR(__xludf.DUMMYFUNCTION("""COMPUTED_VALUE"""),42)</f>
        <v>42</v>
      </c>
      <c r="AL1326" s="1" t="str">
        <f>IFERROR(__xludf.DUMMYFUNCTION("""COMPUTED_VALUE"""),"EXG")</f>
        <v>EXG</v>
      </c>
      <c r="AM1326" s="1" t="str">
        <f>IFERROR(__xludf.DUMMYFUNCTION("""COMPUTED_VALUE"""),"EXG")</f>
        <v>EXG</v>
      </c>
      <c r="AN1326" s="1" t="str">
        <f>IFERROR(__xludf.DUMMYFUNCTION("""COMPUTED_VALUE"""),"G")</f>
        <v>G</v>
      </c>
    </row>
    <row r="1327" customHeight="1" spans="1:40">
      <c r="A1327" s="1" t="str">
        <f>IFERROR(__xludf.DUMMYFUNCTION("""COMPUTED_VALUE"""),"11° BBM")</f>
        <v>11° BBM</v>
      </c>
      <c r="B1327" s="1" t="str">
        <f>IFERROR(__xludf.DUMMYFUNCTION("""COMPUTED_VALUE"""),"Três de Maio")</f>
        <v>Três de Maio</v>
      </c>
      <c r="C1327" s="119" t="str">
        <f>IFERROR(__xludf.DUMMYFUNCTION("""COMPUTED_VALUE"""),"Comunitario")</f>
        <v>Comunitario</v>
      </c>
      <c r="D1327" s="1" t="str">
        <f>IFERROR(__xludf.DUMMYFUNCTION("""COMPUTED_VALUE"""),"JORGE JAIR GOIS DOS SANTOS")</f>
        <v>JORGE JAIR GOIS DOS SANTOS</v>
      </c>
      <c r="E1327" s="119"/>
      <c r="F1327" s="1" t="str">
        <f>IFERROR(__xludf.DUMMYFUNCTION("""COMPUTED_VALUE"""),"576.868.150-72")</f>
        <v>576.868.150-72</v>
      </c>
      <c r="G1327" s="1">
        <f>IFERROR(__xludf.DUMMYFUNCTION("""COMPUTED_VALUE"""),1041545144)</f>
        <v>1041545144</v>
      </c>
      <c r="H1327" s="1" t="str">
        <f>IFERROR(__xludf.DUMMYFUNCTION("""COMPUTED_VALUE"""),"Combatente, Socorrista e Auxiliar. VOLUNTÁRIO")</f>
        <v>Combatente, Socorrista e Auxiliar. VOLUNTÁRIO</v>
      </c>
      <c r="I1327" s="1" t="str">
        <f>IFERROR(__xludf.DUMMYFUNCTION("""COMPUTED_VALUE"""),"nocoes basicas/combate/ABT")</f>
        <v>nocoes basicas/combate/ABT</v>
      </c>
      <c r="J1327" s="1" t="str">
        <f>IFERROR(__xludf.DUMMYFUNCTION("""COMPUTED_VALUE"""),"Sim")</f>
        <v>Sim</v>
      </c>
      <c r="K1327" s="1" t="str">
        <f>IFERROR(__xludf.DUMMYFUNCTION("""COMPUTED_VALUE"""),"Não")</f>
        <v>Não</v>
      </c>
      <c r="L1327" s="1" t="str">
        <f>IFERROR(__xludf.DUMMYFUNCTION("""COMPUTED_VALUE"""),"A+")</f>
        <v>A+</v>
      </c>
      <c r="M1327" s="1" t="str">
        <f>IFERROR(__xludf.DUMMYFUNCTION("""COMPUTED_VALUE"""),"GÓIS")</f>
        <v>GÓIS</v>
      </c>
      <c r="N1327" s="120">
        <f>IFERROR(__xludf.DUMMYFUNCTION("""COMPUTED_VALUE"""),26279)</f>
        <v>26279</v>
      </c>
      <c r="O1327" s="1" t="str">
        <f>IFERROR(__xludf.DUMMYFUNCTION("""COMPUTED_VALUE"""),"Masculino")</f>
        <v>Masculino</v>
      </c>
      <c r="P1327" s="1" t="str">
        <f>IFERROR(__xludf.DUMMYFUNCTION("""COMPUTED_VALUE"""),"Morena")</f>
        <v>Morena</v>
      </c>
      <c r="Q1327" s="1" t="str">
        <f>IFERROR(__xludf.DUMMYFUNCTION("""COMPUTED_VALUE"""),"Ensino Superior Completo")</f>
        <v>Ensino Superior Completo</v>
      </c>
      <c r="R1327" s="1" t="str">
        <f>IFERROR(__xludf.DUMMYFUNCTION("""COMPUTED_VALUE"""),"jorgegoisdossantos1@gmail.com")</f>
        <v>jorgegoisdossantos1@gmail.com</v>
      </c>
      <c r="S1327" s="1">
        <f>IFERROR(__xludf.DUMMYFUNCTION("""COMPUTED_VALUE"""),116)</f>
        <v>116</v>
      </c>
      <c r="T1327" s="1" t="str">
        <f>IFERROR(__xludf.DUMMYFUNCTION("""COMPUTED_VALUE"""),"Entre 1,81m e 1,85m")</f>
        <v>Entre 1,81m e 1,85m</v>
      </c>
      <c r="U1327" s="1"/>
      <c r="V1327" s="1">
        <f>IFERROR(__xludf.DUMMYFUNCTION("""COMPUTED_VALUE"""),55999440942)</f>
        <v>55999440942</v>
      </c>
      <c r="W1327" s="1">
        <f>IFERROR(__xludf.DUMMYFUNCTION("""COMPUTED_VALUE"""),55991471025)</f>
        <v>55991471025</v>
      </c>
      <c r="X1327" s="1" t="str">
        <f>IFERROR(__xludf.DUMMYFUNCTION("""COMPUTED_VALUE"""),"RIO GRANDE DO SUL")</f>
        <v>RIO GRANDE DO SUL</v>
      </c>
      <c r="Y1327" s="1" t="str">
        <f>IFERROR(__xludf.DUMMYFUNCTION("""COMPUTED_VALUE"""),"Três de Maio")</f>
        <v>Três de Maio</v>
      </c>
      <c r="Z1327" s="1">
        <f>IFERROR(__xludf.DUMMYFUNCTION("""COMPUTED_VALUE"""),98910000)</f>
        <v>98910000</v>
      </c>
      <c r="AA1327" s="1" t="str">
        <f>IFERROR(__xludf.DUMMYFUNCTION("""COMPUTED_VALUE"""),"RUA CARLOS GOMES, 360")</f>
        <v>RUA CARLOS GOMES, 360</v>
      </c>
      <c r="AB1327" s="1" t="str">
        <f>IFERROR(__xludf.DUMMYFUNCTION("""COMPUTED_VALUE"""),"LARANJEIRAS")</f>
        <v>LARANJEIRAS</v>
      </c>
      <c r="AC1327" s="1" t="str">
        <f>IFERROR(__xludf.DUMMYFUNCTION("""COMPUTED_VALUE"""),"EXG")</f>
        <v>EXG</v>
      </c>
      <c r="AD1327" s="1" t="str">
        <f>IFERROR(__xludf.DUMMYFUNCTION("""COMPUTED_VALUE"""),"GG")</f>
        <v>GG</v>
      </c>
      <c r="AE1327" s="1" t="str">
        <f>IFERROR(__xludf.DUMMYFUNCTION("""COMPUTED_VALUE"""),"EXG")</f>
        <v>EXG</v>
      </c>
      <c r="AF1327" s="1" t="str">
        <f>IFERROR(__xludf.DUMMYFUNCTION("""COMPUTED_VALUE"""),"EXG")</f>
        <v>EXG</v>
      </c>
      <c r="AG1327" s="1" t="str">
        <f>IFERROR(__xludf.DUMMYFUNCTION("""COMPUTED_VALUE"""),"EXG")</f>
        <v>EXG</v>
      </c>
      <c r="AH1327" s="1">
        <f>IFERROR(__xludf.DUMMYFUNCTION("""COMPUTED_VALUE"""),42)</f>
        <v>42</v>
      </c>
      <c r="AI1327" s="1">
        <f>IFERROR(__xludf.DUMMYFUNCTION("""COMPUTED_VALUE"""),42)</f>
        <v>42</v>
      </c>
      <c r="AJ1327" s="1">
        <f>IFERROR(__xludf.DUMMYFUNCTION("""COMPUTED_VALUE"""),42)</f>
        <v>42</v>
      </c>
      <c r="AK1327" s="1">
        <f>IFERROR(__xludf.DUMMYFUNCTION("""COMPUTED_VALUE"""),42)</f>
        <v>42</v>
      </c>
      <c r="AL1327" s="1" t="str">
        <f>IFERROR(__xludf.DUMMYFUNCTION("""COMPUTED_VALUE"""),"EXG")</f>
        <v>EXG</v>
      </c>
      <c r="AM1327" s="1" t="str">
        <f>IFERROR(__xludf.DUMMYFUNCTION("""COMPUTED_VALUE"""),"EXG")</f>
        <v>EXG</v>
      </c>
      <c r="AN1327" s="1" t="str">
        <f>IFERROR(__xludf.DUMMYFUNCTION("""COMPUTED_VALUE"""),"G")</f>
        <v>G</v>
      </c>
    </row>
    <row r="1328" customHeight="1" spans="1:40">
      <c r="A1328" s="1" t="str">
        <f>IFERROR(__xludf.DUMMYFUNCTION("""COMPUTED_VALUE"""),"11° BBM")</f>
        <v>11° BBM</v>
      </c>
      <c r="B1328" s="1" t="str">
        <f>IFERROR(__xludf.DUMMYFUNCTION("""COMPUTED_VALUE"""),"Cerro Largo")</f>
        <v>Cerro Largo</v>
      </c>
      <c r="C1328" s="119" t="str">
        <f>IFERROR(__xludf.DUMMYFUNCTION("""COMPUTED_VALUE"""),"CAB")</f>
        <v>CAB</v>
      </c>
      <c r="D1328" s="1" t="str">
        <f>IFERROR(__xludf.DUMMYFUNCTION("""COMPUTED_VALUE"""),"JULIANA DA SILVA VIEIRA")</f>
        <v>JULIANA DA SILVA VIEIRA</v>
      </c>
      <c r="E1328" s="119" t="str">
        <f>IFERROR(__xludf.DUMMYFUNCTION("""COMPUTED_VALUE"""),"")</f>
        <v/>
      </c>
      <c r="F1328" s="1" t="str">
        <f>IFERROR(__xludf.DUMMYFUNCTION("""COMPUTED_VALUE"""),"006.980.260-20")</f>
        <v>006.980.260-20</v>
      </c>
      <c r="G1328" s="1">
        <f>IFERROR(__xludf.DUMMYFUNCTION("""COMPUTED_VALUE"""),4069446856)</f>
        <v>4069446856</v>
      </c>
      <c r="H1328" s="1" t="str">
        <f>IFERROR(__xludf.DUMMYFUNCTION("""COMPUTED_VALUE"""),"COMBATENTE/SOCORRISTA")</f>
        <v>COMBATENTE/SOCORRISTA</v>
      </c>
      <c r="I1328" s="1" t="str">
        <f>IFERROR(__xludf.DUMMYFUNCTION("""COMPUTED_VALUE"""),"Técnicas de Prevenção e Combate a Incêndio, APH, BLS,SBV")</f>
        <v>Técnicas de Prevenção e Combate a Incêndio, APH, BLS,SBV</v>
      </c>
      <c r="J1328" s="1" t="str">
        <f>IFERROR(__xludf.DUMMYFUNCTION("""COMPUTED_VALUE"""),"Sim")</f>
        <v>Sim</v>
      </c>
      <c r="K1328" s="1" t="str">
        <f>IFERROR(__xludf.DUMMYFUNCTION("""COMPUTED_VALUE"""),"Não")</f>
        <v>Não</v>
      </c>
      <c r="L1328" s="1" t="str">
        <f>IFERROR(__xludf.DUMMYFUNCTION("""COMPUTED_VALUE"""),"O+")</f>
        <v>O+</v>
      </c>
      <c r="M1328" s="1" t="str">
        <f>IFERROR(__xludf.DUMMYFUNCTION("""COMPUTED_VALUE"""),"CAB JULIANA")</f>
        <v>CAB JULIANA</v>
      </c>
      <c r="N1328" s="125">
        <f>IFERROR(__xludf.DUMMYFUNCTION("""COMPUTED_VALUE"""),27946)</f>
        <v>27946</v>
      </c>
      <c r="O1328" s="1" t="str">
        <f>IFERROR(__xludf.DUMMYFUNCTION("""COMPUTED_VALUE"""),"Feminino")</f>
        <v>Feminino</v>
      </c>
      <c r="P1328" s="1" t="str">
        <f>IFERROR(__xludf.DUMMYFUNCTION("""COMPUTED_VALUE"""),"Parda")</f>
        <v>Parda</v>
      </c>
      <c r="Q1328" s="1" t="str">
        <f>IFERROR(__xludf.DUMMYFUNCTION("""COMPUTED_VALUE"""),"Ensino Superior Completo")</f>
        <v>Ensino Superior Completo</v>
      </c>
      <c r="R1328" s="1" t="str">
        <f>IFERROR(__xludf.DUMMYFUNCTION("""COMPUTED_VALUE"""),"julianavieira62@yahoo.com.br")</f>
        <v>julianavieira62@yahoo.com.br</v>
      </c>
      <c r="S1328" s="1" t="str">
        <f>IFERROR(__xludf.DUMMYFUNCTION("""COMPUTED_VALUE"""),"70 Kg")</f>
        <v>70 Kg</v>
      </c>
      <c r="T1328" s="1" t="str">
        <f>IFERROR(__xludf.DUMMYFUNCTION("""COMPUTED_VALUE"""),"Entre 1,66m e 1,70m")</f>
        <v>Entre 1,66m e 1,70m</v>
      </c>
      <c r="U1328" s="1"/>
      <c r="V1328" s="1" t="str">
        <f>IFERROR(__xludf.DUMMYFUNCTION("""COMPUTED_VALUE"""),"(55)996648092")</f>
        <v>(55)996648092</v>
      </c>
      <c r="W1328" s="1" t="str">
        <f>IFERROR(__xludf.DUMMYFUNCTION("""COMPUTED_VALUE"""),"(55)996648092")</f>
        <v>(55)996648092</v>
      </c>
      <c r="X1328" s="1" t="str">
        <f>IFERROR(__xludf.DUMMYFUNCTION("""COMPUTED_VALUE"""),"RS")</f>
        <v>RS</v>
      </c>
      <c r="Y1328" s="1" t="str">
        <f>IFERROR(__xludf.DUMMYFUNCTION("""COMPUTED_VALUE"""),"Cerro Largo")</f>
        <v>Cerro Largo</v>
      </c>
      <c r="Z1328" s="1" t="str">
        <f>IFERROR(__xludf.DUMMYFUNCTION("""COMPUTED_VALUE"""),"97900-000")</f>
        <v>97900-000</v>
      </c>
      <c r="AA1328" s="1" t="str">
        <f>IFERROR(__xludf.DUMMYFUNCTION("""COMPUTED_VALUE"""),"Rua José Inacio Chardong")</f>
        <v>Rua José Inacio Chardong</v>
      </c>
      <c r="AB1328" s="1" t="str">
        <f>IFERROR(__xludf.DUMMYFUNCTION("""COMPUTED_VALUE"""),"CIEP")</f>
        <v>CIEP</v>
      </c>
      <c r="AC1328" s="1" t="str">
        <f>IFERROR(__xludf.DUMMYFUNCTION("""COMPUTED_VALUE"""),"M")</f>
        <v>M</v>
      </c>
      <c r="AD1328" s="1" t="str">
        <f>IFERROR(__xludf.DUMMYFUNCTION("""COMPUTED_VALUE"""),"M")</f>
        <v>M</v>
      </c>
      <c r="AE1328" s="1" t="str">
        <f>IFERROR(__xludf.DUMMYFUNCTION("""COMPUTED_VALUE"""),"M")</f>
        <v>M</v>
      </c>
      <c r="AF1328" s="1" t="str">
        <f>IFERROR(__xludf.DUMMYFUNCTION("""COMPUTED_VALUE"""),"M")</f>
        <v>M</v>
      </c>
      <c r="AG1328" s="1" t="str">
        <f>IFERROR(__xludf.DUMMYFUNCTION("""COMPUTED_VALUE"""),"G")</f>
        <v>G</v>
      </c>
      <c r="AH1328" s="1">
        <f>IFERROR(__xludf.DUMMYFUNCTION("""COMPUTED_VALUE"""),37)</f>
        <v>37</v>
      </c>
      <c r="AI1328" s="1">
        <f>IFERROR(__xludf.DUMMYFUNCTION("""COMPUTED_VALUE"""),37)</f>
        <v>37</v>
      </c>
      <c r="AJ1328" s="1">
        <f>IFERROR(__xludf.DUMMYFUNCTION("""COMPUTED_VALUE"""),37)</f>
        <v>37</v>
      </c>
      <c r="AK1328" s="1">
        <f>IFERROR(__xludf.DUMMYFUNCTION("""COMPUTED_VALUE"""),37)</f>
        <v>37</v>
      </c>
      <c r="AL1328" s="1" t="str">
        <f>IFERROR(__xludf.DUMMYFUNCTION("""COMPUTED_VALUE"""),"M")</f>
        <v>M</v>
      </c>
      <c r="AM1328" s="1" t="str">
        <f>IFERROR(__xludf.DUMMYFUNCTION("""COMPUTED_VALUE"""),"M")</f>
        <v>M</v>
      </c>
      <c r="AN1328" s="1" t="str">
        <f>IFERROR(__xludf.DUMMYFUNCTION("""COMPUTED_VALUE"""),"M")</f>
        <v>M</v>
      </c>
    </row>
    <row r="1329" customHeight="1" spans="1:40">
      <c r="A1329" s="1" t="str">
        <f>IFERROR(__xludf.DUMMYFUNCTION("""COMPUTED_VALUE"""),"11° BBM")</f>
        <v>11° BBM</v>
      </c>
      <c r="B1329" s="1" t="str">
        <f>IFERROR(__xludf.DUMMYFUNCTION("""COMPUTED_VALUE"""),"Santo Cristo")</f>
        <v>Santo Cristo</v>
      </c>
      <c r="C1329" s="119" t="str">
        <f>IFERROR(__xludf.DUMMYFUNCTION("""COMPUTED_VALUE"""),"CAB")</f>
        <v>CAB</v>
      </c>
      <c r="D1329" s="1" t="str">
        <f>IFERROR(__xludf.DUMMYFUNCTION("""COMPUTED_VALUE"""),"JUNIOR BAMBERG")</f>
        <v>JUNIOR BAMBERG</v>
      </c>
      <c r="E1329" s="119" t="str">
        <f>IFERROR(__xludf.DUMMYFUNCTION("""COMPUTED_VALUE"""),"")</f>
        <v/>
      </c>
      <c r="F1329" s="1" t="str">
        <f>IFERROR(__xludf.DUMMYFUNCTION("""COMPUTED_VALUE"""),"026.109.240-51")</f>
        <v>026.109.240-51</v>
      </c>
      <c r="G1329" s="1">
        <f>IFERROR(__xludf.DUMMYFUNCTION("""COMPUTED_VALUE"""),6092764494)</f>
        <v>6092764494</v>
      </c>
      <c r="H1329" s="1" t="str">
        <f>IFERROR(__xludf.DUMMYFUNCTION("""COMPUTED_VALUE"""),"2º Secretário")</f>
        <v>2º Secretário</v>
      </c>
      <c r="I1329" s="1" t="str">
        <f>IFERROR(__xludf.DUMMYFUNCTION("""COMPUTED_VALUE"""),"Resgate em Altura, Resgate Terrestre, Resgate Veicular, Técnicas de Prevenção e Combate a Incêndio")</f>
        <v>Resgate em Altura, Resgate Terrestre, Resgate Veicular, Técnicas de Prevenção e Combate a Incêndio</v>
      </c>
      <c r="J1329" s="1" t="str">
        <f>IFERROR(__xludf.DUMMYFUNCTION("""COMPUTED_VALUE"""),"Sim")</f>
        <v>Sim</v>
      </c>
      <c r="K1329" s="1" t="str">
        <f>IFERROR(__xludf.DUMMYFUNCTION("""COMPUTED_VALUE"""),"Sim")</f>
        <v>Sim</v>
      </c>
      <c r="L1329" s="1" t="str">
        <f>IFERROR(__xludf.DUMMYFUNCTION("""COMPUTED_VALUE"""),"O+")</f>
        <v>O+</v>
      </c>
      <c r="M1329" s="1" t="str">
        <f>IFERROR(__xludf.DUMMYFUNCTION("""COMPUTED_VALUE"""),"CAB JUNIOR")</f>
        <v>CAB JUNIOR</v>
      </c>
      <c r="N1329" s="120">
        <f>IFERROR(__xludf.DUMMYFUNCTION("""COMPUTED_VALUE"""),32940)</f>
        <v>32940</v>
      </c>
      <c r="O1329" s="1" t="str">
        <f>IFERROR(__xludf.DUMMYFUNCTION("""COMPUTED_VALUE"""),"Masculino")</f>
        <v>Masculino</v>
      </c>
      <c r="P1329" s="1" t="str">
        <f>IFERROR(__xludf.DUMMYFUNCTION("""COMPUTED_VALUE"""),"Branca")</f>
        <v>Branca</v>
      </c>
      <c r="Q1329" s="1" t="str">
        <f>IFERROR(__xludf.DUMMYFUNCTION("""COMPUTED_VALUE"""),"Ensino Superior Completo")</f>
        <v>Ensino Superior Completo</v>
      </c>
      <c r="R1329" s="1" t="str">
        <f>IFERROR(__xludf.DUMMYFUNCTION("""COMPUTED_VALUE"""),"ricardotchemilk@hotmail.com")</f>
        <v>ricardotchemilk@hotmail.com</v>
      </c>
      <c r="S1329" s="1" t="str">
        <f>IFERROR(__xludf.DUMMYFUNCTION("""COMPUTED_VALUE"""),"70 Kg")</f>
        <v>70 Kg</v>
      </c>
      <c r="T1329" s="1" t="str">
        <f>IFERROR(__xludf.DUMMYFUNCTION("""COMPUTED_VALUE"""),"Entre 1,66m e 1,70m")</f>
        <v>Entre 1,66m e 1,70m</v>
      </c>
      <c r="U1329" s="1"/>
      <c r="V1329" s="1" t="str">
        <f>IFERROR(__xludf.DUMMYFUNCTION("""COMPUTED_VALUE"""),"55-996599696")</f>
        <v>55-996599696</v>
      </c>
      <c r="W1329" s="1"/>
      <c r="X1329" s="1" t="str">
        <f>IFERROR(__xludf.DUMMYFUNCTION("""COMPUTED_VALUE"""),"RS")</f>
        <v>RS</v>
      </c>
      <c r="Y1329" s="1" t="str">
        <f>IFERROR(__xludf.DUMMYFUNCTION("""COMPUTED_VALUE"""),"Santo Cristo")</f>
        <v>Santo Cristo</v>
      </c>
      <c r="Z1329" s="1" t="str">
        <f>IFERROR(__xludf.DUMMYFUNCTION("""COMPUTED_VALUE"""),"98960-000")</f>
        <v>98960-000</v>
      </c>
      <c r="AA1329" s="1" t="str">
        <f>IFERROR(__xludf.DUMMYFUNCTION("""COMPUTED_VALUE"""),"Rua Wilibaldo kolling, 217")</f>
        <v>Rua Wilibaldo kolling, 217</v>
      </c>
      <c r="AB1329" s="1" t="str">
        <f>IFERROR(__xludf.DUMMYFUNCTION("""COMPUTED_VALUE"""),"SAO CRISTOVAO")</f>
        <v>SAO CRISTOVAO</v>
      </c>
      <c r="AC1329" s="1" t="str">
        <f>IFERROR(__xludf.DUMMYFUNCTION("""COMPUTED_VALUE"""),"M")</f>
        <v>M</v>
      </c>
      <c r="AD1329" s="1" t="str">
        <f>IFERROR(__xludf.DUMMYFUNCTION("""COMPUTED_VALUE"""),"G")</f>
        <v>G</v>
      </c>
      <c r="AE1329" s="1" t="str">
        <f>IFERROR(__xludf.DUMMYFUNCTION("""COMPUTED_VALUE"""),"G")</f>
        <v>G</v>
      </c>
      <c r="AF1329" s="1" t="str">
        <f>IFERROR(__xludf.DUMMYFUNCTION("""COMPUTED_VALUE"""),"G")</f>
        <v>G</v>
      </c>
      <c r="AG1329" s="1" t="str">
        <f>IFERROR(__xludf.DUMMYFUNCTION("""COMPUTED_VALUE"""),"G")</f>
        <v>G</v>
      </c>
      <c r="AH1329" s="1">
        <f>IFERROR(__xludf.DUMMYFUNCTION("""COMPUTED_VALUE"""),41)</f>
        <v>41</v>
      </c>
      <c r="AI1329" s="1">
        <f>IFERROR(__xludf.DUMMYFUNCTION("""COMPUTED_VALUE"""),41)</f>
        <v>41</v>
      </c>
      <c r="AJ1329" s="1">
        <f>IFERROR(__xludf.DUMMYFUNCTION("""COMPUTED_VALUE"""),41)</f>
        <v>41</v>
      </c>
      <c r="AK1329" s="1">
        <f>IFERROR(__xludf.DUMMYFUNCTION("""COMPUTED_VALUE"""),41)</f>
        <v>41</v>
      </c>
      <c r="AL1329" s="1" t="str">
        <f>IFERROR(__xludf.DUMMYFUNCTION("""COMPUTED_VALUE"""),"G")</f>
        <v>G</v>
      </c>
      <c r="AM1329" s="1" t="str">
        <f>IFERROR(__xludf.DUMMYFUNCTION("""COMPUTED_VALUE"""),"G")</f>
        <v>G</v>
      </c>
      <c r="AN1329" s="1" t="str">
        <f>IFERROR(__xludf.DUMMYFUNCTION("""COMPUTED_VALUE"""),"G")</f>
        <v>G</v>
      </c>
    </row>
    <row r="1330" customHeight="1" spans="1:40">
      <c r="A1330" s="1" t="str">
        <f>IFERROR(__xludf.DUMMYFUNCTION("""COMPUTED_VALUE"""),"11° BBM")</f>
        <v>11° BBM</v>
      </c>
      <c r="B1330" s="1" t="str">
        <f>IFERROR(__xludf.DUMMYFUNCTION("""COMPUTED_VALUE"""),"Santo Cristo")</f>
        <v>Santo Cristo</v>
      </c>
      <c r="C1330" s="119" t="str">
        <f>IFERROR(__xludf.DUMMYFUNCTION("""COMPUTED_VALUE"""),"CAB")</f>
        <v>CAB</v>
      </c>
      <c r="D1330" s="1" t="str">
        <f>IFERROR(__xludf.DUMMYFUNCTION("""COMPUTED_VALUE"""),"LEILA LUCIA HERMANN")</f>
        <v>LEILA LUCIA HERMANN</v>
      </c>
      <c r="E1330" s="119" t="str">
        <f>IFERROR(__xludf.DUMMYFUNCTION("""COMPUTED_VALUE"""),"")</f>
        <v/>
      </c>
      <c r="F1330" s="1" t="str">
        <f>IFERROR(__xludf.DUMMYFUNCTION("""COMPUTED_VALUE"""),"004.669.549-48")</f>
        <v>004.669.549-48</v>
      </c>
      <c r="G1330" s="1">
        <f>IFERROR(__xludf.DUMMYFUNCTION("""COMPUTED_VALUE"""),4111579621)</f>
        <v>4111579621</v>
      </c>
      <c r="H1330" s="1" t="str">
        <f>IFERROR(__xludf.DUMMYFUNCTION("""COMPUTED_VALUE"""),"Combatente")</f>
        <v>Combatente</v>
      </c>
      <c r="I1330" s="1" t="str">
        <f>IFERROR(__xludf.DUMMYFUNCTION("""COMPUTED_VALUE"""),"Curso de APH, Curso de Resgate Terrestre e Técnicas de prevenção e combate a incêndio, Estágio Básico de Combate a Incêndios Florestais(EBCIF), Treinamneto Brigada de Incêndio nível basico.")</f>
        <v>Curso de APH, Curso de Resgate Terrestre e Técnicas de prevenção e combate a incêndio, Estágio Básico de Combate a Incêndios Florestais(EBCIF), Treinamneto Brigada de Incêndio nível basico.</v>
      </c>
      <c r="J1330" s="1" t="str">
        <f>IFERROR(__xludf.DUMMYFUNCTION("""COMPUTED_VALUE"""),"Sim")</f>
        <v>Sim</v>
      </c>
      <c r="K1330" s="1" t="str">
        <f>IFERROR(__xludf.DUMMYFUNCTION("""COMPUTED_VALUE"""),"Sim")</f>
        <v>Sim</v>
      </c>
      <c r="L1330" s="1" t="str">
        <f>IFERROR(__xludf.DUMMYFUNCTION("""COMPUTED_VALUE"""),"O+")</f>
        <v>O+</v>
      </c>
      <c r="M1330" s="1" t="str">
        <f>IFERROR(__xludf.DUMMYFUNCTION("""COMPUTED_VALUE"""),"CAB LEILA")</f>
        <v>CAB LEILA</v>
      </c>
      <c r="N1330" s="120">
        <f>IFERROR(__xludf.DUMMYFUNCTION("""COMPUTED_VALUE"""),29808)</f>
        <v>29808</v>
      </c>
      <c r="O1330" s="1" t="str">
        <f>IFERROR(__xludf.DUMMYFUNCTION("""COMPUTED_VALUE"""),"Feminino")</f>
        <v>Feminino</v>
      </c>
      <c r="P1330" s="1" t="str">
        <f>IFERROR(__xludf.DUMMYFUNCTION("""COMPUTED_VALUE"""),"Branca")</f>
        <v>Branca</v>
      </c>
      <c r="Q1330" s="1" t="str">
        <f>IFERROR(__xludf.DUMMYFUNCTION("""COMPUTED_VALUE"""),"Ensino Médio")</f>
        <v>Ensino Médio</v>
      </c>
      <c r="R1330" s="1" t="str">
        <f>IFERROR(__xludf.DUMMYFUNCTION("""COMPUTED_VALUE"""),"leilaluciahermann@gmail.com")</f>
        <v>leilaluciahermann@gmail.com</v>
      </c>
      <c r="S1330" s="1" t="str">
        <f>IFERROR(__xludf.DUMMYFUNCTION("""COMPUTED_VALUE"""),"68 Kg")</f>
        <v>68 Kg</v>
      </c>
      <c r="T1330" s="1" t="str">
        <f>IFERROR(__xludf.DUMMYFUNCTION("""COMPUTED_VALUE"""),"Entre 1,76m e 1,80m")</f>
        <v>Entre 1,76m e 1,80m</v>
      </c>
      <c r="U1330" s="1"/>
      <c r="V1330" s="1" t="str">
        <f>IFERROR(__xludf.DUMMYFUNCTION("""COMPUTED_VALUE"""),"55-999888871")</f>
        <v>55-999888871</v>
      </c>
      <c r="W1330" s="1"/>
      <c r="X1330" s="1" t="str">
        <f>IFERROR(__xludf.DUMMYFUNCTION("""COMPUTED_VALUE"""),"RS")</f>
        <v>RS</v>
      </c>
      <c r="Y1330" s="1" t="str">
        <f>IFERROR(__xludf.DUMMYFUNCTION("""COMPUTED_VALUE"""),"Santo Cristo")</f>
        <v>Santo Cristo</v>
      </c>
      <c r="Z1330" s="1" t="str">
        <f>IFERROR(__xludf.DUMMYFUNCTION("""COMPUTED_VALUE"""),"98960-000")</f>
        <v>98960-000</v>
      </c>
      <c r="AA1330" s="1" t="str">
        <f>IFERROR(__xludf.DUMMYFUNCTION("""COMPUTED_VALUE"""),"RUA ADENIR SCHREINER, 471")</f>
        <v>RUA ADENIR SCHREINER, 471</v>
      </c>
      <c r="AB1330" s="1" t="str">
        <f>IFERROR(__xludf.DUMMYFUNCTION("""COMPUTED_VALUE"""),"MORADA DO SOL")</f>
        <v>MORADA DO SOL</v>
      </c>
      <c r="AC1330" s="1" t="str">
        <f>IFERROR(__xludf.DUMMYFUNCTION("""COMPUTED_VALUE"""),"G")</f>
        <v>G</v>
      </c>
      <c r="AD1330" s="1" t="str">
        <f>IFERROR(__xludf.DUMMYFUNCTION("""COMPUTED_VALUE"""),"G")</f>
        <v>G</v>
      </c>
      <c r="AE1330" s="1" t="str">
        <f>IFERROR(__xludf.DUMMYFUNCTION("""COMPUTED_VALUE"""),"G")</f>
        <v>G</v>
      </c>
      <c r="AF1330" s="1" t="str">
        <f>IFERROR(__xludf.DUMMYFUNCTION("""COMPUTED_VALUE"""),"G")</f>
        <v>G</v>
      </c>
      <c r="AG1330" s="1" t="str">
        <f>IFERROR(__xludf.DUMMYFUNCTION("""COMPUTED_VALUE"""),"G")</f>
        <v>G</v>
      </c>
      <c r="AH1330" s="1">
        <f>IFERROR(__xludf.DUMMYFUNCTION("""COMPUTED_VALUE"""),38)</f>
        <v>38</v>
      </c>
      <c r="AI1330" s="1">
        <f>IFERROR(__xludf.DUMMYFUNCTION("""COMPUTED_VALUE"""),32)</f>
        <v>32</v>
      </c>
      <c r="AJ1330" s="1">
        <f>IFERROR(__xludf.DUMMYFUNCTION("""COMPUTED_VALUE"""),38)</f>
        <v>38</v>
      </c>
      <c r="AK1330" s="1">
        <f>IFERROR(__xludf.DUMMYFUNCTION("""COMPUTED_VALUE"""),38)</f>
        <v>38</v>
      </c>
      <c r="AL1330" s="1" t="str">
        <f>IFERROR(__xludf.DUMMYFUNCTION("""COMPUTED_VALUE"""),"M")</f>
        <v>M</v>
      </c>
      <c r="AM1330" s="1" t="str">
        <f>IFERROR(__xludf.DUMMYFUNCTION("""COMPUTED_VALUE"""),"M")</f>
        <v>M</v>
      </c>
      <c r="AN1330" s="1" t="str">
        <f>IFERROR(__xludf.DUMMYFUNCTION("""COMPUTED_VALUE"""),"G")</f>
        <v>G</v>
      </c>
    </row>
    <row r="1331" customHeight="1" spans="1:40">
      <c r="A1331" s="1" t="str">
        <f>IFERROR(__xludf.DUMMYFUNCTION("""COMPUTED_VALUE"""),"11° BBM")</f>
        <v>11° BBM</v>
      </c>
      <c r="B1331" s="1" t="str">
        <f>IFERROR(__xludf.DUMMYFUNCTION("""COMPUTED_VALUE"""),"Três de Maio")</f>
        <v>Três de Maio</v>
      </c>
      <c r="C1331" s="119" t="str">
        <f>IFERROR(__xludf.DUMMYFUNCTION("""COMPUTED_VALUE"""),"Comunitario")</f>
        <v>Comunitario</v>
      </c>
      <c r="D1331" s="1" t="str">
        <f>IFERROR(__xludf.DUMMYFUNCTION("""COMPUTED_VALUE"""),"LEONIR ANTONIO DANEZ")</f>
        <v>LEONIR ANTONIO DANEZ</v>
      </c>
      <c r="E1331" s="119"/>
      <c r="F1331" s="1" t="str">
        <f>IFERROR(__xludf.DUMMYFUNCTION("""COMPUTED_VALUE"""),"603.015.620-91")</f>
        <v>603.015.620-91</v>
      </c>
      <c r="G1331" s="1">
        <f>IFERROR(__xludf.DUMMYFUNCTION("""COMPUTED_VALUE"""),9046954567)</f>
        <v>9046954567</v>
      </c>
      <c r="H1331" s="1" t="str">
        <f>IFERROR(__xludf.DUMMYFUNCTION("""COMPUTED_VALUE"""),"Motorista, Combatente, Socorrista e Auxiliar. SERVIDOR MUNICIPAL")</f>
        <v>Motorista, Combatente, Socorrista e Auxiliar. SERVIDOR MUNICIPAL</v>
      </c>
      <c r="I1331" s="1" t="str">
        <f>IFERROR(__xludf.DUMMYFUNCTION("""COMPUTED_VALUE"""),"Curso de Técnica e Tática de Combate a Incêndio NÍVEL 1 e NÍVEL 2, Emergencista Pré Hospitalar, Atendimento Pré Hospitalar, Suporte Básico de Vida, Curso Básico de Resgate em Áreas de Difícil Acesso, Condutor de Veículos de Emergência e Seminário de Preve"&amp;"nção Contra Incêndio.")</f>
        <v>Curso de Técnica e Tática de Combate a Incêndio NÍVEL 1 e NÍVEL 2, Emergencista Pré Hospitalar, Atendimento Pré Hospitalar, Suporte Básico de Vida, Curso Básico de Resgate em Áreas de Difícil Acesso, Condutor de Veículos de Emergência e Seminário de Prevenção Contra Incêndio.</v>
      </c>
      <c r="J1331" s="1" t="str">
        <f>IFERROR(__xludf.DUMMYFUNCTION("""COMPUTED_VALUE"""),"Sim")</f>
        <v>Sim</v>
      </c>
      <c r="K1331" s="1" t="str">
        <f>IFERROR(__xludf.DUMMYFUNCTION("""COMPUTED_VALUE"""),"Não")</f>
        <v>Não</v>
      </c>
      <c r="L1331" s="1" t="str">
        <f>IFERROR(__xludf.DUMMYFUNCTION("""COMPUTED_VALUE"""),"O+")</f>
        <v>O+</v>
      </c>
      <c r="M1331" s="1" t="str">
        <f>IFERROR(__xludf.DUMMYFUNCTION("""COMPUTED_VALUE"""),"DANEZ")</f>
        <v>DANEZ</v>
      </c>
      <c r="N1331" s="121">
        <f>IFERROR(__xludf.DUMMYFUNCTION("""COMPUTED_VALUE"""),26829)</f>
        <v>26829</v>
      </c>
      <c r="O1331" s="1" t="str">
        <f>IFERROR(__xludf.DUMMYFUNCTION("""COMPUTED_VALUE"""),"Masculino")</f>
        <v>Masculino</v>
      </c>
      <c r="P1331" s="1" t="str">
        <f>IFERROR(__xludf.DUMMYFUNCTION("""COMPUTED_VALUE"""),"Branca")</f>
        <v>Branca</v>
      </c>
      <c r="Q1331" s="1" t="str">
        <f>IFERROR(__xludf.DUMMYFUNCTION("""COMPUTED_VALUE"""),"Ensino Médio")</f>
        <v>Ensino Médio</v>
      </c>
      <c r="R1331" s="1" t="str">
        <f>IFERROR(__xludf.DUMMYFUNCTION("""COMPUTED_VALUE"""),"leonirdanez49@gmail.com")</f>
        <v>leonirdanez49@gmail.com</v>
      </c>
      <c r="S1331" s="1">
        <f>IFERROR(__xludf.DUMMYFUNCTION("""COMPUTED_VALUE"""),84)</f>
        <v>84</v>
      </c>
      <c r="T1331" s="1" t="str">
        <f>IFERROR(__xludf.DUMMYFUNCTION("""COMPUTED_VALUE"""),"Entre 1,66m e 1,70m")</f>
        <v>Entre 1,66m e 1,70m</v>
      </c>
      <c r="U1331" s="1"/>
      <c r="V1331" s="1">
        <f>IFERROR(__xludf.DUMMYFUNCTION("""COMPUTED_VALUE"""),55991385603)</f>
        <v>55991385603</v>
      </c>
      <c r="W1331" s="1">
        <f>IFERROR(__xludf.DUMMYFUNCTION("""COMPUTED_VALUE"""),55991565239)</f>
        <v>55991565239</v>
      </c>
      <c r="X1331" s="1" t="str">
        <f>IFERROR(__xludf.DUMMYFUNCTION("""COMPUTED_VALUE"""),"RIO GRANDE DO SUL")</f>
        <v>RIO GRANDE DO SUL</v>
      </c>
      <c r="Y1331" s="1" t="str">
        <f>IFERROR(__xludf.DUMMYFUNCTION("""COMPUTED_VALUE"""),"Três de Maio")</f>
        <v>Três de Maio</v>
      </c>
      <c r="Z1331" s="1">
        <f>IFERROR(__xludf.DUMMYFUNCTION("""COMPUTED_VALUE"""),98910000)</f>
        <v>98910000</v>
      </c>
      <c r="AA1331" s="1" t="str">
        <f>IFERROR(__xludf.DUMMYFUNCTION("""COMPUTED_VALUE"""),"RUA AUGUSTO RUTZEN, 455")</f>
        <v>RUA AUGUSTO RUTZEN, 455</v>
      </c>
      <c r="AB1331" s="1" t="str">
        <f>IFERROR(__xludf.DUMMYFUNCTION("""COMPUTED_VALUE"""),"ORIENTAL")</f>
        <v>ORIENTAL</v>
      </c>
      <c r="AC1331" s="1" t="str">
        <f>IFERROR(__xludf.DUMMYFUNCTION("""COMPUTED_VALUE"""),"GG")</f>
        <v>GG</v>
      </c>
      <c r="AD1331" s="1" t="str">
        <f>IFERROR(__xludf.DUMMYFUNCTION("""COMPUTED_VALUE"""),"GG")</f>
        <v>GG</v>
      </c>
      <c r="AE1331" s="1" t="str">
        <f>IFERROR(__xludf.DUMMYFUNCTION("""COMPUTED_VALUE"""),"GG")</f>
        <v>GG</v>
      </c>
      <c r="AF1331" s="1" t="str">
        <f>IFERROR(__xludf.DUMMYFUNCTION("""COMPUTED_VALUE"""),"GG")</f>
        <v>GG</v>
      </c>
      <c r="AG1331" s="1" t="str">
        <f>IFERROR(__xludf.DUMMYFUNCTION("""COMPUTED_VALUE"""),"GG")</f>
        <v>GG</v>
      </c>
      <c r="AH1331" s="1">
        <f>IFERROR(__xludf.DUMMYFUNCTION("""COMPUTED_VALUE"""),39)</f>
        <v>39</v>
      </c>
      <c r="AI1331" s="1">
        <f>IFERROR(__xludf.DUMMYFUNCTION("""COMPUTED_VALUE"""),39)</f>
        <v>39</v>
      </c>
      <c r="AJ1331" s="1">
        <f>IFERROR(__xludf.DUMMYFUNCTION("""COMPUTED_VALUE"""),39)</f>
        <v>39</v>
      </c>
      <c r="AK1331" s="1">
        <f>IFERROR(__xludf.DUMMYFUNCTION("""COMPUTED_VALUE"""),39)</f>
        <v>39</v>
      </c>
      <c r="AL1331" s="1" t="str">
        <f>IFERROR(__xludf.DUMMYFUNCTION("""COMPUTED_VALUE"""),"GG")</f>
        <v>GG</v>
      </c>
      <c r="AM1331" s="1" t="str">
        <f>IFERROR(__xludf.DUMMYFUNCTION("""COMPUTED_VALUE"""),"GG")</f>
        <v>GG</v>
      </c>
      <c r="AN1331" s="1" t="str">
        <f>IFERROR(__xludf.DUMMYFUNCTION("""COMPUTED_VALUE"""),"G")</f>
        <v>G</v>
      </c>
    </row>
    <row r="1332" customHeight="1" spans="1:40">
      <c r="A1332" s="1" t="str">
        <f>IFERROR(__xludf.DUMMYFUNCTION("""COMPUTED_VALUE"""),"11° BBM")</f>
        <v>11° BBM</v>
      </c>
      <c r="B1332" s="1" t="str">
        <f>IFERROR(__xludf.DUMMYFUNCTION("""COMPUTED_VALUE"""),"Três de Maio")</f>
        <v>Três de Maio</v>
      </c>
      <c r="C1332" s="119" t="str">
        <f>IFERROR(__xludf.DUMMYFUNCTION("""COMPUTED_VALUE"""),"Comunitario")</f>
        <v>Comunitario</v>
      </c>
      <c r="D1332" s="1" t="str">
        <f>IFERROR(__xludf.DUMMYFUNCTION("""COMPUTED_VALUE"""),"LUCIANO LUIS ROBERTI")</f>
        <v>LUCIANO LUIS ROBERTI</v>
      </c>
      <c r="E1332" s="119" t="str">
        <f>IFERROR(__xludf.DUMMYFUNCTION("""COMPUTED_VALUE"""),"")</f>
        <v/>
      </c>
      <c r="F1332" s="1" t="str">
        <f>IFERROR(__xludf.DUMMYFUNCTION("""COMPUTED_VALUE"""),"002.964.200-00")</f>
        <v>002.964.200-00</v>
      </c>
      <c r="G1332" s="1">
        <f>IFERROR(__xludf.DUMMYFUNCTION("""COMPUTED_VALUE"""),1073682088)</f>
        <v>1073682088</v>
      </c>
      <c r="H1332" s="1" t="str">
        <f>IFERROR(__xludf.DUMMYFUNCTION("""COMPUTED_VALUE"""),"Combatente, Socorrista e Auxiliar. VOLUNTÁRIO")</f>
        <v>Combatente, Socorrista e Auxiliar. VOLUNTÁRIO</v>
      </c>
      <c r="I1332" s="1" t="str">
        <f>IFERROR(__xludf.DUMMYFUNCTION("""COMPUTED_VALUE"""),"Curso de Técnica e Tática de Combate a Incêndio NÍVEL 1 e NÍVEL 2, Emergencista Pré Hospitalar, Atendimento Pré Hospitalar, Suporte Básico de Vida, Curso Básico de Resgate em Áreas de Difícil Acesso, Condutor de Veículos de Emergência e Seminário de Preve"&amp;"nção Contra Incêndio.")</f>
        <v>Curso de Técnica e Tática de Combate a Incêndio NÍVEL 1 e NÍVEL 2, Emergencista Pré Hospitalar, Atendimento Pré Hospitalar, Suporte Básico de Vida, Curso Básico de Resgate em Áreas de Difícil Acesso, Condutor de Veículos de Emergência e Seminário de Prevenção Contra Incêndio.</v>
      </c>
      <c r="J1332" s="1" t="str">
        <f>IFERROR(__xludf.DUMMYFUNCTION("""COMPUTED_VALUE"""),"Sim")</f>
        <v>Sim</v>
      </c>
      <c r="K1332" s="1" t="str">
        <f>IFERROR(__xludf.DUMMYFUNCTION("""COMPUTED_VALUE"""),"Não")</f>
        <v>Não</v>
      </c>
      <c r="L1332" s="1" t="str">
        <f>IFERROR(__xludf.DUMMYFUNCTION("""COMPUTED_VALUE"""),"O+")</f>
        <v>O+</v>
      </c>
      <c r="M1332" s="1" t="str">
        <f>IFERROR(__xludf.DUMMYFUNCTION("""COMPUTED_VALUE"""),"LUCIANO")</f>
        <v>LUCIANO</v>
      </c>
      <c r="N1332" s="120">
        <f>IFERROR(__xludf.DUMMYFUNCTION("""COMPUTED_VALUE"""),28569)</f>
        <v>28569</v>
      </c>
      <c r="O1332" s="1" t="str">
        <f>IFERROR(__xludf.DUMMYFUNCTION("""COMPUTED_VALUE"""),"Masculino")</f>
        <v>Masculino</v>
      </c>
      <c r="P1332" s="1" t="str">
        <f>IFERROR(__xludf.DUMMYFUNCTION("""COMPUTED_VALUE"""),"Branca")</f>
        <v>Branca</v>
      </c>
      <c r="Q1332" s="1" t="str">
        <f>IFERROR(__xludf.DUMMYFUNCTION("""COMPUTED_VALUE"""),"Ensino Médio")</f>
        <v>Ensino Médio</v>
      </c>
      <c r="R1332" s="1" t="str">
        <f>IFERROR(__xludf.DUMMYFUNCTION("""COMPUTED_VALUE"""),"lucianoroberti14@hotmail.com")</f>
        <v>lucianoroberti14@hotmail.com</v>
      </c>
      <c r="S1332" s="1">
        <f>IFERROR(__xludf.DUMMYFUNCTION("""COMPUTED_VALUE"""),82)</f>
        <v>82</v>
      </c>
      <c r="T1332" s="1" t="str">
        <f>IFERROR(__xludf.DUMMYFUNCTION("""COMPUTED_VALUE"""),"Entre 1,76m e 1,80m")</f>
        <v>Entre 1,76m e 1,80m</v>
      </c>
      <c r="U1332" s="1"/>
      <c r="V1332" s="1">
        <f>IFERROR(__xludf.DUMMYFUNCTION("""COMPUTED_VALUE"""),55991819400)</f>
        <v>55991819400</v>
      </c>
      <c r="W1332" s="1">
        <f>IFERROR(__xludf.DUMMYFUNCTION("""COMPUTED_VALUE"""),55991494941)</f>
        <v>55991494941</v>
      </c>
      <c r="X1332" s="1" t="str">
        <f>IFERROR(__xludf.DUMMYFUNCTION("""COMPUTED_VALUE"""),"RIO GRANDE DO SUL")</f>
        <v>RIO GRANDE DO SUL</v>
      </c>
      <c r="Y1332" s="1" t="str">
        <f>IFERROR(__xludf.DUMMYFUNCTION("""COMPUTED_VALUE"""),"Independência")</f>
        <v>Independência</v>
      </c>
      <c r="Z1332" s="1">
        <f>IFERROR(__xludf.DUMMYFUNCTION("""COMPUTED_VALUE"""),98915000)</f>
        <v>98915000</v>
      </c>
      <c r="AA1332" s="1" t="str">
        <f>IFERROR(__xludf.DUMMYFUNCTION("""COMPUTED_VALUE"""),"RUA EXPEDICIONÁRIO FRANCISCO PERCOSKI, 610")</f>
        <v>RUA EXPEDICIONÁRIO FRANCISCO PERCOSKI, 610</v>
      </c>
      <c r="AB1332" s="1" t="str">
        <f>IFERROR(__xludf.DUMMYFUNCTION("""COMPUTED_VALUE"""),"CENTRO")</f>
        <v>CENTRO</v>
      </c>
      <c r="AC1332" s="1" t="str">
        <f>IFERROR(__xludf.DUMMYFUNCTION("""COMPUTED_VALUE"""),"M")</f>
        <v>M</v>
      </c>
      <c r="AD1332" s="1" t="str">
        <f>IFERROR(__xludf.DUMMYFUNCTION("""COMPUTED_VALUE"""),"G")</f>
        <v>G</v>
      </c>
      <c r="AE1332" s="1" t="str">
        <f>IFERROR(__xludf.DUMMYFUNCTION("""COMPUTED_VALUE"""),"G")</f>
        <v>G</v>
      </c>
      <c r="AF1332" s="1" t="str">
        <f>IFERROR(__xludf.DUMMYFUNCTION("""COMPUTED_VALUE"""),"G")</f>
        <v>G</v>
      </c>
      <c r="AG1332" s="1" t="str">
        <f>IFERROR(__xludf.DUMMYFUNCTION("""COMPUTED_VALUE"""),"G")</f>
        <v>G</v>
      </c>
      <c r="AH1332" s="1">
        <f>IFERROR(__xludf.DUMMYFUNCTION("""COMPUTED_VALUE"""),41)</f>
        <v>41</v>
      </c>
      <c r="AI1332" s="1">
        <f>IFERROR(__xludf.DUMMYFUNCTION("""COMPUTED_VALUE"""),41)</f>
        <v>41</v>
      </c>
      <c r="AJ1332" s="1">
        <f>IFERROR(__xludf.DUMMYFUNCTION("""COMPUTED_VALUE"""),41)</f>
        <v>41</v>
      </c>
      <c r="AK1332" s="1">
        <f>IFERROR(__xludf.DUMMYFUNCTION("""COMPUTED_VALUE"""),41)</f>
        <v>41</v>
      </c>
      <c r="AL1332" s="1" t="str">
        <f>IFERROR(__xludf.DUMMYFUNCTION("""COMPUTED_VALUE"""),"G")</f>
        <v>G</v>
      </c>
      <c r="AM1332" s="1" t="str">
        <f>IFERROR(__xludf.DUMMYFUNCTION("""COMPUTED_VALUE"""),"G")</f>
        <v>G</v>
      </c>
      <c r="AN1332" s="1" t="str">
        <f>IFERROR(__xludf.DUMMYFUNCTION("""COMPUTED_VALUE"""),"G")</f>
        <v>G</v>
      </c>
    </row>
    <row r="1333" customHeight="1" spans="1:40">
      <c r="A1333" s="1" t="str">
        <f>IFERROR(__xludf.DUMMYFUNCTION("""COMPUTED_VALUE"""),"11° BBM")</f>
        <v>11° BBM</v>
      </c>
      <c r="B1333" s="1" t="str">
        <f>IFERROR(__xludf.DUMMYFUNCTION("""COMPUTED_VALUE"""),"Santo Cristo")</f>
        <v>Santo Cristo</v>
      </c>
      <c r="C1333" s="119" t="str">
        <f>IFERROR(__xludf.DUMMYFUNCTION("""COMPUTED_VALUE"""),"CAB")</f>
        <v>CAB</v>
      </c>
      <c r="D1333" s="1" t="str">
        <f>IFERROR(__xludf.DUMMYFUNCTION("""COMPUTED_VALUE"""),"MAICON RAMBO")</f>
        <v>MAICON RAMBO</v>
      </c>
      <c r="E1333" s="119" t="str">
        <f>IFERROR(__xludf.DUMMYFUNCTION("""COMPUTED_VALUE"""),"")</f>
        <v/>
      </c>
      <c r="F1333" s="1" t="str">
        <f>IFERROR(__xludf.DUMMYFUNCTION("""COMPUTED_VALUE"""),"023.424.930-70")</f>
        <v>023.424.930-70</v>
      </c>
      <c r="G1333" s="1">
        <f>IFERROR(__xludf.DUMMYFUNCTION("""COMPUTED_VALUE"""),9093887751)</f>
        <v>9093887751</v>
      </c>
      <c r="H1333" s="1" t="str">
        <f>IFERROR(__xludf.DUMMYFUNCTION("""COMPUTED_VALUE"""),"3º Tesoureiro")</f>
        <v>3º Tesoureiro</v>
      </c>
      <c r="I1333" s="1" t="str">
        <f>IFERROR(__xludf.DUMMYFUNCTION("""COMPUTED_VALUE"""),"Resgate em Altura, Resgate Terrestre, Resgate Veicular, Técnicas de Prevenção e Combate a Incêndio, Treinamneto Brigada de incêndio nivel básico, Curso de APH.")</f>
        <v>Resgate em Altura, Resgate Terrestre, Resgate Veicular, Técnicas de Prevenção e Combate a Incêndio, Treinamneto Brigada de incêndio nivel básico, Curso de APH.</v>
      </c>
      <c r="J1333" s="1" t="str">
        <f>IFERROR(__xludf.DUMMYFUNCTION("""COMPUTED_VALUE"""),"Sim")</f>
        <v>Sim</v>
      </c>
      <c r="K1333" s="1" t="str">
        <f>IFERROR(__xludf.DUMMYFUNCTION("""COMPUTED_VALUE"""),"Sim")</f>
        <v>Sim</v>
      </c>
      <c r="L1333" s="1" t="str">
        <f>IFERROR(__xludf.DUMMYFUNCTION("""COMPUTED_VALUE"""),"B+")</f>
        <v>B+</v>
      </c>
      <c r="M1333" s="1" t="str">
        <f>IFERROR(__xludf.DUMMYFUNCTION("""COMPUTED_VALUE"""),"CAB RAMBO")</f>
        <v>CAB RAMBO</v>
      </c>
      <c r="N1333" s="120">
        <f>IFERROR(__xludf.DUMMYFUNCTION("""COMPUTED_VALUE"""),33464)</f>
        <v>33464</v>
      </c>
      <c r="O1333" s="1" t="str">
        <f>IFERROR(__xludf.DUMMYFUNCTION("""COMPUTED_VALUE"""),"Masculino")</f>
        <v>Masculino</v>
      </c>
      <c r="P1333" s="1" t="str">
        <f>IFERROR(__xludf.DUMMYFUNCTION("""COMPUTED_VALUE"""),"Branca")</f>
        <v>Branca</v>
      </c>
      <c r="Q1333" s="1" t="str">
        <f>IFERROR(__xludf.DUMMYFUNCTION("""COMPUTED_VALUE"""),"Ensino Médio")</f>
        <v>Ensino Médio</v>
      </c>
      <c r="R1333" s="1" t="str">
        <f>IFERROR(__xludf.DUMMYFUNCTION("""COMPUTED_VALUE"""),"MAICONRAMBINHOO@GMAIL.COM")</f>
        <v>MAICONRAMBINHOO@GMAIL.COM</v>
      </c>
      <c r="S1333" s="1" t="str">
        <f>IFERROR(__xludf.DUMMYFUNCTION("""COMPUTED_VALUE"""),"87 Kg")</f>
        <v>87 Kg</v>
      </c>
      <c r="T1333" s="1" t="str">
        <f>IFERROR(__xludf.DUMMYFUNCTION("""COMPUTED_VALUE"""),"Entre 1,86m e 1,90m")</f>
        <v>Entre 1,86m e 1,90m</v>
      </c>
      <c r="U1333" s="1"/>
      <c r="V1333" s="1" t="str">
        <f>IFERROR(__xludf.DUMMYFUNCTION("""COMPUTED_VALUE"""),"55-999986830")</f>
        <v>55-999986830</v>
      </c>
      <c r="W1333" s="1"/>
      <c r="X1333" s="1" t="str">
        <f>IFERROR(__xludf.DUMMYFUNCTION("""COMPUTED_VALUE"""),"RS")</f>
        <v>RS</v>
      </c>
      <c r="Y1333" s="1" t="str">
        <f>IFERROR(__xludf.DUMMYFUNCTION("""COMPUTED_VALUE"""),"Santo Cristo")</f>
        <v>Santo Cristo</v>
      </c>
      <c r="Z1333" s="1" t="str">
        <f>IFERROR(__xludf.DUMMYFUNCTION("""COMPUTED_VALUE"""),"98960-000")</f>
        <v>98960-000</v>
      </c>
      <c r="AA1333" s="1" t="str">
        <f>IFERROR(__xludf.DUMMYFUNCTION("""COMPUTED_VALUE"""),"RUA PRIMEIRO DE MAIO, 939")</f>
        <v>RUA PRIMEIRO DE MAIO, 939</v>
      </c>
      <c r="AB1333" s="1" t="str">
        <f>IFERROR(__xludf.DUMMYFUNCTION("""COMPUTED_VALUE"""),"LA SALLE")</f>
        <v>LA SALLE</v>
      </c>
      <c r="AC1333" s="1" t="str">
        <f>IFERROR(__xludf.DUMMYFUNCTION("""COMPUTED_VALUE"""),"G")</f>
        <v>G</v>
      </c>
      <c r="AD1333" s="1" t="str">
        <f>IFERROR(__xludf.DUMMYFUNCTION("""COMPUTED_VALUE"""),"G")</f>
        <v>G</v>
      </c>
      <c r="AE1333" s="1" t="str">
        <f>IFERROR(__xludf.DUMMYFUNCTION("""COMPUTED_VALUE"""),"G")</f>
        <v>G</v>
      </c>
      <c r="AF1333" s="1" t="str">
        <f>IFERROR(__xludf.DUMMYFUNCTION("""COMPUTED_VALUE"""),"G")</f>
        <v>G</v>
      </c>
      <c r="AG1333" s="1" t="str">
        <f>IFERROR(__xludf.DUMMYFUNCTION("""COMPUTED_VALUE"""),"GG")</f>
        <v>GG</v>
      </c>
      <c r="AH1333" s="1">
        <f>IFERROR(__xludf.DUMMYFUNCTION("""COMPUTED_VALUE"""),42)</f>
        <v>42</v>
      </c>
      <c r="AI1333" s="1">
        <f>IFERROR(__xludf.DUMMYFUNCTION("""COMPUTED_VALUE"""),42)</f>
        <v>42</v>
      </c>
      <c r="AJ1333" s="1">
        <f>IFERROR(__xludf.DUMMYFUNCTION("""COMPUTED_VALUE"""),42)</f>
        <v>42</v>
      </c>
      <c r="AK1333" s="1">
        <f>IFERROR(__xludf.DUMMYFUNCTION("""COMPUTED_VALUE"""),42)</f>
        <v>42</v>
      </c>
      <c r="AL1333" s="1" t="str">
        <f>IFERROR(__xludf.DUMMYFUNCTION("""COMPUTED_VALUE"""),"G")</f>
        <v>G</v>
      </c>
      <c r="AM1333" s="1" t="str">
        <f>IFERROR(__xludf.DUMMYFUNCTION("""COMPUTED_VALUE"""),"G")</f>
        <v>G</v>
      </c>
      <c r="AN1333" s="1" t="str">
        <f>IFERROR(__xludf.DUMMYFUNCTION("""COMPUTED_VALUE"""),"G")</f>
        <v>G</v>
      </c>
    </row>
    <row r="1334" customHeight="1" spans="1:40">
      <c r="A1334" s="1" t="str">
        <f>IFERROR(__xludf.DUMMYFUNCTION("""COMPUTED_VALUE"""),"11° BBM")</f>
        <v>11° BBM</v>
      </c>
      <c r="B1334" s="1" t="str">
        <f>IFERROR(__xludf.DUMMYFUNCTION("""COMPUTED_VALUE"""),"Cerro Largo")</f>
        <v>Cerro Largo</v>
      </c>
      <c r="C1334" s="119" t="str">
        <f>IFERROR(__xludf.DUMMYFUNCTION("""COMPUTED_VALUE"""),"CAB")</f>
        <v>CAB</v>
      </c>
      <c r="D1334" s="1" t="str">
        <f>IFERROR(__xludf.DUMMYFUNCTION("""COMPUTED_VALUE"""),"MARCEL RAUBER MUDERS")</f>
        <v>MARCEL RAUBER MUDERS</v>
      </c>
      <c r="E1334" s="119" t="str">
        <f>IFERROR(__xludf.DUMMYFUNCTION("""COMPUTED_VALUE"""),"Módulo 1 concluído")</f>
        <v>Módulo 1 concluído</v>
      </c>
      <c r="F1334" s="1" t="str">
        <f>IFERROR(__xludf.DUMMYFUNCTION("""COMPUTED_VALUE"""),"030.636.570.77")</f>
        <v>030.636.570.77</v>
      </c>
      <c r="G1334" s="1">
        <f>IFERROR(__xludf.DUMMYFUNCTION("""COMPUTED_VALUE"""),4094154764)</f>
        <v>4094154764</v>
      </c>
      <c r="H1334" s="1" t="str">
        <f>IFERROR(__xludf.DUMMYFUNCTION("""COMPUTED_VALUE"""),"COMBATENTE")</f>
        <v>COMBATENTE</v>
      </c>
      <c r="I1334" s="1" t="str">
        <f>IFERROR(__xludf.DUMMYFUNCTION("""COMPUTED_VALUE"""),"Resgate Terrestre, Curso de APH, TREINAMENTO NR 35 , TREINAMENTO NR 33, TREINAMENTO CONFORME NBR 16 710 - RESGATISTA ESPAÇO CONFINADO E ALTURA INDUSTRIAL, TEC. SEGURANÇA DO TRABALHO")</f>
        <v>Resgate Terrestre, Curso de APH, TREINAMENTO NR 35 , TREINAMENTO NR 33, TREINAMENTO CONFORME NBR 16 710 - RESGATISTA ESPAÇO CONFINADO E ALTURA INDUSTRIAL, TEC. SEGURANÇA DO TRABALHO</v>
      </c>
      <c r="J1334" s="1" t="str">
        <f>IFERROR(__xludf.DUMMYFUNCTION("""COMPUTED_VALUE"""),"Não")</f>
        <v>Não</v>
      </c>
      <c r="K1334" s="1" t="str">
        <f>IFERROR(__xludf.DUMMYFUNCTION("""COMPUTED_VALUE"""),"Não")</f>
        <v>Não</v>
      </c>
      <c r="L1334" s="1" t="str">
        <f>IFERROR(__xludf.DUMMYFUNCTION("""COMPUTED_VALUE"""),"A+")</f>
        <v>A+</v>
      </c>
      <c r="M1334" s="1" t="str">
        <f>IFERROR(__xludf.DUMMYFUNCTION("""COMPUTED_VALUE"""),"CAB MARCEL")</f>
        <v>CAB MARCEL</v>
      </c>
      <c r="N1334" s="120">
        <f>IFERROR(__xludf.DUMMYFUNCTION("""COMPUTED_VALUE"""),33943)</f>
        <v>33943</v>
      </c>
      <c r="O1334" s="1" t="str">
        <f>IFERROR(__xludf.DUMMYFUNCTION("""COMPUTED_VALUE"""),"Masculino")</f>
        <v>Masculino</v>
      </c>
      <c r="P1334" s="1" t="str">
        <f>IFERROR(__xludf.DUMMYFUNCTION("""COMPUTED_VALUE"""),"Branca")</f>
        <v>Branca</v>
      </c>
      <c r="Q1334" s="1" t="str">
        <f>IFERROR(__xludf.DUMMYFUNCTION("""COMPUTED_VALUE"""),"Ensino Superior Incompleto")</f>
        <v>Ensino Superior Incompleto</v>
      </c>
      <c r="R1334" s="1" t="str">
        <f>IFERROR(__xludf.DUMMYFUNCTION("""COMPUTED_VALUE"""),"marcelmdrs80@gmail.com")</f>
        <v>marcelmdrs80@gmail.com</v>
      </c>
      <c r="S1334" s="1" t="str">
        <f>IFERROR(__xludf.DUMMYFUNCTION("""COMPUTED_VALUE"""),"75 Kg")</f>
        <v>75 Kg</v>
      </c>
      <c r="T1334" s="1" t="str">
        <f>IFERROR(__xludf.DUMMYFUNCTION("""COMPUTED_VALUE"""),"Entre 1,81m e 1,85m")</f>
        <v>Entre 1,81m e 1,85m</v>
      </c>
      <c r="U1334" s="1"/>
      <c r="V1334" s="1" t="str">
        <f>IFERROR(__xludf.DUMMYFUNCTION("""COMPUTED_VALUE"""),"(55) 9 9188-3772")</f>
        <v>(55) 9 9188-3772</v>
      </c>
      <c r="W1334" s="1" t="str">
        <f>IFERROR(__xludf.DUMMYFUNCTION("""COMPUTED_VALUE"""),"(55) 9 9188-3772")</f>
        <v>(55) 9 9188-3772</v>
      </c>
      <c r="X1334" s="1" t="str">
        <f>IFERROR(__xludf.DUMMYFUNCTION("""COMPUTED_VALUE"""),"RS")</f>
        <v>RS</v>
      </c>
      <c r="Y1334" s="1" t="str">
        <f>IFERROR(__xludf.DUMMYFUNCTION("""COMPUTED_VALUE"""),"Cerro Largo")</f>
        <v>Cerro Largo</v>
      </c>
      <c r="Z1334" s="1" t="str">
        <f>IFERROR(__xludf.DUMMYFUNCTION("""COMPUTED_VALUE"""),"97900-000")</f>
        <v>97900-000</v>
      </c>
      <c r="AA1334" s="1" t="str">
        <f>IFERROR(__xludf.DUMMYFUNCTION("""COMPUTED_VALUE"""),"RUA SÃO FERNANDO, 334")</f>
        <v>RUA SÃO FERNANDO, 334</v>
      </c>
      <c r="AB1334" s="1" t="str">
        <f>IFERROR(__xludf.DUMMYFUNCTION("""COMPUTED_VALUE"""),"SÃO FERNANDO")</f>
        <v>SÃO FERNANDO</v>
      </c>
      <c r="AC1334" s="1" t="str">
        <f>IFERROR(__xludf.DUMMYFUNCTION("""COMPUTED_VALUE"""),"M")</f>
        <v>M</v>
      </c>
      <c r="AD1334" s="1" t="str">
        <f>IFERROR(__xludf.DUMMYFUNCTION("""COMPUTED_VALUE"""),"G")</f>
        <v>G</v>
      </c>
      <c r="AE1334" s="1" t="str">
        <f>IFERROR(__xludf.DUMMYFUNCTION("""COMPUTED_VALUE"""),"M")</f>
        <v>M</v>
      </c>
      <c r="AF1334" s="1" t="str">
        <f>IFERROR(__xludf.DUMMYFUNCTION("""COMPUTED_VALUE"""),"G")</f>
        <v>G</v>
      </c>
      <c r="AG1334" s="1" t="str">
        <f>IFERROR(__xludf.DUMMYFUNCTION("""COMPUTED_VALUE"""),"EXG")</f>
        <v>EXG</v>
      </c>
      <c r="AH1334" s="1">
        <f>IFERROR(__xludf.DUMMYFUNCTION("""COMPUTED_VALUE"""),40)</f>
        <v>40</v>
      </c>
      <c r="AI1334" s="1">
        <f>IFERROR(__xludf.DUMMYFUNCTION("""COMPUTED_VALUE"""),40)</f>
        <v>40</v>
      </c>
      <c r="AJ1334" s="1">
        <f>IFERROR(__xludf.DUMMYFUNCTION("""COMPUTED_VALUE"""),40)</f>
        <v>40</v>
      </c>
      <c r="AK1334" s="1">
        <f>IFERROR(__xludf.DUMMYFUNCTION("""COMPUTED_VALUE"""),40)</f>
        <v>40</v>
      </c>
      <c r="AL1334" s="1" t="str">
        <f>IFERROR(__xludf.DUMMYFUNCTION("""COMPUTED_VALUE"""),"G")</f>
        <v>G</v>
      </c>
      <c r="AM1334" s="1" t="str">
        <f>IFERROR(__xludf.DUMMYFUNCTION("""COMPUTED_VALUE"""),"M")</f>
        <v>M</v>
      </c>
      <c r="AN1334" s="1" t="str">
        <f>IFERROR(__xludf.DUMMYFUNCTION("""COMPUTED_VALUE"""),"M")</f>
        <v>M</v>
      </c>
    </row>
    <row r="1335" customHeight="1" spans="1:40">
      <c r="A1335" s="1" t="str">
        <f>IFERROR(__xludf.DUMMYFUNCTION("""COMPUTED_VALUE"""),"11° BBM")</f>
        <v>11° BBM</v>
      </c>
      <c r="B1335" s="1" t="str">
        <f>IFERROR(__xludf.DUMMYFUNCTION("""COMPUTED_VALUE"""),"Três de Maio")</f>
        <v>Três de Maio</v>
      </c>
      <c r="C1335" s="119" t="str">
        <f>IFERROR(__xludf.DUMMYFUNCTION("""COMPUTED_VALUE"""),"Comunitario")</f>
        <v>Comunitario</v>
      </c>
      <c r="D1335" s="1" t="str">
        <f>IFERROR(__xludf.DUMMYFUNCTION("""COMPUTED_VALUE"""),"MARCELO BENDER")</f>
        <v>MARCELO BENDER</v>
      </c>
      <c r="E1335" s="119"/>
      <c r="F1335" s="1" t="str">
        <f>IFERROR(__xludf.DUMMYFUNCTION("""COMPUTED_VALUE"""),"773.551.560-04")</f>
        <v>773.551.560-04</v>
      </c>
      <c r="G1335" s="1">
        <f>IFERROR(__xludf.DUMMYFUNCTION("""COMPUTED_VALUE"""),9054906178)</f>
        <v>9054906178</v>
      </c>
      <c r="H1335" s="1" t="str">
        <f>IFERROR(__xludf.DUMMYFUNCTION("""COMPUTED_VALUE"""),"Combatente, Socorrista e Auxiliar. VOLUNTÁRIO")</f>
        <v>Combatente, Socorrista e Auxiliar. VOLUNTÁRIO</v>
      </c>
      <c r="I1335" s="1" t="str">
        <f>IFERROR(__xludf.DUMMYFUNCTION("""COMPUTED_VALUE"""),"Curso de Técnica e Tática de Combate a Incêndio NÍVEL 1 e NÍVEL 2, Emergencista Pré Hospitalar, Atendimento Pré Hospitalar, Suporte Básico de Vida, Curso Básico de Resgate em Áreas de Difícil Acesso, Condutor de Veículos de Emergência e Seminário de Preve"&amp;"nção Contra Incêndio.")</f>
        <v>Curso de Técnica e Tática de Combate a Incêndio NÍVEL 1 e NÍVEL 2, Emergencista Pré Hospitalar, Atendimento Pré Hospitalar, Suporte Básico de Vida, Curso Básico de Resgate em Áreas de Difícil Acesso, Condutor de Veículos de Emergência e Seminário de Prevenção Contra Incêndio.</v>
      </c>
      <c r="J1335" s="1" t="str">
        <f>IFERROR(__xludf.DUMMYFUNCTION("""COMPUTED_VALUE"""),"Sim")</f>
        <v>Sim</v>
      </c>
      <c r="K1335" s="1" t="str">
        <f>IFERROR(__xludf.DUMMYFUNCTION("""COMPUTED_VALUE"""),"Não")</f>
        <v>Não</v>
      </c>
      <c r="L1335" s="1" t="str">
        <f>IFERROR(__xludf.DUMMYFUNCTION("""COMPUTED_VALUE"""),"B+")</f>
        <v>B+</v>
      </c>
      <c r="M1335" s="1" t="str">
        <f>IFERROR(__xludf.DUMMYFUNCTION("""COMPUTED_VALUE"""),"BENDER")</f>
        <v>BENDER</v>
      </c>
      <c r="N1335" s="120">
        <f>IFERROR(__xludf.DUMMYFUNCTION("""COMPUTED_VALUE"""),27783)</f>
        <v>27783</v>
      </c>
      <c r="O1335" s="1" t="str">
        <f>IFERROR(__xludf.DUMMYFUNCTION("""COMPUTED_VALUE"""),"Masculino")</f>
        <v>Masculino</v>
      </c>
      <c r="P1335" s="1" t="str">
        <f>IFERROR(__xludf.DUMMYFUNCTION("""COMPUTED_VALUE"""),"Branca")</f>
        <v>Branca</v>
      </c>
      <c r="Q1335" s="1" t="str">
        <f>IFERROR(__xludf.DUMMYFUNCTION("""COMPUTED_VALUE"""),"Ensino Médio")</f>
        <v>Ensino Médio</v>
      </c>
      <c r="R1335" s="1" t="str">
        <f>IFERROR(__xludf.DUMMYFUNCTION("""COMPUTED_VALUE"""),"bendermarcelo56@gmail.com")</f>
        <v>bendermarcelo56@gmail.com</v>
      </c>
      <c r="S1335" s="1">
        <f>IFERROR(__xludf.DUMMYFUNCTION("""COMPUTED_VALUE"""),91)</f>
        <v>91</v>
      </c>
      <c r="T1335" s="1" t="str">
        <f>IFERROR(__xludf.DUMMYFUNCTION("""COMPUTED_VALUE"""),"Entre 1,66m e 1,70m")</f>
        <v>Entre 1,66m e 1,70m</v>
      </c>
      <c r="U1335" s="1"/>
      <c r="V1335" s="1">
        <f>IFERROR(__xludf.DUMMYFUNCTION("""COMPUTED_VALUE"""),55991569786)</f>
        <v>55991569786</v>
      </c>
      <c r="W1335" s="1">
        <f>IFERROR(__xludf.DUMMYFUNCTION("""COMPUTED_VALUE"""),55991137793)</f>
        <v>55991137793</v>
      </c>
      <c r="X1335" s="1" t="str">
        <f>IFERROR(__xludf.DUMMYFUNCTION("""COMPUTED_VALUE"""),"RIO GRANDE DO SUL")</f>
        <v>RIO GRANDE DO SUL</v>
      </c>
      <c r="Y1335" s="1" t="str">
        <f>IFERROR(__xludf.DUMMYFUNCTION("""COMPUTED_VALUE"""),"Três de Maio")</f>
        <v>Três de Maio</v>
      </c>
      <c r="Z1335" s="1">
        <f>IFERROR(__xludf.DUMMYFUNCTION("""COMPUTED_VALUE"""),98910000)</f>
        <v>98910000</v>
      </c>
      <c r="AA1335" s="1" t="str">
        <f>IFERROR(__xludf.DUMMYFUNCTION("""COMPUTED_VALUE"""),"RUA MON SENHOR TESTANI, 65")</f>
        <v>RUA MON SENHOR TESTANI, 65</v>
      </c>
      <c r="AB1335" s="1" t="str">
        <f>IFERROR(__xludf.DUMMYFUNCTION("""COMPUTED_VALUE"""),"CENTRO")</f>
        <v>CENTRO</v>
      </c>
      <c r="AC1335" s="1" t="str">
        <f>IFERROR(__xludf.DUMMYFUNCTION("""COMPUTED_VALUE"""),"GG")</f>
        <v>GG</v>
      </c>
      <c r="AD1335" s="1" t="str">
        <f>IFERROR(__xludf.DUMMYFUNCTION("""COMPUTED_VALUE"""),"GG")</f>
        <v>GG</v>
      </c>
      <c r="AE1335" s="1" t="str">
        <f>IFERROR(__xludf.DUMMYFUNCTION("""COMPUTED_VALUE"""),"GG")</f>
        <v>GG</v>
      </c>
      <c r="AF1335" s="1" t="str">
        <f>IFERROR(__xludf.DUMMYFUNCTION("""COMPUTED_VALUE"""),"GG")</f>
        <v>GG</v>
      </c>
      <c r="AG1335" s="1" t="str">
        <f>IFERROR(__xludf.DUMMYFUNCTION("""COMPUTED_VALUE"""),"GG")</f>
        <v>GG</v>
      </c>
      <c r="AH1335" s="1">
        <f>IFERROR(__xludf.DUMMYFUNCTION("""COMPUTED_VALUE"""),38)</f>
        <v>38</v>
      </c>
      <c r="AI1335" s="1">
        <f>IFERROR(__xludf.DUMMYFUNCTION("""COMPUTED_VALUE"""),38)</f>
        <v>38</v>
      </c>
      <c r="AJ1335" s="1">
        <f>IFERROR(__xludf.DUMMYFUNCTION("""COMPUTED_VALUE"""),38)</f>
        <v>38</v>
      </c>
      <c r="AK1335" s="1">
        <f>IFERROR(__xludf.DUMMYFUNCTION("""COMPUTED_VALUE"""),38)</f>
        <v>38</v>
      </c>
      <c r="AL1335" s="1" t="str">
        <f>IFERROR(__xludf.DUMMYFUNCTION("""COMPUTED_VALUE"""),"GG")</f>
        <v>GG</v>
      </c>
      <c r="AM1335" s="1" t="str">
        <f>IFERROR(__xludf.DUMMYFUNCTION("""COMPUTED_VALUE"""),"GG")</f>
        <v>GG</v>
      </c>
      <c r="AN1335" s="1" t="str">
        <f>IFERROR(__xludf.DUMMYFUNCTION("""COMPUTED_VALUE"""),"G")</f>
        <v>G</v>
      </c>
    </row>
    <row r="1336" customHeight="1" spans="1:40">
      <c r="A1336" s="1" t="str">
        <f>IFERROR(__xludf.DUMMYFUNCTION("""COMPUTED_VALUE"""),"11° BBM")</f>
        <v>11° BBM</v>
      </c>
      <c r="B1336" s="1" t="str">
        <f>IFERROR(__xludf.DUMMYFUNCTION("""COMPUTED_VALUE"""),"Santo Cristo")</f>
        <v>Santo Cristo</v>
      </c>
      <c r="C1336" s="119" t="str">
        <f>IFERROR(__xludf.DUMMYFUNCTION("""COMPUTED_VALUE"""),"CAB")</f>
        <v>CAB</v>
      </c>
      <c r="D1336" s="1" t="str">
        <f>IFERROR(__xludf.DUMMYFUNCTION("""COMPUTED_VALUE"""),"MARCELO FREITAS CARVALHO")</f>
        <v>MARCELO FREITAS CARVALHO</v>
      </c>
      <c r="E1336" s="119" t="str">
        <f>IFERROR(__xludf.DUMMYFUNCTION("""COMPUTED_VALUE"""),"")</f>
        <v/>
      </c>
      <c r="F1336" s="1" t="str">
        <f>IFERROR(__xludf.DUMMYFUNCTION("""COMPUTED_VALUE"""),"638.900700-00")</f>
        <v>638.900700-00</v>
      </c>
      <c r="G1336" s="1">
        <f>IFERROR(__xludf.DUMMYFUNCTION("""COMPUTED_VALUE"""),1039119671)</f>
        <v>1039119671</v>
      </c>
      <c r="H1336" s="1" t="str">
        <f>IFERROR(__xludf.DUMMYFUNCTION("""COMPUTED_VALUE"""),"Motorista")</f>
        <v>Motorista</v>
      </c>
      <c r="I1336" s="1" t="str">
        <f>IFERROR(__xludf.DUMMYFUNCTION("""COMPUTED_VALUE"""),"Resgate em Altura, Resgate Terrestre, Resgate Veicular, Técnicas de Prevenção e Combate a Incêndio")</f>
        <v>Resgate em Altura, Resgate Terrestre, Resgate Veicular, Técnicas de Prevenção e Combate a Incêndio</v>
      </c>
      <c r="J1336" s="1" t="str">
        <f>IFERROR(__xludf.DUMMYFUNCTION("""COMPUTED_VALUE"""),"Sim")</f>
        <v>Sim</v>
      </c>
      <c r="K1336" s="1" t="str">
        <f>IFERROR(__xludf.DUMMYFUNCTION("""COMPUTED_VALUE"""),"Sim")</f>
        <v>Sim</v>
      </c>
      <c r="L1336" s="1" t="str">
        <f>IFERROR(__xludf.DUMMYFUNCTION("""COMPUTED_VALUE"""),"A+")</f>
        <v>A+</v>
      </c>
      <c r="M1336" s="1" t="str">
        <f>IFERROR(__xludf.DUMMYFUNCTION("""COMPUTED_VALUE"""),"CAB CARVALHO")</f>
        <v>CAB CARVALHO</v>
      </c>
      <c r="N1336" s="120">
        <f>IFERROR(__xludf.DUMMYFUNCTION("""COMPUTED_VALUE"""),25721)</f>
        <v>25721</v>
      </c>
      <c r="O1336" s="1" t="str">
        <f>IFERROR(__xludf.DUMMYFUNCTION("""COMPUTED_VALUE"""),"Masculino")</f>
        <v>Masculino</v>
      </c>
      <c r="P1336" s="1" t="str">
        <f>IFERROR(__xludf.DUMMYFUNCTION("""COMPUTED_VALUE"""),"Parda")</f>
        <v>Parda</v>
      </c>
      <c r="Q1336" s="1" t="str">
        <f>IFERROR(__xludf.DUMMYFUNCTION("""COMPUTED_VALUE"""),"Ensino Médio")</f>
        <v>Ensino Médio</v>
      </c>
      <c r="R1336" s="1" t="str">
        <f>IFERROR(__xludf.DUMMYFUNCTION("""COMPUTED_VALUE"""),"carvalhomarcelo197@gmail.com")</f>
        <v>carvalhomarcelo197@gmail.com</v>
      </c>
      <c r="S1336" s="1" t="str">
        <f>IFERROR(__xludf.DUMMYFUNCTION("""COMPUTED_VALUE"""),"96 Kg")</f>
        <v>96 Kg</v>
      </c>
      <c r="T1336" s="1" t="str">
        <f>IFERROR(__xludf.DUMMYFUNCTION("""COMPUTED_VALUE"""),"Entre 1,71m e 1,75m")</f>
        <v>Entre 1,71m e 1,75m</v>
      </c>
      <c r="U1336" s="1"/>
      <c r="V1336" s="1" t="str">
        <f>IFERROR(__xludf.DUMMYFUNCTION("""COMPUTED_VALUE"""),"55-999174378")</f>
        <v>55-999174378</v>
      </c>
      <c r="W1336" s="1"/>
      <c r="X1336" s="1" t="str">
        <f>IFERROR(__xludf.DUMMYFUNCTION("""COMPUTED_VALUE"""),"RS")</f>
        <v>RS</v>
      </c>
      <c r="Y1336" s="1" t="str">
        <f>IFERROR(__xludf.DUMMYFUNCTION("""COMPUTED_VALUE"""),"Santo Cristo")</f>
        <v>Santo Cristo</v>
      </c>
      <c r="Z1336" s="1" t="str">
        <f>IFERROR(__xludf.DUMMYFUNCTION("""COMPUTED_VALUE"""),"98960-000")</f>
        <v>98960-000</v>
      </c>
      <c r="AA1336" s="1" t="str">
        <f>IFERROR(__xludf.DUMMYFUNCTION("""COMPUTED_VALUE"""),"rua 1º demaio, 596")</f>
        <v>rua 1º demaio, 596</v>
      </c>
      <c r="AB1336" s="1" t="str">
        <f>IFERROR(__xludf.DUMMYFUNCTION("""COMPUTED_VALUE"""),"la salle")</f>
        <v>la salle</v>
      </c>
      <c r="AC1336" s="1" t="str">
        <f>IFERROR(__xludf.DUMMYFUNCTION("""COMPUTED_VALUE"""),"GG")</f>
        <v>GG</v>
      </c>
      <c r="AD1336" s="1" t="str">
        <f>IFERROR(__xludf.DUMMYFUNCTION("""COMPUTED_VALUE"""),"GG")</f>
        <v>GG</v>
      </c>
      <c r="AE1336" s="1" t="str">
        <f>IFERROR(__xludf.DUMMYFUNCTION("""COMPUTED_VALUE"""),"GG")</f>
        <v>GG</v>
      </c>
      <c r="AF1336" s="1" t="str">
        <f>IFERROR(__xludf.DUMMYFUNCTION("""COMPUTED_VALUE"""),"GG")</f>
        <v>GG</v>
      </c>
      <c r="AG1336" s="1" t="str">
        <f>IFERROR(__xludf.DUMMYFUNCTION("""COMPUTED_VALUE"""),"GG")</f>
        <v>GG</v>
      </c>
      <c r="AH1336" s="1">
        <f>IFERROR(__xludf.DUMMYFUNCTION("""COMPUTED_VALUE"""),42)</f>
        <v>42</v>
      </c>
      <c r="AI1336" s="1">
        <f>IFERROR(__xludf.DUMMYFUNCTION("""COMPUTED_VALUE"""),42)</f>
        <v>42</v>
      </c>
      <c r="AJ1336" s="1">
        <f>IFERROR(__xludf.DUMMYFUNCTION("""COMPUTED_VALUE"""),42)</f>
        <v>42</v>
      </c>
      <c r="AK1336" s="1">
        <f>IFERROR(__xludf.DUMMYFUNCTION("""COMPUTED_VALUE"""),42)</f>
        <v>42</v>
      </c>
      <c r="AL1336" s="1" t="str">
        <f>IFERROR(__xludf.DUMMYFUNCTION("""COMPUTED_VALUE"""),"GG")</f>
        <v>GG</v>
      </c>
      <c r="AM1336" s="1" t="str">
        <f>IFERROR(__xludf.DUMMYFUNCTION("""COMPUTED_VALUE"""),"GG")</f>
        <v>GG</v>
      </c>
      <c r="AN1336" s="1" t="str">
        <f>IFERROR(__xludf.DUMMYFUNCTION("""COMPUTED_VALUE"""),"G")</f>
        <v>G</v>
      </c>
    </row>
    <row r="1337" customHeight="1" spans="1:40">
      <c r="A1337" s="1" t="str">
        <f>IFERROR(__xludf.DUMMYFUNCTION("""COMPUTED_VALUE"""),"11° BBM")</f>
        <v>11° BBM</v>
      </c>
      <c r="B1337" s="1" t="str">
        <f>IFERROR(__xludf.DUMMYFUNCTION("""COMPUTED_VALUE"""),"Cerro Largo")</f>
        <v>Cerro Largo</v>
      </c>
      <c r="C1337" s="119" t="str">
        <f>IFERROR(__xludf.DUMMYFUNCTION("""COMPUTED_VALUE"""),"CAB")</f>
        <v>CAB</v>
      </c>
      <c r="D1337" s="1" t="str">
        <f>IFERROR(__xludf.DUMMYFUNCTION("""COMPUTED_VALUE"""),"MÁRCIA KRAMER FOLLMANN")</f>
        <v>MÁRCIA KRAMER FOLLMANN</v>
      </c>
      <c r="E1337" s="119" t="str">
        <f>IFERROR(__xludf.DUMMYFUNCTION("""COMPUTED_VALUE"""),"")</f>
        <v/>
      </c>
      <c r="F1337" s="1" t="str">
        <f>IFERROR(__xludf.DUMMYFUNCTION("""COMPUTED_VALUE"""),"948.809.560-15")</f>
        <v>948.809.560-15</v>
      </c>
      <c r="G1337" s="1">
        <f>IFERROR(__xludf.DUMMYFUNCTION("""COMPUTED_VALUE"""),1056360074)</f>
        <v>1056360074</v>
      </c>
      <c r="H1337" s="1" t="str">
        <f>IFERROR(__xludf.DUMMYFUNCTION("""COMPUTED_VALUE"""),"COMBATENTE")</f>
        <v>COMBATENTE</v>
      </c>
      <c r="I1337" s="1" t="str">
        <f>IFERROR(__xludf.DUMMYFUNCTION("""COMPUTED_VALUE"""),"Resgate Terrestre, Curso de APH, Técnicas de Prevenção e Combate a Incêndio, TEC. SEGURANÇA DO TRABALHO, NR-10, NR-33 Espaço Confinado, NR-35 Trabalho em Altura")</f>
        <v>Resgate Terrestre, Curso de APH, Técnicas de Prevenção e Combate a Incêndio, TEC. SEGURANÇA DO TRABALHO, NR-10, NR-33 Espaço Confinado, NR-35 Trabalho em Altura</v>
      </c>
      <c r="J1337" s="1" t="str">
        <f>IFERROR(__xludf.DUMMYFUNCTION("""COMPUTED_VALUE"""),"Sim")</f>
        <v>Sim</v>
      </c>
      <c r="K1337" s="1" t="str">
        <f>IFERROR(__xludf.DUMMYFUNCTION("""COMPUTED_VALUE"""),"Sim")</f>
        <v>Sim</v>
      </c>
      <c r="L1337" s="1" t="str">
        <f>IFERROR(__xludf.DUMMYFUNCTION("""COMPUTED_VALUE"""),"O+")</f>
        <v>O+</v>
      </c>
      <c r="M1337" s="1" t="str">
        <f>IFERROR(__xludf.DUMMYFUNCTION("""COMPUTED_VALUE"""),"CAB MÁRCIA")</f>
        <v>CAB MÁRCIA</v>
      </c>
      <c r="N1337" s="121">
        <f>IFERROR(__xludf.DUMMYFUNCTION("""COMPUTED_VALUE"""),27683)</f>
        <v>27683</v>
      </c>
      <c r="O1337" s="1" t="str">
        <f>IFERROR(__xludf.DUMMYFUNCTION("""COMPUTED_VALUE"""),"Feminino")</f>
        <v>Feminino</v>
      </c>
      <c r="P1337" s="1" t="str">
        <f>IFERROR(__xludf.DUMMYFUNCTION("""COMPUTED_VALUE"""),"Branca")</f>
        <v>Branca</v>
      </c>
      <c r="Q1337" s="1" t="str">
        <f>IFERROR(__xludf.DUMMYFUNCTION("""COMPUTED_VALUE"""),"Ensino Médio")</f>
        <v>Ensino Médio</v>
      </c>
      <c r="R1337" s="1" t="str">
        <f>IFERROR(__xludf.DUMMYFUNCTION("""COMPUTED_VALUE"""),"kramer.marciaf@gmail.com")</f>
        <v>kramer.marciaf@gmail.com</v>
      </c>
      <c r="S1337" s="1" t="str">
        <f>IFERROR(__xludf.DUMMYFUNCTION("""COMPUTED_VALUE"""),"87 Kg")</f>
        <v>87 Kg</v>
      </c>
      <c r="T1337" s="1" t="str">
        <f>IFERROR(__xludf.DUMMYFUNCTION("""COMPUTED_VALUE"""),"Entre 1,61m e 1,65m")</f>
        <v>Entre 1,61m e 1,65m</v>
      </c>
      <c r="U1337" s="1"/>
      <c r="V1337" s="1" t="str">
        <f>IFERROR(__xludf.DUMMYFUNCTION("""COMPUTED_VALUE"""),"55 99643-3914")</f>
        <v>55 99643-3914</v>
      </c>
      <c r="W1337" s="1" t="str">
        <f>IFERROR(__xludf.DUMMYFUNCTION("""COMPUTED_VALUE"""),"55 99643-3914")</f>
        <v>55 99643-3914</v>
      </c>
      <c r="X1337" s="1" t="str">
        <f>IFERROR(__xludf.DUMMYFUNCTION("""COMPUTED_VALUE"""),"RS")</f>
        <v>RS</v>
      </c>
      <c r="Y1337" s="1" t="str">
        <f>IFERROR(__xludf.DUMMYFUNCTION("""COMPUTED_VALUE"""),"Cerro Largo")</f>
        <v>Cerro Largo</v>
      </c>
      <c r="Z1337" s="1" t="str">
        <f>IFERROR(__xludf.DUMMYFUNCTION("""COMPUTED_VALUE"""),"97900-000")</f>
        <v>97900-000</v>
      </c>
      <c r="AA1337" s="1" t="str">
        <f>IFERROR(__xludf.DUMMYFUNCTION("""COMPUTED_VALUE"""),"Major Antonio Cardosos, 1615 ")</f>
        <v>Major Antonio Cardosos, 1615 </v>
      </c>
      <c r="AB1337" s="1" t="str">
        <f>IFERROR(__xludf.DUMMYFUNCTION("""COMPUTED_VALUE"""),"Santo Antonio")</f>
        <v>Santo Antonio</v>
      </c>
      <c r="AC1337" s="1" t="str">
        <f>IFERROR(__xludf.DUMMYFUNCTION("""COMPUTED_VALUE"""),"GG")</f>
        <v>GG</v>
      </c>
      <c r="AD1337" s="1" t="str">
        <f>IFERROR(__xludf.DUMMYFUNCTION("""COMPUTED_VALUE"""),"EXG")</f>
        <v>EXG</v>
      </c>
      <c r="AE1337" s="1" t="str">
        <f>IFERROR(__xludf.DUMMYFUNCTION("""COMPUTED_VALUE"""),"GG")</f>
        <v>GG</v>
      </c>
      <c r="AF1337" s="1" t="str">
        <f>IFERROR(__xludf.DUMMYFUNCTION("""COMPUTED_VALUE"""),"GG")</f>
        <v>GG</v>
      </c>
      <c r="AG1337" s="1" t="str">
        <f>IFERROR(__xludf.DUMMYFUNCTION("""COMPUTED_VALUE"""),"M")</f>
        <v>M</v>
      </c>
      <c r="AH1337" s="1">
        <f>IFERROR(__xludf.DUMMYFUNCTION("""COMPUTED_VALUE"""),38)</f>
        <v>38</v>
      </c>
      <c r="AI1337" s="1">
        <f>IFERROR(__xludf.DUMMYFUNCTION("""COMPUTED_VALUE"""),37)</f>
        <v>37</v>
      </c>
      <c r="AJ1337" s="1">
        <f>IFERROR(__xludf.DUMMYFUNCTION("""COMPUTED_VALUE"""),37)</f>
        <v>37</v>
      </c>
      <c r="AK1337" s="1">
        <f>IFERROR(__xludf.DUMMYFUNCTION("""COMPUTED_VALUE"""),37)</f>
        <v>37</v>
      </c>
      <c r="AL1337" s="1" t="str">
        <f>IFERROR(__xludf.DUMMYFUNCTION("""COMPUTED_VALUE"""),"GG")</f>
        <v>GG</v>
      </c>
      <c r="AM1337" s="1" t="str">
        <f>IFERROR(__xludf.DUMMYFUNCTION("""COMPUTED_VALUE"""),"GG")</f>
        <v>GG</v>
      </c>
      <c r="AN1337" s="1" t="str">
        <f>IFERROR(__xludf.DUMMYFUNCTION("""COMPUTED_VALUE"""),"GG")</f>
        <v>GG</v>
      </c>
    </row>
    <row r="1338" customHeight="1" spans="1:40">
      <c r="A1338" s="1" t="str">
        <f>IFERROR(__xludf.DUMMYFUNCTION("""COMPUTED_VALUE"""),"11° BBM")</f>
        <v>11° BBM</v>
      </c>
      <c r="B1338" s="1" t="str">
        <f>IFERROR(__xludf.DUMMYFUNCTION("""COMPUTED_VALUE"""),"Santo Cristo")</f>
        <v>Santo Cristo</v>
      </c>
      <c r="C1338" s="119" t="str">
        <f>IFERROR(__xludf.DUMMYFUNCTION("""COMPUTED_VALUE"""),"CAB")</f>
        <v>CAB</v>
      </c>
      <c r="D1338" s="1" t="str">
        <f>IFERROR(__xludf.DUMMYFUNCTION("""COMPUTED_VALUE"""),"MARCO ANTONIO SAUTHIER")</f>
        <v>MARCO ANTONIO SAUTHIER</v>
      </c>
      <c r="E1338" s="119" t="str">
        <f>IFERROR(__xludf.DUMMYFUNCTION("""COMPUTED_VALUE"""),"")</f>
        <v/>
      </c>
      <c r="F1338" s="1" t="str">
        <f>IFERROR(__xludf.DUMMYFUNCTION("""COMPUTED_VALUE"""),"923.797.880-49")</f>
        <v>923.797.880-49</v>
      </c>
      <c r="G1338" s="1">
        <f>IFERROR(__xludf.DUMMYFUNCTION("""COMPUTED_VALUE"""),4064719844)</f>
        <v>4064719844</v>
      </c>
      <c r="H1338" s="1" t="str">
        <f>IFERROR(__xludf.DUMMYFUNCTION("""COMPUTED_VALUE"""),"Vice Presidente/ Motorista")</f>
        <v>Vice Presidente/ Motorista</v>
      </c>
      <c r="I1338" s="1" t="str">
        <f>IFERROR(__xludf.DUMMYFUNCTION("""COMPUTED_VALUE"""),"Curso de APH, Resgate Terrestre, Técnicas de Prevenção e Combate a Incêndio")</f>
        <v>Curso de APH, Resgate Terrestre, Técnicas de Prevenção e Combate a Incêndio</v>
      </c>
      <c r="J1338" s="1" t="str">
        <f>IFERROR(__xludf.DUMMYFUNCTION("""COMPUTED_VALUE"""),"Sim")</f>
        <v>Sim</v>
      </c>
      <c r="K1338" s="1" t="str">
        <f>IFERROR(__xludf.DUMMYFUNCTION("""COMPUTED_VALUE"""),"Sim")</f>
        <v>Sim</v>
      </c>
      <c r="L1338" s="1" t="str">
        <f>IFERROR(__xludf.DUMMYFUNCTION("""COMPUTED_VALUE"""),"B+")</f>
        <v>B+</v>
      </c>
      <c r="M1338" s="1" t="str">
        <f>IFERROR(__xludf.DUMMYFUNCTION("""COMPUTED_VALUE"""),"CAB SAUTHIER")</f>
        <v>CAB SAUTHIER</v>
      </c>
      <c r="N1338" s="120">
        <f>IFERROR(__xludf.DUMMYFUNCTION("""COMPUTED_VALUE"""),27813)</f>
        <v>27813</v>
      </c>
      <c r="O1338" s="1" t="str">
        <f>IFERROR(__xludf.DUMMYFUNCTION("""COMPUTED_VALUE"""),"Masculino")</f>
        <v>Masculino</v>
      </c>
      <c r="P1338" s="1" t="str">
        <f>IFERROR(__xludf.DUMMYFUNCTION("""COMPUTED_VALUE"""),"Branca")</f>
        <v>Branca</v>
      </c>
      <c r="Q1338" s="1" t="str">
        <f>IFERROR(__xludf.DUMMYFUNCTION("""COMPUTED_VALUE"""),"Ensino Médio")</f>
        <v>Ensino Médio</v>
      </c>
      <c r="R1338" s="1" t="str">
        <f>IFERROR(__xludf.DUMMYFUNCTION("""COMPUTED_VALUE"""),"marcosauthier@gmail.com")</f>
        <v>marcosauthier@gmail.com</v>
      </c>
      <c r="S1338" s="1" t="str">
        <f>IFERROR(__xludf.DUMMYFUNCTION("""COMPUTED_VALUE"""),"98 Kg")</f>
        <v>98 Kg</v>
      </c>
      <c r="T1338" s="1" t="str">
        <f>IFERROR(__xludf.DUMMYFUNCTION("""COMPUTED_VALUE"""),"Entre 1,76m e 1,80m")</f>
        <v>Entre 1,76m e 1,80m</v>
      </c>
      <c r="U1338" s="1"/>
      <c r="V1338" s="1" t="str">
        <f>IFERROR(__xludf.DUMMYFUNCTION("""COMPUTED_VALUE"""),"55-999031229")</f>
        <v>55-999031229</v>
      </c>
      <c r="W1338" s="1"/>
      <c r="X1338" s="1" t="str">
        <f>IFERROR(__xludf.DUMMYFUNCTION("""COMPUTED_VALUE"""),"RS")</f>
        <v>RS</v>
      </c>
      <c r="Y1338" s="1" t="str">
        <f>IFERROR(__xludf.DUMMYFUNCTION("""COMPUTED_VALUE"""),"Santo Cristo")</f>
        <v>Santo Cristo</v>
      </c>
      <c r="Z1338" s="1" t="str">
        <f>IFERROR(__xludf.DUMMYFUNCTION("""COMPUTED_VALUE"""),"98960-000")</f>
        <v>98960-000</v>
      </c>
      <c r="AA1338" s="1" t="str">
        <f>IFERROR(__xludf.DUMMYFUNCTION("""COMPUTED_VALUE"""),"MINAS GERIAS, 799")</f>
        <v>MINAS GERIAS, 799</v>
      </c>
      <c r="AB1338" s="1" t="str">
        <f>IFERROR(__xludf.DUMMYFUNCTION("""COMPUTED_VALUE"""),"VILA KLERING")</f>
        <v>VILA KLERING</v>
      </c>
      <c r="AC1338" s="1" t="str">
        <f>IFERROR(__xludf.DUMMYFUNCTION("""COMPUTED_VALUE"""),"EXG")</f>
        <v>EXG</v>
      </c>
      <c r="AD1338" s="1" t="str">
        <f>IFERROR(__xludf.DUMMYFUNCTION("""COMPUTED_VALUE"""),"EXG")</f>
        <v>EXG</v>
      </c>
      <c r="AE1338" s="1" t="str">
        <f>IFERROR(__xludf.DUMMYFUNCTION("""COMPUTED_VALUE"""),"GG")</f>
        <v>GG</v>
      </c>
      <c r="AF1338" s="1" t="str">
        <f>IFERROR(__xludf.DUMMYFUNCTION("""COMPUTED_VALUE"""),"GG")</f>
        <v>GG</v>
      </c>
      <c r="AG1338" s="1" t="str">
        <f>IFERROR(__xludf.DUMMYFUNCTION("""COMPUTED_VALUE"""),"M")</f>
        <v>M</v>
      </c>
      <c r="AH1338" s="1">
        <f>IFERROR(__xludf.DUMMYFUNCTION("""COMPUTED_VALUE"""),42)</f>
        <v>42</v>
      </c>
      <c r="AI1338" s="1">
        <f>IFERROR(__xludf.DUMMYFUNCTION("""COMPUTED_VALUE"""),42)</f>
        <v>42</v>
      </c>
      <c r="AJ1338" s="1">
        <f>IFERROR(__xludf.DUMMYFUNCTION("""COMPUTED_VALUE"""),42)</f>
        <v>42</v>
      </c>
      <c r="AK1338" s="1">
        <f>IFERROR(__xludf.DUMMYFUNCTION("""COMPUTED_VALUE"""),42)</f>
        <v>42</v>
      </c>
      <c r="AL1338" s="1" t="str">
        <f>IFERROR(__xludf.DUMMYFUNCTION("""COMPUTED_VALUE"""),"GG")</f>
        <v>GG</v>
      </c>
      <c r="AM1338" s="1" t="str">
        <f>IFERROR(__xludf.DUMMYFUNCTION("""COMPUTED_VALUE"""),"GG")</f>
        <v>GG</v>
      </c>
      <c r="AN1338" s="1" t="str">
        <f>IFERROR(__xludf.DUMMYFUNCTION("""COMPUTED_VALUE"""),"G")</f>
        <v>G</v>
      </c>
    </row>
    <row r="1339" customHeight="1" spans="1:40">
      <c r="A1339" s="1" t="str">
        <f>IFERROR(__xludf.DUMMYFUNCTION("""COMPUTED_VALUE"""),"11° BBM")</f>
        <v>11° BBM</v>
      </c>
      <c r="B1339" s="1" t="str">
        <f>IFERROR(__xludf.DUMMYFUNCTION("""COMPUTED_VALUE"""),"Cerro Largo")</f>
        <v>Cerro Largo</v>
      </c>
      <c r="C1339" s="119" t="str">
        <f>IFERROR(__xludf.DUMMYFUNCTION("""COMPUTED_VALUE"""),"CAB")</f>
        <v>CAB</v>
      </c>
      <c r="D1339" s="1" t="str">
        <f>IFERROR(__xludf.DUMMYFUNCTION("""COMPUTED_VALUE"""),"MAURÍCIO EZEQUIEL AMARAL TRINDADE")</f>
        <v>MAURÍCIO EZEQUIEL AMARAL TRINDADE</v>
      </c>
      <c r="E1339" s="119" t="str">
        <f>IFERROR(__xludf.DUMMYFUNCTION("""COMPUTED_VALUE"""),"")</f>
        <v/>
      </c>
      <c r="F1339" s="1" t="str">
        <f>IFERROR(__xludf.DUMMYFUNCTION("""COMPUTED_VALUE"""),"029 028 540 21")</f>
        <v>029 028 540 21</v>
      </c>
      <c r="G1339" s="1">
        <f>IFERROR(__xludf.DUMMYFUNCTION("""COMPUTED_VALUE"""),7108544219)</f>
        <v>7108544219</v>
      </c>
      <c r="H1339" s="1" t="str">
        <f>IFERROR(__xludf.DUMMYFUNCTION("""COMPUTED_VALUE"""),"MOTORISTA / COMBATENTE")</f>
        <v>MOTORISTA / COMBATENTE</v>
      </c>
      <c r="I1339" s="1" t="str">
        <f>IFERROR(__xludf.DUMMYFUNCTION("""COMPUTED_VALUE"""),"Sem Curso. CNH AE. MOPE e Passageiro")</f>
        <v>Sem Curso. CNH AE. MOPE e Passageiro</v>
      </c>
      <c r="J1339" s="1" t="str">
        <f>IFERROR(__xludf.DUMMYFUNCTION("""COMPUTED_VALUE"""),"Não")</f>
        <v>Não</v>
      </c>
      <c r="K1339" s="1" t="str">
        <f>IFERROR(__xludf.DUMMYFUNCTION("""COMPUTED_VALUE"""),"Não")</f>
        <v>Não</v>
      </c>
      <c r="L1339" s="1" t="str">
        <f>IFERROR(__xludf.DUMMYFUNCTION("""COMPUTED_VALUE"""),"O-")</f>
        <v>O-</v>
      </c>
      <c r="M1339" s="1" t="str">
        <f>IFERROR(__xludf.DUMMYFUNCTION("""COMPUTED_VALUE"""),"CAB MAURÍCIO")</f>
        <v>CAB MAURÍCIO</v>
      </c>
      <c r="N1339" s="120">
        <f>IFERROR(__xludf.DUMMYFUNCTION("""COMPUTED_VALUE"""),33388)</f>
        <v>33388</v>
      </c>
      <c r="O1339" s="1" t="str">
        <f>IFERROR(__xludf.DUMMYFUNCTION("""COMPUTED_VALUE"""),"Masculino")</f>
        <v>Masculino</v>
      </c>
      <c r="P1339" s="1" t="str">
        <f>IFERROR(__xludf.DUMMYFUNCTION("""COMPUTED_VALUE"""),"Branca")</f>
        <v>Branca</v>
      </c>
      <c r="Q1339" s="1" t="str">
        <f>IFERROR(__xludf.DUMMYFUNCTION("""COMPUTED_VALUE"""),"Ensino Médio")</f>
        <v>Ensino Médio</v>
      </c>
      <c r="R1339" s="1" t="str">
        <f>IFERROR(__xludf.DUMMYFUNCTION("""COMPUTED_VALUE"""),"amaralmauricio809@gmail.com")</f>
        <v>amaralmauricio809@gmail.com</v>
      </c>
      <c r="S1339" s="1" t="str">
        <f>IFERROR(__xludf.DUMMYFUNCTION("""COMPUTED_VALUE"""),"72 Kg")</f>
        <v>72 Kg</v>
      </c>
      <c r="T1339" s="1" t="str">
        <f>IFERROR(__xludf.DUMMYFUNCTION("""COMPUTED_VALUE"""),"Entre 1,66m e 1,70m")</f>
        <v>Entre 1,66m e 1,70m</v>
      </c>
      <c r="U1339" s="1"/>
      <c r="V1339" s="1" t="str">
        <f>IFERROR(__xludf.DUMMYFUNCTION("""COMPUTED_VALUE"""),"55 99619-4082")</f>
        <v>55 99619-4082</v>
      </c>
      <c r="W1339" s="1"/>
      <c r="X1339" s="1" t="str">
        <f>IFERROR(__xludf.DUMMYFUNCTION("""COMPUTED_VALUE"""),"RS")</f>
        <v>RS</v>
      </c>
      <c r="Y1339" s="1" t="str">
        <f>IFERROR(__xludf.DUMMYFUNCTION("""COMPUTED_VALUE"""),"Cerro Largo")</f>
        <v>Cerro Largo</v>
      </c>
      <c r="Z1339" s="1" t="str">
        <f>IFERROR(__xludf.DUMMYFUNCTION("""COMPUTED_VALUE"""),"97900-000")</f>
        <v>97900-000</v>
      </c>
      <c r="AA1339" s="1" t="str">
        <f>IFERROR(__xludf.DUMMYFUNCTION("""COMPUTED_VALUE"""),"Rua 20 de Setembro, 715 ")</f>
        <v>Rua 20 de Setembro, 715 </v>
      </c>
      <c r="AB1339" s="1" t="str">
        <f>IFERROR(__xludf.DUMMYFUNCTION("""COMPUTED_VALUE"""),"Centro")</f>
        <v>Centro</v>
      </c>
      <c r="AC1339" s="1" t="str">
        <f>IFERROR(__xludf.DUMMYFUNCTION("""COMPUTED_VALUE"""),"M")</f>
        <v>M</v>
      </c>
      <c r="AD1339" s="1" t="str">
        <f>IFERROR(__xludf.DUMMYFUNCTION("""COMPUTED_VALUE"""),"M")</f>
        <v>M</v>
      </c>
      <c r="AE1339" s="1" t="str">
        <f>IFERROR(__xludf.DUMMYFUNCTION("""COMPUTED_VALUE"""),"M")</f>
        <v>M</v>
      </c>
      <c r="AF1339" s="1" t="str">
        <f>IFERROR(__xludf.DUMMYFUNCTION("""COMPUTED_VALUE"""),"M")</f>
        <v>M</v>
      </c>
      <c r="AG1339" s="1" t="str">
        <f>IFERROR(__xludf.DUMMYFUNCTION("""COMPUTED_VALUE"""),"G")</f>
        <v>G</v>
      </c>
      <c r="AH1339" s="1">
        <f>IFERROR(__xludf.DUMMYFUNCTION("""COMPUTED_VALUE"""),39)</f>
        <v>39</v>
      </c>
      <c r="AI1339" s="1">
        <f>IFERROR(__xludf.DUMMYFUNCTION("""COMPUTED_VALUE"""),39)</f>
        <v>39</v>
      </c>
      <c r="AJ1339" s="1">
        <f>IFERROR(__xludf.DUMMYFUNCTION("""COMPUTED_VALUE"""),39)</f>
        <v>39</v>
      </c>
      <c r="AK1339" s="1">
        <f>IFERROR(__xludf.DUMMYFUNCTION("""COMPUTED_VALUE"""),39)</f>
        <v>39</v>
      </c>
      <c r="AL1339" s="1" t="str">
        <f>IFERROR(__xludf.DUMMYFUNCTION("""COMPUTED_VALUE"""),"M")</f>
        <v>M</v>
      </c>
      <c r="AM1339" s="1" t="str">
        <f>IFERROR(__xludf.DUMMYFUNCTION("""COMPUTED_VALUE"""),"M")</f>
        <v>M</v>
      </c>
      <c r="AN1339" s="1" t="str">
        <f>IFERROR(__xludf.DUMMYFUNCTION("""COMPUTED_VALUE"""),"M")</f>
        <v>M</v>
      </c>
    </row>
    <row r="1340" customHeight="1" spans="1:40">
      <c r="A1340" s="1" t="str">
        <f>IFERROR(__xludf.DUMMYFUNCTION("""COMPUTED_VALUE"""),"11° BBM")</f>
        <v>11° BBM</v>
      </c>
      <c r="B1340" s="1" t="str">
        <f>IFERROR(__xludf.DUMMYFUNCTION("""COMPUTED_VALUE"""),"Cerro Largo")</f>
        <v>Cerro Largo</v>
      </c>
      <c r="C1340" s="119" t="str">
        <f>IFERROR(__xludf.DUMMYFUNCTION("""COMPUTED_VALUE"""),"CAB")</f>
        <v>CAB</v>
      </c>
      <c r="D1340" s="1" t="str">
        <f>IFERROR(__xludf.DUMMYFUNCTION("""COMPUTED_VALUE"""),"MIGUEL FUNK")</f>
        <v>MIGUEL FUNK</v>
      </c>
      <c r="E1340" s="119" t="str">
        <f>IFERROR(__xludf.DUMMYFUNCTION("""COMPUTED_VALUE"""),"")</f>
        <v/>
      </c>
      <c r="F1340" s="1" t="str">
        <f>IFERROR(__xludf.DUMMYFUNCTION("""COMPUTED_VALUE"""),"469.616.230-34")</f>
        <v>469.616.230-34</v>
      </c>
      <c r="G1340" s="1">
        <f>IFERROR(__xludf.DUMMYFUNCTION("""COMPUTED_VALUE"""),4031156631)</f>
        <v>4031156631</v>
      </c>
      <c r="H1340" s="1" t="str">
        <f>IFERROR(__xludf.DUMMYFUNCTION("""COMPUTED_VALUE"""),"COMBATENTE")</f>
        <v>COMBATENTE</v>
      </c>
      <c r="I1340" s="1" t="str">
        <f>IFERROR(__xludf.DUMMYFUNCTION("""COMPUTED_VALUE"""),"Sem Curso")</f>
        <v>Sem Curso</v>
      </c>
      <c r="J1340" s="1" t="str">
        <f>IFERROR(__xludf.DUMMYFUNCTION("""COMPUTED_VALUE"""),"Não")</f>
        <v>Não</v>
      </c>
      <c r="K1340" s="1" t="str">
        <f>IFERROR(__xludf.DUMMYFUNCTION("""COMPUTED_VALUE"""),"Não")</f>
        <v>Não</v>
      </c>
      <c r="L1340" s="1" t="str">
        <f>IFERROR(__xludf.DUMMYFUNCTION("""COMPUTED_VALUE"""),"A+")</f>
        <v>A+</v>
      </c>
      <c r="M1340" s="1" t="str">
        <f>IFERROR(__xludf.DUMMYFUNCTION("""COMPUTED_VALUE"""),"CAB MIGUEL")</f>
        <v>CAB MIGUEL</v>
      </c>
      <c r="N1340" s="1"/>
      <c r="O1340" s="1" t="str">
        <f>IFERROR(__xludf.DUMMYFUNCTION("""COMPUTED_VALUE"""),"Masculino")</f>
        <v>Masculino</v>
      </c>
      <c r="P1340" s="1" t="str">
        <f>IFERROR(__xludf.DUMMYFUNCTION("""COMPUTED_VALUE"""),"Branca")</f>
        <v>Branca</v>
      </c>
      <c r="Q1340" s="1" t="str">
        <f>IFERROR(__xludf.DUMMYFUNCTION("""COMPUTED_VALUE"""),"Ensino Médio")</f>
        <v>Ensino Médio</v>
      </c>
      <c r="R1340" s="1" t="str">
        <f>IFERROR(__xludf.DUMMYFUNCTION("""COMPUTED_VALUE"""),"funksol13@gmail.com")</f>
        <v>funksol13@gmail.com</v>
      </c>
      <c r="S1340" s="1" t="str">
        <f>IFERROR(__xludf.DUMMYFUNCTION("""COMPUTED_VALUE"""),"85 Kg")</f>
        <v>85 Kg</v>
      </c>
      <c r="T1340" s="1" t="str">
        <f>IFERROR(__xludf.DUMMYFUNCTION("""COMPUTED_VALUE"""),"Entre 1,86m e 1,90m")</f>
        <v>Entre 1,86m e 1,90m</v>
      </c>
      <c r="U1340" s="1"/>
      <c r="V1340" s="1" t="str">
        <f>IFERROR(__xludf.DUMMYFUNCTION("""COMPUTED_VALUE"""),"55 984686929")</f>
        <v>55 984686929</v>
      </c>
      <c r="W1340" s="1"/>
      <c r="X1340" s="1" t="str">
        <f>IFERROR(__xludf.DUMMYFUNCTION("""COMPUTED_VALUE"""),"RS")</f>
        <v>RS</v>
      </c>
      <c r="Y1340" s="1" t="str">
        <f>IFERROR(__xludf.DUMMYFUNCTION("""COMPUTED_VALUE"""),"Cerro Largo")</f>
        <v>Cerro Largo</v>
      </c>
      <c r="Z1340" s="1" t="str">
        <f>IFERROR(__xludf.DUMMYFUNCTION("""COMPUTED_VALUE"""),"97900-000")</f>
        <v>97900-000</v>
      </c>
      <c r="AA1340" s="1" t="str">
        <f>IFERROR(__xludf.DUMMYFUNCTION("""COMPUTED_VALUE"""),"Rua 20 de Setembro, 799 ")</f>
        <v>Rua 20 de Setembro, 799 </v>
      </c>
      <c r="AB1340" s="1" t="str">
        <f>IFERROR(__xludf.DUMMYFUNCTION("""COMPUTED_VALUE"""),"Esquina Gaúcha")</f>
        <v>Esquina Gaúcha</v>
      </c>
      <c r="AC1340" s="1" t="str">
        <f>IFERROR(__xludf.DUMMYFUNCTION("""COMPUTED_VALUE"""),"G")</f>
        <v>G</v>
      </c>
      <c r="AD1340" s="1" t="str">
        <f>IFERROR(__xludf.DUMMYFUNCTION("""COMPUTED_VALUE"""),"G")</f>
        <v>G</v>
      </c>
      <c r="AE1340" s="1" t="str">
        <f>IFERROR(__xludf.DUMMYFUNCTION("""COMPUTED_VALUE"""),"G")</f>
        <v>G</v>
      </c>
      <c r="AF1340" s="1" t="str">
        <f>IFERROR(__xludf.DUMMYFUNCTION("""COMPUTED_VALUE"""),"G")</f>
        <v>G</v>
      </c>
      <c r="AG1340" s="1" t="str">
        <f>IFERROR(__xludf.DUMMYFUNCTION("""COMPUTED_VALUE"""),"GG")</f>
        <v>GG</v>
      </c>
      <c r="AH1340" s="1">
        <f>IFERROR(__xludf.DUMMYFUNCTION("""COMPUTED_VALUE"""),44)</f>
        <v>44</v>
      </c>
      <c r="AI1340" s="1">
        <f>IFERROR(__xludf.DUMMYFUNCTION("""COMPUTED_VALUE"""),44)</f>
        <v>44</v>
      </c>
      <c r="AJ1340" s="1">
        <f>IFERROR(__xludf.DUMMYFUNCTION("""COMPUTED_VALUE"""),44)</f>
        <v>44</v>
      </c>
      <c r="AK1340" s="1">
        <f>IFERROR(__xludf.DUMMYFUNCTION("""COMPUTED_VALUE"""),44)</f>
        <v>44</v>
      </c>
      <c r="AL1340" s="1" t="str">
        <f>IFERROR(__xludf.DUMMYFUNCTION("""COMPUTED_VALUE"""),"G")</f>
        <v>G</v>
      </c>
      <c r="AM1340" s="1" t="str">
        <f>IFERROR(__xludf.DUMMYFUNCTION("""COMPUTED_VALUE"""),"G")</f>
        <v>G</v>
      </c>
      <c r="AN1340" s="1" t="str">
        <f>IFERROR(__xludf.DUMMYFUNCTION("""COMPUTED_VALUE"""),"G")</f>
        <v>G</v>
      </c>
    </row>
    <row r="1341" customHeight="1" spans="1:40">
      <c r="A1341" s="1" t="str">
        <f>IFERROR(__xludf.DUMMYFUNCTION("""COMPUTED_VALUE"""),"11° BBM")</f>
        <v>11° BBM</v>
      </c>
      <c r="B1341" s="1" t="str">
        <f>IFERROR(__xludf.DUMMYFUNCTION("""COMPUTED_VALUE"""),"Santo Cristo")</f>
        <v>Santo Cristo</v>
      </c>
      <c r="C1341" s="119" t="str">
        <f>IFERROR(__xludf.DUMMYFUNCTION("""COMPUTED_VALUE"""),"CAB")</f>
        <v>CAB</v>
      </c>
      <c r="D1341" s="1" t="str">
        <f>IFERROR(__xludf.DUMMYFUNCTION("""COMPUTED_VALUE"""),"NERISON FITZ")</f>
        <v>NERISON FITZ</v>
      </c>
      <c r="E1341" s="119" t="str">
        <f>IFERROR(__xludf.DUMMYFUNCTION("""COMPUTED_VALUE"""),"")</f>
        <v/>
      </c>
      <c r="F1341" s="1" t="str">
        <f>IFERROR(__xludf.DUMMYFUNCTION("""COMPUTED_VALUE"""),"010.192.590-51")</f>
        <v>010.192.590-51</v>
      </c>
      <c r="G1341" s="1">
        <f>IFERROR(__xludf.DUMMYFUNCTION("""COMPUTED_VALUE"""),2016415156)</f>
        <v>2016415156</v>
      </c>
      <c r="H1341" s="1" t="str">
        <f>IFERROR(__xludf.DUMMYFUNCTION("""COMPUTED_VALUE"""),"COV")</f>
        <v>COV</v>
      </c>
      <c r="I1341" s="1" t="str">
        <f>IFERROR(__xludf.DUMMYFUNCTION("""COMPUTED_VALUE"""),"Resgate em Altura, Resgate Terrestre, Resgate Veicular, Técnicas de Prevenção e Combate a Incêndio")</f>
        <v>Resgate em Altura, Resgate Terrestre, Resgate Veicular, Técnicas de Prevenção e Combate a Incêndio</v>
      </c>
      <c r="J1341" s="1" t="str">
        <f>IFERROR(__xludf.DUMMYFUNCTION("""COMPUTED_VALUE"""),"Sim")</f>
        <v>Sim</v>
      </c>
      <c r="K1341" s="1" t="str">
        <f>IFERROR(__xludf.DUMMYFUNCTION("""COMPUTED_VALUE"""),"Sim")</f>
        <v>Sim</v>
      </c>
      <c r="L1341" s="1" t="str">
        <f>IFERROR(__xludf.DUMMYFUNCTION("""COMPUTED_VALUE"""),"O-")</f>
        <v>O-</v>
      </c>
      <c r="M1341" s="1" t="str">
        <f>IFERROR(__xludf.DUMMYFUNCTION("""COMPUTED_VALUE"""),"CAB FITZ")</f>
        <v>CAB FITZ</v>
      </c>
      <c r="N1341" s="120">
        <f>IFERROR(__xludf.DUMMYFUNCTION("""COMPUTED_VALUE"""),31691)</f>
        <v>31691</v>
      </c>
      <c r="O1341" s="1" t="str">
        <f>IFERROR(__xludf.DUMMYFUNCTION("""COMPUTED_VALUE"""),"Masculino")</f>
        <v>Masculino</v>
      </c>
      <c r="P1341" s="1" t="str">
        <f>IFERROR(__xludf.DUMMYFUNCTION("""COMPUTED_VALUE"""),"Branca")</f>
        <v>Branca</v>
      </c>
      <c r="Q1341" s="1" t="str">
        <f>IFERROR(__xludf.DUMMYFUNCTION("""COMPUTED_VALUE"""),"Ensino Médio")</f>
        <v>Ensino Médio</v>
      </c>
      <c r="R1341" s="1" t="str">
        <f>IFERROR(__xludf.DUMMYFUNCTION("""COMPUTED_VALUE"""),"fitznerison@gmail.com")</f>
        <v>fitznerison@gmail.com</v>
      </c>
      <c r="S1341" s="1" t="str">
        <f>IFERROR(__xludf.DUMMYFUNCTION("""COMPUTED_VALUE"""),"76 Kg")</f>
        <v>76 Kg</v>
      </c>
      <c r="T1341" s="1" t="str">
        <f>IFERROR(__xludf.DUMMYFUNCTION("""COMPUTED_VALUE"""),"Entre 1,76m e 1,80m")</f>
        <v>Entre 1,76m e 1,80m</v>
      </c>
      <c r="U1341" s="1"/>
      <c r="V1341" s="1" t="str">
        <f>IFERROR(__xludf.DUMMYFUNCTION("""COMPUTED_VALUE"""),"55-996866748")</f>
        <v>55-996866748</v>
      </c>
      <c r="W1341" s="1"/>
      <c r="X1341" s="1" t="str">
        <f>IFERROR(__xludf.DUMMYFUNCTION("""COMPUTED_VALUE"""),"RS")</f>
        <v>RS</v>
      </c>
      <c r="Y1341" s="1" t="str">
        <f>IFERROR(__xludf.DUMMYFUNCTION("""COMPUTED_VALUE"""),"Santo Cristo")</f>
        <v>Santo Cristo</v>
      </c>
      <c r="Z1341" s="1" t="str">
        <f>IFERROR(__xludf.DUMMYFUNCTION("""COMPUTED_VALUE"""),"98960-000")</f>
        <v>98960-000</v>
      </c>
      <c r="AA1341" s="1" t="str">
        <f>IFERROR(__xludf.DUMMYFUNCTION("""COMPUTED_VALUE"""),"RUA MATO GORSSO")</f>
        <v>RUA MATO GORSSO</v>
      </c>
      <c r="AB1341" s="1" t="str">
        <f>IFERROR(__xludf.DUMMYFUNCTION("""COMPUTED_VALUE"""),"CENTRO")</f>
        <v>CENTRO</v>
      </c>
      <c r="AC1341" s="1" t="str">
        <f>IFERROR(__xludf.DUMMYFUNCTION("""COMPUTED_VALUE"""),"G")</f>
        <v>G</v>
      </c>
      <c r="AD1341" s="1" t="str">
        <f>IFERROR(__xludf.DUMMYFUNCTION("""COMPUTED_VALUE"""),"M")</f>
        <v>M</v>
      </c>
      <c r="AE1341" s="1" t="str">
        <f>IFERROR(__xludf.DUMMYFUNCTION("""COMPUTED_VALUE"""),"M")</f>
        <v>M</v>
      </c>
      <c r="AF1341" s="1" t="str">
        <f>IFERROR(__xludf.DUMMYFUNCTION("""COMPUTED_VALUE"""),"M")</f>
        <v>M</v>
      </c>
      <c r="AG1341" s="1" t="str">
        <f>IFERROR(__xludf.DUMMYFUNCTION("""COMPUTED_VALUE"""),"GG")</f>
        <v>GG</v>
      </c>
      <c r="AH1341" s="1">
        <f>IFERROR(__xludf.DUMMYFUNCTION("""COMPUTED_VALUE"""),42)</f>
        <v>42</v>
      </c>
      <c r="AI1341" s="1">
        <f>IFERROR(__xludf.DUMMYFUNCTION("""COMPUTED_VALUE"""),42)</f>
        <v>42</v>
      </c>
      <c r="AJ1341" s="1">
        <f>IFERROR(__xludf.DUMMYFUNCTION("""COMPUTED_VALUE"""),42)</f>
        <v>42</v>
      </c>
      <c r="AK1341" s="1">
        <f>IFERROR(__xludf.DUMMYFUNCTION("""COMPUTED_VALUE"""),42)</f>
        <v>42</v>
      </c>
      <c r="AL1341" s="1" t="str">
        <f>IFERROR(__xludf.DUMMYFUNCTION("""COMPUTED_VALUE"""),"M")</f>
        <v>M</v>
      </c>
      <c r="AM1341" s="1" t="str">
        <f>IFERROR(__xludf.DUMMYFUNCTION("""COMPUTED_VALUE"""),"M")</f>
        <v>M</v>
      </c>
      <c r="AN1341" s="1" t="str">
        <f>IFERROR(__xludf.DUMMYFUNCTION("""COMPUTED_VALUE"""),"G")</f>
        <v>G</v>
      </c>
    </row>
    <row r="1342" customHeight="1" spans="1:40">
      <c r="A1342" s="1" t="str">
        <f>IFERROR(__xludf.DUMMYFUNCTION("""COMPUTED_VALUE"""),"11° BBM")</f>
        <v>11° BBM</v>
      </c>
      <c r="B1342" s="1" t="str">
        <f>IFERROR(__xludf.DUMMYFUNCTION("""COMPUTED_VALUE"""),"Cerro Largo")</f>
        <v>Cerro Largo</v>
      </c>
      <c r="C1342" s="119" t="str">
        <f>IFERROR(__xludf.DUMMYFUNCTION("""COMPUTED_VALUE"""),"CAB")</f>
        <v>CAB</v>
      </c>
      <c r="D1342" s="1" t="str">
        <f>IFERROR(__xludf.DUMMYFUNCTION("""COMPUTED_VALUE"""),"PATRICK JOSÉ DAMKE")</f>
        <v>PATRICK JOSÉ DAMKE</v>
      </c>
      <c r="E1342" s="119" t="str">
        <f>IFERROR(__xludf.DUMMYFUNCTION("""COMPUTED_VALUE"""),"Módulo 1 concluído")</f>
        <v>Módulo 1 concluído</v>
      </c>
      <c r="F1342" s="1" t="str">
        <f>IFERROR(__xludf.DUMMYFUNCTION("""COMPUTED_VALUE"""),"007.547.740-82")</f>
        <v>007.547.740-82</v>
      </c>
      <c r="G1342" s="1">
        <f>IFERROR(__xludf.DUMMYFUNCTION("""COMPUTED_VALUE"""),1062314214)</f>
        <v>1062314214</v>
      </c>
      <c r="H1342" s="1" t="str">
        <f>IFERROR(__xludf.DUMMYFUNCTION("""COMPUTED_VALUE"""),"COMBATENTE")</f>
        <v>COMBATENTE</v>
      </c>
      <c r="I1342" s="1" t="str">
        <f>IFERROR(__xludf.DUMMYFUNCTION("""COMPUTED_VALUE"""),"Resgate Terrestre, Curso de APH, Técnicas de Prevenção e Combate a Incêndio")</f>
        <v>Resgate Terrestre, Curso de APH, Técnicas de Prevenção e Combate a Incêndio</v>
      </c>
      <c r="J1342" s="1" t="str">
        <f>IFERROR(__xludf.DUMMYFUNCTION("""COMPUTED_VALUE"""),"Sim")</f>
        <v>Sim</v>
      </c>
      <c r="K1342" s="1" t="str">
        <f>IFERROR(__xludf.DUMMYFUNCTION("""COMPUTED_VALUE"""),"Sim")</f>
        <v>Sim</v>
      </c>
      <c r="L1342" s="1" t="str">
        <f>IFERROR(__xludf.DUMMYFUNCTION("""COMPUTED_VALUE"""),"A-")</f>
        <v>A-</v>
      </c>
      <c r="M1342" s="1" t="str">
        <f>IFERROR(__xludf.DUMMYFUNCTION("""COMPUTED_VALUE"""),"CAB PATRICK")</f>
        <v>CAB PATRICK</v>
      </c>
      <c r="N1342" s="120">
        <f>IFERROR(__xludf.DUMMYFUNCTION("""COMPUTED_VALUE"""),30714)</f>
        <v>30714</v>
      </c>
      <c r="O1342" s="1" t="str">
        <f>IFERROR(__xludf.DUMMYFUNCTION("""COMPUTED_VALUE"""),"Masculino")</f>
        <v>Masculino</v>
      </c>
      <c r="P1342" s="1" t="str">
        <f>IFERROR(__xludf.DUMMYFUNCTION("""COMPUTED_VALUE"""),"Branca")</f>
        <v>Branca</v>
      </c>
      <c r="Q1342" s="1" t="str">
        <f>IFERROR(__xludf.DUMMYFUNCTION("""COMPUTED_VALUE"""),"Pós-graduação")</f>
        <v>Pós-graduação</v>
      </c>
      <c r="R1342" s="1" t="str">
        <f>IFERROR(__xludf.DUMMYFUNCTION("""COMPUTED_VALUE"""),"patrickdamke@hotmail.com")</f>
        <v>patrickdamke@hotmail.com</v>
      </c>
      <c r="S1342" s="1" t="str">
        <f>IFERROR(__xludf.DUMMYFUNCTION("""COMPUTED_VALUE"""),"93 kg")</f>
        <v>93 kg</v>
      </c>
      <c r="T1342" s="1" t="str">
        <f>IFERROR(__xludf.DUMMYFUNCTION("""COMPUTED_VALUE"""),"Entre 1,71m e 1,75m")</f>
        <v>Entre 1,71m e 1,75m</v>
      </c>
      <c r="U1342" s="1"/>
      <c r="V1342" s="1" t="str">
        <f>IFERROR(__xludf.DUMMYFUNCTION("""COMPUTED_VALUE"""),"(55) 98437-5055")</f>
        <v>(55) 98437-5055</v>
      </c>
      <c r="W1342" s="1"/>
      <c r="X1342" s="1" t="str">
        <f>IFERROR(__xludf.DUMMYFUNCTION("""COMPUTED_VALUE"""),"RS")</f>
        <v>RS</v>
      </c>
      <c r="Y1342" s="1" t="str">
        <f>IFERROR(__xludf.DUMMYFUNCTION("""COMPUTED_VALUE"""),"Cerro Largo")</f>
        <v>Cerro Largo</v>
      </c>
      <c r="Z1342" s="1" t="str">
        <f>IFERROR(__xludf.DUMMYFUNCTION("""COMPUTED_VALUE"""),"97900-000")</f>
        <v>97900-000</v>
      </c>
      <c r="AA1342" s="1" t="str">
        <f>IFERROR(__xludf.DUMMYFUNCTION("""COMPUTED_VALUE"""),"Rua Daltro Filho, 390")</f>
        <v>Rua Daltro Filho, 390</v>
      </c>
      <c r="AB1342" s="1" t="str">
        <f>IFERROR(__xludf.DUMMYFUNCTION("""COMPUTED_VALUE"""),"Floresta")</f>
        <v>Floresta</v>
      </c>
      <c r="AC1342" s="1" t="str">
        <f>IFERROR(__xludf.DUMMYFUNCTION("""COMPUTED_VALUE"""),"G")</f>
        <v>G</v>
      </c>
      <c r="AD1342" s="1" t="str">
        <f>IFERROR(__xludf.DUMMYFUNCTION("""COMPUTED_VALUE"""),"GG")</f>
        <v>GG</v>
      </c>
      <c r="AE1342" s="1" t="str">
        <f>IFERROR(__xludf.DUMMYFUNCTION("""COMPUTED_VALUE"""),"GG")</f>
        <v>GG</v>
      </c>
      <c r="AF1342" s="1" t="str">
        <f>IFERROR(__xludf.DUMMYFUNCTION("""COMPUTED_VALUE"""),"GG")</f>
        <v>GG</v>
      </c>
      <c r="AG1342" s="1" t="str">
        <f>IFERROR(__xludf.DUMMYFUNCTION("""COMPUTED_VALUE"""),"G")</f>
        <v>G</v>
      </c>
      <c r="AH1342" s="1">
        <f>IFERROR(__xludf.DUMMYFUNCTION("""COMPUTED_VALUE"""),40)</f>
        <v>40</v>
      </c>
      <c r="AI1342" s="1">
        <f>IFERROR(__xludf.DUMMYFUNCTION("""COMPUTED_VALUE"""),40)</f>
        <v>40</v>
      </c>
      <c r="AJ1342" s="1">
        <f>IFERROR(__xludf.DUMMYFUNCTION("""COMPUTED_VALUE"""),40)</f>
        <v>40</v>
      </c>
      <c r="AK1342" s="1">
        <f>IFERROR(__xludf.DUMMYFUNCTION("""COMPUTED_VALUE"""),40)</f>
        <v>40</v>
      </c>
      <c r="AL1342" s="1" t="str">
        <f>IFERROR(__xludf.DUMMYFUNCTION("""COMPUTED_VALUE"""),"GG")</f>
        <v>GG</v>
      </c>
      <c r="AM1342" s="1" t="str">
        <f>IFERROR(__xludf.DUMMYFUNCTION("""COMPUTED_VALUE"""),"GG")</f>
        <v>GG</v>
      </c>
      <c r="AN1342" s="1" t="str">
        <f>IFERROR(__xludf.DUMMYFUNCTION("""COMPUTED_VALUE"""),"G")</f>
        <v>G</v>
      </c>
    </row>
    <row r="1343" customHeight="1" spans="1:40">
      <c r="A1343" s="1" t="str">
        <f>IFERROR(__xludf.DUMMYFUNCTION("""COMPUTED_VALUE"""),"11° BBM")</f>
        <v>11° BBM</v>
      </c>
      <c r="B1343" s="1" t="str">
        <f>IFERROR(__xludf.DUMMYFUNCTION("""COMPUTED_VALUE"""),"Santo Cristo")</f>
        <v>Santo Cristo</v>
      </c>
      <c r="C1343" s="119" t="str">
        <f>IFERROR(__xludf.DUMMYFUNCTION("""COMPUTED_VALUE"""),"CAB")</f>
        <v>CAB</v>
      </c>
      <c r="D1343" s="1" t="str">
        <f>IFERROR(__xludf.DUMMYFUNCTION("""COMPUTED_VALUE"""),"PAULO ROBERTO LEMOS")</f>
        <v>PAULO ROBERTO LEMOS</v>
      </c>
      <c r="E1343" s="119" t="str">
        <f>IFERROR(__xludf.DUMMYFUNCTION("""COMPUTED_VALUE"""),"")</f>
        <v/>
      </c>
      <c r="F1343" s="1" t="str">
        <f>IFERROR(__xludf.DUMMYFUNCTION("""COMPUTED_VALUE"""),"588.791.020-87")</f>
        <v>588.791.020-87</v>
      </c>
      <c r="G1343" s="1">
        <f>IFERROR(__xludf.DUMMYFUNCTION("""COMPUTED_VALUE"""),3051505737)</f>
        <v>3051505737</v>
      </c>
      <c r="H1343" s="1" t="str">
        <f>IFERROR(__xludf.DUMMYFUNCTION("""COMPUTED_VALUE"""),"1º Secretário")</f>
        <v>1º Secretário</v>
      </c>
      <c r="I1343" s="1" t="str">
        <f>IFERROR(__xludf.DUMMYFUNCTION("""COMPUTED_VALUE"""),"Resgate em Altura, Resgate Terrestre, Resgate Veicular, Técnicas de Prevenção e Combate a Incêndio, Curso I.N 35 Trabalho em altura.")</f>
        <v>Resgate em Altura, Resgate Terrestre, Resgate Veicular, Técnicas de Prevenção e Combate a Incêndio, Curso I.N 35 Trabalho em altura.</v>
      </c>
      <c r="J1343" s="1" t="str">
        <f>IFERROR(__xludf.DUMMYFUNCTION("""COMPUTED_VALUE"""),"Sim")</f>
        <v>Sim</v>
      </c>
      <c r="K1343" s="1" t="str">
        <f>IFERROR(__xludf.DUMMYFUNCTION("""COMPUTED_VALUE"""),"Sim")</f>
        <v>Sim</v>
      </c>
      <c r="L1343" s="1" t="str">
        <f>IFERROR(__xludf.DUMMYFUNCTION("""COMPUTED_VALUE"""),"B-")</f>
        <v>B-</v>
      </c>
      <c r="M1343" s="1" t="str">
        <f>IFERROR(__xludf.DUMMYFUNCTION("""COMPUTED_VALUE"""),"CAB LEMOS")</f>
        <v>CAB LEMOS</v>
      </c>
      <c r="N1343" s="120">
        <f>IFERROR(__xludf.DUMMYFUNCTION("""COMPUTED_VALUE"""),24973)</f>
        <v>24973</v>
      </c>
      <c r="O1343" s="1" t="str">
        <f>IFERROR(__xludf.DUMMYFUNCTION("""COMPUTED_VALUE"""),"Masculino")</f>
        <v>Masculino</v>
      </c>
      <c r="P1343" s="1" t="str">
        <f>IFERROR(__xludf.DUMMYFUNCTION("""COMPUTED_VALUE"""),"Parda")</f>
        <v>Parda</v>
      </c>
      <c r="Q1343" s="1" t="str">
        <f>IFERROR(__xludf.DUMMYFUNCTION("""COMPUTED_VALUE"""),"Ensino Superior Incompleto")</f>
        <v>Ensino Superior Incompleto</v>
      </c>
      <c r="R1343" s="1" t="str">
        <f>IFERROR(__xludf.DUMMYFUNCTION("""COMPUTED_VALUE"""),"pretolemos@yahoo.com.br")</f>
        <v>pretolemos@yahoo.com.br</v>
      </c>
      <c r="S1343" s="1" t="str">
        <f>IFERROR(__xludf.DUMMYFUNCTION("""COMPUTED_VALUE"""),"95 Kg")</f>
        <v>95 Kg</v>
      </c>
      <c r="T1343" s="1" t="str">
        <f>IFERROR(__xludf.DUMMYFUNCTION("""COMPUTED_VALUE"""),"Entre 1,76m e 1,80m")</f>
        <v>Entre 1,76m e 1,80m</v>
      </c>
      <c r="U1343" s="1"/>
      <c r="V1343" s="1" t="str">
        <f>IFERROR(__xludf.DUMMYFUNCTION("""COMPUTED_VALUE"""),"55-996234641")</f>
        <v>55-996234641</v>
      </c>
      <c r="W1343" s="1"/>
      <c r="X1343" s="1" t="str">
        <f>IFERROR(__xludf.DUMMYFUNCTION("""COMPUTED_VALUE"""),"RS")</f>
        <v>RS</v>
      </c>
      <c r="Y1343" s="1" t="str">
        <f>IFERROR(__xludf.DUMMYFUNCTION("""COMPUTED_VALUE"""),"Santo Cristo")</f>
        <v>Santo Cristo</v>
      </c>
      <c r="Z1343" s="1" t="str">
        <f>IFERROR(__xludf.DUMMYFUNCTION("""COMPUTED_VALUE"""),"98960-000")</f>
        <v>98960-000</v>
      </c>
      <c r="AA1343" s="1" t="str">
        <f>IFERROR(__xludf.DUMMYFUNCTION("""COMPUTED_VALUE"""),"RUA EMILIO RIFFEL, 151")</f>
        <v>RUA EMILIO RIFFEL, 151</v>
      </c>
      <c r="AB1343" s="1" t="str">
        <f>IFERROR(__xludf.DUMMYFUNCTION("""COMPUTED_VALUE"""),"VILA ESPERANÇA")</f>
        <v>VILA ESPERANÇA</v>
      </c>
      <c r="AC1343" s="1" t="str">
        <f>IFERROR(__xludf.DUMMYFUNCTION("""COMPUTED_VALUE"""),"GG")</f>
        <v>GG</v>
      </c>
      <c r="AD1343" s="1" t="str">
        <f>IFERROR(__xludf.DUMMYFUNCTION("""COMPUTED_VALUE"""),"GG")</f>
        <v>GG</v>
      </c>
      <c r="AE1343" s="1" t="str">
        <f>IFERROR(__xludf.DUMMYFUNCTION("""COMPUTED_VALUE"""),"GG")</f>
        <v>GG</v>
      </c>
      <c r="AF1343" s="1" t="str">
        <f>IFERROR(__xludf.DUMMYFUNCTION("""COMPUTED_VALUE"""),"GG")</f>
        <v>GG</v>
      </c>
      <c r="AG1343" s="1" t="str">
        <f>IFERROR(__xludf.DUMMYFUNCTION("""COMPUTED_VALUE"""),"M")</f>
        <v>M</v>
      </c>
      <c r="AH1343" s="1">
        <f>IFERROR(__xludf.DUMMYFUNCTION("""COMPUTED_VALUE"""),41)</f>
        <v>41</v>
      </c>
      <c r="AI1343" s="1">
        <f>IFERROR(__xludf.DUMMYFUNCTION("""COMPUTED_VALUE"""),41)</f>
        <v>41</v>
      </c>
      <c r="AJ1343" s="1">
        <f>IFERROR(__xludf.DUMMYFUNCTION("""COMPUTED_VALUE"""),41)</f>
        <v>41</v>
      </c>
      <c r="AK1343" s="1">
        <f>IFERROR(__xludf.DUMMYFUNCTION("""COMPUTED_VALUE"""),41)</f>
        <v>41</v>
      </c>
      <c r="AL1343" s="1" t="str">
        <f>IFERROR(__xludf.DUMMYFUNCTION("""COMPUTED_VALUE"""),"GG")</f>
        <v>GG</v>
      </c>
      <c r="AM1343" s="1" t="str">
        <f>IFERROR(__xludf.DUMMYFUNCTION("""COMPUTED_VALUE"""),"M")</f>
        <v>M</v>
      </c>
      <c r="AN1343" s="1" t="str">
        <f>IFERROR(__xludf.DUMMYFUNCTION("""COMPUTED_VALUE"""),"G")</f>
        <v>G</v>
      </c>
    </row>
    <row r="1344" customHeight="1" spans="1:40">
      <c r="A1344" s="1"/>
      <c r="B1344" s="1"/>
      <c r="C1344" s="119"/>
      <c r="D1344" s="1" t="str">
        <f>IFERROR(__xludf.DUMMYFUNCTION("""COMPUTED_VALUE"""),"PAULO ROBERTO NAU")</f>
        <v>PAULO ROBERTO NAU</v>
      </c>
      <c r="E1344" s="119" t="str">
        <f>IFERROR(__xludf.DUMMYFUNCTION("""COMPUTED_VALUE"""),"Módulo 1 concluído")</f>
        <v>Módulo 1 concluído</v>
      </c>
      <c r="F1344" s="1" t="str">
        <f>IFERROR(__xludf.DUMMYFUNCTION("""COMPUTED_VALUE"""),"064.657.059-58")</f>
        <v>064.657.059-58</v>
      </c>
      <c r="G1344" s="1"/>
      <c r="H1344" s="1"/>
      <c r="I1344" s="1"/>
      <c r="J1344" s="1"/>
      <c r="K1344" s="1"/>
      <c r="L1344" s="1"/>
      <c r="M1344" s="1"/>
      <c r="N1344" s="120"/>
      <c r="O1344" s="1"/>
      <c r="P1344" s="1"/>
      <c r="Q1344" s="1"/>
      <c r="R1344" s="1"/>
      <c r="S1344" s="1"/>
      <c r="T1344" s="1"/>
      <c r="U1344" s="1"/>
      <c r="V1344" s="1"/>
      <c r="W1344" s="1"/>
      <c r="X1344" s="1"/>
      <c r="Y1344" s="1"/>
      <c r="Z1344" s="1"/>
      <c r="AA1344" s="1"/>
      <c r="AB1344" s="1"/>
      <c r="AC1344" s="1"/>
      <c r="AD1344" s="1"/>
      <c r="AE1344" s="1"/>
      <c r="AF1344" s="1"/>
      <c r="AG1344" s="1"/>
      <c r="AH1344" s="1"/>
      <c r="AI1344" s="1"/>
      <c r="AJ1344" s="1"/>
      <c r="AK1344" s="1"/>
      <c r="AL1344" s="1"/>
      <c r="AM1344" s="1"/>
      <c r="AN1344" s="1"/>
    </row>
    <row r="1345" customHeight="1" spans="1:40">
      <c r="A1345" s="1" t="str">
        <f>IFERROR(__xludf.DUMMYFUNCTION("""COMPUTED_VALUE"""),"11° BBM")</f>
        <v>11° BBM</v>
      </c>
      <c r="B1345" s="1" t="str">
        <f>IFERROR(__xludf.DUMMYFUNCTION("""COMPUTED_VALUE"""),"Cerro Largo")</f>
        <v>Cerro Largo</v>
      </c>
      <c r="C1345" s="119" t="str">
        <f>IFERROR(__xludf.DUMMYFUNCTION("""COMPUTED_VALUE"""),"CAB")</f>
        <v>CAB</v>
      </c>
      <c r="D1345" s="1" t="str">
        <f>IFERROR(__xludf.DUMMYFUNCTION("""COMPUTED_VALUE"""),"RAFAEL RODRIGO WOLFART TREIB")</f>
        <v>RAFAEL RODRIGO WOLFART TREIB</v>
      </c>
      <c r="E1345" s="119" t="str">
        <f>IFERROR(__xludf.DUMMYFUNCTION("""COMPUTED_VALUE"""),"Módulo 1 concluído")</f>
        <v>Módulo 1 concluído</v>
      </c>
      <c r="F1345" s="1" t="str">
        <f>IFERROR(__xludf.DUMMYFUNCTION("""COMPUTED_VALUE"""),"000.512.510-35")</f>
        <v>000.512.510-35</v>
      </c>
      <c r="G1345" s="1">
        <f>IFERROR(__xludf.DUMMYFUNCTION("""COMPUTED_VALUE"""),9078429868)</f>
        <v>9078429868</v>
      </c>
      <c r="H1345" s="1" t="str">
        <f>IFERROR(__xludf.DUMMYFUNCTION("""COMPUTED_VALUE"""),"COMBATENTE")</f>
        <v>COMBATENTE</v>
      </c>
      <c r="I1345" s="1" t="str">
        <f>IFERROR(__xludf.DUMMYFUNCTION("""COMPUTED_VALUE"""),"Bombeiro Civil, Resgate Veicular,Resgate Terrestre, Curso de APH, Técnicas de Prevenção e Combate a Incêndio")</f>
        <v>Bombeiro Civil, Resgate Veicular,Resgate Terrestre, Curso de APH, Técnicas de Prevenção e Combate a Incêndio</v>
      </c>
      <c r="J1345" s="1" t="str">
        <f>IFERROR(__xludf.DUMMYFUNCTION("""COMPUTED_VALUE"""),"Sim")</f>
        <v>Sim</v>
      </c>
      <c r="K1345" s="1" t="str">
        <f>IFERROR(__xludf.DUMMYFUNCTION("""COMPUTED_VALUE"""),"Sim")</f>
        <v>Sim</v>
      </c>
      <c r="L1345" s="1" t="str">
        <f>IFERROR(__xludf.DUMMYFUNCTION("""COMPUTED_VALUE"""),"O+")</f>
        <v>O+</v>
      </c>
      <c r="M1345" s="1" t="str">
        <f>IFERROR(__xludf.DUMMYFUNCTION("""COMPUTED_VALUE"""),"CAB RAFAEL TREIB")</f>
        <v>CAB RAFAEL TREIB</v>
      </c>
      <c r="N1345" s="121">
        <f>IFERROR(__xludf.DUMMYFUNCTION("""COMPUTED_VALUE"""),29940)</f>
        <v>29940</v>
      </c>
      <c r="O1345" s="1" t="str">
        <f>IFERROR(__xludf.DUMMYFUNCTION("""COMPUTED_VALUE"""),"Masculino")</f>
        <v>Masculino</v>
      </c>
      <c r="P1345" s="1" t="str">
        <f>IFERROR(__xludf.DUMMYFUNCTION("""COMPUTED_VALUE"""),"Branca")</f>
        <v>Branca</v>
      </c>
      <c r="Q1345" s="1" t="str">
        <f>IFERROR(__xludf.DUMMYFUNCTION("""COMPUTED_VALUE"""),"Mestrado")</f>
        <v>Mestrado</v>
      </c>
      <c r="R1345" s="1" t="str">
        <f>IFERROR(__xludf.DUMMYFUNCTION("""COMPUTED_VALUE"""),"rafael.treib@uffs.edu.br")</f>
        <v>rafael.treib@uffs.edu.br</v>
      </c>
      <c r="S1345" s="1" t="str">
        <f>IFERROR(__xludf.DUMMYFUNCTION("""COMPUTED_VALUE"""),"87 Kg")</f>
        <v>87 Kg</v>
      </c>
      <c r="T1345" s="1" t="str">
        <f>IFERROR(__xludf.DUMMYFUNCTION("""COMPUTED_VALUE"""),"Entre 1,66m e 1,70m")</f>
        <v>Entre 1,66m e 1,70m</v>
      </c>
      <c r="U1345" s="1">
        <f>IFERROR(__xludf.DUMMYFUNCTION("""COMPUTED_VALUE"""),5533591837)</f>
        <v>5533591837</v>
      </c>
      <c r="V1345" s="1" t="str">
        <f>IFERROR(__xludf.DUMMYFUNCTION("""COMPUTED_VALUE"""),"(55)99946-5234")</f>
        <v>(55)99946-5234</v>
      </c>
      <c r="W1345" s="1">
        <f>IFERROR(__xludf.DUMMYFUNCTION("""COMPUTED_VALUE"""),55999465234)</f>
        <v>55999465234</v>
      </c>
      <c r="X1345" s="1" t="str">
        <f>IFERROR(__xludf.DUMMYFUNCTION("""COMPUTED_VALUE"""),"RS")</f>
        <v>RS</v>
      </c>
      <c r="Y1345" s="1" t="str">
        <f>IFERROR(__xludf.DUMMYFUNCTION("""COMPUTED_VALUE"""),"Cerro Largo")</f>
        <v>Cerro Largo</v>
      </c>
      <c r="Z1345" s="1" t="str">
        <f>IFERROR(__xludf.DUMMYFUNCTION("""COMPUTED_VALUE"""),"97900-000")</f>
        <v>97900-000</v>
      </c>
      <c r="AA1345" s="1" t="str">
        <f>IFERROR(__xludf.DUMMYFUNCTION("""COMPUTED_VALUE"""),"RUA SENADOR PINHEIRO MACHADO,669")</f>
        <v>RUA SENADOR PINHEIRO MACHADO,669</v>
      </c>
      <c r="AB1345" s="1" t="str">
        <f>IFERROR(__xludf.DUMMYFUNCTION("""COMPUTED_VALUE"""),"Centro")</f>
        <v>Centro</v>
      </c>
      <c r="AC1345" s="1" t="str">
        <f>IFERROR(__xludf.DUMMYFUNCTION("""COMPUTED_VALUE"""),"G")</f>
        <v>G</v>
      </c>
      <c r="AD1345" s="1" t="str">
        <f>IFERROR(__xludf.DUMMYFUNCTION("""COMPUTED_VALUE"""),"G")</f>
        <v>G</v>
      </c>
      <c r="AE1345" s="1" t="str">
        <f>IFERROR(__xludf.DUMMYFUNCTION("""COMPUTED_VALUE"""),"G")</f>
        <v>G</v>
      </c>
      <c r="AF1345" s="1" t="str">
        <f>IFERROR(__xludf.DUMMYFUNCTION("""COMPUTED_VALUE"""),"G")</f>
        <v>G</v>
      </c>
      <c r="AG1345" s="1" t="str">
        <f>IFERROR(__xludf.DUMMYFUNCTION("""COMPUTED_VALUE"""),"M")</f>
        <v>M</v>
      </c>
      <c r="AH1345" s="1">
        <f>IFERROR(__xludf.DUMMYFUNCTION("""COMPUTED_VALUE"""),41)</f>
        <v>41</v>
      </c>
      <c r="AI1345" s="1">
        <f>IFERROR(__xludf.DUMMYFUNCTION("""COMPUTED_VALUE"""),41)</f>
        <v>41</v>
      </c>
      <c r="AJ1345" s="1">
        <f>IFERROR(__xludf.DUMMYFUNCTION("""COMPUTED_VALUE"""),40)</f>
        <v>40</v>
      </c>
      <c r="AK1345" s="1">
        <f>IFERROR(__xludf.DUMMYFUNCTION("""COMPUTED_VALUE"""),41)</f>
        <v>41</v>
      </c>
      <c r="AL1345" s="1" t="str">
        <f>IFERROR(__xludf.DUMMYFUNCTION("""COMPUTED_VALUE"""),"G")</f>
        <v>G</v>
      </c>
      <c r="AM1345" s="1" t="str">
        <f>IFERROR(__xludf.DUMMYFUNCTION("""COMPUTED_VALUE"""),"G")</f>
        <v>G</v>
      </c>
      <c r="AN1345" s="1" t="str">
        <f>IFERROR(__xludf.DUMMYFUNCTION("""COMPUTED_VALUE"""),"G")</f>
        <v>G</v>
      </c>
    </row>
    <row r="1346" customHeight="1" spans="1:40">
      <c r="A1346" s="1" t="str">
        <f>IFERROR(__xludf.DUMMYFUNCTION("""COMPUTED_VALUE"""),"11° BBM")</f>
        <v>11° BBM</v>
      </c>
      <c r="B1346" s="1" t="str">
        <f>IFERROR(__xludf.DUMMYFUNCTION("""COMPUTED_VALUE"""),"Santo Cristo")</f>
        <v>Santo Cristo</v>
      </c>
      <c r="C1346" s="119" t="str">
        <f>IFERROR(__xludf.DUMMYFUNCTION("""COMPUTED_VALUE"""),"CAB")</f>
        <v>CAB</v>
      </c>
      <c r="D1346" s="1" t="str">
        <f>IFERROR(__xludf.DUMMYFUNCTION("""COMPUTED_VALUE"""),"RICARDO KRINDGES")</f>
        <v>RICARDO KRINDGES</v>
      </c>
      <c r="E1346" s="119" t="str">
        <f>IFERROR(__xludf.DUMMYFUNCTION("""COMPUTED_VALUE"""),"")</f>
        <v/>
      </c>
      <c r="F1346" s="1" t="str">
        <f>IFERROR(__xludf.DUMMYFUNCTION("""COMPUTED_VALUE"""),"557.651.060-72")</f>
        <v>557.651.060-72</v>
      </c>
      <c r="G1346" s="1">
        <f>IFERROR(__xludf.DUMMYFUNCTION("""COMPUTED_VALUE"""),1042693646)</f>
        <v>1042693646</v>
      </c>
      <c r="H1346" s="1" t="str">
        <f>IFERROR(__xludf.DUMMYFUNCTION("""COMPUTED_VALUE"""),"Presidente")</f>
        <v>Presidente</v>
      </c>
      <c r="I1346" s="1" t="str">
        <f>IFERROR(__xludf.DUMMYFUNCTION("""COMPUTED_VALUE"""),"Curso de APH, SBV, Resgate Veicular, resgate em Altura, Curso Resgate Terrestre e Técnicas de prevenção e combate a incêndio.")</f>
        <v>Curso de APH, SBV, Resgate Veicular, resgate em Altura, Curso Resgate Terrestre e Técnicas de prevenção e combate a incêndio.</v>
      </c>
      <c r="J1346" s="1" t="str">
        <f>IFERROR(__xludf.DUMMYFUNCTION("""COMPUTED_VALUE"""),"Sim")</f>
        <v>Sim</v>
      </c>
      <c r="K1346" s="1" t="str">
        <f>IFERROR(__xludf.DUMMYFUNCTION("""COMPUTED_VALUE"""),"Sim")</f>
        <v>Sim</v>
      </c>
      <c r="L1346" s="1" t="str">
        <f>IFERROR(__xludf.DUMMYFUNCTION("""COMPUTED_VALUE"""),"A+")</f>
        <v>A+</v>
      </c>
      <c r="M1346" s="1" t="str">
        <f>IFERROR(__xludf.DUMMYFUNCTION("""COMPUTED_VALUE"""),"CAB KRINDGES")</f>
        <v>CAB KRINDGES</v>
      </c>
      <c r="N1346" s="120">
        <f>IFERROR(__xludf.DUMMYFUNCTION("""COMPUTED_VALUE"""),26609)</f>
        <v>26609</v>
      </c>
      <c r="O1346" s="1" t="str">
        <f>IFERROR(__xludf.DUMMYFUNCTION("""COMPUTED_VALUE"""),"Masculino")</f>
        <v>Masculino</v>
      </c>
      <c r="P1346" s="1" t="str">
        <f>IFERROR(__xludf.DUMMYFUNCTION("""COMPUTED_VALUE"""),"Branca")</f>
        <v>Branca</v>
      </c>
      <c r="Q1346" s="1" t="str">
        <f>IFERROR(__xludf.DUMMYFUNCTION("""COMPUTED_VALUE"""),"Ensino Superior Incompleto")</f>
        <v>Ensino Superior Incompleto</v>
      </c>
      <c r="R1346" s="1" t="str">
        <f>IFERROR(__xludf.DUMMYFUNCTION("""COMPUTED_VALUE"""),"ricardotchemilk@hotmail.com")</f>
        <v>ricardotchemilk@hotmail.com</v>
      </c>
      <c r="S1346" s="1" t="str">
        <f>IFERROR(__xludf.DUMMYFUNCTION("""COMPUTED_VALUE"""),"101 Kg")</f>
        <v>101 Kg</v>
      </c>
      <c r="T1346" s="1" t="str">
        <f>IFERROR(__xludf.DUMMYFUNCTION("""COMPUTED_VALUE"""),"Entre 1,71m e 1,75m")</f>
        <v>Entre 1,71m e 1,75m</v>
      </c>
      <c r="U1346" s="1"/>
      <c r="V1346" s="1" t="str">
        <f>IFERROR(__xludf.DUMMYFUNCTION("""COMPUTED_VALUE"""),"55-999269323")</f>
        <v>55-999269323</v>
      </c>
      <c r="W1346" s="1"/>
      <c r="X1346" s="1" t="str">
        <f>IFERROR(__xludf.DUMMYFUNCTION("""COMPUTED_VALUE"""),"RS")</f>
        <v>RS</v>
      </c>
      <c r="Y1346" s="1" t="str">
        <f>IFERROR(__xludf.DUMMYFUNCTION("""COMPUTED_VALUE"""),"Santo Cristo")</f>
        <v>Santo Cristo</v>
      </c>
      <c r="Z1346" s="1" t="str">
        <f>IFERROR(__xludf.DUMMYFUNCTION("""COMPUTED_VALUE"""),"98960-000")</f>
        <v>98960-000</v>
      </c>
      <c r="AA1346" s="1" t="str">
        <f>IFERROR(__xludf.DUMMYFUNCTION("""COMPUTED_VALUE"""),"RUA TENENTE JUNG, 511, APT 15")</f>
        <v>RUA TENENTE JUNG, 511, APT 15</v>
      </c>
      <c r="AB1346" s="1" t="str">
        <f>IFERROR(__xludf.DUMMYFUNCTION("""COMPUTED_VALUE"""),"CENTRO")</f>
        <v>CENTRO</v>
      </c>
      <c r="AC1346" s="1" t="str">
        <f>IFERROR(__xludf.DUMMYFUNCTION("""COMPUTED_VALUE"""),"GG")</f>
        <v>GG</v>
      </c>
      <c r="AD1346" s="1" t="str">
        <f>IFERROR(__xludf.DUMMYFUNCTION("""COMPUTED_VALUE"""),"GG")</f>
        <v>GG</v>
      </c>
      <c r="AE1346" s="1" t="str">
        <f>IFERROR(__xludf.DUMMYFUNCTION("""COMPUTED_VALUE"""),"GG")</f>
        <v>GG</v>
      </c>
      <c r="AF1346" s="1" t="str">
        <f>IFERROR(__xludf.DUMMYFUNCTION("""COMPUTED_VALUE"""),"GG")</f>
        <v>GG</v>
      </c>
      <c r="AG1346" s="1" t="str">
        <f>IFERROR(__xludf.DUMMYFUNCTION("""COMPUTED_VALUE"""),"EXG")</f>
        <v>EXG</v>
      </c>
      <c r="AH1346" s="1">
        <f>IFERROR(__xludf.DUMMYFUNCTION("""COMPUTED_VALUE"""),41)</f>
        <v>41</v>
      </c>
      <c r="AI1346" s="1">
        <f>IFERROR(__xludf.DUMMYFUNCTION("""COMPUTED_VALUE"""),41)</f>
        <v>41</v>
      </c>
      <c r="AJ1346" s="1">
        <f>IFERROR(__xludf.DUMMYFUNCTION("""COMPUTED_VALUE"""),41)</f>
        <v>41</v>
      </c>
      <c r="AK1346" s="1">
        <f>IFERROR(__xludf.DUMMYFUNCTION("""COMPUTED_VALUE"""),41)</f>
        <v>41</v>
      </c>
      <c r="AL1346" s="1" t="str">
        <f>IFERROR(__xludf.DUMMYFUNCTION("""COMPUTED_VALUE"""),"GG")</f>
        <v>GG</v>
      </c>
      <c r="AM1346" s="1" t="str">
        <f>IFERROR(__xludf.DUMMYFUNCTION("""COMPUTED_VALUE"""),"GG")</f>
        <v>GG</v>
      </c>
      <c r="AN1346" s="1" t="str">
        <f>IFERROR(__xludf.DUMMYFUNCTION("""COMPUTED_VALUE"""),"G")</f>
        <v>G</v>
      </c>
    </row>
    <row r="1347" customHeight="1" spans="1:40">
      <c r="A1347" s="1"/>
      <c r="B1347" s="1"/>
      <c r="C1347" s="119"/>
      <c r="D1347" s="1" t="str">
        <f>IFERROR(__xludf.DUMMYFUNCTION("""COMPUTED_VALUE"""),"ROGÉRIO FREITAS DO NASCIMENTO")</f>
        <v>ROGÉRIO FREITAS DO NASCIMENTO</v>
      </c>
      <c r="E1347" s="119"/>
      <c r="F1347" s="1" t="str">
        <f>IFERROR(__xludf.DUMMYFUNCTION("""COMPUTED_VALUE"""),"645.841.510-91")</f>
        <v>645.841.510-91</v>
      </c>
      <c r="G1347" s="1"/>
      <c r="H1347" s="1"/>
      <c r="I1347" s="1"/>
      <c r="J1347" s="1"/>
      <c r="K1347" s="1"/>
      <c r="L1347" s="1"/>
      <c r="M1347" s="1"/>
      <c r="N1347" s="120"/>
      <c r="O1347" s="1"/>
      <c r="P1347" s="1"/>
      <c r="Q1347" s="1"/>
      <c r="R1347" s="1"/>
      <c r="S1347" s="1"/>
      <c r="T1347" s="1"/>
      <c r="U1347" s="1"/>
      <c r="V1347" s="1"/>
      <c r="W1347" s="1"/>
      <c r="X1347" s="1"/>
      <c r="Y1347" s="1"/>
      <c r="Z1347" s="1"/>
      <c r="AA1347" s="1"/>
      <c r="AB1347" s="1"/>
      <c r="AC1347" s="1"/>
      <c r="AD1347" s="1"/>
      <c r="AE1347" s="1"/>
      <c r="AF1347" s="1"/>
      <c r="AG1347" s="1"/>
      <c r="AH1347" s="1"/>
      <c r="AI1347" s="1"/>
      <c r="AJ1347" s="1"/>
      <c r="AK1347" s="1"/>
      <c r="AL1347" s="1"/>
      <c r="AM1347" s="1"/>
      <c r="AN1347" s="1"/>
    </row>
    <row r="1348" customHeight="1" spans="1:40">
      <c r="A1348" s="1" t="str">
        <f>IFERROR(__xludf.DUMMYFUNCTION("""COMPUTED_VALUE"""),"11° BBM")</f>
        <v>11° BBM</v>
      </c>
      <c r="B1348" s="1" t="str">
        <f>IFERROR(__xludf.DUMMYFUNCTION("""COMPUTED_VALUE"""),"Três de Maio")</f>
        <v>Três de Maio</v>
      </c>
      <c r="C1348" s="119" t="str">
        <f>IFERROR(__xludf.DUMMYFUNCTION("""COMPUTED_VALUE"""),"Comunitario")</f>
        <v>Comunitario</v>
      </c>
      <c r="D1348" s="1" t="str">
        <f>IFERROR(__xludf.DUMMYFUNCTION("""COMPUTED_VALUE"""),"RONI TRATSCH")</f>
        <v>RONI TRATSCH</v>
      </c>
      <c r="E1348" s="119"/>
      <c r="F1348" s="1" t="str">
        <f>IFERROR(__xludf.DUMMYFUNCTION("""COMPUTED_VALUE"""),"772.806.600-53")</f>
        <v>772.806.600-53</v>
      </c>
      <c r="G1348" s="1">
        <f>IFERROR(__xludf.DUMMYFUNCTION("""COMPUTED_VALUE"""),6063590423)</f>
        <v>6063590423</v>
      </c>
      <c r="H1348" s="1" t="str">
        <f>IFERROR(__xludf.DUMMYFUNCTION("""COMPUTED_VALUE"""),"Combatente, Socorrista e Auxiliar. VOLUNTÁRIO")</f>
        <v>Combatente, Socorrista e Auxiliar. VOLUNTÁRIO</v>
      </c>
      <c r="I1348" s="1" t="str">
        <f>IFERROR(__xludf.DUMMYFUNCTION("""COMPUTED_VALUE"""),"Curso de Técnica e Tática de Combate a Incêndio NÍVEL 1 e NÍVEL 2, Emergencista Pré Hospitalar, Atendimento Pré Hospitalar, Suporte Básico de Vida, Curso Básico de Resgate em Áreas de Difícil Acesso, Condutor de Veículos de Emergência e Seminário de Preve"&amp;"nção Contra Incêndio.")</f>
        <v>Curso de Técnica e Tática de Combate a Incêndio NÍVEL 1 e NÍVEL 2, Emergencista Pré Hospitalar, Atendimento Pré Hospitalar, Suporte Básico de Vida, Curso Básico de Resgate em Áreas de Difícil Acesso, Condutor de Veículos de Emergência e Seminário de Prevenção Contra Incêndio.</v>
      </c>
      <c r="J1348" s="1" t="str">
        <f>IFERROR(__xludf.DUMMYFUNCTION("""COMPUTED_VALUE"""),"Sim")</f>
        <v>Sim</v>
      </c>
      <c r="K1348" s="1" t="str">
        <f>IFERROR(__xludf.DUMMYFUNCTION("""COMPUTED_VALUE"""),"Não")</f>
        <v>Não</v>
      </c>
      <c r="L1348" s="1" t="str">
        <f>IFERROR(__xludf.DUMMYFUNCTION("""COMPUTED_VALUE"""),"A-")</f>
        <v>A-</v>
      </c>
      <c r="M1348" s="1" t="str">
        <f>IFERROR(__xludf.DUMMYFUNCTION("""COMPUTED_VALUE"""),"RONI")</f>
        <v>RONI</v>
      </c>
      <c r="N1348" s="120">
        <f>IFERROR(__xludf.DUMMYFUNCTION("""COMPUTED_VALUE"""),28362)</f>
        <v>28362</v>
      </c>
      <c r="O1348" s="1" t="str">
        <f>IFERROR(__xludf.DUMMYFUNCTION("""COMPUTED_VALUE"""),"Masculino")</f>
        <v>Masculino</v>
      </c>
      <c r="P1348" s="1" t="str">
        <f>IFERROR(__xludf.DUMMYFUNCTION("""COMPUTED_VALUE"""),"Branca")</f>
        <v>Branca</v>
      </c>
      <c r="Q1348" s="1" t="str">
        <f>IFERROR(__xludf.DUMMYFUNCTION("""COMPUTED_VALUE"""),"Ensino Médio")</f>
        <v>Ensino Médio</v>
      </c>
      <c r="R1348" s="1" t="str">
        <f>IFERROR(__xludf.DUMMYFUNCTION("""COMPUTED_VALUE"""),"rtratsch@gmail.com")</f>
        <v>rtratsch@gmail.com</v>
      </c>
      <c r="S1348" s="1">
        <f>IFERROR(__xludf.DUMMYFUNCTION("""COMPUTED_VALUE"""),88)</f>
        <v>88</v>
      </c>
      <c r="T1348" s="1" t="str">
        <f>IFERROR(__xludf.DUMMYFUNCTION("""COMPUTED_VALUE"""),"Entre 1,81m e 1,85m")</f>
        <v>Entre 1,81m e 1,85m</v>
      </c>
      <c r="U1348" s="1"/>
      <c r="V1348" s="1">
        <f>IFERROR(__xludf.DUMMYFUNCTION("""COMPUTED_VALUE"""),55991447573)</f>
        <v>55991447573</v>
      </c>
      <c r="W1348" s="1">
        <f>IFERROR(__xludf.DUMMYFUNCTION("""COMPUTED_VALUE"""),55999051364)</f>
        <v>55999051364</v>
      </c>
      <c r="X1348" s="1" t="str">
        <f>IFERROR(__xludf.DUMMYFUNCTION("""COMPUTED_VALUE"""),"RIO GRANDE DO SUL")</f>
        <v>RIO GRANDE DO SUL</v>
      </c>
      <c r="Y1348" s="1" t="str">
        <f>IFERROR(__xludf.DUMMYFUNCTION("""COMPUTED_VALUE"""),"Independência")</f>
        <v>Independência</v>
      </c>
      <c r="Z1348" s="1">
        <f>IFERROR(__xludf.DUMMYFUNCTION("""COMPUTED_VALUE"""),98915000)</f>
        <v>98915000</v>
      </c>
      <c r="AA1348" s="1" t="str">
        <f>IFERROR(__xludf.DUMMYFUNCTION("""COMPUTED_VALUE"""),"RUA GENERAL COSTA E SILVA")</f>
        <v>RUA GENERAL COSTA E SILVA</v>
      </c>
      <c r="AB1348" s="1" t="str">
        <f>IFERROR(__xludf.DUMMYFUNCTION("""COMPUTED_VALUE"""),"CENTRO")</f>
        <v>CENTRO</v>
      </c>
      <c r="AC1348" s="1" t="str">
        <f>IFERROR(__xludf.DUMMYFUNCTION("""COMPUTED_VALUE"""),"G")</f>
        <v>G</v>
      </c>
      <c r="AD1348" s="1" t="str">
        <f>IFERROR(__xludf.DUMMYFUNCTION("""COMPUTED_VALUE"""),"GG")</f>
        <v>GG</v>
      </c>
      <c r="AE1348" s="1" t="str">
        <f>IFERROR(__xludf.DUMMYFUNCTION("""COMPUTED_VALUE"""),"GG")</f>
        <v>GG</v>
      </c>
      <c r="AF1348" s="1" t="str">
        <f>IFERROR(__xludf.DUMMYFUNCTION("""COMPUTED_VALUE"""),"GG")</f>
        <v>GG</v>
      </c>
      <c r="AG1348" s="1" t="str">
        <f>IFERROR(__xludf.DUMMYFUNCTION("""COMPUTED_VALUE"""),"GG")</f>
        <v>GG</v>
      </c>
      <c r="AH1348" s="1">
        <f>IFERROR(__xludf.DUMMYFUNCTION("""COMPUTED_VALUE"""),41)</f>
        <v>41</v>
      </c>
      <c r="AI1348" s="1">
        <f>IFERROR(__xludf.DUMMYFUNCTION("""COMPUTED_VALUE"""),40)</f>
        <v>40</v>
      </c>
      <c r="AJ1348" s="1">
        <f>IFERROR(__xludf.DUMMYFUNCTION("""COMPUTED_VALUE"""),40)</f>
        <v>40</v>
      </c>
      <c r="AK1348" s="1">
        <f>IFERROR(__xludf.DUMMYFUNCTION("""COMPUTED_VALUE"""),40)</f>
        <v>40</v>
      </c>
      <c r="AL1348" s="1" t="str">
        <f>IFERROR(__xludf.DUMMYFUNCTION("""COMPUTED_VALUE"""),"G")</f>
        <v>G</v>
      </c>
      <c r="AM1348" s="1" t="str">
        <f>IFERROR(__xludf.DUMMYFUNCTION("""COMPUTED_VALUE"""),"GG")</f>
        <v>GG</v>
      </c>
      <c r="AN1348" s="1" t="str">
        <f>IFERROR(__xludf.DUMMYFUNCTION("""COMPUTED_VALUE"""),"M")</f>
        <v>M</v>
      </c>
    </row>
    <row r="1349" customHeight="1" spans="1:40">
      <c r="A1349" s="1" t="str">
        <f>IFERROR(__xludf.DUMMYFUNCTION("""COMPUTED_VALUE"""),"11° BBM")</f>
        <v>11° BBM</v>
      </c>
      <c r="B1349" s="1" t="str">
        <f>IFERROR(__xludf.DUMMYFUNCTION("""COMPUTED_VALUE"""),"Três de Maio")</f>
        <v>Três de Maio</v>
      </c>
      <c r="C1349" s="119" t="str">
        <f>IFERROR(__xludf.DUMMYFUNCTION("""COMPUTED_VALUE"""),"Comunitario")</f>
        <v>Comunitario</v>
      </c>
      <c r="D1349" s="1" t="str">
        <f>IFERROR(__xludf.DUMMYFUNCTION("""COMPUTED_VALUE"""),"ROQUE CLAUDIR DE OLIVEIRA")</f>
        <v>ROQUE CLAUDIR DE OLIVEIRA</v>
      </c>
      <c r="E1349" s="119"/>
      <c r="F1349" s="1" t="str">
        <f>IFERROR(__xludf.DUMMYFUNCTION("""COMPUTED_VALUE"""),"666.144.140-20")</f>
        <v>666.144.140-20</v>
      </c>
      <c r="G1349" s="1">
        <f>IFERROR(__xludf.DUMMYFUNCTION("""COMPUTED_VALUE"""),1063599219)</f>
        <v>1063599219</v>
      </c>
      <c r="H1349" s="1" t="str">
        <f>IFERROR(__xludf.DUMMYFUNCTION("""COMPUTED_VALUE"""),"Combatente, Socorrista e Auxiliar. VOLUNTÁRIO")</f>
        <v>Combatente, Socorrista e Auxiliar. VOLUNTÁRIO</v>
      </c>
      <c r="I1349" s="1" t="str">
        <f>IFERROR(__xludf.DUMMYFUNCTION("""COMPUTED_VALUE"""),"Curso de Técnica e Tática de Combate a Incêndio NÍVEL 1 e NÍVEL 2, Primeiros Socorros.")</f>
        <v>Curso de Técnica e Tática de Combate a Incêndio NÍVEL 1 e NÍVEL 2, Primeiros Socorros.</v>
      </c>
      <c r="J1349" s="1" t="str">
        <f>IFERROR(__xludf.DUMMYFUNCTION("""COMPUTED_VALUE"""),"Sim")</f>
        <v>Sim</v>
      </c>
      <c r="K1349" s="1" t="str">
        <f>IFERROR(__xludf.DUMMYFUNCTION("""COMPUTED_VALUE"""),"Não")</f>
        <v>Não</v>
      </c>
      <c r="L1349" s="1" t="str">
        <f>IFERROR(__xludf.DUMMYFUNCTION("""COMPUTED_VALUE"""),"B+")</f>
        <v>B+</v>
      </c>
      <c r="M1349" s="1" t="str">
        <f>IFERROR(__xludf.DUMMYFUNCTION("""COMPUTED_VALUE"""),"ROQUE")</f>
        <v>ROQUE</v>
      </c>
      <c r="N1349" s="120">
        <f>IFERROR(__xludf.DUMMYFUNCTION("""COMPUTED_VALUE"""),25421)</f>
        <v>25421</v>
      </c>
      <c r="O1349" s="1" t="str">
        <f>IFERROR(__xludf.DUMMYFUNCTION("""COMPUTED_VALUE"""),"Masculino")</f>
        <v>Masculino</v>
      </c>
      <c r="P1349" s="1" t="str">
        <f>IFERROR(__xludf.DUMMYFUNCTION("""COMPUTED_VALUE"""),"Parda")</f>
        <v>Parda</v>
      </c>
      <c r="Q1349" s="1" t="str">
        <f>IFERROR(__xludf.DUMMYFUNCTION("""COMPUTED_VALUE"""),"Ensino Médio")</f>
        <v>Ensino Médio</v>
      </c>
      <c r="R1349" s="1" t="str">
        <f>IFERROR(__xludf.DUMMYFUNCTION("""COMPUTED_VALUE"""),"roqueeedileneoliveira@gamail.com")</f>
        <v>roqueeedileneoliveira@gamail.com</v>
      </c>
      <c r="S1349" s="1">
        <f>IFERROR(__xludf.DUMMYFUNCTION("""COMPUTED_VALUE"""),77)</f>
        <v>77</v>
      </c>
      <c r="T1349" s="1" t="str">
        <f>IFERROR(__xludf.DUMMYFUNCTION("""COMPUTED_VALUE"""),"Entre 1,66m e 1,70m")</f>
        <v>Entre 1,66m e 1,70m</v>
      </c>
      <c r="U1349" s="1"/>
      <c r="V1349" s="1">
        <f>IFERROR(__xludf.DUMMYFUNCTION("""COMPUTED_VALUE"""),55996901141)</f>
        <v>55996901141</v>
      </c>
      <c r="W1349" s="1">
        <f>IFERROR(__xludf.DUMMYFUNCTION("""COMPUTED_VALUE"""),55991811912)</f>
        <v>55991811912</v>
      </c>
      <c r="X1349" s="1" t="str">
        <f>IFERROR(__xludf.DUMMYFUNCTION("""COMPUTED_VALUE"""),"RIO GRANDE DO SUL")</f>
        <v>RIO GRANDE DO SUL</v>
      </c>
      <c r="Y1349" s="1" t="str">
        <f>IFERROR(__xludf.DUMMYFUNCTION("""COMPUTED_VALUE"""),"Três de Maio")</f>
        <v>Três de Maio</v>
      </c>
      <c r="Z1349" s="1">
        <f>IFERROR(__xludf.DUMMYFUNCTION("""COMPUTED_VALUE"""),98910000)</f>
        <v>98910000</v>
      </c>
      <c r="AA1349" s="1" t="str">
        <f>IFERROR(__xludf.DUMMYFUNCTION("""COMPUTED_VALUE"""),"RUA CASSEMIRO KORCHEWINCZ, 220 AP02")</f>
        <v>RUA CASSEMIRO KORCHEWINCZ, 220 AP02</v>
      </c>
      <c r="AB1349" s="1" t="str">
        <f>IFERROR(__xludf.DUMMYFUNCTION("""COMPUTED_VALUE"""),"CENTRO")</f>
        <v>CENTRO</v>
      </c>
      <c r="AC1349" s="1" t="str">
        <f>IFERROR(__xludf.DUMMYFUNCTION("""COMPUTED_VALUE"""),"M")</f>
        <v>M</v>
      </c>
      <c r="AD1349" s="1" t="str">
        <f>IFERROR(__xludf.DUMMYFUNCTION("""COMPUTED_VALUE"""),"GG")</f>
        <v>GG</v>
      </c>
      <c r="AE1349" s="1" t="str">
        <f>IFERROR(__xludf.DUMMYFUNCTION("""COMPUTED_VALUE"""),"GG")</f>
        <v>GG</v>
      </c>
      <c r="AF1349" s="1" t="str">
        <f>IFERROR(__xludf.DUMMYFUNCTION("""COMPUTED_VALUE"""),"GG")</f>
        <v>GG</v>
      </c>
      <c r="AG1349" s="1" t="str">
        <f>IFERROR(__xludf.DUMMYFUNCTION("""COMPUTED_VALUE"""),"GG")</f>
        <v>GG</v>
      </c>
      <c r="AH1349" s="1">
        <f>IFERROR(__xludf.DUMMYFUNCTION("""COMPUTED_VALUE"""),41)</f>
        <v>41</v>
      </c>
      <c r="AI1349" s="1">
        <f>IFERROR(__xludf.DUMMYFUNCTION("""COMPUTED_VALUE"""),41)</f>
        <v>41</v>
      </c>
      <c r="AJ1349" s="1">
        <f>IFERROR(__xludf.DUMMYFUNCTION("""COMPUTED_VALUE"""),41)</f>
        <v>41</v>
      </c>
      <c r="AK1349" s="1">
        <f>IFERROR(__xludf.DUMMYFUNCTION("""COMPUTED_VALUE"""),41)</f>
        <v>41</v>
      </c>
      <c r="AL1349" s="1" t="str">
        <f>IFERROR(__xludf.DUMMYFUNCTION("""COMPUTED_VALUE"""),"GG")</f>
        <v>GG</v>
      </c>
      <c r="AM1349" s="1" t="str">
        <f>IFERROR(__xludf.DUMMYFUNCTION("""COMPUTED_VALUE"""),"G")</f>
        <v>G</v>
      </c>
      <c r="AN1349" s="1" t="str">
        <f>IFERROR(__xludf.DUMMYFUNCTION("""COMPUTED_VALUE"""),"M")</f>
        <v>M</v>
      </c>
    </row>
    <row r="1350" customHeight="1" spans="1:40">
      <c r="A1350" s="1" t="str">
        <f>IFERROR(__xludf.DUMMYFUNCTION("""COMPUTED_VALUE"""),"11° BBM")</f>
        <v>11° BBM</v>
      </c>
      <c r="B1350" s="1" t="str">
        <f>IFERROR(__xludf.DUMMYFUNCTION("""COMPUTED_VALUE"""),"Santo Cristo")</f>
        <v>Santo Cristo</v>
      </c>
      <c r="C1350" s="119" t="str">
        <f>IFERROR(__xludf.DUMMYFUNCTION("""COMPUTED_VALUE"""),"CAB")</f>
        <v>CAB</v>
      </c>
      <c r="D1350" s="1" t="str">
        <f>IFERROR(__xludf.DUMMYFUNCTION("""COMPUTED_VALUE"""),"ROSANE MARLEI DOS SANTOS")</f>
        <v>ROSANE MARLEI DOS SANTOS</v>
      </c>
      <c r="E1350" s="119" t="str">
        <f>IFERROR(__xludf.DUMMYFUNCTION("""COMPUTED_VALUE"""),"")</f>
        <v/>
      </c>
      <c r="F1350" s="1" t="str">
        <f>IFERROR(__xludf.DUMMYFUNCTION("""COMPUTED_VALUE"""),"009.145.790-45")</f>
        <v>009.145.790-45</v>
      </c>
      <c r="G1350" s="1">
        <f>IFERROR(__xludf.DUMMYFUNCTION("""COMPUTED_VALUE"""),2082299914)</f>
        <v>2082299914</v>
      </c>
      <c r="H1350" s="1" t="str">
        <f>IFERROR(__xludf.DUMMYFUNCTION("""COMPUTED_VALUE"""),"Combatente")</f>
        <v>Combatente</v>
      </c>
      <c r="I1350" s="1" t="str">
        <f>IFERROR(__xludf.DUMMYFUNCTION("""COMPUTED_VALUE"""),"Resgate em Altura, Resgate Terrestre, Resgate Veicular, Técnicas de Prevenção e Combate a Incêndio, Técnica em radiologia.")</f>
        <v>Resgate em Altura, Resgate Terrestre, Resgate Veicular, Técnicas de Prevenção e Combate a Incêndio, Técnica em radiologia.</v>
      </c>
      <c r="J1350" s="1" t="str">
        <f>IFERROR(__xludf.DUMMYFUNCTION("""COMPUTED_VALUE"""),"Não")</f>
        <v>Não</v>
      </c>
      <c r="K1350" s="1" t="str">
        <f>IFERROR(__xludf.DUMMYFUNCTION("""COMPUTED_VALUE"""),"Sim")</f>
        <v>Sim</v>
      </c>
      <c r="L1350" s="1" t="str">
        <f>IFERROR(__xludf.DUMMYFUNCTION("""COMPUTED_VALUE"""),"A+")</f>
        <v>A+</v>
      </c>
      <c r="M1350" s="1" t="str">
        <f>IFERROR(__xludf.DUMMYFUNCTION("""COMPUTED_VALUE"""),"CAB ROSANE")</f>
        <v>CAB ROSANE</v>
      </c>
      <c r="N1350" s="120">
        <f>IFERROR(__xludf.DUMMYFUNCTION("""COMPUTED_VALUE"""),29873)</f>
        <v>29873</v>
      </c>
      <c r="O1350" s="1" t="str">
        <f>IFERROR(__xludf.DUMMYFUNCTION("""COMPUTED_VALUE"""),"Feminino")</f>
        <v>Feminino</v>
      </c>
      <c r="P1350" s="1" t="str">
        <f>IFERROR(__xludf.DUMMYFUNCTION("""COMPUTED_VALUE"""),"Branca")</f>
        <v>Branca</v>
      </c>
      <c r="Q1350" s="1" t="str">
        <f>IFERROR(__xludf.DUMMYFUNCTION("""COMPUTED_VALUE"""),"Ensino Superior Incompleto")</f>
        <v>Ensino Superior Incompleto</v>
      </c>
      <c r="R1350" s="1" t="str">
        <f>IFERROR(__xludf.DUMMYFUNCTION("""COMPUTED_VALUE"""),"rosanemarleidossantos67@gmail.com")</f>
        <v>rosanemarleidossantos67@gmail.com</v>
      </c>
      <c r="S1350" s="1" t="str">
        <f>IFERROR(__xludf.DUMMYFUNCTION("""COMPUTED_VALUE"""),"71 Kg")</f>
        <v>71 Kg</v>
      </c>
      <c r="T1350" s="1" t="str">
        <f>IFERROR(__xludf.DUMMYFUNCTION("""COMPUTED_VALUE"""),"Entre 1,61m e 1,65m")</f>
        <v>Entre 1,61m e 1,65m</v>
      </c>
      <c r="U1350" s="1"/>
      <c r="V1350" s="1" t="str">
        <f>IFERROR(__xludf.DUMMYFUNCTION("""COMPUTED_VALUE"""),"55-996872545")</f>
        <v>55-996872545</v>
      </c>
      <c r="W1350" s="1"/>
      <c r="X1350" s="1" t="str">
        <f>IFERROR(__xludf.DUMMYFUNCTION("""COMPUTED_VALUE"""),"RS")</f>
        <v>RS</v>
      </c>
      <c r="Y1350" s="1" t="str">
        <f>IFERROR(__xludf.DUMMYFUNCTION("""COMPUTED_VALUE"""),"Santo Cristo")</f>
        <v>Santo Cristo</v>
      </c>
      <c r="Z1350" s="1" t="str">
        <f>IFERROR(__xludf.DUMMYFUNCTION("""COMPUTED_VALUE"""),"98960-000")</f>
        <v>98960-000</v>
      </c>
      <c r="AA1350" s="1" t="str">
        <f>IFERROR(__xludf.DUMMYFUNCTION("""COMPUTED_VALUE"""),"MINAS GERIAS, 2311")</f>
        <v>MINAS GERIAS, 2311</v>
      </c>
      <c r="AB1350" s="1" t="str">
        <f>IFERROR(__xludf.DUMMYFUNCTION("""COMPUTED_VALUE"""),"VILA PHILIPSEN")</f>
        <v>VILA PHILIPSEN</v>
      </c>
      <c r="AC1350" s="1" t="str">
        <f>IFERROR(__xludf.DUMMYFUNCTION("""COMPUTED_VALUE"""),"M")</f>
        <v>M</v>
      </c>
      <c r="AD1350" s="1" t="str">
        <f>IFERROR(__xludf.DUMMYFUNCTION("""COMPUTED_VALUE"""),"M")</f>
        <v>M</v>
      </c>
      <c r="AE1350" s="1" t="str">
        <f>IFERROR(__xludf.DUMMYFUNCTION("""COMPUTED_VALUE"""),"M")</f>
        <v>M</v>
      </c>
      <c r="AF1350" s="1" t="str">
        <f>IFERROR(__xludf.DUMMYFUNCTION("""COMPUTED_VALUE"""),"M")</f>
        <v>M</v>
      </c>
      <c r="AG1350" s="1"/>
      <c r="AH1350" s="1">
        <f>IFERROR(__xludf.DUMMYFUNCTION("""COMPUTED_VALUE"""),38)</f>
        <v>38</v>
      </c>
      <c r="AI1350" s="1">
        <f>IFERROR(__xludf.DUMMYFUNCTION("""COMPUTED_VALUE"""),38)</f>
        <v>38</v>
      </c>
      <c r="AJ1350" s="1">
        <f>IFERROR(__xludf.DUMMYFUNCTION("""COMPUTED_VALUE"""),38)</f>
        <v>38</v>
      </c>
      <c r="AK1350" s="1">
        <f>IFERROR(__xludf.DUMMYFUNCTION("""COMPUTED_VALUE"""),38)</f>
        <v>38</v>
      </c>
      <c r="AL1350" s="1" t="str">
        <f>IFERROR(__xludf.DUMMYFUNCTION("""COMPUTED_VALUE"""),"M")</f>
        <v>M</v>
      </c>
      <c r="AM1350" s="1" t="str">
        <f>IFERROR(__xludf.DUMMYFUNCTION("""COMPUTED_VALUE"""),"M")</f>
        <v>M</v>
      </c>
      <c r="AN1350" s="1" t="str">
        <f>IFERROR(__xludf.DUMMYFUNCTION("""COMPUTED_VALUE"""),"G")</f>
        <v>G</v>
      </c>
    </row>
    <row r="1351" customHeight="1" spans="1:40">
      <c r="A1351" s="1" t="str">
        <f>IFERROR(__xludf.DUMMYFUNCTION("""COMPUTED_VALUE"""),"11° BBM")</f>
        <v>11° BBM</v>
      </c>
      <c r="B1351" s="1" t="str">
        <f>IFERROR(__xludf.DUMMYFUNCTION("""COMPUTED_VALUE"""),"Cerro Largo")</f>
        <v>Cerro Largo</v>
      </c>
      <c r="C1351" s="119" t="str">
        <f>IFERROR(__xludf.DUMMYFUNCTION("""COMPUTED_VALUE"""),"CAB")</f>
        <v>CAB</v>
      </c>
      <c r="D1351" s="1" t="str">
        <f>IFERROR(__xludf.DUMMYFUNCTION("""COMPUTED_VALUE"""),"RUBIA GODOY HOFFMANN")</f>
        <v>RUBIA GODOY HOFFMANN</v>
      </c>
      <c r="E1351" s="119" t="str">
        <f>IFERROR(__xludf.DUMMYFUNCTION("""COMPUTED_VALUE"""),"")</f>
        <v/>
      </c>
      <c r="F1351" s="1" t="str">
        <f>IFERROR(__xludf.DUMMYFUNCTION("""COMPUTED_VALUE"""),"034.278.040-97")</f>
        <v>034.278.040-97</v>
      </c>
      <c r="G1351" s="1">
        <f>IFERROR(__xludf.DUMMYFUNCTION("""COMPUTED_VALUE"""),1092664927)</f>
        <v>1092664927</v>
      </c>
      <c r="H1351" s="1" t="str">
        <f>IFERROR(__xludf.DUMMYFUNCTION("""COMPUTED_VALUE"""),"COMBATENTE")</f>
        <v>COMBATENTE</v>
      </c>
      <c r="I1351" s="1" t="str">
        <f>IFERROR(__xludf.DUMMYFUNCTION("""COMPUTED_VALUE"""),"Técnicas de Prevenção e Combate a Incêndio")</f>
        <v>Técnicas de Prevenção e Combate a Incêndio</v>
      </c>
      <c r="J1351" s="1" t="str">
        <f>IFERROR(__xludf.DUMMYFUNCTION("""COMPUTED_VALUE"""),"Sim")</f>
        <v>Sim</v>
      </c>
      <c r="K1351" s="1" t="str">
        <f>IFERROR(__xludf.DUMMYFUNCTION("""COMPUTED_VALUE"""),"Sim")</f>
        <v>Sim</v>
      </c>
      <c r="L1351" s="1" t="str">
        <f>IFERROR(__xludf.DUMMYFUNCTION("""COMPUTED_VALUE"""),"O+")</f>
        <v>O+</v>
      </c>
      <c r="M1351" s="1" t="str">
        <f>IFERROR(__xludf.DUMMYFUNCTION("""COMPUTED_VALUE"""),"CAB RUBIA")</f>
        <v>CAB RUBIA</v>
      </c>
      <c r="N1351" s="120">
        <f>IFERROR(__xludf.DUMMYFUNCTION("""COMPUTED_VALUE"""),34529)</f>
        <v>34529</v>
      </c>
      <c r="O1351" s="1" t="str">
        <f>IFERROR(__xludf.DUMMYFUNCTION("""COMPUTED_VALUE"""),"Feminino")</f>
        <v>Feminino</v>
      </c>
      <c r="P1351" s="1" t="str">
        <f>IFERROR(__xludf.DUMMYFUNCTION("""COMPUTED_VALUE"""),"Parda")</f>
        <v>Parda</v>
      </c>
      <c r="Q1351" s="1" t="str">
        <f>IFERROR(__xludf.DUMMYFUNCTION("""COMPUTED_VALUE"""),"Mestrado")</f>
        <v>Mestrado</v>
      </c>
      <c r="R1351" s="1" t="str">
        <f>IFERROR(__xludf.DUMMYFUNCTION("""COMPUTED_VALUE"""),"rubia_hoffmann@hotmail.com")</f>
        <v>rubia_hoffmann@hotmail.com</v>
      </c>
      <c r="S1351" s="1" t="str">
        <f>IFERROR(__xludf.DUMMYFUNCTION("""COMPUTED_VALUE"""),"70 Kg")</f>
        <v>70 Kg</v>
      </c>
      <c r="T1351" s="1" t="str">
        <f>IFERROR(__xludf.DUMMYFUNCTION("""COMPUTED_VALUE"""),"Entre 1,56m e 1,60m")</f>
        <v>Entre 1,56m e 1,60m</v>
      </c>
      <c r="U1351" s="1"/>
      <c r="V1351" s="1" t="str">
        <f>IFERROR(__xludf.DUMMYFUNCTION("""COMPUTED_VALUE"""),"55 99685-5664")</f>
        <v>55 99685-5664</v>
      </c>
      <c r="W1351" s="1"/>
      <c r="X1351" s="1" t="str">
        <f>IFERROR(__xludf.DUMMYFUNCTION("""COMPUTED_VALUE"""),"RS")</f>
        <v>RS</v>
      </c>
      <c r="Y1351" s="1" t="str">
        <f>IFERROR(__xludf.DUMMYFUNCTION("""COMPUTED_VALUE"""),"Cerro Largo")</f>
        <v>Cerro Largo</v>
      </c>
      <c r="Z1351" s="1" t="str">
        <f>IFERROR(__xludf.DUMMYFUNCTION("""COMPUTED_VALUE"""),"97900-000")</f>
        <v>97900-000</v>
      </c>
      <c r="AA1351" s="1" t="str">
        <f>IFERROR(__xludf.DUMMYFUNCTION("""COMPUTED_VALUE"""),"Rua Helmuth Schmidt, 320")</f>
        <v>Rua Helmuth Schmidt, 320</v>
      </c>
      <c r="AB1351" s="1" t="str">
        <f>IFERROR(__xludf.DUMMYFUNCTION("""COMPUTED_VALUE"""),"Centro")</f>
        <v>Centro</v>
      </c>
      <c r="AC1351" s="1" t="str">
        <f>IFERROR(__xludf.DUMMYFUNCTION("""COMPUTED_VALUE"""),"M")</f>
        <v>M</v>
      </c>
      <c r="AD1351" s="1" t="str">
        <f>IFERROR(__xludf.DUMMYFUNCTION("""COMPUTED_VALUE"""),"M")</f>
        <v>M</v>
      </c>
      <c r="AE1351" s="1" t="str">
        <f>IFERROR(__xludf.DUMMYFUNCTION("""COMPUTED_VALUE"""),"M")</f>
        <v>M</v>
      </c>
      <c r="AF1351" s="1" t="str">
        <f>IFERROR(__xludf.DUMMYFUNCTION("""COMPUTED_VALUE"""),"M")</f>
        <v>M</v>
      </c>
      <c r="AG1351" s="1" t="str">
        <f>IFERROR(__xludf.DUMMYFUNCTION("""COMPUTED_VALUE"""),"G")</f>
        <v>G</v>
      </c>
      <c r="AH1351" s="1">
        <f>IFERROR(__xludf.DUMMYFUNCTION("""COMPUTED_VALUE"""),36)</f>
        <v>36</v>
      </c>
      <c r="AI1351" s="1">
        <f>IFERROR(__xludf.DUMMYFUNCTION("""COMPUTED_VALUE"""),36)</f>
        <v>36</v>
      </c>
      <c r="AJ1351" s="1">
        <f>IFERROR(__xludf.DUMMYFUNCTION("""COMPUTED_VALUE"""),36)</f>
        <v>36</v>
      </c>
      <c r="AK1351" s="1">
        <f>IFERROR(__xludf.DUMMYFUNCTION("""COMPUTED_VALUE"""),36)</f>
        <v>36</v>
      </c>
      <c r="AL1351" s="1" t="str">
        <f>IFERROR(__xludf.DUMMYFUNCTION("""COMPUTED_VALUE"""),"M")</f>
        <v>M</v>
      </c>
      <c r="AM1351" s="1" t="str">
        <f>IFERROR(__xludf.DUMMYFUNCTION("""COMPUTED_VALUE"""),"M")</f>
        <v>M</v>
      </c>
      <c r="AN1351" s="1" t="str">
        <f>IFERROR(__xludf.DUMMYFUNCTION("""COMPUTED_VALUE"""),"M")</f>
        <v>M</v>
      </c>
    </row>
    <row r="1352" customHeight="1" spans="1:40">
      <c r="A1352" s="1" t="str">
        <f>IFERROR(__xludf.DUMMYFUNCTION("""COMPUTED_VALUE"""),"11° BBM")</f>
        <v>11° BBM</v>
      </c>
      <c r="B1352" s="1" t="str">
        <f>IFERROR(__xludf.DUMMYFUNCTION("""COMPUTED_VALUE"""),"Santo Cristo")</f>
        <v>Santo Cristo</v>
      </c>
      <c r="C1352" s="119" t="str">
        <f>IFERROR(__xludf.DUMMYFUNCTION("""COMPUTED_VALUE"""),"CAB")</f>
        <v>CAB</v>
      </c>
      <c r="D1352" s="1" t="str">
        <f>IFERROR(__xludf.DUMMYFUNCTION("""COMPUTED_VALUE"""),"SIDNEI ANDRÉ LENZ")</f>
        <v>SIDNEI ANDRÉ LENZ</v>
      </c>
      <c r="E1352" s="119" t="str">
        <f>IFERROR(__xludf.DUMMYFUNCTION("""COMPUTED_VALUE"""),"")</f>
        <v/>
      </c>
      <c r="F1352" s="1" t="str">
        <f>IFERROR(__xludf.DUMMYFUNCTION("""COMPUTED_VALUE"""),"929.190.570-49")</f>
        <v>929.190.570-49</v>
      </c>
      <c r="G1352" s="1">
        <f>IFERROR(__xludf.DUMMYFUNCTION("""COMPUTED_VALUE"""),3050399124)</f>
        <v>3050399124</v>
      </c>
      <c r="H1352" s="1" t="str">
        <f>IFERROR(__xludf.DUMMYFUNCTION("""COMPUTED_VALUE"""),"COV")</f>
        <v>COV</v>
      </c>
      <c r="I1352" s="1" t="str">
        <f>IFERROR(__xludf.DUMMYFUNCTION("""COMPUTED_VALUE"""),"Resgate em Altura, Resgate Terrestre, Resgate Veicular, Técnicas de Prevenção e Combate a Incêndio")</f>
        <v>Resgate em Altura, Resgate Terrestre, Resgate Veicular, Técnicas de Prevenção e Combate a Incêndio</v>
      </c>
      <c r="J1352" s="1" t="str">
        <f>IFERROR(__xludf.DUMMYFUNCTION("""COMPUTED_VALUE"""),"Sim")</f>
        <v>Sim</v>
      </c>
      <c r="K1352" s="1" t="str">
        <f>IFERROR(__xludf.DUMMYFUNCTION("""COMPUTED_VALUE"""),"Sim")</f>
        <v>Sim</v>
      </c>
      <c r="L1352" s="1" t="str">
        <f>IFERROR(__xludf.DUMMYFUNCTION("""COMPUTED_VALUE"""),"AB+")</f>
        <v>AB+</v>
      </c>
      <c r="M1352" s="1" t="str">
        <f>IFERROR(__xludf.DUMMYFUNCTION("""COMPUTED_VALUE"""),"CAB LENZ")</f>
        <v>CAB LENZ</v>
      </c>
      <c r="N1352" s="120">
        <f>IFERROR(__xludf.DUMMYFUNCTION("""COMPUTED_VALUE"""),28634)</f>
        <v>28634</v>
      </c>
      <c r="O1352" s="1" t="str">
        <f>IFERROR(__xludf.DUMMYFUNCTION("""COMPUTED_VALUE"""),"Masculino")</f>
        <v>Masculino</v>
      </c>
      <c r="P1352" s="1" t="str">
        <f>IFERROR(__xludf.DUMMYFUNCTION("""COMPUTED_VALUE"""),"Branca")</f>
        <v>Branca</v>
      </c>
      <c r="Q1352" s="1" t="str">
        <f>IFERROR(__xludf.DUMMYFUNCTION("""COMPUTED_VALUE"""),"Ensino Superior Completo")</f>
        <v>Ensino Superior Completo</v>
      </c>
      <c r="R1352" s="1" t="str">
        <f>IFERROR(__xludf.DUMMYFUNCTION("""COMPUTED_VALUE"""),"sidneiandre.lenz@yahoo.com.br")</f>
        <v>sidneiandre.lenz@yahoo.com.br</v>
      </c>
      <c r="S1352" s="1" t="str">
        <f>IFERROR(__xludf.DUMMYFUNCTION("""COMPUTED_VALUE"""),"92 Kg")</f>
        <v>92 Kg</v>
      </c>
      <c r="T1352" s="1" t="str">
        <f>IFERROR(__xludf.DUMMYFUNCTION("""COMPUTED_VALUE"""),"Entre 1,81m e 1,85m")</f>
        <v>Entre 1,81m e 1,85m</v>
      </c>
      <c r="U1352" s="1"/>
      <c r="V1352" s="1" t="str">
        <f>IFERROR(__xludf.DUMMYFUNCTION("""COMPUTED_VALUE"""),"55-996281626")</f>
        <v>55-996281626</v>
      </c>
      <c r="W1352" s="1"/>
      <c r="X1352" s="1" t="str">
        <f>IFERROR(__xludf.DUMMYFUNCTION("""COMPUTED_VALUE"""),"RS")</f>
        <v>RS</v>
      </c>
      <c r="Y1352" s="1" t="str">
        <f>IFERROR(__xludf.DUMMYFUNCTION("""COMPUTED_VALUE"""),"Santo Cristo")</f>
        <v>Santo Cristo</v>
      </c>
      <c r="Z1352" s="1" t="str">
        <f>IFERROR(__xludf.DUMMYFUNCTION("""COMPUTED_VALUE"""),"98960-000")</f>
        <v>98960-000</v>
      </c>
      <c r="AA1352" s="1" t="str">
        <f>IFERROR(__xludf.DUMMYFUNCTION("""COMPUTED_VALUE"""),"RUA PARANA, 481")</f>
        <v>RUA PARANA, 481</v>
      </c>
      <c r="AB1352" s="1" t="str">
        <f>IFERROR(__xludf.DUMMYFUNCTION("""COMPUTED_VALUE"""),"CENTRO")</f>
        <v>CENTRO</v>
      </c>
      <c r="AC1352" s="1" t="str">
        <f>IFERROR(__xludf.DUMMYFUNCTION("""COMPUTED_VALUE"""),"G")</f>
        <v>G</v>
      </c>
      <c r="AD1352" s="1" t="str">
        <f>IFERROR(__xludf.DUMMYFUNCTION("""COMPUTED_VALUE"""),"G")</f>
        <v>G</v>
      </c>
      <c r="AE1352" s="1" t="str">
        <f>IFERROR(__xludf.DUMMYFUNCTION("""COMPUTED_VALUE"""),"G")</f>
        <v>G</v>
      </c>
      <c r="AF1352" s="1" t="str">
        <f>IFERROR(__xludf.DUMMYFUNCTION("""COMPUTED_VALUE"""),"G")</f>
        <v>G</v>
      </c>
      <c r="AG1352" s="1" t="str">
        <f>IFERROR(__xludf.DUMMYFUNCTION("""COMPUTED_VALUE"""),"G")</f>
        <v>G</v>
      </c>
      <c r="AH1352" s="1">
        <f>IFERROR(__xludf.DUMMYFUNCTION("""COMPUTED_VALUE"""),42)</f>
        <v>42</v>
      </c>
      <c r="AI1352" s="1">
        <f>IFERROR(__xludf.DUMMYFUNCTION("""COMPUTED_VALUE"""),42)</f>
        <v>42</v>
      </c>
      <c r="AJ1352" s="1">
        <f>IFERROR(__xludf.DUMMYFUNCTION("""COMPUTED_VALUE"""),42)</f>
        <v>42</v>
      </c>
      <c r="AK1352" s="1">
        <f>IFERROR(__xludf.DUMMYFUNCTION("""COMPUTED_VALUE"""),42)</f>
        <v>42</v>
      </c>
      <c r="AL1352" s="1" t="str">
        <f>IFERROR(__xludf.DUMMYFUNCTION("""COMPUTED_VALUE"""),"GG")</f>
        <v>GG</v>
      </c>
      <c r="AM1352" s="1" t="str">
        <f>IFERROR(__xludf.DUMMYFUNCTION("""COMPUTED_VALUE"""),"G")</f>
        <v>G</v>
      </c>
      <c r="AN1352" s="1" t="str">
        <f>IFERROR(__xludf.DUMMYFUNCTION("""COMPUTED_VALUE"""),"G")</f>
        <v>G</v>
      </c>
    </row>
    <row r="1353" customHeight="1" spans="1:40">
      <c r="A1353" s="1" t="str">
        <f>IFERROR(__xludf.DUMMYFUNCTION("""COMPUTED_VALUE"""),"11° BBM")</f>
        <v>11° BBM</v>
      </c>
      <c r="B1353" s="1" t="str">
        <f>IFERROR(__xludf.DUMMYFUNCTION("""COMPUTED_VALUE"""),"Cerro Largo")</f>
        <v>Cerro Largo</v>
      </c>
      <c r="C1353" s="119" t="str">
        <f>IFERROR(__xludf.DUMMYFUNCTION("""COMPUTED_VALUE"""),"CAB")</f>
        <v>CAB</v>
      </c>
      <c r="D1353" s="1" t="str">
        <f>IFERROR(__xludf.DUMMYFUNCTION("""COMPUTED_VALUE"""),"VERA LÚCIA SAUZEN")</f>
        <v>VERA LÚCIA SAUZEN</v>
      </c>
      <c r="E1353" s="119" t="str">
        <f>IFERROR(__xludf.DUMMYFUNCTION("""COMPUTED_VALUE"""),"")</f>
        <v/>
      </c>
      <c r="F1353" s="1" t="str">
        <f>IFERROR(__xludf.DUMMYFUNCTION("""COMPUTED_VALUE"""),"909.468.120-04")</f>
        <v>909.468.120-04</v>
      </c>
      <c r="G1353" s="1">
        <f>IFERROR(__xludf.DUMMYFUNCTION("""COMPUTED_VALUE"""),1069353595)</f>
        <v>1069353595</v>
      </c>
      <c r="H1353" s="1" t="str">
        <f>IFERROR(__xludf.DUMMYFUNCTION("""COMPUTED_VALUE"""),"COMBATENTE/SOCORRISTA")</f>
        <v>COMBATENTE/SOCORRISTA</v>
      </c>
      <c r="I1353" s="1" t="str">
        <f>IFERROR(__xludf.DUMMYFUNCTION("""COMPUTED_VALUE"""),"Resgate Terrestre, Curso de APH, Técnicas de Prevenção e Combate a Incêndio, SAMU")</f>
        <v>Resgate Terrestre, Curso de APH, Técnicas de Prevenção e Combate a Incêndio, SAMU</v>
      </c>
      <c r="J1353" s="1" t="str">
        <f>IFERROR(__xludf.DUMMYFUNCTION("""COMPUTED_VALUE"""),"Sim")</f>
        <v>Sim</v>
      </c>
      <c r="K1353" s="1" t="str">
        <f>IFERROR(__xludf.DUMMYFUNCTION("""COMPUTED_VALUE"""),"Sim")</f>
        <v>Sim</v>
      </c>
      <c r="L1353" s="1" t="str">
        <f>IFERROR(__xludf.DUMMYFUNCTION("""COMPUTED_VALUE"""),"B+")</f>
        <v>B+</v>
      </c>
      <c r="M1353" s="1" t="str">
        <f>IFERROR(__xludf.DUMMYFUNCTION("""COMPUTED_VALUE"""),"CAB VERA")</f>
        <v>CAB VERA</v>
      </c>
      <c r="N1353" s="121">
        <f>IFERROR(__xludf.DUMMYFUNCTION("""COMPUTED_VALUE"""),28502)</f>
        <v>28502</v>
      </c>
      <c r="O1353" s="1" t="str">
        <f>IFERROR(__xludf.DUMMYFUNCTION("""COMPUTED_VALUE"""),"Feminino")</f>
        <v>Feminino</v>
      </c>
      <c r="P1353" s="1" t="str">
        <f>IFERROR(__xludf.DUMMYFUNCTION("""COMPUTED_VALUE"""),"Parda")</f>
        <v>Parda</v>
      </c>
      <c r="Q1353" s="1" t="str">
        <f>IFERROR(__xludf.DUMMYFUNCTION("""COMPUTED_VALUE"""),"Ensino Médio")</f>
        <v>Ensino Médio</v>
      </c>
      <c r="R1353" s="1" t="str">
        <f>IFERROR(__xludf.DUMMYFUNCTION("""COMPUTED_VALUE"""),"verasausen@hotmail.com")</f>
        <v>verasausen@hotmail.com</v>
      </c>
      <c r="S1353" s="1"/>
      <c r="T1353" s="1" t="str">
        <f>IFERROR(__xludf.DUMMYFUNCTION("""COMPUTED_VALUE"""),"Entre 1,61m e 1,65m")</f>
        <v>Entre 1,61m e 1,65m</v>
      </c>
      <c r="U1353" s="1"/>
      <c r="V1353" s="1" t="str">
        <f>IFERROR(__xludf.DUMMYFUNCTION("""COMPUTED_VALUE"""),"55 981390066")</f>
        <v>55 981390066</v>
      </c>
      <c r="W1353" s="1"/>
      <c r="X1353" s="1" t="str">
        <f>IFERROR(__xludf.DUMMYFUNCTION("""COMPUTED_VALUE"""),"RS")</f>
        <v>RS</v>
      </c>
      <c r="Y1353" s="1" t="str">
        <f>IFERROR(__xludf.DUMMYFUNCTION("""COMPUTED_VALUE"""),"Cerro Largo")</f>
        <v>Cerro Largo</v>
      </c>
      <c r="Z1353" s="1" t="str">
        <f>IFERROR(__xludf.DUMMYFUNCTION("""COMPUTED_VALUE"""),"97900-000")</f>
        <v>97900-000</v>
      </c>
      <c r="AA1353" s="1" t="str">
        <f>IFERROR(__xludf.DUMMYFUNCTION("""COMPUTED_VALUE"""),"Rua Neco Januário, 579")</f>
        <v>Rua Neco Januário, 579</v>
      </c>
      <c r="AB1353" s="1" t="str">
        <f>IFERROR(__xludf.DUMMYFUNCTION("""COMPUTED_VALUE"""),"Centro")</f>
        <v>Centro</v>
      </c>
      <c r="AC1353" s="1" t="str">
        <f>IFERROR(__xludf.DUMMYFUNCTION("""COMPUTED_VALUE"""),"G")</f>
        <v>G</v>
      </c>
      <c r="AD1353" s="1" t="str">
        <f>IFERROR(__xludf.DUMMYFUNCTION("""COMPUTED_VALUE"""),"G")</f>
        <v>G</v>
      </c>
      <c r="AE1353" s="1" t="str">
        <f>IFERROR(__xludf.DUMMYFUNCTION("""COMPUTED_VALUE"""),"G")</f>
        <v>G</v>
      </c>
      <c r="AF1353" s="1" t="str">
        <f>IFERROR(__xludf.DUMMYFUNCTION("""COMPUTED_VALUE"""),"G")</f>
        <v>G</v>
      </c>
      <c r="AG1353" s="1" t="str">
        <f>IFERROR(__xludf.DUMMYFUNCTION("""COMPUTED_VALUE"""),"M")</f>
        <v>M</v>
      </c>
      <c r="AH1353" s="1">
        <f>IFERROR(__xludf.DUMMYFUNCTION("""COMPUTED_VALUE"""),38)</f>
        <v>38</v>
      </c>
      <c r="AI1353" s="1">
        <f>IFERROR(__xludf.DUMMYFUNCTION("""COMPUTED_VALUE"""),38)</f>
        <v>38</v>
      </c>
      <c r="AJ1353" s="1">
        <f>IFERROR(__xludf.DUMMYFUNCTION("""COMPUTED_VALUE"""),38)</f>
        <v>38</v>
      </c>
      <c r="AK1353" s="1">
        <f>IFERROR(__xludf.DUMMYFUNCTION("""COMPUTED_VALUE"""),38)</f>
        <v>38</v>
      </c>
      <c r="AL1353" s="1" t="str">
        <f>IFERROR(__xludf.DUMMYFUNCTION("""COMPUTED_VALUE"""),"G")</f>
        <v>G</v>
      </c>
      <c r="AM1353" s="1" t="str">
        <f>IFERROR(__xludf.DUMMYFUNCTION("""COMPUTED_VALUE"""),"G")</f>
        <v>G</v>
      </c>
      <c r="AN1353" s="1" t="str">
        <f>IFERROR(__xludf.DUMMYFUNCTION("""COMPUTED_VALUE"""),"G")</f>
        <v>G</v>
      </c>
    </row>
    <row r="1354" customHeight="1" spans="1:40">
      <c r="A1354" s="1" t="str">
        <f>IFERROR(__xludf.DUMMYFUNCTION("""COMPUTED_VALUE"""),"11° BBM")</f>
        <v>11° BBM</v>
      </c>
      <c r="B1354" s="1" t="str">
        <f>IFERROR(__xludf.DUMMYFUNCTION("""COMPUTED_VALUE"""),"Cerro Largo")</f>
        <v>Cerro Largo</v>
      </c>
      <c r="C1354" s="119" t="str">
        <f>IFERROR(__xludf.DUMMYFUNCTION("""COMPUTED_VALUE"""),"CAB")</f>
        <v>CAB</v>
      </c>
      <c r="D1354" s="1" t="str">
        <f>IFERROR(__xludf.DUMMYFUNCTION("""COMPUTED_VALUE"""),"WILLIAM VIEIRA BARCELOS")</f>
        <v>WILLIAM VIEIRA BARCELOS</v>
      </c>
      <c r="E1354" s="119" t="str">
        <f>IFERROR(__xludf.DUMMYFUNCTION("""COMPUTED_VALUE"""),"")</f>
        <v/>
      </c>
      <c r="F1354" s="119" t="str">
        <f>IFERROR(__xludf.DUMMYFUNCTION("""COMPUTED_VALUE"""),"025.176.540-77")</f>
        <v>025.176.540-77</v>
      </c>
      <c r="G1354" s="1">
        <f>IFERROR(__xludf.DUMMYFUNCTION("""COMPUTED_VALUE"""),1101485363)</f>
        <v>1101485363</v>
      </c>
      <c r="H1354" s="1" t="str">
        <f>IFERROR(__xludf.DUMMYFUNCTION("""COMPUTED_VALUE"""),"COMBATENTE")</f>
        <v>COMBATENTE</v>
      </c>
      <c r="I1354" s="1" t="str">
        <f>IFERROR(__xludf.DUMMYFUNCTION("""COMPUTED_VALUE"""),"Sem Curso")</f>
        <v>Sem Curso</v>
      </c>
      <c r="J1354" s="1" t="str">
        <f>IFERROR(__xludf.DUMMYFUNCTION("""COMPUTED_VALUE"""),"Não")</f>
        <v>Não</v>
      </c>
      <c r="K1354" s="1" t="str">
        <f>IFERROR(__xludf.DUMMYFUNCTION("""COMPUTED_VALUE"""),"Não")</f>
        <v>Não</v>
      </c>
      <c r="L1354" s="1" t="str">
        <f>IFERROR(__xludf.DUMMYFUNCTION("""COMPUTED_VALUE"""),"O+")</f>
        <v>O+</v>
      </c>
      <c r="M1354" s="1" t="str">
        <f>IFERROR(__xludf.DUMMYFUNCTION("""COMPUTED_VALUE"""),"CAB WILLIAM")</f>
        <v>CAB WILLIAM</v>
      </c>
      <c r="N1354" s="120">
        <f>IFERROR(__xludf.DUMMYFUNCTION("""COMPUTED_VALUE"""),33118)</f>
        <v>33118</v>
      </c>
      <c r="O1354" s="1" t="str">
        <f>IFERROR(__xludf.DUMMYFUNCTION("""COMPUTED_VALUE"""),"Masculino")</f>
        <v>Masculino</v>
      </c>
      <c r="P1354" s="1" t="str">
        <f>IFERROR(__xludf.DUMMYFUNCTION("""COMPUTED_VALUE"""),"Parda")</f>
        <v>Parda</v>
      </c>
      <c r="Q1354" s="1" t="str">
        <f>IFERROR(__xludf.DUMMYFUNCTION("""COMPUTED_VALUE"""),"Ensino Superior Incompleto")</f>
        <v>Ensino Superior Incompleto</v>
      </c>
      <c r="R1354" s="1" t="str">
        <f>IFERROR(__xludf.DUMMYFUNCTION("""COMPUTED_VALUE"""),"willbagualbarcelos@gmail.com")</f>
        <v>willbagualbarcelos@gmail.com</v>
      </c>
      <c r="S1354" s="1" t="str">
        <f>IFERROR(__xludf.DUMMYFUNCTION("""COMPUTED_VALUE"""),"70 Kg")</f>
        <v>70 Kg</v>
      </c>
      <c r="T1354" s="1" t="str">
        <f>IFERROR(__xludf.DUMMYFUNCTION("""COMPUTED_VALUE"""),"Entre 1,71m e 1,75m")</f>
        <v>Entre 1,71m e 1,75m</v>
      </c>
      <c r="U1354" s="1"/>
      <c r="V1354" s="1" t="str">
        <f>IFERROR(__xludf.DUMMYFUNCTION("""COMPUTED_VALUE"""),"(55)981730043")</f>
        <v>(55)981730043</v>
      </c>
      <c r="W1354" s="1" t="str">
        <f>IFERROR(__xludf.DUMMYFUNCTION("""COMPUTED_VALUE"""),"(55)981730043")</f>
        <v>(55)981730043</v>
      </c>
      <c r="X1354" s="1" t="str">
        <f>IFERROR(__xludf.DUMMYFUNCTION("""COMPUTED_VALUE"""),"RS")</f>
        <v>RS</v>
      </c>
      <c r="Y1354" s="1" t="str">
        <f>IFERROR(__xludf.DUMMYFUNCTION("""COMPUTED_VALUE"""),"Cerro Largo")</f>
        <v>Cerro Largo</v>
      </c>
      <c r="Z1354" s="1" t="str">
        <f>IFERROR(__xludf.DUMMYFUNCTION("""COMPUTED_VALUE"""),"97900-000")</f>
        <v>97900-000</v>
      </c>
      <c r="AA1354" s="1" t="str">
        <f>IFERROR(__xludf.DUMMYFUNCTION("""COMPUTED_VALUE"""),"Rua 15 de Novembro, 42")</f>
        <v>Rua 15 de Novembro, 42</v>
      </c>
      <c r="AB1354" s="1" t="str">
        <f>IFERROR(__xludf.DUMMYFUNCTION("""COMPUTED_VALUE"""),"Brasília")</f>
        <v>Brasília</v>
      </c>
      <c r="AC1354" s="1" t="str">
        <f>IFERROR(__xludf.DUMMYFUNCTION("""COMPUTED_VALUE"""),"M")</f>
        <v>M</v>
      </c>
      <c r="AD1354" s="1" t="str">
        <f>IFERROR(__xludf.DUMMYFUNCTION("""COMPUTED_VALUE"""),"M")</f>
        <v>M</v>
      </c>
      <c r="AE1354" s="1" t="str">
        <f>IFERROR(__xludf.DUMMYFUNCTION("""COMPUTED_VALUE"""),"M")</f>
        <v>M</v>
      </c>
      <c r="AF1354" s="1" t="str">
        <f>IFERROR(__xludf.DUMMYFUNCTION("""COMPUTED_VALUE"""),"M")</f>
        <v>M</v>
      </c>
      <c r="AG1354" s="1" t="str">
        <f>IFERROR(__xludf.DUMMYFUNCTION("""COMPUTED_VALUE"""),"GG")</f>
        <v>GG</v>
      </c>
      <c r="AH1354" s="1">
        <f>IFERROR(__xludf.DUMMYFUNCTION("""COMPUTED_VALUE"""),40)</f>
        <v>40</v>
      </c>
      <c r="AI1354" s="1">
        <f>IFERROR(__xludf.DUMMYFUNCTION("""COMPUTED_VALUE"""),40)</f>
        <v>40</v>
      </c>
      <c r="AJ1354" s="1">
        <f>IFERROR(__xludf.DUMMYFUNCTION("""COMPUTED_VALUE"""),40)</f>
        <v>40</v>
      </c>
      <c r="AK1354" s="1">
        <f>IFERROR(__xludf.DUMMYFUNCTION("""COMPUTED_VALUE"""),40)</f>
        <v>40</v>
      </c>
      <c r="AL1354" s="1" t="str">
        <f>IFERROR(__xludf.DUMMYFUNCTION("""COMPUTED_VALUE"""),"M")</f>
        <v>M</v>
      </c>
      <c r="AM1354" s="1" t="str">
        <f>IFERROR(__xludf.DUMMYFUNCTION("""COMPUTED_VALUE"""),"M")</f>
        <v>M</v>
      </c>
      <c r="AN1354" s="1" t="str">
        <f>IFERROR(__xludf.DUMMYFUNCTION("""COMPUTED_VALUE"""),"M")</f>
        <v>M</v>
      </c>
    </row>
    <row r="1390" customHeight="1" spans="1:40">
      <c r="A1390" s="126" t="str">
        <f>IFERROR(__xludf.DUMMYFUNCTION("IMPORTRANGE(""1uCBYq_B1noXDnZ2hAWfjmyqidVGOrreR1eUpbj41kZg/edit?gid=516654854"",""12BBM!A2:AN"")"),"")</f>
        <v/>
      </c>
      <c r="B1390" s="1"/>
      <c r="C1390" s="119"/>
      <c r="D1390" s="1" t="str">
        <f>IFERROR(__xludf.DUMMYFUNCTION("""COMPUTED_VALUE"""),"ADILSON ALMIRO DE PAULA")</f>
        <v>ADILSON ALMIRO DE PAULA</v>
      </c>
      <c r="E1390" s="119" t="str">
        <f>IFERROR(__xludf.DUMMYFUNCTION("""COMPUTED_VALUE"""),"Curso CAB operador concluído")</f>
        <v>Curso CAB operador concluído</v>
      </c>
      <c r="F1390" s="1" t="str">
        <f>IFERROR(__xludf.DUMMYFUNCTION("""COMPUTED_VALUE"""),"771.212.280-68")</f>
        <v>771.212.280-68</v>
      </c>
      <c r="G1390" s="1"/>
      <c r="H1390" s="1"/>
      <c r="I1390" s="1"/>
      <c r="J1390" s="1"/>
      <c r="K1390" s="1"/>
      <c r="L1390" s="1"/>
      <c r="M1390" s="1"/>
      <c r="N1390" s="120"/>
      <c r="O1390" s="1"/>
      <c r="P1390" s="1"/>
      <c r="Q1390" s="1"/>
      <c r="R1390" s="1"/>
      <c r="S1390" s="1"/>
      <c r="T1390" s="1"/>
      <c r="U1390" s="1"/>
      <c r="V1390" s="1"/>
      <c r="W1390" s="1"/>
      <c r="X1390" s="1"/>
      <c r="Y1390" s="1"/>
      <c r="Z1390" s="1"/>
      <c r="AA1390" s="1"/>
      <c r="AB1390" s="1"/>
      <c r="AC1390" s="1"/>
      <c r="AD1390" s="1"/>
      <c r="AE1390" s="1"/>
      <c r="AF1390" s="1"/>
      <c r="AG1390" s="1"/>
      <c r="AH1390" s="1"/>
      <c r="AI1390" s="1"/>
      <c r="AJ1390" s="1"/>
      <c r="AK1390" s="1"/>
      <c r="AL1390" s="1"/>
      <c r="AM1390" s="1"/>
      <c r="AN1390" s="1"/>
    </row>
    <row r="1391" customHeight="1" spans="1:40">
      <c r="A1391" s="1" t="str">
        <f>IFERROR(__xludf.DUMMYFUNCTION("""COMPUTED_VALUE"""),"12° BBM")</f>
        <v>12° BBM</v>
      </c>
      <c r="B1391" s="1" t="str">
        <f>IFERROR(__xludf.DUMMYFUNCTION("""COMPUTED_VALUE"""),"Quinze de Novembro")</f>
        <v>Quinze de Novembro</v>
      </c>
      <c r="C1391" s="119" t="str">
        <f>IFERROR(__xludf.DUMMYFUNCTION("""COMPUTED_VALUE"""),"CAB")</f>
        <v>CAB</v>
      </c>
      <c r="D1391" s="1" t="str">
        <f>IFERROR(__xludf.DUMMYFUNCTION("""COMPUTED_VALUE"""),"ALEXANDRE LAMB BUDKE")</f>
        <v>ALEXANDRE LAMB BUDKE</v>
      </c>
      <c r="E1391" s="119"/>
      <c r="F1391" s="1" t="str">
        <f>IFERROR(__xludf.DUMMYFUNCTION("""COMPUTED_VALUE"""),"886.836.560-04")</f>
        <v>886.836.560-04</v>
      </c>
      <c r="G1391" s="1">
        <f>IFERROR(__xludf.DUMMYFUNCTION("""COMPUTED_VALUE"""),8064790846)</f>
        <v>8064790846</v>
      </c>
      <c r="H1391" s="1" t="str">
        <f>IFERROR(__xludf.DUMMYFUNCTION("""COMPUTED_VALUE"""),"motorista / operador")</f>
        <v>motorista / operador</v>
      </c>
      <c r="I1391" s="1"/>
      <c r="J1391" s="1" t="str">
        <f>IFERROR(__xludf.DUMMYFUNCTION("""COMPUTED_VALUE"""),"Não")</f>
        <v>Não</v>
      </c>
      <c r="K1391" s="1" t="str">
        <f>IFERROR(__xludf.DUMMYFUNCTION("""COMPUTED_VALUE"""),"Não")</f>
        <v>Não</v>
      </c>
      <c r="L1391" s="1"/>
      <c r="M1391" s="1" t="str">
        <f>IFERROR(__xludf.DUMMYFUNCTION("""COMPUTED_VALUE"""),"Alexandre")</f>
        <v>Alexandre</v>
      </c>
      <c r="N1391" s="120">
        <f>IFERROR(__xludf.DUMMYFUNCTION("""COMPUTED_VALUE"""),27891)</f>
        <v>27891</v>
      </c>
      <c r="O1391" s="1" t="str">
        <f>IFERROR(__xludf.DUMMYFUNCTION("""COMPUTED_VALUE"""),"Masculino")</f>
        <v>Masculino</v>
      </c>
      <c r="P1391" s="1" t="str">
        <f>IFERROR(__xludf.DUMMYFUNCTION("""COMPUTED_VALUE"""),"Branca")</f>
        <v>Branca</v>
      </c>
      <c r="Q1391" s="1" t="str">
        <f>IFERROR(__xludf.DUMMYFUNCTION("""COMPUTED_VALUE"""),"Ensino Médio")</f>
        <v>Ensino Médio</v>
      </c>
      <c r="R1391" s="1" t="str">
        <f>IFERROR(__xludf.DUMMYFUNCTION("""COMPUTED_VALUE"""),"alexandrebudke19@gmail.com")</f>
        <v>alexandrebudke19@gmail.com</v>
      </c>
      <c r="S1391" s="1">
        <f>IFERROR(__xludf.DUMMYFUNCTION("""COMPUTED_VALUE"""),98)</f>
        <v>98</v>
      </c>
      <c r="T1391" s="1" t="str">
        <f>IFERROR(__xludf.DUMMYFUNCTION("""COMPUTED_VALUE"""),"Entre 1,81m e 1,85m")</f>
        <v>Entre 1,81m e 1,85m</v>
      </c>
      <c r="U1391" s="1"/>
      <c r="V1391" s="1" t="str">
        <f>IFERROR(__xludf.DUMMYFUNCTION("""COMPUTED_VALUE"""),"(54) 99243-1615")</f>
        <v>(54) 99243-1615</v>
      </c>
      <c r="W1391" s="1" t="str">
        <f>IFERROR(__xludf.DUMMYFUNCTION("""COMPUTED_VALUE"""),"(54) 99243-1615")</f>
        <v>(54) 99243-1615</v>
      </c>
      <c r="X1391" s="1" t="str">
        <f>IFERROR(__xludf.DUMMYFUNCTION("""COMPUTED_VALUE"""),"RS")</f>
        <v>RS</v>
      </c>
      <c r="Y1391" s="1" t="str">
        <f>IFERROR(__xludf.DUMMYFUNCTION("""COMPUTED_VALUE"""),"Quinze de Novembro")</f>
        <v>Quinze de Novembro</v>
      </c>
      <c r="Z1391" s="1" t="str">
        <f>IFERROR(__xludf.DUMMYFUNCTION("""COMPUTED_VALUE"""),"98230-000")</f>
        <v>98230-000</v>
      </c>
      <c r="AA1391" s="1" t="str">
        <f>IFERROR(__xludf.DUMMYFUNCTION("""COMPUTED_VALUE"""),"rua rui barbosa. 1160")</f>
        <v>rua rui barbosa. 1160</v>
      </c>
      <c r="AB1391" s="1" t="str">
        <f>IFERROR(__xludf.DUMMYFUNCTION("""COMPUTED_VALUE"""),"Centro")</f>
        <v>Centro</v>
      </c>
      <c r="AC1391" s="1" t="str">
        <f>IFERROR(__xludf.DUMMYFUNCTION("""COMPUTED_VALUE"""),"G")</f>
        <v>G</v>
      </c>
      <c r="AD1391" s="1" t="str">
        <f>IFERROR(__xludf.DUMMYFUNCTION("""COMPUTED_VALUE"""),"G")</f>
        <v>G</v>
      </c>
      <c r="AE1391" s="1" t="str">
        <f>IFERROR(__xludf.DUMMYFUNCTION("""COMPUTED_VALUE"""),"GG")</f>
        <v>GG</v>
      </c>
      <c r="AF1391" s="1" t="str">
        <f>IFERROR(__xludf.DUMMYFUNCTION("""COMPUTED_VALUE"""),"GG")</f>
        <v>GG</v>
      </c>
      <c r="AG1391" s="1" t="str">
        <f>IFERROR(__xludf.DUMMYFUNCTION("""COMPUTED_VALUE"""),"GG")</f>
        <v>GG</v>
      </c>
      <c r="AH1391" s="1">
        <f>IFERROR(__xludf.DUMMYFUNCTION("""COMPUTED_VALUE"""),44)</f>
        <v>44</v>
      </c>
      <c r="AI1391" s="1">
        <f>IFERROR(__xludf.DUMMYFUNCTION("""COMPUTED_VALUE"""),44)</f>
        <v>44</v>
      </c>
      <c r="AJ1391" s="1">
        <f>IFERROR(__xludf.DUMMYFUNCTION("""COMPUTED_VALUE"""),44)</f>
        <v>44</v>
      </c>
      <c r="AK1391" s="1">
        <f>IFERROR(__xludf.DUMMYFUNCTION("""COMPUTED_VALUE"""),44)</f>
        <v>44</v>
      </c>
      <c r="AL1391" s="1" t="str">
        <f>IFERROR(__xludf.DUMMYFUNCTION("""COMPUTED_VALUE"""),"GG")</f>
        <v>GG</v>
      </c>
      <c r="AM1391" s="1" t="str">
        <f>IFERROR(__xludf.DUMMYFUNCTION("""COMPUTED_VALUE"""),"GG")</f>
        <v>GG</v>
      </c>
      <c r="AN1391" s="1" t="str">
        <f>IFERROR(__xludf.DUMMYFUNCTION("""COMPUTED_VALUE"""),"GG")</f>
        <v>GG</v>
      </c>
    </row>
    <row r="1392" customHeight="1" spans="1:40">
      <c r="A1392" s="1" t="str">
        <f>IFERROR(__xludf.DUMMYFUNCTION("""COMPUTED_VALUE"""),"12° BBM")</f>
        <v>12° BBM</v>
      </c>
      <c r="B1392" s="1" t="str">
        <f>IFERROR(__xludf.DUMMYFUNCTION("""COMPUTED_VALUE"""),"Chiapetta")</f>
        <v>Chiapetta</v>
      </c>
      <c r="C1392" s="119" t="str">
        <f>IFERROR(__xludf.DUMMYFUNCTION("""COMPUTED_VALUE"""),"CAB")</f>
        <v>CAB</v>
      </c>
      <c r="D1392" s="1" t="str">
        <f>IFERROR(__xludf.DUMMYFUNCTION("""COMPUTED_VALUE"""),"ANDRE LUIS POMMER WOICIECKOSKI")</f>
        <v>ANDRE LUIS POMMER WOICIECKOSKI</v>
      </c>
      <c r="E1392" s="119" t="str">
        <f>IFERROR(__xludf.DUMMYFUNCTION("""COMPUTED_VALUE"""),"")</f>
        <v/>
      </c>
      <c r="F1392" s="1" t="str">
        <f>IFERROR(__xludf.DUMMYFUNCTION("""COMPUTED_VALUE"""),"000.778.500-33")</f>
        <v>000.778.500-33</v>
      </c>
      <c r="G1392" s="1">
        <f>IFERROR(__xludf.DUMMYFUNCTION("""COMPUTED_VALUE"""),9084410589)</f>
        <v>9084410589</v>
      </c>
      <c r="H1392" s="1" t="str">
        <f>IFERROR(__xludf.DUMMYFUNCTION("""COMPUTED_VALUE"""),"MOTORISTA")</f>
        <v>MOTORISTA</v>
      </c>
      <c r="I1392" s="1" t="str">
        <f>IFERROR(__xludf.DUMMYFUNCTION("""COMPUTED_VALUE"""),"nocoes basicas/combate/ABT")</f>
        <v>nocoes basicas/combate/ABT</v>
      </c>
      <c r="J1392" s="1" t="str">
        <f>IFERROR(__xludf.DUMMYFUNCTION("""COMPUTED_VALUE"""),"Não")</f>
        <v>Não</v>
      </c>
      <c r="K1392" s="1" t="str">
        <f>IFERROR(__xludf.DUMMYFUNCTION("""COMPUTED_VALUE"""),"não")</f>
        <v>não</v>
      </c>
      <c r="L1392" s="1" t="str">
        <f>IFERROR(__xludf.DUMMYFUNCTION("""COMPUTED_VALUE"""),"O+")</f>
        <v>O+</v>
      </c>
      <c r="M1392" s="1"/>
      <c r="N1392" s="1">
        <f>IFERROR(__xludf.DUMMYFUNCTION("""COMPUTED_VALUE"""),29930)</f>
        <v>29930</v>
      </c>
      <c r="O1392" s="1" t="str">
        <f>IFERROR(__xludf.DUMMYFUNCTION("""COMPUTED_VALUE"""),"Masculino")</f>
        <v>Masculino</v>
      </c>
      <c r="P1392" s="1" t="str">
        <f>IFERROR(__xludf.DUMMYFUNCTION("""COMPUTED_VALUE"""),"BRANCA")</f>
        <v>BRANCA</v>
      </c>
      <c r="Q1392" s="1" t="str">
        <f>IFERROR(__xludf.DUMMYFUNCTION("""COMPUTED_VALUE"""),"Ensino Médio")</f>
        <v>Ensino Médio</v>
      </c>
      <c r="R1392" s="1" t="str">
        <f>IFERROR(__xludf.DUMMYFUNCTION("""COMPUTED_VALUE"""),"gabinete@chiapetta.rs.gov.br")</f>
        <v>gabinete@chiapetta.rs.gov.br</v>
      </c>
      <c r="S1392" s="1">
        <f>IFERROR(__xludf.DUMMYFUNCTION("""COMPUTED_VALUE"""),96)</f>
        <v>96</v>
      </c>
      <c r="T1392" s="1" t="str">
        <f>IFERROR(__xludf.DUMMYFUNCTION("""COMPUTED_VALUE"""),"Entre 1,76m e 1,80m")</f>
        <v>Entre 1,76m e 1,80m</v>
      </c>
      <c r="U1392" s="1"/>
      <c r="V1392" s="1" t="str">
        <f>IFERROR(__xludf.DUMMYFUNCTION("""COMPUTED_VALUE"""),"(55) 9999-0516")</f>
        <v>(55) 9999-0516</v>
      </c>
      <c r="W1392" s="1"/>
      <c r="X1392" s="1" t="str">
        <f>IFERROR(__xludf.DUMMYFUNCTION("""COMPUTED_VALUE"""),"RS")</f>
        <v>RS</v>
      </c>
      <c r="Y1392" s="1" t="str">
        <f>IFERROR(__xludf.DUMMYFUNCTION("""COMPUTED_VALUE"""),"Chiapetta")</f>
        <v>Chiapetta</v>
      </c>
      <c r="Z1392" s="1" t="str">
        <f>IFERROR(__xludf.DUMMYFUNCTION("""COMPUTED_VALUE"""),"98760-000")</f>
        <v>98760-000</v>
      </c>
      <c r="AA1392" s="1" t="str">
        <f>IFERROR(__xludf.DUMMYFUNCTION("""COMPUTED_VALUE"""),"Castelo Branco n°858")</f>
        <v>Castelo Branco n°858</v>
      </c>
      <c r="AB1392" s="1" t="str">
        <f>IFERROR(__xludf.DUMMYFUNCTION("""COMPUTED_VALUE"""),"CENTRO")</f>
        <v>CENTRO</v>
      </c>
      <c r="AC1392" s="1" t="str">
        <f>IFERROR(__xludf.DUMMYFUNCTION("""COMPUTED_VALUE"""),"GG")</f>
        <v>GG</v>
      </c>
      <c r="AD1392" s="1" t="str">
        <f>IFERROR(__xludf.DUMMYFUNCTION("""COMPUTED_VALUE"""),"GG")</f>
        <v>GG</v>
      </c>
      <c r="AE1392" s="1" t="str">
        <f>IFERROR(__xludf.DUMMYFUNCTION("""COMPUTED_VALUE"""),"GG")</f>
        <v>GG</v>
      </c>
      <c r="AF1392" s="1" t="str">
        <f>IFERROR(__xludf.DUMMYFUNCTION("""COMPUTED_VALUE"""),"GG")</f>
        <v>GG</v>
      </c>
      <c r="AG1392" s="1" t="str">
        <f>IFERROR(__xludf.DUMMYFUNCTION("""COMPUTED_VALUE"""),"GG")</f>
        <v>GG</v>
      </c>
      <c r="AH1392" s="1">
        <f>IFERROR(__xludf.DUMMYFUNCTION("""COMPUTED_VALUE"""),41)</f>
        <v>41</v>
      </c>
      <c r="AI1392" s="1">
        <f>IFERROR(__xludf.DUMMYFUNCTION("""COMPUTED_VALUE"""),41)</f>
        <v>41</v>
      </c>
      <c r="AJ1392" s="1">
        <f>IFERROR(__xludf.DUMMYFUNCTION("""COMPUTED_VALUE"""),41)</f>
        <v>41</v>
      </c>
      <c r="AK1392" s="1">
        <f>IFERROR(__xludf.DUMMYFUNCTION("""COMPUTED_VALUE"""),41)</f>
        <v>41</v>
      </c>
      <c r="AL1392" s="1" t="str">
        <f>IFERROR(__xludf.DUMMYFUNCTION("""COMPUTED_VALUE"""),"GG")</f>
        <v>GG</v>
      </c>
      <c r="AM1392" s="1" t="str">
        <f>IFERROR(__xludf.DUMMYFUNCTION("""COMPUTED_VALUE"""),"GG")</f>
        <v>GG</v>
      </c>
      <c r="AN1392" s="1" t="str">
        <f>IFERROR(__xludf.DUMMYFUNCTION("""COMPUTED_VALUE"""),"GG")</f>
        <v>GG</v>
      </c>
    </row>
    <row r="1393" customHeight="1" spans="1:40">
      <c r="A1393" s="1"/>
      <c r="B1393" s="1"/>
      <c r="C1393" s="119"/>
      <c r="D1393" s="1" t="str">
        <f>IFERROR(__xludf.DUMMYFUNCTION("""COMPUTED_VALUE"""),"ANDREI SCHERER PEREIRA")</f>
        <v>ANDREI SCHERER PEREIRA</v>
      </c>
      <c r="E1393" s="1" t="str">
        <f>IFERROR(__xludf.DUMMYFUNCTION("""COMPUTED_VALUE"""),"Curso CAB operador concluído")</f>
        <v>Curso CAB operador concluído</v>
      </c>
      <c r="F1393" s="1" t="str">
        <f>IFERROR(__xludf.DUMMYFUNCTION("""COMPUTED_VALUE"""),"038.249.130-03")</f>
        <v>038.249.130-03</v>
      </c>
      <c r="G1393" s="1"/>
      <c r="H1393" s="1"/>
      <c r="I1393" s="1"/>
      <c r="J1393" s="1"/>
      <c r="K1393" s="1"/>
      <c r="L1393" s="1"/>
      <c r="M1393" s="1"/>
      <c r="N1393" s="120"/>
      <c r="O1393" s="1"/>
      <c r="P1393" s="1"/>
      <c r="Q1393" s="1"/>
      <c r="R1393" s="1"/>
      <c r="S1393" s="1"/>
      <c r="T1393" s="1"/>
      <c r="U1393" s="1"/>
      <c r="V1393" s="1"/>
      <c r="W1393" s="1"/>
      <c r="X1393" s="1"/>
      <c r="Y1393" s="1"/>
      <c r="Z1393" s="1"/>
      <c r="AA1393" s="1"/>
      <c r="AB1393" s="1"/>
      <c r="AC1393" s="1"/>
      <c r="AD1393" s="1"/>
      <c r="AE1393" s="1"/>
      <c r="AF1393" s="1"/>
      <c r="AG1393" s="1"/>
      <c r="AH1393" s="1"/>
      <c r="AI1393" s="1"/>
      <c r="AJ1393" s="1"/>
      <c r="AK1393" s="1"/>
      <c r="AL1393" s="1"/>
      <c r="AM1393" s="1"/>
      <c r="AN1393" s="1"/>
    </row>
    <row r="1394" customHeight="1" spans="1:40">
      <c r="A1394" s="1" t="str">
        <f>IFERROR(__xludf.DUMMYFUNCTION("""COMPUTED_VALUE"""),"12° BBM")</f>
        <v>12° BBM</v>
      </c>
      <c r="B1394" s="1" t="str">
        <f>IFERROR(__xludf.DUMMYFUNCTION("""COMPUTED_VALUE"""),"Salto do Jacuí")</f>
        <v>Salto do Jacuí</v>
      </c>
      <c r="C1394" s="119" t="str">
        <f>IFERROR(__xludf.DUMMYFUNCTION("""COMPUTED_VALUE"""),"CAB")</f>
        <v>CAB</v>
      </c>
      <c r="D1394" s="1" t="str">
        <f>IFERROR(__xludf.DUMMYFUNCTION("""COMPUTED_VALUE"""),"ARILSON FIUZA GRAEFF")</f>
        <v>ARILSON FIUZA GRAEFF</v>
      </c>
      <c r="E1394" s="119" t="str">
        <f>IFERROR(__xludf.DUMMYFUNCTION("""COMPUTED_VALUE"""),"Módulo 2 e 3 concluído")</f>
        <v>Módulo 2 e 3 concluído</v>
      </c>
      <c r="F1394" s="1" t="str">
        <f>IFERROR(__xludf.DUMMYFUNCTION("""COMPUTED_VALUE"""),"038.863.250.08")</f>
        <v>038.863.250.08</v>
      </c>
      <c r="G1394" s="1">
        <f>IFERROR(__xludf.DUMMYFUNCTION("""COMPUTED_VALUE"""),3101957995)</f>
        <v>3101957995</v>
      </c>
      <c r="H1394" s="1" t="str">
        <f>IFERROR(__xludf.DUMMYFUNCTION("""COMPUTED_VALUE"""),"Bombeiro Civil Voluntario")</f>
        <v>Bombeiro Civil Voluntario</v>
      </c>
      <c r="I1394" s="1" t="str">
        <f>IFERROR(__xludf.DUMMYFUNCTION("""COMPUTED_VALUE"""),"Curso de combate a incêndio fornecidos pelo Corpo de Bombeiros de Cruz Alta")</f>
        <v>Curso de combate a incêndio fornecidos pelo Corpo de Bombeiros de Cruz Alta</v>
      </c>
      <c r="J1394" s="1" t="str">
        <f>IFERROR(__xludf.DUMMYFUNCTION("""COMPUTED_VALUE"""),"Não")</f>
        <v>Não</v>
      </c>
      <c r="K1394" s="1" t="str">
        <f>IFERROR(__xludf.DUMMYFUNCTION("""COMPUTED_VALUE"""),"Não")</f>
        <v>Não</v>
      </c>
      <c r="L1394" s="1"/>
      <c r="M1394" s="1"/>
      <c r="N1394" s="125"/>
      <c r="O1394" s="1" t="str">
        <f>IFERROR(__xludf.DUMMYFUNCTION("""COMPUTED_VALUE"""),"Masculino")</f>
        <v>Masculino</v>
      </c>
      <c r="P1394" s="1" t="str">
        <f>IFERROR(__xludf.DUMMYFUNCTION("""COMPUTED_VALUE"""),"Branca")</f>
        <v>Branca</v>
      </c>
      <c r="Q1394" s="1"/>
      <c r="R1394" s="1"/>
      <c r="S1394" s="1"/>
      <c r="T1394" s="1" t="str">
        <f>IFERROR(__xludf.DUMMYFUNCTION("""COMPUTED_VALUE"""),"Entre 1,66m e 1,70m")</f>
        <v>Entre 1,66m e 1,70m</v>
      </c>
      <c r="U1394" s="1"/>
      <c r="V1394" s="1"/>
      <c r="W1394" s="1"/>
      <c r="X1394" s="1" t="str">
        <f>IFERROR(__xludf.DUMMYFUNCTION("""COMPUTED_VALUE"""),"RS")</f>
        <v>RS</v>
      </c>
      <c r="Y1394" s="1" t="str">
        <f>IFERROR(__xludf.DUMMYFUNCTION("""COMPUTED_VALUE"""),"Salto do Jacuí")</f>
        <v>Salto do Jacuí</v>
      </c>
      <c r="Z1394" s="1"/>
      <c r="AA1394" s="1"/>
      <c r="AB1394" s="1"/>
      <c r="AC1394" s="1" t="str">
        <f>IFERROR(__xludf.DUMMYFUNCTION("""COMPUTED_VALUE"""),"GG")</f>
        <v>GG</v>
      </c>
      <c r="AD1394" s="1" t="str">
        <f>IFERROR(__xludf.DUMMYFUNCTION("""COMPUTED_VALUE"""),"GG")</f>
        <v>GG</v>
      </c>
      <c r="AE1394" s="1" t="str">
        <f>IFERROR(__xludf.DUMMYFUNCTION("""COMPUTED_VALUE"""),"GG")</f>
        <v>GG</v>
      </c>
      <c r="AF1394" s="1" t="str">
        <f>IFERROR(__xludf.DUMMYFUNCTION("""COMPUTED_VALUE"""),"GG")</f>
        <v>GG</v>
      </c>
      <c r="AG1394" s="1" t="str">
        <f>IFERROR(__xludf.DUMMYFUNCTION("""COMPUTED_VALUE"""),"GG")</f>
        <v>GG</v>
      </c>
      <c r="AH1394" s="1">
        <f>IFERROR(__xludf.DUMMYFUNCTION("""COMPUTED_VALUE"""),42)</f>
        <v>42</v>
      </c>
      <c r="AI1394" s="1">
        <f>IFERROR(__xludf.DUMMYFUNCTION("""COMPUTED_VALUE"""),42)</f>
        <v>42</v>
      </c>
      <c r="AJ1394" s="1">
        <f>IFERROR(__xludf.DUMMYFUNCTION("""COMPUTED_VALUE"""),42)</f>
        <v>42</v>
      </c>
      <c r="AK1394" s="1">
        <f>IFERROR(__xludf.DUMMYFUNCTION("""COMPUTED_VALUE"""),42)</f>
        <v>42</v>
      </c>
      <c r="AL1394" s="1" t="str">
        <f>IFERROR(__xludf.DUMMYFUNCTION("""COMPUTED_VALUE"""),"GG")</f>
        <v>GG</v>
      </c>
      <c r="AM1394" s="1" t="str">
        <f>IFERROR(__xludf.DUMMYFUNCTION("""COMPUTED_VALUE"""),"GG")</f>
        <v>GG</v>
      </c>
      <c r="AN1394" s="1" t="str">
        <f>IFERROR(__xludf.DUMMYFUNCTION("""COMPUTED_VALUE"""),"GG")</f>
        <v>GG</v>
      </c>
    </row>
    <row r="1395" customHeight="1" spans="1:40">
      <c r="A1395" s="1" t="str">
        <f>IFERROR(__xludf.DUMMYFUNCTION("""COMPUTED_VALUE"""),"12° BBM")</f>
        <v>12° BBM</v>
      </c>
      <c r="B1395" s="1" t="str">
        <f>IFERROR(__xludf.DUMMYFUNCTION("""COMPUTED_VALUE"""),"Santa Bárbara do Sul ")</f>
        <v>Santa Bárbara do Sul </v>
      </c>
      <c r="C1395" s="119" t="str">
        <f>IFERROR(__xludf.DUMMYFUNCTION("""COMPUTED_VALUE"""),"CAB")</f>
        <v>CAB</v>
      </c>
      <c r="D1395" s="1" t="str">
        <f>IFERROR(__xludf.DUMMYFUNCTION("""COMPUTED_VALUE"""),"CARLOS ALBERTO LIMA DE SOUZA")</f>
        <v>CARLOS ALBERTO LIMA DE SOUZA</v>
      </c>
      <c r="E1395" s="119" t="str">
        <f>IFERROR(__xludf.DUMMYFUNCTION("""COMPUTED_VALUE"""),"")</f>
        <v/>
      </c>
      <c r="F1395" s="1" t="str">
        <f>IFERROR(__xludf.DUMMYFUNCTION("""COMPUTED_VALUE"""),"616.389.350-68")</f>
        <v>616.389.350-68</v>
      </c>
      <c r="G1395" s="1">
        <f>IFERROR(__xludf.DUMMYFUNCTION("""COMPUTED_VALUE"""),5042517201)</f>
        <v>5042517201</v>
      </c>
      <c r="H1395" s="1" t="str">
        <f>IFERROR(__xludf.DUMMYFUNCTION("""COMPUTED_VALUE"""),"OPERADOR DE MAQUINAS PESADAS PREF.")</f>
        <v>OPERADOR DE MAQUINAS PESADAS PREF.</v>
      </c>
      <c r="I1395" s="1" t="str">
        <f>IFERROR(__xludf.DUMMYFUNCTION("""COMPUTED_VALUE"""),"Treinamento de Prevenção e combate a Incêndio 10 H/A")</f>
        <v>Treinamento de Prevenção e combate a Incêndio 10 H/A</v>
      </c>
      <c r="J1395" s="1"/>
      <c r="K1395" s="1"/>
      <c r="L1395" s="1"/>
      <c r="M1395" s="120"/>
      <c r="N1395" s="120"/>
      <c r="O1395" s="1"/>
      <c r="P1395" s="1"/>
      <c r="Q1395" s="1"/>
      <c r="R1395" s="1"/>
      <c r="S1395" s="1"/>
      <c r="T1395" s="1"/>
      <c r="U1395" s="1"/>
      <c r="V1395" s="1"/>
      <c r="W1395" s="1"/>
      <c r="X1395" s="1" t="str">
        <f>IFERROR(__xludf.DUMMYFUNCTION("""COMPUTED_VALUE"""),"RIO GRANDE DO SUL")</f>
        <v>RIO GRANDE DO SUL</v>
      </c>
      <c r="Y1395" s="1"/>
      <c r="Z1395" s="1"/>
      <c r="AA1395" s="1"/>
      <c r="AB1395" s="1"/>
      <c r="AC1395" s="1"/>
      <c r="AD1395" s="1"/>
      <c r="AE1395" s="1"/>
      <c r="AF1395" s="1"/>
      <c r="AG1395" s="1"/>
      <c r="AH1395" s="1"/>
      <c r="AI1395" s="1"/>
      <c r="AJ1395" s="1"/>
      <c r="AK1395" s="1"/>
      <c r="AL1395" s="1"/>
      <c r="AM1395" s="1"/>
      <c r="AN1395" s="1"/>
    </row>
    <row r="1396" customHeight="1" spans="1:40">
      <c r="A1396" s="1" t="str">
        <f>IFERROR(__xludf.DUMMYFUNCTION("""COMPUTED_VALUE"""),"12° BBM")</f>
        <v>12° BBM</v>
      </c>
      <c r="B1396" s="1" t="str">
        <f>IFERROR(__xludf.DUMMYFUNCTION("""COMPUTED_VALUE"""),"Ibirubá")</f>
        <v>Ibirubá</v>
      </c>
      <c r="C1396" s="119" t="str">
        <f>IFERROR(__xludf.DUMMYFUNCTION("""COMPUTED_VALUE"""),"Comunitario")</f>
        <v>Comunitario</v>
      </c>
      <c r="D1396" s="1" t="str">
        <f>IFERROR(__xludf.DUMMYFUNCTION("""COMPUTED_VALUE"""),"CARLOS HENRIQUE CAMARGO JUNIOR")</f>
        <v>CARLOS HENRIQUE CAMARGO JUNIOR</v>
      </c>
      <c r="E1396" s="119" t="str">
        <f>IFERROR(__xludf.DUMMYFUNCTION("""COMPUTED_VALUE"""),"Curso CAB operador concluído")</f>
        <v>Curso CAB operador concluído</v>
      </c>
      <c r="F1396" s="1" t="str">
        <f>IFERROR(__xludf.DUMMYFUNCTION("""COMPUTED_VALUE"""),"017.166.840-56")</f>
        <v>017.166.840-56</v>
      </c>
      <c r="G1396" s="1">
        <f>IFERROR(__xludf.DUMMYFUNCTION("""COMPUTED_VALUE"""),8100229742)</f>
        <v>8100229742</v>
      </c>
      <c r="H1396" s="1" t="str">
        <f>IFERROR(__xludf.DUMMYFUNCTION("""COMPUTED_VALUE"""),"Combatente, socorrista, telefonista e CVE")</f>
        <v>Combatente, socorrista, telefonista e CVE</v>
      </c>
      <c r="I1396" s="1" t="str">
        <f>IFERROR(__xludf.DUMMYFUNCTION("""COMPUTED_VALUE"""),"CAB OPERADOR")</f>
        <v>CAB OPERADOR</v>
      </c>
      <c r="J1396" s="1" t="str">
        <f>IFERROR(__xludf.DUMMYFUNCTION("""COMPUTED_VALUE"""),"sim")</f>
        <v>sim</v>
      </c>
      <c r="K1396" s="1" t="str">
        <f>IFERROR(__xludf.DUMMYFUNCTION("""COMPUTED_VALUE"""),"sim")</f>
        <v>sim</v>
      </c>
      <c r="L1396" s="1" t="str">
        <f>IFERROR(__xludf.DUMMYFUNCTION("""COMPUTED_VALUE"""),"O+")</f>
        <v>O+</v>
      </c>
      <c r="M1396" s="1" t="str">
        <f>IFERROR(__xludf.DUMMYFUNCTION("""COMPUTED_VALUE"""),"Carlos")</f>
        <v>Carlos</v>
      </c>
      <c r="N1396" s="120">
        <f>IFERROR(__xludf.DUMMYFUNCTION("""COMPUTED_VALUE"""),32748)</f>
        <v>32748</v>
      </c>
      <c r="O1396" s="1" t="str">
        <f>IFERROR(__xludf.DUMMYFUNCTION("""COMPUTED_VALUE"""),"Masculino")</f>
        <v>Masculino</v>
      </c>
      <c r="P1396" s="1" t="str">
        <f>IFERROR(__xludf.DUMMYFUNCTION("""COMPUTED_VALUE"""),"Branca")</f>
        <v>Branca</v>
      </c>
      <c r="Q1396" s="1" t="str">
        <f>IFERROR(__xludf.DUMMYFUNCTION("""COMPUTED_VALUE"""),"Esino superior completo")</f>
        <v>Esino superior completo</v>
      </c>
      <c r="R1396" s="1" t="str">
        <f>IFERROR(__xludf.DUMMYFUNCTION("""COMPUTED_VALUE"""),"carloshenriquecjr@outlook.com")</f>
        <v>carloshenriquecjr@outlook.com</v>
      </c>
      <c r="S1396" s="1">
        <f>IFERROR(__xludf.DUMMYFUNCTION("""COMPUTED_VALUE"""),95)</f>
        <v>95</v>
      </c>
      <c r="T1396" s="1" t="str">
        <f>IFERROR(__xludf.DUMMYFUNCTION("""COMPUTED_VALUE"""),"Entre 1,86m e 1,90m")</f>
        <v>Entre 1,86m e 1,90m</v>
      </c>
      <c r="U1396" s="1"/>
      <c r="V1396" s="1" t="str">
        <f>IFERROR(__xludf.DUMMYFUNCTION("""COMPUTED_VALUE"""),"(54) 99207-4274")</f>
        <v>(54) 99207-4274</v>
      </c>
      <c r="W1396" s="1" t="str">
        <f>IFERROR(__xludf.DUMMYFUNCTION("""COMPUTED_VALUE"""),"(54) 99155-3995")</f>
        <v>(54) 99155-3995</v>
      </c>
      <c r="X1396" s="1" t="str">
        <f>IFERROR(__xludf.DUMMYFUNCTION("""COMPUTED_VALUE"""),"RS")</f>
        <v>RS</v>
      </c>
      <c r="Y1396" s="1" t="str">
        <f>IFERROR(__xludf.DUMMYFUNCTION("""COMPUTED_VALUE"""),"Ibirubá")</f>
        <v>Ibirubá</v>
      </c>
      <c r="Z1396" s="1">
        <f>IFERROR(__xludf.DUMMYFUNCTION("""COMPUTED_VALUE"""),98230000)</f>
        <v>98230000</v>
      </c>
      <c r="AA1396" s="1" t="str">
        <f>IFERROR(__xludf.DUMMYFUNCTION("""COMPUTED_VALUE"""),"Linha oito sem numero")</f>
        <v>Linha oito sem numero</v>
      </c>
      <c r="AB1396" s="1" t="str">
        <f>IFERROR(__xludf.DUMMYFUNCTION("""COMPUTED_VALUE"""),"interior")</f>
        <v>interior</v>
      </c>
      <c r="AC1396" s="1" t="str">
        <f>IFERROR(__xludf.DUMMYFUNCTION("""COMPUTED_VALUE"""),"G")</f>
        <v>G</v>
      </c>
      <c r="AD1396" s="1" t="str">
        <f>IFERROR(__xludf.DUMMYFUNCTION("""COMPUTED_VALUE"""),"G")</f>
        <v>G</v>
      </c>
      <c r="AE1396" s="1" t="str">
        <f>IFERROR(__xludf.DUMMYFUNCTION("""COMPUTED_VALUE"""),"G")</f>
        <v>G</v>
      </c>
      <c r="AF1396" s="1" t="str">
        <f>IFERROR(__xludf.DUMMYFUNCTION("""COMPUTED_VALUE"""),"G")</f>
        <v>G</v>
      </c>
      <c r="AG1396" s="1" t="str">
        <f>IFERROR(__xludf.DUMMYFUNCTION("""COMPUTED_VALUE"""),"G")</f>
        <v>G</v>
      </c>
      <c r="AH1396" s="1">
        <f>IFERROR(__xludf.DUMMYFUNCTION("""COMPUTED_VALUE"""),42)</f>
        <v>42</v>
      </c>
      <c r="AI1396" s="1">
        <f>IFERROR(__xludf.DUMMYFUNCTION("""COMPUTED_VALUE"""),42)</f>
        <v>42</v>
      </c>
      <c r="AJ1396" s="1">
        <f>IFERROR(__xludf.DUMMYFUNCTION("""COMPUTED_VALUE"""),42)</f>
        <v>42</v>
      </c>
      <c r="AK1396" s="1">
        <f>IFERROR(__xludf.DUMMYFUNCTION("""COMPUTED_VALUE"""),42)</f>
        <v>42</v>
      </c>
      <c r="AL1396" s="1" t="str">
        <f>IFERROR(__xludf.DUMMYFUNCTION("""COMPUTED_VALUE"""),"G")</f>
        <v>G</v>
      </c>
      <c r="AM1396" s="1" t="str">
        <f>IFERROR(__xludf.DUMMYFUNCTION("""COMPUTED_VALUE"""),"G")</f>
        <v>G</v>
      </c>
      <c r="AN1396" s="1" t="str">
        <f>IFERROR(__xludf.DUMMYFUNCTION("""COMPUTED_VALUE"""),"G")</f>
        <v>G</v>
      </c>
    </row>
    <row r="1397" customHeight="1" spans="1:40">
      <c r="A1397" s="1" t="str">
        <f>IFERROR(__xludf.DUMMYFUNCTION("""COMPUTED_VALUE"""),"12° BBM")</f>
        <v>12° BBM</v>
      </c>
      <c r="B1397" s="1"/>
      <c r="C1397" s="119"/>
      <c r="D1397" s="1" t="str">
        <f>IFERROR(__xludf.DUMMYFUNCTION("""COMPUTED_VALUE"""),"CEZAR JAIR LUDWIG ZIMMERMANN")</f>
        <v>CEZAR JAIR LUDWIG ZIMMERMANN</v>
      </c>
      <c r="E1397" s="1" t="str">
        <f>IFERROR(__xludf.DUMMYFUNCTION("""COMPUTED_VALUE"""),"Módulo 1 concluído")</f>
        <v>Módulo 1 concluído</v>
      </c>
      <c r="F1397" s="1" t="str">
        <f>IFERROR(__xludf.DUMMYFUNCTION("""COMPUTED_VALUE"""),"712.995.210-53")</f>
        <v>712.995.210-53</v>
      </c>
      <c r="G1397" s="1"/>
      <c r="H1397" s="1"/>
      <c r="I1397" s="1"/>
      <c r="J1397" s="1"/>
      <c r="K1397" s="1"/>
      <c r="L1397" s="1"/>
      <c r="M1397" s="1"/>
      <c r="N1397" s="120"/>
      <c r="O1397" s="1"/>
      <c r="P1397" s="1"/>
      <c r="Q1397" s="1"/>
      <c r="R1397" s="1"/>
      <c r="S1397" s="1"/>
      <c r="T1397" s="1"/>
      <c r="U1397" s="1"/>
      <c r="V1397" s="1"/>
      <c r="W1397" s="1"/>
      <c r="X1397" s="1"/>
      <c r="Y1397" s="1"/>
      <c r="Z1397" s="1"/>
      <c r="AA1397" s="1"/>
      <c r="AB1397" s="1"/>
      <c r="AC1397" s="1"/>
      <c r="AD1397" s="1"/>
      <c r="AE1397" s="1"/>
      <c r="AF1397" s="1"/>
      <c r="AG1397" s="1"/>
      <c r="AH1397" s="1"/>
      <c r="AI1397" s="1"/>
      <c r="AJ1397" s="1"/>
      <c r="AK1397" s="1"/>
      <c r="AL1397" s="1"/>
      <c r="AM1397" s="1"/>
      <c r="AN1397" s="1"/>
    </row>
    <row r="1398" customHeight="1" spans="1:40">
      <c r="A1398" s="1"/>
      <c r="B1398" s="1"/>
      <c r="C1398" s="119"/>
      <c r="D1398" s="1" t="str">
        <f>IFERROR(__xludf.DUMMYFUNCTION("""COMPUTED_VALUE"""),"CLÁUDIO BILLING")</f>
        <v>CLÁUDIO BILLING</v>
      </c>
      <c r="E1398" s="1" t="str">
        <f>IFERROR(__xludf.DUMMYFUNCTION("""COMPUTED_VALUE"""),"Módulo 2 e 3 concluído")</f>
        <v>Módulo 2 e 3 concluído</v>
      </c>
      <c r="F1398" s="1" t="str">
        <f>IFERROR(__xludf.DUMMYFUNCTION("""COMPUTED_VALUE"""),"495.700.990-20")</f>
        <v>495.700.990-20</v>
      </c>
      <c r="G1398" s="1"/>
      <c r="H1398" s="1"/>
      <c r="I1398" s="1"/>
      <c r="J1398" s="1"/>
      <c r="K1398" s="1"/>
      <c r="L1398" s="1"/>
      <c r="M1398" s="1"/>
      <c r="N1398" s="120"/>
      <c r="O1398" s="1"/>
      <c r="P1398" s="1"/>
      <c r="Q1398" s="1"/>
      <c r="R1398" s="1"/>
      <c r="S1398" s="1"/>
      <c r="T1398" s="1"/>
      <c r="U1398" s="1"/>
      <c r="V1398" s="1"/>
      <c r="W1398" s="1"/>
      <c r="X1398" s="1"/>
      <c r="Y1398" s="1"/>
      <c r="Z1398" s="1"/>
      <c r="AA1398" s="1"/>
      <c r="AB1398" s="1"/>
      <c r="AC1398" s="1"/>
      <c r="AD1398" s="1"/>
      <c r="AE1398" s="1"/>
      <c r="AF1398" s="1"/>
      <c r="AG1398" s="1"/>
      <c r="AH1398" s="1"/>
      <c r="AI1398" s="1"/>
      <c r="AJ1398" s="1"/>
      <c r="AK1398" s="1"/>
      <c r="AL1398" s="1"/>
      <c r="AM1398" s="1"/>
      <c r="AN1398" s="1"/>
    </row>
    <row r="1399" customHeight="1" spans="1:40">
      <c r="A1399" s="1" t="str">
        <f>IFERROR(__xludf.DUMMYFUNCTION("""COMPUTED_VALUE"""),"12° BBM")</f>
        <v>12° BBM</v>
      </c>
      <c r="B1399" s="1" t="str">
        <f>IFERROR(__xludf.DUMMYFUNCTION("""COMPUTED_VALUE"""),"Quinze de Novembro")</f>
        <v>Quinze de Novembro</v>
      </c>
      <c r="C1399" s="119" t="str">
        <f>IFERROR(__xludf.DUMMYFUNCTION("""COMPUTED_VALUE"""),"CAB")</f>
        <v>CAB</v>
      </c>
      <c r="D1399" s="1" t="str">
        <f>IFERROR(__xludf.DUMMYFUNCTION("""COMPUTED_VALUE"""),"CLAUDIO HARI WILKE ADAM")</f>
        <v>CLAUDIO HARI WILKE ADAM</v>
      </c>
      <c r="E1399" s="119" t="str">
        <f>IFERROR(__xludf.DUMMYFUNCTION("""COMPUTED_VALUE"""),"")</f>
        <v/>
      </c>
      <c r="F1399" s="1" t="str">
        <f>IFERROR(__xludf.DUMMYFUNCTION("""COMPUTED_VALUE"""),"452.695.720-87")</f>
        <v>452.695.720-87</v>
      </c>
      <c r="G1399" s="1">
        <f>IFERROR(__xludf.DUMMYFUNCTION("""COMPUTED_VALUE"""),9054877651)</f>
        <v>9054877651</v>
      </c>
      <c r="H1399" s="1" t="str">
        <f>IFERROR(__xludf.DUMMYFUNCTION("""COMPUTED_VALUE"""),"motorista / operador")</f>
        <v>motorista / operador</v>
      </c>
      <c r="I1399" s="1"/>
      <c r="J1399" s="1" t="str">
        <f>IFERROR(__xludf.DUMMYFUNCTION("""COMPUTED_VALUE"""),"Não")</f>
        <v>Não</v>
      </c>
      <c r="K1399" s="1" t="str">
        <f>IFERROR(__xludf.DUMMYFUNCTION("""COMPUTED_VALUE"""),"Não")</f>
        <v>Não</v>
      </c>
      <c r="L1399" s="1"/>
      <c r="M1399" s="1" t="str">
        <f>IFERROR(__xludf.DUMMYFUNCTION("""COMPUTED_VALUE"""),"Claudio")</f>
        <v>Claudio</v>
      </c>
      <c r="N1399" s="120">
        <f>IFERROR(__xludf.DUMMYFUNCTION("""COMPUTED_VALUE"""),28182)</f>
        <v>28182</v>
      </c>
      <c r="O1399" s="1" t="str">
        <f>IFERROR(__xludf.DUMMYFUNCTION("""COMPUTED_VALUE"""),"Masculino")</f>
        <v>Masculino</v>
      </c>
      <c r="P1399" s="1" t="str">
        <f>IFERROR(__xludf.DUMMYFUNCTION("""COMPUTED_VALUE"""),"Branca")</f>
        <v>Branca</v>
      </c>
      <c r="Q1399" s="1" t="str">
        <f>IFERROR(__xludf.DUMMYFUNCTION("""COMPUTED_VALUE"""),"Ensino Médio")</f>
        <v>Ensino Médio</v>
      </c>
      <c r="R1399" s="1" t="str">
        <f>IFERROR(__xludf.DUMMYFUNCTION("""COMPUTED_VALUE"""),"alexandrebudke19@gmail.com")</f>
        <v>alexandrebudke19@gmail.com</v>
      </c>
      <c r="S1399" s="1">
        <f>IFERROR(__xludf.DUMMYFUNCTION("""COMPUTED_VALUE"""),95)</f>
        <v>95</v>
      </c>
      <c r="T1399" s="1" t="str">
        <f>IFERROR(__xludf.DUMMYFUNCTION("""COMPUTED_VALUE"""),"Entre 1,76m e 1,80m")</f>
        <v>Entre 1,76m e 1,80m</v>
      </c>
      <c r="U1399" s="1"/>
      <c r="V1399" s="1" t="str">
        <f>IFERROR(__xludf.DUMMYFUNCTION("""COMPUTED_VALUE"""),"(54) 99120-8848")</f>
        <v>(54) 99120-8848</v>
      </c>
      <c r="W1399" s="1" t="str">
        <f>IFERROR(__xludf.DUMMYFUNCTION("""COMPUTED_VALUE"""),"(54) 99120-8848")</f>
        <v>(54) 99120-8848</v>
      </c>
      <c r="X1399" s="1" t="str">
        <f>IFERROR(__xludf.DUMMYFUNCTION("""COMPUTED_VALUE"""),"RS")</f>
        <v>RS</v>
      </c>
      <c r="Y1399" s="1" t="str">
        <f>IFERROR(__xludf.DUMMYFUNCTION("""COMPUTED_VALUE"""),"Quinze de Novembro")</f>
        <v>Quinze de Novembro</v>
      </c>
      <c r="Z1399" s="1" t="str">
        <f>IFERROR(__xludf.DUMMYFUNCTION("""COMPUTED_VALUE"""),"98230-000")</f>
        <v>98230-000</v>
      </c>
      <c r="AA1399" s="1" t="str">
        <f>IFERROR(__xludf.DUMMYFUNCTION("""COMPUTED_VALUE"""),"rua rui barbosa. 1160")</f>
        <v>rua rui barbosa. 1160</v>
      </c>
      <c r="AB1399" s="1" t="str">
        <f>IFERROR(__xludf.DUMMYFUNCTION("""COMPUTED_VALUE"""),"CENTRO")</f>
        <v>CENTRO</v>
      </c>
      <c r="AC1399" s="1" t="str">
        <f>IFERROR(__xludf.DUMMYFUNCTION("""COMPUTED_VALUE"""),"G")</f>
        <v>G</v>
      </c>
      <c r="AD1399" s="1" t="str">
        <f>IFERROR(__xludf.DUMMYFUNCTION("""COMPUTED_VALUE"""),"G")</f>
        <v>G</v>
      </c>
      <c r="AE1399" s="1" t="str">
        <f>IFERROR(__xludf.DUMMYFUNCTION("""COMPUTED_VALUE"""),"GG")</f>
        <v>GG</v>
      </c>
      <c r="AF1399" s="1" t="str">
        <f>IFERROR(__xludf.DUMMYFUNCTION("""COMPUTED_VALUE"""),"GG")</f>
        <v>GG</v>
      </c>
      <c r="AG1399" s="1" t="str">
        <f>IFERROR(__xludf.DUMMYFUNCTION("""COMPUTED_VALUE"""),"GG")</f>
        <v>GG</v>
      </c>
      <c r="AH1399" s="1">
        <f>IFERROR(__xludf.DUMMYFUNCTION("""COMPUTED_VALUE"""),43)</f>
        <v>43</v>
      </c>
      <c r="AI1399" s="1">
        <f>IFERROR(__xludf.DUMMYFUNCTION("""COMPUTED_VALUE"""),43)</f>
        <v>43</v>
      </c>
      <c r="AJ1399" s="1">
        <f>IFERROR(__xludf.DUMMYFUNCTION("""COMPUTED_VALUE"""),43)</f>
        <v>43</v>
      </c>
      <c r="AK1399" s="1">
        <f>IFERROR(__xludf.DUMMYFUNCTION("""COMPUTED_VALUE"""),43)</f>
        <v>43</v>
      </c>
      <c r="AL1399" s="1" t="str">
        <f>IFERROR(__xludf.DUMMYFUNCTION("""COMPUTED_VALUE"""),"GG")</f>
        <v>GG</v>
      </c>
      <c r="AM1399" s="1" t="str">
        <f>IFERROR(__xludf.DUMMYFUNCTION("""COMPUTED_VALUE"""),"GG")</f>
        <v>GG</v>
      </c>
      <c r="AN1399" s="1" t="str">
        <f>IFERROR(__xludf.DUMMYFUNCTION("""COMPUTED_VALUE"""),"GG")</f>
        <v>GG</v>
      </c>
    </row>
    <row r="1400" customHeight="1" spans="1:40">
      <c r="A1400" s="1" t="str">
        <f>IFERROR(__xludf.DUMMYFUNCTION("""COMPUTED_VALUE"""),"12° BBM")</f>
        <v>12° BBM</v>
      </c>
      <c r="B1400" s="1" t="str">
        <f>IFERROR(__xludf.DUMMYFUNCTION("""COMPUTED_VALUE"""),"Santa Bárbara do Sul ")</f>
        <v>Santa Bárbara do Sul </v>
      </c>
      <c r="C1400" s="119" t="str">
        <f>IFERROR(__xludf.DUMMYFUNCTION("""COMPUTED_VALUE"""),"CAB")</f>
        <v>CAB</v>
      </c>
      <c r="D1400" s="1" t="str">
        <f>IFERROR(__xludf.DUMMYFUNCTION("""COMPUTED_VALUE"""),"CLAUDIOMIR DA SILVA MENDES")</f>
        <v>CLAUDIOMIR DA SILVA MENDES</v>
      </c>
      <c r="E1400" s="119"/>
      <c r="F1400" s="1" t="str">
        <f>IFERROR(__xludf.DUMMYFUNCTION("""COMPUTED_VALUE"""),"892.558.280-53")</f>
        <v>892.558.280-53</v>
      </c>
      <c r="G1400" s="1">
        <f>IFERROR(__xludf.DUMMYFUNCTION("""COMPUTED_VALUE"""),3063443191)</f>
        <v>3063443191</v>
      </c>
      <c r="H1400" s="1" t="str">
        <f>IFERROR(__xludf.DUMMYFUNCTION("""COMPUTED_VALUE"""),"OPERARIO ESPECIALIZADO PREF.")</f>
        <v>OPERARIO ESPECIALIZADO PREF.</v>
      </c>
      <c r="I1400" s="1" t="str">
        <f>IFERROR(__xludf.DUMMYFUNCTION("""COMPUTED_VALUE"""),"Treinamento de Prevenção e combate a Incêndio 10 H/A")</f>
        <v>Treinamento de Prevenção e combate a Incêndio 10 H/A</v>
      </c>
      <c r="J1400" s="1" t="str">
        <f>IFERROR(__xludf.DUMMYFUNCTION("""COMPUTED_VALUE"""),"Sim")</f>
        <v>Sim</v>
      </c>
      <c r="K1400" s="1" t="str">
        <f>IFERROR(__xludf.DUMMYFUNCTION("""COMPUTED_VALUE"""),"Não")</f>
        <v>Não</v>
      </c>
      <c r="L1400" s="1" t="str">
        <f>IFERROR(__xludf.DUMMYFUNCTION("""COMPUTED_VALUE"""),"O+")</f>
        <v>O+</v>
      </c>
      <c r="M1400" s="1" t="str">
        <f>IFERROR(__xludf.DUMMYFUNCTION("""COMPUTED_VALUE"""),"Pnheiro")</f>
        <v>Pnheiro</v>
      </c>
      <c r="N1400" s="120">
        <f>IFERROR(__xludf.DUMMYFUNCTION("""COMPUTED_VALUE"""),27585)</f>
        <v>27585</v>
      </c>
      <c r="O1400" s="1" t="str">
        <f>IFERROR(__xludf.DUMMYFUNCTION("""COMPUTED_VALUE"""),"Masculino")</f>
        <v>Masculino</v>
      </c>
      <c r="P1400" s="1" t="str">
        <f>IFERROR(__xludf.DUMMYFUNCTION("""COMPUTED_VALUE"""),"Branca")</f>
        <v>Branca</v>
      </c>
      <c r="Q1400" s="1" t="str">
        <f>IFERROR(__xludf.DUMMYFUNCTION("""COMPUTED_VALUE"""),"Ensino Médio")</f>
        <v>Ensino Médio</v>
      </c>
      <c r="R1400" s="1"/>
      <c r="S1400" s="1">
        <f>IFERROR(__xludf.DUMMYFUNCTION("""COMPUTED_VALUE"""),84)</f>
        <v>84</v>
      </c>
      <c r="T1400" s="1" t="str">
        <f>IFERROR(__xludf.DUMMYFUNCTION("""COMPUTED_VALUE"""),"Entre 1,61m e 1,65m")</f>
        <v>Entre 1,61m e 1,65m</v>
      </c>
      <c r="U1400" s="1" t="str">
        <f>IFERROR(__xludf.DUMMYFUNCTION("""COMPUTED_VALUE"""),"(55) 999673900")</f>
        <v>(55) 999673900</v>
      </c>
      <c r="V1400" s="1" t="str">
        <f>IFERROR(__xludf.DUMMYFUNCTION("""COMPUTED_VALUE"""),"(55) 999673900")</f>
        <v>(55) 999673900</v>
      </c>
      <c r="W1400" s="1" t="str">
        <f>IFERROR(__xludf.DUMMYFUNCTION("""COMPUTED_VALUE"""),"(55) 999673900")</f>
        <v>(55) 999673900</v>
      </c>
      <c r="X1400" s="1" t="str">
        <f>IFERROR(__xludf.DUMMYFUNCTION("""COMPUTED_VALUE"""),"RS")</f>
        <v>RS</v>
      </c>
      <c r="Y1400" s="1" t="str">
        <f>IFERROR(__xludf.DUMMYFUNCTION("""COMPUTED_VALUE"""),"Santa Bárbara do Sul")</f>
        <v>Santa Bárbara do Sul</v>
      </c>
      <c r="Z1400" s="1">
        <f>IFERROR(__xludf.DUMMYFUNCTION("""COMPUTED_VALUE"""),98240000)</f>
        <v>98240000</v>
      </c>
      <c r="AA1400" s="1" t="str">
        <f>IFERROR(__xludf.DUMMYFUNCTION("""COMPUTED_VALUE"""),"Rua Otto Radki 1021")</f>
        <v>Rua Otto Radki 1021</v>
      </c>
      <c r="AB1400" s="1" t="str">
        <f>IFERROR(__xludf.DUMMYFUNCTION("""COMPUTED_VALUE"""),"Morada do Sol")</f>
        <v>Morada do Sol</v>
      </c>
      <c r="AC1400" s="1" t="str">
        <f>IFERROR(__xludf.DUMMYFUNCTION("""COMPUTED_VALUE"""),"GG")</f>
        <v>GG</v>
      </c>
      <c r="AD1400" s="1" t="str">
        <f>IFERROR(__xludf.DUMMYFUNCTION("""COMPUTED_VALUE"""),"GG")</f>
        <v>GG</v>
      </c>
      <c r="AE1400" s="1" t="str">
        <f>IFERROR(__xludf.DUMMYFUNCTION("""COMPUTED_VALUE"""),"GG")</f>
        <v>GG</v>
      </c>
      <c r="AF1400" s="1" t="str">
        <f>IFERROR(__xludf.DUMMYFUNCTION("""COMPUTED_VALUE"""),"GG")</f>
        <v>GG</v>
      </c>
      <c r="AG1400" s="1" t="str">
        <f>IFERROR(__xludf.DUMMYFUNCTION("""COMPUTED_VALUE"""),"G")</f>
        <v>G</v>
      </c>
      <c r="AH1400" s="1">
        <f>IFERROR(__xludf.DUMMYFUNCTION("""COMPUTED_VALUE"""),41)</f>
        <v>41</v>
      </c>
      <c r="AI1400" s="1">
        <f>IFERROR(__xludf.DUMMYFUNCTION("""COMPUTED_VALUE"""),41)</f>
        <v>41</v>
      </c>
      <c r="AJ1400" s="1">
        <f>IFERROR(__xludf.DUMMYFUNCTION("""COMPUTED_VALUE"""),41)</f>
        <v>41</v>
      </c>
      <c r="AK1400" s="1">
        <f>IFERROR(__xludf.DUMMYFUNCTION("""COMPUTED_VALUE"""),41)</f>
        <v>41</v>
      </c>
      <c r="AL1400" s="1" t="str">
        <f>IFERROR(__xludf.DUMMYFUNCTION("""COMPUTED_VALUE"""),"GG")</f>
        <v>GG</v>
      </c>
      <c r="AM1400" s="1" t="str">
        <f>IFERROR(__xludf.DUMMYFUNCTION("""COMPUTED_VALUE"""),"G")</f>
        <v>G</v>
      </c>
      <c r="AN1400" s="1" t="str">
        <f>IFERROR(__xludf.DUMMYFUNCTION("""COMPUTED_VALUE"""),"G")</f>
        <v>G</v>
      </c>
    </row>
    <row r="1401" customHeight="1" spans="1:40">
      <c r="A1401" s="1"/>
      <c r="B1401" s="1"/>
      <c r="C1401" s="119"/>
      <c r="D1401" s="1" t="str">
        <f>IFERROR(__xludf.DUMMYFUNCTION("""COMPUTED_VALUE"""),"CRISTIANO OLIVEIRA DO PRADO")</f>
        <v>CRISTIANO OLIVEIRA DO PRADO</v>
      </c>
      <c r="E1401" s="1" t="str">
        <f>IFERROR(__xludf.DUMMYFUNCTION("""COMPUTED_VALUE"""),"Curso CAB operador concluído")</f>
        <v>Curso CAB operador concluído</v>
      </c>
      <c r="F1401" s="1" t="str">
        <f>IFERROR(__xludf.DUMMYFUNCTION("""COMPUTED_VALUE"""),"828.003.400-53")</f>
        <v>828.003.400-53</v>
      </c>
      <c r="G1401" s="1"/>
      <c r="H1401" s="1"/>
      <c r="I1401" s="1"/>
      <c r="J1401" s="1"/>
      <c r="K1401" s="1"/>
      <c r="L1401" s="1"/>
      <c r="M1401" s="1"/>
      <c r="N1401" s="120"/>
      <c r="O1401" s="1"/>
      <c r="P1401" s="1"/>
      <c r="Q1401" s="1"/>
      <c r="R1401" s="1"/>
      <c r="S1401" s="1"/>
      <c r="T1401" s="1"/>
      <c r="U1401" s="1"/>
      <c r="V1401" s="1"/>
      <c r="W1401" s="1"/>
      <c r="X1401" s="1"/>
      <c r="Y1401" s="1"/>
      <c r="Z1401" s="1"/>
      <c r="AA1401" s="1"/>
      <c r="AB1401" s="1"/>
      <c r="AC1401" s="1"/>
      <c r="AD1401" s="1"/>
      <c r="AE1401" s="1"/>
      <c r="AF1401" s="1"/>
      <c r="AG1401" s="1"/>
      <c r="AH1401" s="1"/>
      <c r="AI1401" s="1"/>
      <c r="AJ1401" s="1"/>
      <c r="AK1401" s="1"/>
      <c r="AL1401" s="1"/>
      <c r="AM1401" s="1"/>
      <c r="AN1401" s="1"/>
    </row>
    <row r="1402" customHeight="1" spans="1:40">
      <c r="A1402" s="1" t="str">
        <f>IFERROR(__xludf.DUMMYFUNCTION("""COMPUTED_VALUE"""),"12° BBM")</f>
        <v>12° BBM</v>
      </c>
      <c r="B1402" s="1"/>
      <c r="C1402" s="119"/>
      <c r="D1402" s="1" t="str">
        <f>IFERROR(__xludf.DUMMYFUNCTION("""COMPUTED_VALUE"""),"DANILO PITROWSKI")</f>
        <v>DANILO PITROWSKI</v>
      </c>
      <c r="E1402" s="1" t="str">
        <f>IFERROR(__xludf.DUMMYFUNCTION("""COMPUTED_VALUE"""),"Módulo 1 concluído")</f>
        <v>Módulo 1 concluído</v>
      </c>
      <c r="F1402" s="1" t="str">
        <f>IFERROR(__xludf.DUMMYFUNCTION("""COMPUTED_VALUE"""),"020.612.570-46")</f>
        <v>020.612.570-46</v>
      </c>
      <c r="G1402" s="1"/>
      <c r="H1402" s="1"/>
      <c r="I1402" s="1"/>
      <c r="J1402" s="1"/>
      <c r="K1402" s="1"/>
      <c r="L1402" s="1"/>
      <c r="M1402" s="1"/>
      <c r="N1402" s="120"/>
      <c r="O1402" s="1"/>
      <c r="P1402" s="1"/>
      <c r="Q1402" s="1"/>
      <c r="R1402" s="1"/>
      <c r="S1402" s="1"/>
      <c r="T1402" s="1"/>
      <c r="U1402" s="1"/>
      <c r="V1402" s="1"/>
      <c r="W1402" s="1"/>
      <c r="X1402" s="1"/>
      <c r="Y1402" s="1"/>
      <c r="Z1402" s="1"/>
      <c r="AA1402" s="1"/>
      <c r="AB1402" s="1"/>
      <c r="AC1402" s="1"/>
      <c r="AD1402" s="1"/>
      <c r="AE1402" s="1"/>
      <c r="AF1402" s="1"/>
      <c r="AG1402" s="1"/>
      <c r="AH1402" s="1"/>
      <c r="AI1402" s="1"/>
      <c r="AJ1402" s="1"/>
      <c r="AK1402" s="1"/>
      <c r="AL1402" s="1"/>
      <c r="AM1402" s="1"/>
      <c r="AN1402" s="1"/>
    </row>
    <row r="1403" customHeight="1" spans="1:40">
      <c r="A1403" s="1"/>
      <c r="B1403" s="1"/>
      <c r="C1403" s="119"/>
      <c r="D1403" s="1" t="str">
        <f>IFERROR(__xludf.DUMMYFUNCTION("""COMPUTED_VALUE"""),"DERLY DA SILVA JUNIOR")</f>
        <v>DERLY DA SILVA JUNIOR</v>
      </c>
      <c r="E1403" s="1" t="str">
        <f>IFERROR(__xludf.DUMMYFUNCTION("""COMPUTED_VALUE"""),"Curso CAB operador concluído")</f>
        <v>Curso CAB operador concluído</v>
      </c>
      <c r="F1403" s="1" t="str">
        <f>IFERROR(__xludf.DUMMYFUNCTION("""COMPUTED_VALUE"""),"828.315.480-04")</f>
        <v>828.315.480-04</v>
      </c>
      <c r="G1403" s="1"/>
      <c r="H1403" s="1"/>
      <c r="I1403" s="1"/>
      <c r="J1403" s="1"/>
      <c r="K1403" s="1"/>
      <c r="L1403" s="1"/>
      <c r="M1403" s="1"/>
      <c r="N1403" s="120"/>
      <c r="O1403" s="1"/>
      <c r="P1403" s="1"/>
      <c r="Q1403" s="1"/>
      <c r="R1403" s="1"/>
      <c r="S1403" s="1"/>
      <c r="T1403" s="1"/>
      <c r="U1403" s="1"/>
      <c r="V1403" s="1"/>
      <c r="W1403" s="1"/>
      <c r="X1403" s="1"/>
      <c r="Y1403" s="1"/>
      <c r="Z1403" s="1"/>
      <c r="AA1403" s="1"/>
      <c r="AB1403" s="1"/>
      <c r="AC1403" s="1"/>
      <c r="AD1403" s="1"/>
      <c r="AE1403" s="1"/>
      <c r="AF1403" s="1"/>
      <c r="AG1403" s="1"/>
      <c r="AH1403" s="1"/>
      <c r="AI1403" s="1"/>
      <c r="AJ1403" s="1"/>
      <c r="AK1403" s="1"/>
      <c r="AL1403" s="1"/>
      <c r="AM1403" s="1"/>
      <c r="AN1403" s="1"/>
    </row>
    <row r="1404" customHeight="1" spans="1:40">
      <c r="A1404" s="1"/>
      <c r="B1404" s="1"/>
      <c r="C1404" s="119"/>
      <c r="D1404" s="1" t="str">
        <f>IFERROR(__xludf.DUMMYFUNCTION("""COMPUTED_VALUE"""),"DIONI JUNIOR RIBEIRO")</f>
        <v>DIONI JUNIOR RIBEIRO</v>
      </c>
      <c r="E1404" s="1" t="str">
        <f>IFERROR(__xludf.DUMMYFUNCTION("""COMPUTED_VALUE"""),"Curso CAB operador concluído")</f>
        <v>Curso CAB operador concluído</v>
      </c>
      <c r="F1404" s="1" t="str">
        <f>IFERROR(__xludf.DUMMYFUNCTION("""COMPUTED_VALUE"""),"016.409.190-40")</f>
        <v>016.409.190-40</v>
      </c>
      <c r="G1404" s="1"/>
      <c r="H1404" s="1"/>
      <c r="I1404" s="1"/>
      <c r="J1404" s="1"/>
      <c r="K1404" s="1"/>
      <c r="L1404" s="1"/>
      <c r="M1404" s="1"/>
      <c r="N1404" s="120"/>
      <c r="O1404" s="1"/>
      <c r="P1404" s="1"/>
      <c r="Q1404" s="1"/>
      <c r="R1404" s="1"/>
      <c r="S1404" s="1"/>
      <c r="T1404" s="1"/>
      <c r="U1404" s="1"/>
      <c r="V1404" s="1"/>
      <c r="W1404" s="1"/>
      <c r="X1404" s="1"/>
      <c r="Y1404" s="1"/>
      <c r="Z1404" s="1"/>
      <c r="AA1404" s="1"/>
      <c r="AB1404" s="1"/>
      <c r="AC1404" s="1"/>
      <c r="AD1404" s="1"/>
      <c r="AE1404" s="1"/>
      <c r="AF1404" s="1"/>
      <c r="AG1404" s="1"/>
      <c r="AH1404" s="1"/>
      <c r="AI1404" s="1"/>
      <c r="AJ1404" s="1"/>
      <c r="AK1404" s="1"/>
      <c r="AL1404" s="1"/>
      <c r="AM1404" s="1"/>
      <c r="AN1404" s="1"/>
    </row>
    <row r="1405" customHeight="1" spans="1:40">
      <c r="A1405" s="1"/>
      <c r="B1405" s="1"/>
      <c r="C1405" s="119"/>
      <c r="D1405" s="1" t="str">
        <f>IFERROR(__xludf.DUMMYFUNCTION("""COMPUTED_VALUE"""),"EDUARDO CHRIST")</f>
        <v>EDUARDO CHRIST</v>
      </c>
      <c r="E1405" s="1" t="str">
        <f>IFERROR(__xludf.DUMMYFUNCTION("""COMPUTED_VALUE"""),"Curso CAB operador concluído")</f>
        <v>Curso CAB operador concluído</v>
      </c>
      <c r="F1405" s="1" t="str">
        <f>IFERROR(__xludf.DUMMYFUNCTION("""COMPUTED_VALUE"""),"008.454.070-23")</f>
        <v>008.454.070-23</v>
      </c>
      <c r="G1405" s="1"/>
      <c r="H1405" s="1"/>
      <c r="I1405" s="1"/>
      <c r="J1405" s="1"/>
      <c r="K1405" s="1"/>
      <c r="L1405" s="1"/>
      <c r="M1405" s="1"/>
      <c r="N1405" s="120"/>
      <c r="O1405" s="1"/>
      <c r="P1405" s="1"/>
      <c r="Q1405" s="1"/>
      <c r="R1405" s="1"/>
      <c r="S1405" s="1"/>
      <c r="T1405" s="1"/>
      <c r="U1405" s="1"/>
      <c r="V1405" s="1"/>
      <c r="W1405" s="1"/>
      <c r="X1405" s="1"/>
      <c r="Y1405" s="1"/>
      <c r="Z1405" s="1"/>
      <c r="AA1405" s="1"/>
      <c r="AB1405" s="1"/>
      <c r="AC1405" s="1"/>
      <c r="AD1405" s="1"/>
      <c r="AE1405" s="1"/>
      <c r="AF1405" s="1"/>
      <c r="AG1405" s="1"/>
      <c r="AH1405" s="1"/>
      <c r="AI1405" s="1"/>
      <c r="AJ1405" s="1"/>
      <c r="AK1405" s="1"/>
      <c r="AL1405" s="1"/>
      <c r="AM1405" s="1"/>
      <c r="AN1405" s="1"/>
    </row>
    <row r="1406" customHeight="1" spans="1:40">
      <c r="A1406" s="1" t="str">
        <f>IFERROR(__xludf.DUMMYFUNCTION("""COMPUTED_VALUE"""),"12° BBM")</f>
        <v>12° BBM</v>
      </c>
      <c r="B1406" s="1" t="str">
        <f>IFERROR(__xludf.DUMMYFUNCTION("""COMPUTED_VALUE"""),"Salto do Jacuí")</f>
        <v>Salto do Jacuí</v>
      </c>
      <c r="C1406" s="119" t="str">
        <f>IFERROR(__xludf.DUMMYFUNCTION("""COMPUTED_VALUE"""),"CAB")</f>
        <v>CAB</v>
      </c>
      <c r="D1406" s="1" t="str">
        <f>IFERROR(__xludf.DUMMYFUNCTION("""COMPUTED_VALUE"""),"EDUARDO MALHEIROS SAMPAIO DE LIMA")</f>
        <v>EDUARDO MALHEIROS SAMPAIO DE LIMA</v>
      </c>
      <c r="E1406" s="119" t="str">
        <f>IFERROR(__xludf.DUMMYFUNCTION("""COMPUTED_VALUE"""),"Módulo 2 e 3 concluído")</f>
        <v>Módulo 2 e 3 concluído</v>
      </c>
      <c r="F1406" s="1"/>
      <c r="G1406" s="1"/>
      <c r="H1406" s="1"/>
      <c r="I1406" s="1"/>
      <c r="J1406" s="1" t="str">
        <f>IFERROR(__xludf.DUMMYFUNCTION("""COMPUTED_VALUE"""),"Não")</f>
        <v>Não</v>
      </c>
      <c r="K1406" s="1" t="str">
        <f>IFERROR(__xludf.DUMMYFUNCTION("""COMPUTED_VALUE"""),"Não")</f>
        <v>Não</v>
      </c>
      <c r="L1406" s="1"/>
      <c r="M1406" s="1"/>
      <c r="N1406" s="1"/>
      <c r="O1406" s="1" t="str">
        <f>IFERROR(__xludf.DUMMYFUNCTION("""COMPUTED_VALUE"""),"Masculino")</f>
        <v>Masculino</v>
      </c>
      <c r="P1406" s="1"/>
      <c r="Q1406" s="1"/>
      <c r="R1406" s="1"/>
      <c r="S1406" s="1"/>
      <c r="T1406" s="1"/>
      <c r="U1406" s="1"/>
      <c r="V1406" s="1"/>
      <c r="W1406" s="1"/>
      <c r="X1406" s="1"/>
      <c r="Y1406" s="1"/>
      <c r="Z1406" s="1"/>
      <c r="AA1406" s="1"/>
      <c r="AB1406" s="1"/>
      <c r="AC1406" s="1"/>
      <c r="AD1406" s="1"/>
      <c r="AE1406" s="1"/>
      <c r="AF1406" s="1"/>
      <c r="AG1406" s="1"/>
      <c r="AH1406" s="1">
        <f>IFERROR(__xludf.DUMMYFUNCTION("""COMPUTED_VALUE"""),42)</f>
        <v>42</v>
      </c>
      <c r="AI1406" s="1">
        <f>IFERROR(__xludf.DUMMYFUNCTION("""COMPUTED_VALUE"""),42)</f>
        <v>42</v>
      </c>
      <c r="AJ1406" s="1">
        <f>IFERROR(__xludf.DUMMYFUNCTION("""COMPUTED_VALUE"""),42)</f>
        <v>42</v>
      </c>
      <c r="AK1406" s="1">
        <f>IFERROR(__xludf.DUMMYFUNCTION("""COMPUTED_VALUE"""),42)</f>
        <v>42</v>
      </c>
      <c r="AL1406" s="1"/>
      <c r="AM1406" s="1"/>
      <c r="AN1406" s="1"/>
    </row>
    <row r="1407" customHeight="1" spans="1:40">
      <c r="A1407" s="1" t="str">
        <f>IFERROR(__xludf.DUMMYFUNCTION("""COMPUTED_VALUE"""),"12° BBM")</f>
        <v>12° BBM</v>
      </c>
      <c r="B1407" s="1" t="str">
        <f>IFERROR(__xludf.DUMMYFUNCTION("""COMPUTED_VALUE"""),"Ibirubá")</f>
        <v>Ibirubá</v>
      </c>
      <c r="C1407" s="119" t="str">
        <f>IFERROR(__xludf.DUMMYFUNCTION("""COMPUTED_VALUE"""),"Comunitario")</f>
        <v>Comunitario</v>
      </c>
      <c r="D1407" s="1" t="str">
        <f>IFERROR(__xludf.DUMMYFUNCTION("""COMPUTED_VALUE"""),"ELIAS PORTELLA PONSONI")</f>
        <v>ELIAS PORTELLA PONSONI</v>
      </c>
      <c r="E1407" s="119" t="str">
        <f>IFERROR(__xludf.DUMMYFUNCTION("""COMPUTED_VALUE"""),"Curso CAB operador concluído")</f>
        <v>Curso CAB operador concluído</v>
      </c>
      <c r="F1407" s="1" t="str">
        <f>IFERROR(__xludf.DUMMYFUNCTION("""COMPUTED_VALUE"""),"964.226.290-87")</f>
        <v>964.226.290-87</v>
      </c>
      <c r="G1407" s="1">
        <f>IFERROR(__xludf.DUMMYFUNCTION("""COMPUTED_VALUE"""),6016271642)</f>
        <v>6016271642</v>
      </c>
      <c r="H1407" s="1" t="str">
        <f>IFERROR(__xludf.DUMMYFUNCTION("""COMPUTED_VALUE"""),"Setor administrativo")</f>
        <v>Setor administrativo</v>
      </c>
      <c r="I1407" s="1" t="str">
        <f>IFERROR(__xludf.DUMMYFUNCTION("""COMPUTED_VALUE"""),"CVE, CONDUTOR CAT D,TÉC E TÁTICA DE COMBATE A INCÊNDIO, SEG . CONTRA INCÊNDIO, ARRAIS AMADOR")</f>
        <v>CVE, CONDUTOR CAT D,TÉC E TÁTICA DE COMBATE A INCÊNDIO, SEG . CONTRA INCÊNDIO, ARRAIS AMADOR</v>
      </c>
      <c r="J1407" s="1" t="str">
        <f>IFERROR(__xludf.DUMMYFUNCTION("""COMPUTED_VALUE"""),"Sim")</f>
        <v>Sim</v>
      </c>
      <c r="K1407" s="1" t="str">
        <f>IFERROR(__xludf.DUMMYFUNCTION("""COMPUTED_VALUE"""),"Sim")</f>
        <v>Sim</v>
      </c>
      <c r="L1407" s="1" t="str">
        <f>IFERROR(__xludf.DUMMYFUNCTION("""COMPUTED_VALUE"""),"O+")</f>
        <v>O+</v>
      </c>
      <c r="M1407" s="1" t="str">
        <f>IFERROR(__xludf.DUMMYFUNCTION("""COMPUTED_VALUE"""),"Elias")</f>
        <v>Elias</v>
      </c>
      <c r="N1407" s="125">
        <f>IFERROR(__xludf.DUMMYFUNCTION("""COMPUTED_VALUE"""),29735)</f>
        <v>29735</v>
      </c>
      <c r="O1407" s="1" t="str">
        <f>IFERROR(__xludf.DUMMYFUNCTION("""COMPUTED_VALUE"""),"Masculino")</f>
        <v>Masculino</v>
      </c>
      <c r="P1407" s="1" t="str">
        <f>IFERROR(__xludf.DUMMYFUNCTION("""COMPUTED_VALUE"""),"Parda")</f>
        <v>Parda</v>
      </c>
      <c r="Q1407" s="1" t="str">
        <f>IFERROR(__xludf.DUMMYFUNCTION("""COMPUTED_VALUE"""),"Pós-graduação")</f>
        <v>Pós-graduação</v>
      </c>
      <c r="R1407" s="1" t="str">
        <f>IFERROR(__xludf.DUMMYFUNCTION("""COMPUTED_VALUE"""),"eponsoni@gmail.com")</f>
        <v>eponsoni@gmail.com</v>
      </c>
      <c r="S1407" s="1">
        <f>IFERROR(__xludf.DUMMYFUNCTION("""COMPUTED_VALUE"""),100)</f>
        <v>100</v>
      </c>
      <c r="T1407" s="1" t="str">
        <f>IFERROR(__xludf.DUMMYFUNCTION("""COMPUTED_VALUE"""),"Entre 1,76m e 1,80m")</f>
        <v>Entre 1,76m e 1,80m</v>
      </c>
      <c r="U1407" s="1"/>
      <c r="V1407" s="1" t="str">
        <f>IFERROR(__xludf.DUMMYFUNCTION("""COMPUTED_VALUE"""),"(54) 99113-4492")</f>
        <v>(54) 99113-4492</v>
      </c>
      <c r="W1407" s="1" t="str">
        <f>IFERROR(__xludf.DUMMYFUNCTION("""COMPUTED_VALUE"""),"(54) 99107-0998")</f>
        <v>(54) 99107-0998</v>
      </c>
      <c r="X1407" s="1" t="str">
        <f>IFERROR(__xludf.DUMMYFUNCTION("""COMPUTED_VALUE"""),"RIO GRANDE DO SUL")</f>
        <v>RIO GRANDE DO SUL</v>
      </c>
      <c r="Y1407" s="1" t="str">
        <f>IFERROR(__xludf.DUMMYFUNCTION("""COMPUTED_VALUE"""),"Quinze de Novembro")</f>
        <v>Quinze de Novembro</v>
      </c>
      <c r="Z1407" s="1" t="str">
        <f>IFERROR(__xludf.DUMMYFUNCTION("""COMPUTED_VALUE"""),"98230-000")</f>
        <v>98230-000</v>
      </c>
      <c r="AA1407" s="1" t="str">
        <f>IFERROR(__xludf.DUMMYFUNCTION("""COMPUTED_VALUE"""),"Rua General Firmino de Paula")</f>
        <v>Rua General Firmino de Paula</v>
      </c>
      <c r="AB1407" s="1" t="str">
        <f>IFERROR(__xludf.DUMMYFUNCTION("""COMPUTED_VALUE"""),"Centro")</f>
        <v>Centro</v>
      </c>
      <c r="AC1407" s="1" t="str">
        <f>IFERROR(__xludf.DUMMYFUNCTION("""COMPUTED_VALUE"""),"GG")</f>
        <v>GG</v>
      </c>
      <c r="AD1407" s="1" t="str">
        <f>IFERROR(__xludf.DUMMYFUNCTION("""COMPUTED_VALUE"""),"GG")</f>
        <v>GG</v>
      </c>
      <c r="AE1407" s="1" t="str">
        <f>IFERROR(__xludf.DUMMYFUNCTION("""COMPUTED_VALUE"""),"EXG")</f>
        <v>EXG</v>
      </c>
      <c r="AF1407" s="1" t="str">
        <f>IFERROR(__xludf.DUMMYFUNCTION("""COMPUTED_VALUE"""),"EXG")</f>
        <v>EXG</v>
      </c>
      <c r="AG1407" s="1" t="str">
        <f>IFERROR(__xludf.DUMMYFUNCTION("""COMPUTED_VALUE"""),"GG")</f>
        <v>GG</v>
      </c>
      <c r="AH1407" s="1">
        <f>IFERROR(__xludf.DUMMYFUNCTION("""COMPUTED_VALUE"""),42)</f>
        <v>42</v>
      </c>
      <c r="AI1407" s="1">
        <f>IFERROR(__xludf.DUMMYFUNCTION("""COMPUTED_VALUE"""),42)</f>
        <v>42</v>
      </c>
      <c r="AJ1407" s="1">
        <f>IFERROR(__xludf.DUMMYFUNCTION("""COMPUTED_VALUE"""),42)</f>
        <v>42</v>
      </c>
      <c r="AK1407" s="1">
        <f>IFERROR(__xludf.DUMMYFUNCTION("""COMPUTED_VALUE"""),43)</f>
        <v>43</v>
      </c>
      <c r="AL1407" s="1" t="str">
        <f>IFERROR(__xludf.DUMMYFUNCTION("""COMPUTED_VALUE"""),"EXG")</f>
        <v>EXG</v>
      </c>
      <c r="AM1407" s="1" t="str">
        <f>IFERROR(__xludf.DUMMYFUNCTION("""COMPUTED_VALUE"""),"EXG")</f>
        <v>EXG</v>
      </c>
      <c r="AN1407" s="1" t="str">
        <f>IFERROR(__xludf.DUMMYFUNCTION("""COMPUTED_VALUE"""),"GG")</f>
        <v>GG</v>
      </c>
    </row>
    <row r="1408" customHeight="1" spans="1:40">
      <c r="A1408" s="1"/>
      <c r="B1408" s="1"/>
      <c r="C1408" s="119"/>
      <c r="D1408" s="1" t="str">
        <f>IFERROR(__xludf.DUMMYFUNCTION("""COMPUTED_VALUE"""),"ELIVELTON MORAES DOS SANTOS")</f>
        <v>ELIVELTON MORAES DOS SANTOS</v>
      </c>
      <c r="E1408" s="1" t="str">
        <f>IFERROR(__xludf.DUMMYFUNCTION("""COMPUTED_VALUE"""),"Curso CAB operador concluído")</f>
        <v>Curso CAB operador concluído</v>
      </c>
      <c r="F1408" s="1" t="str">
        <f>IFERROR(__xludf.DUMMYFUNCTION("""COMPUTED_VALUE"""),"025.586.990-83")</f>
        <v>025.586.990-83</v>
      </c>
      <c r="G1408" s="1"/>
      <c r="H1408" s="1"/>
      <c r="I1408" s="1"/>
      <c r="J1408" s="1"/>
      <c r="K1408" s="1"/>
      <c r="L1408" s="1"/>
      <c r="M1408" s="1"/>
      <c r="N1408" s="120"/>
      <c r="O1408" s="1"/>
      <c r="P1408" s="1"/>
      <c r="Q1408" s="1"/>
      <c r="R1408" s="1"/>
      <c r="S1408" s="1"/>
      <c r="T1408" s="1"/>
      <c r="U1408" s="1"/>
      <c r="V1408" s="1"/>
      <c r="W1408" s="1"/>
      <c r="X1408" s="1"/>
      <c r="Y1408" s="1"/>
      <c r="Z1408" s="1"/>
      <c r="AA1408" s="1"/>
      <c r="AB1408" s="1"/>
      <c r="AC1408" s="1"/>
      <c r="AD1408" s="1"/>
      <c r="AE1408" s="1"/>
      <c r="AF1408" s="1"/>
      <c r="AG1408" s="1"/>
      <c r="AH1408" s="1"/>
      <c r="AI1408" s="1"/>
      <c r="AJ1408" s="1"/>
      <c r="AK1408" s="1"/>
      <c r="AL1408" s="1"/>
      <c r="AM1408" s="1"/>
      <c r="AN1408" s="1"/>
    </row>
    <row r="1409" customHeight="1" spans="1:40">
      <c r="A1409" s="1" t="str">
        <f>IFERROR(__xludf.DUMMYFUNCTION("""COMPUTED_VALUE"""),"12° BBM")</f>
        <v>12° BBM</v>
      </c>
      <c r="B1409" s="1" t="str">
        <f>IFERROR(__xludf.DUMMYFUNCTION("""COMPUTED_VALUE"""),"Ajuricaba")</f>
        <v>Ajuricaba</v>
      </c>
      <c r="C1409" s="119" t="str">
        <f>IFERROR(__xludf.DUMMYFUNCTION("""COMPUTED_VALUE"""),"CAB")</f>
        <v>CAB</v>
      </c>
      <c r="D1409" s="1" t="str">
        <f>IFERROR(__xludf.DUMMYFUNCTION("""COMPUTED_VALUE"""),"EVANDRO CARLOS OLIVEIRA")</f>
        <v>EVANDRO CARLOS OLIVEIRA</v>
      </c>
      <c r="E1409" s="1"/>
      <c r="F1409" s="1" t="str">
        <f>IFERROR(__xludf.DUMMYFUNCTION("""COMPUTED_VALUE"""),"697.924.020-04")</f>
        <v>697.924.020-04</v>
      </c>
      <c r="G1409" s="1">
        <f>IFERROR(__xludf.DUMMYFUNCTION("""COMPUTED_VALUE"""),8060636035)</f>
        <v>8060636035</v>
      </c>
      <c r="H1409" s="1" t="str">
        <f>IFERROR(__xludf.DUMMYFUNCTION("""COMPUTED_VALUE"""),"PEDREIRO")</f>
        <v>PEDREIRO</v>
      </c>
      <c r="I1409" s="1" t="str">
        <f>IFERROR(__xludf.DUMMYFUNCTION("""COMPUTED_VALUE"""),"nocoes basicas/combate/ABT")</f>
        <v>nocoes basicas/combate/ABT</v>
      </c>
      <c r="J1409" s="1" t="str">
        <f>IFERROR(__xludf.DUMMYFUNCTION("""COMPUTED_VALUE"""),"Não")</f>
        <v>Não</v>
      </c>
      <c r="K1409" s="1" t="str">
        <f>IFERROR(__xludf.DUMMYFUNCTION("""COMPUTED_VALUE"""),"Não")</f>
        <v>Não</v>
      </c>
      <c r="L1409" s="1" t="str">
        <f>IFERROR(__xludf.DUMMYFUNCTION("""COMPUTED_VALUE"""),"O-")</f>
        <v>O-</v>
      </c>
      <c r="M1409" s="1" t="str">
        <f>IFERROR(__xludf.DUMMYFUNCTION("""COMPUTED_VALUE"""),"Jango")</f>
        <v>Jango</v>
      </c>
      <c r="N1409" s="120">
        <f>IFERROR(__xludf.DUMMYFUNCTION("""COMPUTED_VALUE"""),33825)</f>
        <v>33825</v>
      </c>
      <c r="O1409" s="1" t="str">
        <f>IFERROR(__xludf.DUMMYFUNCTION("""COMPUTED_VALUE"""),"Masculino")</f>
        <v>Masculino</v>
      </c>
      <c r="P1409" s="1"/>
      <c r="Q1409" s="1"/>
      <c r="R1409" s="1" t="str">
        <f>IFERROR(__xludf.DUMMYFUNCTION("""COMPUTED_VALUE"""),"evandrocoliveira@hotmail.com")</f>
        <v>evandrocoliveira@hotmail.com</v>
      </c>
      <c r="S1409" s="1">
        <f>IFERROR(__xludf.DUMMYFUNCTION("""COMPUTED_VALUE"""),72)</f>
        <v>72</v>
      </c>
      <c r="T1409" s="1" t="str">
        <f>IFERROR(__xludf.DUMMYFUNCTION("""COMPUTED_VALUE"""),"Entre 1,66m e 1,70m")</f>
        <v>Entre 1,66m e 1,70m</v>
      </c>
      <c r="U1409" s="1"/>
      <c r="V1409" s="1" t="str">
        <f>IFERROR(__xludf.DUMMYFUNCTION("""COMPUTED_VALUE"""),"(55) 99673-4808")</f>
        <v>(55) 99673-4808</v>
      </c>
      <c r="W1409" s="1" t="str">
        <f>IFERROR(__xludf.DUMMYFUNCTION("""COMPUTED_VALUE"""),"99615-8417")</f>
        <v>99615-8417</v>
      </c>
      <c r="X1409" s="1" t="str">
        <f>IFERROR(__xludf.DUMMYFUNCTION("""COMPUTED_VALUE"""),"RS")</f>
        <v>RS</v>
      </c>
      <c r="Y1409" s="1" t="str">
        <f>IFERROR(__xludf.DUMMYFUNCTION("""COMPUTED_VALUE"""),"Ajuricaba")</f>
        <v>Ajuricaba</v>
      </c>
      <c r="Z1409" s="1" t="str">
        <f>IFERROR(__xludf.DUMMYFUNCTION("""COMPUTED_VALUE"""),"98750-000")</f>
        <v>98750-000</v>
      </c>
      <c r="AA1409" s="1" t="str">
        <f>IFERROR(__xludf.DUMMYFUNCTION("""COMPUTED_VALUE"""),"Rua Eduardo Prauchner, 165")</f>
        <v>Rua Eduardo Prauchner, 165</v>
      </c>
      <c r="AB1409" s="1" t="str">
        <f>IFERROR(__xludf.DUMMYFUNCTION("""COMPUTED_VALUE"""),"Centro")</f>
        <v>Centro</v>
      </c>
      <c r="AC1409" s="1" t="str">
        <f>IFERROR(__xludf.DUMMYFUNCTION("""COMPUTED_VALUE"""),"G")</f>
        <v>G</v>
      </c>
      <c r="AD1409" s="1" t="str">
        <f>IFERROR(__xludf.DUMMYFUNCTION("""COMPUTED_VALUE"""),"G")</f>
        <v>G</v>
      </c>
      <c r="AE1409" s="1" t="str">
        <f>IFERROR(__xludf.DUMMYFUNCTION("""COMPUTED_VALUE"""),"G")</f>
        <v>G</v>
      </c>
      <c r="AF1409" s="1" t="str">
        <f>IFERROR(__xludf.DUMMYFUNCTION("""COMPUTED_VALUE"""),"G")</f>
        <v>G</v>
      </c>
      <c r="AG1409" s="1" t="str">
        <f>IFERROR(__xludf.DUMMYFUNCTION("""COMPUTED_VALUE"""),"G")</f>
        <v>G</v>
      </c>
      <c r="AH1409" s="1">
        <f>IFERROR(__xludf.DUMMYFUNCTION("""COMPUTED_VALUE"""),39)</f>
        <v>39</v>
      </c>
      <c r="AI1409" s="1"/>
      <c r="AJ1409" s="1">
        <f>IFERROR(__xludf.DUMMYFUNCTION("""COMPUTED_VALUE"""),39)</f>
        <v>39</v>
      </c>
      <c r="AK1409" s="1">
        <f>IFERROR(__xludf.DUMMYFUNCTION("""COMPUTED_VALUE"""),40)</f>
        <v>40</v>
      </c>
      <c r="AL1409" s="1" t="str">
        <f>IFERROR(__xludf.DUMMYFUNCTION("""COMPUTED_VALUE"""),"G")</f>
        <v>G</v>
      </c>
      <c r="AM1409" s="1" t="str">
        <f>IFERROR(__xludf.DUMMYFUNCTION("""COMPUTED_VALUE"""),"G")</f>
        <v>G</v>
      </c>
      <c r="AN1409" s="1" t="str">
        <f>IFERROR(__xludf.DUMMYFUNCTION("""COMPUTED_VALUE"""),"G")</f>
        <v>G</v>
      </c>
    </row>
    <row r="1410" customHeight="1" spans="1:40">
      <c r="A1410" s="1" t="str">
        <f>IFERROR(__xludf.DUMMYFUNCTION("""COMPUTED_VALUE"""),"12° BBM")</f>
        <v>12° BBM</v>
      </c>
      <c r="B1410" s="1"/>
      <c r="C1410" s="119"/>
      <c r="D1410" s="1" t="str">
        <f>IFERROR(__xludf.DUMMYFUNCTION("""COMPUTED_VALUE"""),"EVERTON LUIS SOARES")</f>
        <v>EVERTON LUIS SOARES</v>
      </c>
      <c r="E1410" s="1" t="str">
        <f>IFERROR(__xludf.DUMMYFUNCTION("""COMPUTED_VALUE"""),"Módulo 1 concluído")</f>
        <v>Módulo 1 concluído</v>
      </c>
      <c r="F1410" s="1" t="str">
        <f>IFERROR(__xludf.DUMMYFUNCTION("""COMPUTED_VALUE"""),"937.264.730-68")</f>
        <v>937.264.730-68</v>
      </c>
      <c r="G1410" s="1"/>
      <c r="H1410" s="1"/>
      <c r="I1410" s="1"/>
      <c r="J1410" s="1"/>
      <c r="K1410" s="1"/>
      <c r="L1410" s="1"/>
      <c r="M1410" s="1"/>
      <c r="N1410" s="120"/>
      <c r="O1410" s="1"/>
      <c r="P1410" s="1"/>
      <c r="Q1410" s="1"/>
      <c r="R1410" s="1"/>
      <c r="S1410" s="1"/>
      <c r="T1410" s="1"/>
      <c r="U1410" s="1"/>
      <c r="V1410" s="1"/>
      <c r="W1410" s="1"/>
      <c r="X1410" s="1"/>
      <c r="Y1410" s="1"/>
      <c r="Z1410" s="1"/>
      <c r="AA1410" s="1"/>
      <c r="AB1410" s="1"/>
      <c r="AC1410" s="1"/>
      <c r="AD1410" s="1"/>
      <c r="AE1410" s="1"/>
      <c r="AF1410" s="1"/>
      <c r="AG1410" s="1"/>
      <c r="AH1410" s="1"/>
      <c r="AI1410" s="1"/>
      <c r="AJ1410" s="1"/>
      <c r="AK1410" s="1"/>
      <c r="AL1410" s="1"/>
      <c r="AM1410" s="1"/>
      <c r="AN1410" s="1"/>
    </row>
    <row r="1411" customHeight="1" spans="1:40">
      <c r="A1411" s="1" t="str">
        <f>IFERROR(__xludf.DUMMYFUNCTION("""COMPUTED_VALUE"""),"12° BBM")</f>
        <v>12° BBM</v>
      </c>
      <c r="B1411" s="1" t="str">
        <f>IFERROR(__xludf.DUMMYFUNCTION("""COMPUTED_VALUE"""),"Chiapetta")</f>
        <v>Chiapetta</v>
      </c>
      <c r="C1411" s="119" t="str">
        <f>IFERROR(__xludf.DUMMYFUNCTION("""COMPUTED_VALUE"""),"CAB")</f>
        <v>CAB</v>
      </c>
      <c r="D1411" s="1" t="str">
        <f>IFERROR(__xludf.DUMMYFUNCTION("""COMPUTED_VALUE"""),"GEFERSON ALENCAR BONH KLIPSTEIN")</f>
        <v>GEFERSON ALENCAR BONH KLIPSTEIN</v>
      </c>
      <c r="E1411" s="119" t="str">
        <f>IFERROR(__xludf.DUMMYFUNCTION("""COMPUTED_VALUE"""),"")</f>
        <v/>
      </c>
      <c r="F1411" s="1" t="str">
        <f>IFERROR(__xludf.DUMMYFUNCTION("""COMPUTED_VALUE"""),"597.752.961-68")</f>
        <v>597.752.961-68</v>
      </c>
      <c r="G1411" s="1">
        <f>IFERROR(__xludf.DUMMYFUNCTION("""COMPUTED_VALUE"""),1078402599)</f>
        <v>1078402599</v>
      </c>
      <c r="H1411" s="1" t="str">
        <f>IFERROR(__xludf.DUMMYFUNCTION("""COMPUTED_VALUE"""),"MOTORISTA")</f>
        <v>MOTORISTA</v>
      </c>
      <c r="I1411" s="1" t="str">
        <f>IFERROR(__xludf.DUMMYFUNCTION("""COMPUTED_VALUE"""),"nocoes basicas/combate/ABT")</f>
        <v>nocoes basicas/combate/ABT</v>
      </c>
      <c r="J1411" s="1" t="str">
        <f>IFERROR(__xludf.DUMMYFUNCTION("""COMPUTED_VALUE"""),"Não")</f>
        <v>Não</v>
      </c>
      <c r="K1411" s="1" t="str">
        <f>IFERROR(__xludf.DUMMYFUNCTION("""COMPUTED_VALUE"""),"não")</f>
        <v>não</v>
      </c>
      <c r="L1411" s="1" t="str">
        <f>IFERROR(__xludf.DUMMYFUNCTION("""COMPUTED_VALUE"""),"O+")</f>
        <v>O+</v>
      </c>
      <c r="M1411" s="1"/>
      <c r="N1411" s="120"/>
      <c r="O1411" s="1" t="str">
        <f>IFERROR(__xludf.DUMMYFUNCTION("""COMPUTED_VALUE"""),"Masculino")</f>
        <v>Masculino</v>
      </c>
      <c r="P1411" s="1" t="str">
        <f>IFERROR(__xludf.DUMMYFUNCTION("""COMPUTED_VALUE"""),"BRANCA")</f>
        <v>BRANCA</v>
      </c>
      <c r="Q1411" s="1" t="str">
        <f>IFERROR(__xludf.DUMMYFUNCTION("""COMPUTED_VALUE"""),"Ensino Médio")</f>
        <v>Ensino Médio</v>
      </c>
      <c r="R1411" s="1" t="str">
        <f>IFERROR(__xludf.DUMMYFUNCTION("""COMPUTED_VALUE"""),"gefersonbonhklipstein@gmail.com")</f>
        <v>gefersonbonhklipstein@gmail.com</v>
      </c>
      <c r="S1411" s="1">
        <f>IFERROR(__xludf.DUMMYFUNCTION("""COMPUTED_VALUE"""),104)</f>
        <v>104</v>
      </c>
      <c r="T1411" s="1" t="str">
        <f>IFERROR(__xludf.DUMMYFUNCTION("""COMPUTED_VALUE"""),"Entre 1,71m e 1,75m")</f>
        <v>Entre 1,71m e 1,75m</v>
      </c>
      <c r="U1411" s="1"/>
      <c r="V1411" s="1" t="str">
        <f>IFERROR(__xludf.DUMMYFUNCTION("""COMPUTED_VALUE"""),"(55) 99988-9050")</f>
        <v>(55) 99988-9050</v>
      </c>
      <c r="W1411" s="1"/>
      <c r="X1411" s="1" t="str">
        <f>IFERROR(__xludf.DUMMYFUNCTION("""COMPUTED_VALUE"""),"RS")</f>
        <v>RS</v>
      </c>
      <c r="Y1411" s="1" t="str">
        <f>IFERROR(__xludf.DUMMYFUNCTION("""COMPUTED_VALUE"""),"Chiapetta")</f>
        <v>Chiapetta</v>
      </c>
      <c r="Z1411" s="1" t="str">
        <f>IFERROR(__xludf.DUMMYFUNCTION("""COMPUTED_VALUE"""),"98760-000")</f>
        <v>98760-000</v>
      </c>
      <c r="AA1411" s="1" t="str">
        <f>IFERROR(__xludf.DUMMYFUNCTION("""COMPUTED_VALUE"""),"Hiran Cunha n°884")</f>
        <v>Hiran Cunha n°884</v>
      </c>
      <c r="AB1411" s="1" t="str">
        <f>IFERROR(__xludf.DUMMYFUNCTION("""COMPUTED_VALUE"""),"Centro")</f>
        <v>Centro</v>
      </c>
      <c r="AC1411" s="1" t="str">
        <f>IFERROR(__xludf.DUMMYFUNCTION("""COMPUTED_VALUE"""),"GG")</f>
        <v>GG</v>
      </c>
      <c r="AD1411" s="1" t="str">
        <f>IFERROR(__xludf.DUMMYFUNCTION("""COMPUTED_VALUE"""),"GG")</f>
        <v>GG</v>
      </c>
      <c r="AE1411" s="1" t="str">
        <f>IFERROR(__xludf.DUMMYFUNCTION("""COMPUTED_VALUE"""),"GG")</f>
        <v>GG</v>
      </c>
      <c r="AF1411" s="1" t="str">
        <f>IFERROR(__xludf.DUMMYFUNCTION("""COMPUTED_VALUE"""),"GG")</f>
        <v>GG</v>
      </c>
      <c r="AG1411" s="1" t="str">
        <f>IFERROR(__xludf.DUMMYFUNCTION("""COMPUTED_VALUE"""),"GG")</f>
        <v>GG</v>
      </c>
      <c r="AH1411" s="1">
        <f>IFERROR(__xludf.DUMMYFUNCTION("""COMPUTED_VALUE"""),41)</f>
        <v>41</v>
      </c>
      <c r="AI1411" s="1">
        <f>IFERROR(__xludf.DUMMYFUNCTION("""COMPUTED_VALUE"""),41)</f>
        <v>41</v>
      </c>
      <c r="AJ1411" s="1">
        <f>IFERROR(__xludf.DUMMYFUNCTION("""COMPUTED_VALUE"""),41)</f>
        <v>41</v>
      </c>
      <c r="AK1411" s="1">
        <f>IFERROR(__xludf.DUMMYFUNCTION("""COMPUTED_VALUE"""),41)</f>
        <v>41</v>
      </c>
      <c r="AL1411" s="1" t="str">
        <f>IFERROR(__xludf.DUMMYFUNCTION("""COMPUTED_VALUE"""),"GG")</f>
        <v>GG</v>
      </c>
      <c r="AM1411" s="1" t="str">
        <f>IFERROR(__xludf.DUMMYFUNCTION("""COMPUTED_VALUE"""),"GG")</f>
        <v>GG</v>
      </c>
      <c r="AN1411" s="1" t="str">
        <f>IFERROR(__xludf.DUMMYFUNCTION("""COMPUTED_VALUE"""),"GG")</f>
        <v>GG</v>
      </c>
    </row>
    <row r="1412" customHeight="1" spans="1:40">
      <c r="A1412" s="1" t="str">
        <f>IFERROR(__xludf.DUMMYFUNCTION("""COMPUTED_VALUE"""),"12° BBM")</f>
        <v>12° BBM</v>
      </c>
      <c r="B1412" s="1"/>
      <c r="C1412" s="119"/>
      <c r="D1412" s="1" t="str">
        <f>IFERROR(__xludf.DUMMYFUNCTION("""COMPUTED_VALUE"""),"GILBERTO DA SILVA DICKEL")</f>
        <v>GILBERTO DA SILVA DICKEL</v>
      </c>
      <c r="E1412" s="1" t="str">
        <f>IFERROR(__xludf.DUMMYFUNCTION("""COMPUTED_VALUE"""),"Módulo 1 concluído")</f>
        <v>Módulo 1 concluído</v>
      </c>
      <c r="F1412" s="1" t="str">
        <f>IFERROR(__xludf.DUMMYFUNCTION("""COMPUTED_VALUE"""),"932.714.680-87")</f>
        <v>932.714.680-87</v>
      </c>
      <c r="G1412" s="1"/>
      <c r="H1412" s="1"/>
      <c r="I1412" s="1"/>
      <c r="J1412" s="1"/>
      <c r="K1412" s="1"/>
      <c r="L1412" s="1"/>
      <c r="M1412" s="1"/>
      <c r="N1412" s="120"/>
      <c r="O1412" s="1"/>
      <c r="P1412" s="1"/>
      <c r="Q1412" s="1"/>
      <c r="R1412" s="1"/>
      <c r="S1412" s="1"/>
      <c r="T1412" s="1"/>
      <c r="U1412" s="1"/>
      <c r="V1412" s="1"/>
      <c r="W1412" s="1"/>
      <c r="X1412" s="1"/>
      <c r="Y1412" s="1"/>
      <c r="Z1412" s="1"/>
      <c r="AA1412" s="1"/>
      <c r="AB1412" s="1"/>
      <c r="AC1412" s="1"/>
      <c r="AD1412" s="1"/>
      <c r="AE1412" s="1"/>
      <c r="AF1412" s="1"/>
      <c r="AG1412" s="1"/>
      <c r="AH1412" s="1"/>
      <c r="AI1412" s="1"/>
      <c r="AJ1412" s="1"/>
      <c r="AK1412" s="1"/>
      <c r="AL1412" s="1"/>
      <c r="AM1412" s="1"/>
      <c r="AN1412" s="1"/>
    </row>
    <row r="1413" customHeight="1" spans="1:40">
      <c r="A1413" s="1" t="str">
        <f>IFERROR(__xludf.DUMMYFUNCTION("""COMPUTED_VALUE"""),"12° BBM")</f>
        <v>12° BBM</v>
      </c>
      <c r="B1413" s="1" t="str">
        <f>IFERROR(__xludf.DUMMYFUNCTION("""COMPUTED_VALUE"""),"Salto do Jacuí")</f>
        <v>Salto do Jacuí</v>
      </c>
      <c r="C1413" s="119" t="str">
        <f>IFERROR(__xludf.DUMMYFUNCTION("""COMPUTED_VALUE"""),"CAB")</f>
        <v>CAB</v>
      </c>
      <c r="D1413" s="1" t="str">
        <f>IFERROR(__xludf.DUMMYFUNCTION("""COMPUTED_VALUE"""),"GILDONEI MELO DE SANTOS ")</f>
        <v>GILDONEI MELO DE SANTOS </v>
      </c>
      <c r="E1413" s="119" t="str">
        <f>IFERROR(__xludf.DUMMYFUNCTION("""COMPUTED_VALUE"""),"")</f>
        <v/>
      </c>
      <c r="F1413" s="1" t="str">
        <f>IFERROR(__xludf.DUMMYFUNCTION("""COMPUTED_VALUE"""),"015.953.950-26")</f>
        <v>015.953.950-26</v>
      </c>
      <c r="G1413" s="1">
        <f>IFERROR(__xludf.DUMMYFUNCTION("""COMPUTED_VALUE"""),6091465887)</f>
        <v>6091465887</v>
      </c>
      <c r="H1413" s="1" t="str">
        <f>IFERROR(__xludf.DUMMYFUNCTION("""COMPUTED_VALUE"""),"Bombeiro Civil Voluntario")</f>
        <v>Bombeiro Civil Voluntario</v>
      </c>
      <c r="I1413" s="1" t="str">
        <f>IFERROR(__xludf.DUMMYFUNCTION("""COMPUTED_VALUE"""),"Curso de combate a incêndio fornecidos pelo Corpo de Bombeiros de Cruz Alta")</f>
        <v>Curso de combate a incêndio fornecidos pelo Corpo de Bombeiros de Cruz Alta</v>
      </c>
      <c r="J1413" s="1" t="str">
        <f>IFERROR(__xludf.DUMMYFUNCTION("""COMPUTED_VALUE"""),"Não")</f>
        <v>Não</v>
      </c>
      <c r="K1413" s="1" t="str">
        <f>IFERROR(__xludf.DUMMYFUNCTION("""COMPUTED_VALUE"""),"Não")</f>
        <v>Não</v>
      </c>
      <c r="L1413" s="1" t="str">
        <f>IFERROR(__xludf.DUMMYFUNCTION("""COMPUTED_VALUE"""),"A+")</f>
        <v>A+</v>
      </c>
      <c r="M1413" s="1" t="str">
        <f>IFERROR(__xludf.DUMMYFUNCTION("""COMPUTED_VALUE"""),"santos")</f>
        <v>santos</v>
      </c>
      <c r="N1413" s="120">
        <f>IFERROR(__xludf.DUMMYFUNCTION("""COMPUTED_VALUE"""),28512)</f>
        <v>28512</v>
      </c>
      <c r="O1413" s="1" t="str">
        <f>IFERROR(__xludf.DUMMYFUNCTION("""COMPUTED_VALUE"""),"Masculino")</f>
        <v>Masculino</v>
      </c>
      <c r="P1413" s="1" t="str">
        <f>IFERROR(__xludf.DUMMYFUNCTION("""COMPUTED_VALUE"""),"Branca")</f>
        <v>Branca</v>
      </c>
      <c r="Q1413" s="1" t="str">
        <f>IFERROR(__xludf.DUMMYFUNCTION("""COMPUTED_VALUE"""),"Ensino Médio")</f>
        <v>Ensino Médio</v>
      </c>
      <c r="R1413" s="1"/>
      <c r="S1413" s="1"/>
      <c r="T1413" s="1" t="str">
        <f>IFERROR(__xludf.DUMMYFUNCTION("""COMPUTED_VALUE"""),"Entre 1,66m e 1,70m")</f>
        <v>Entre 1,66m e 1,70m</v>
      </c>
      <c r="U1413" s="1"/>
      <c r="V1413" s="1" t="str">
        <f>IFERROR(__xludf.DUMMYFUNCTION("""COMPUTED_VALUE"""),"55 999097532")</f>
        <v>55 999097532</v>
      </c>
      <c r="W1413" s="1"/>
      <c r="X1413" s="1" t="str">
        <f>IFERROR(__xludf.DUMMYFUNCTION("""COMPUTED_VALUE"""),"RS")</f>
        <v>RS</v>
      </c>
      <c r="Y1413" s="1" t="str">
        <f>IFERROR(__xludf.DUMMYFUNCTION("""COMPUTED_VALUE"""),"Salto do Jacuí")</f>
        <v>Salto do Jacuí</v>
      </c>
      <c r="Z1413" s="1"/>
      <c r="AA1413" s="1" t="str">
        <f>IFERROR(__xludf.DUMMYFUNCTION("""COMPUTED_VALUE"""),"pio xii nº 2536")</f>
        <v>pio xii nº 2536</v>
      </c>
      <c r="AB1413" s="1" t="str">
        <f>IFERROR(__xludf.DUMMYFUNCTION("""COMPUTED_VALUE"""),"m. deus ")</f>
        <v>m. deus </v>
      </c>
      <c r="AC1413" s="1" t="str">
        <f>IFERROR(__xludf.DUMMYFUNCTION("""COMPUTED_VALUE"""),"G")</f>
        <v>G</v>
      </c>
      <c r="AD1413" s="1" t="str">
        <f>IFERROR(__xludf.DUMMYFUNCTION("""COMPUTED_VALUE"""),"G")</f>
        <v>G</v>
      </c>
      <c r="AE1413" s="1" t="str">
        <f>IFERROR(__xludf.DUMMYFUNCTION("""COMPUTED_VALUE"""),"G")</f>
        <v>G</v>
      </c>
      <c r="AF1413" s="1" t="str">
        <f>IFERROR(__xludf.DUMMYFUNCTION("""COMPUTED_VALUE"""),"G")</f>
        <v>G</v>
      </c>
      <c r="AG1413" s="1" t="str">
        <f>IFERROR(__xludf.DUMMYFUNCTION("""COMPUTED_VALUE"""),"GG")</f>
        <v>GG</v>
      </c>
      <c r="AH1413" s="1">
        <f>IFERROR(__xludf.DUMMYFUNCTION("""COMPUTED_VALUE"""),42)</f>
        <v>42</v>
      </c>
      <c r="AI1413" s="1">
        <f>IFERROR(__xludf.DUMMYFUNCTION("""COMPUTED_VALUE"""),42)</f>
        <v>42</v>
      </c>
      <c r="AJ1413" s="1">
        <f>IFERROR(__xludf.DUMMYFUNCTION("""COMPUTED_VALUE"""),42)</f>
        <v>42</v>
      </c>
      <c r="AK1413" s="1">
        <f>IFERROR(__xludf.DUMMYFUNCTION("""COMPUTED_VALUE"""),42)</f>
        <v>42</v>
      </c>
      <c r="AL1413" s="1" t="str">
        <f>IFERROR(__xludf.DUMMYFUNCTION("""COMPUTED_VALUE"""),"G")</f>
        <v>G</v>
      </c>
      <c r="AM1413" s="1" t="str">
        <f>IFERROR(__xludf.DUMMYFUNCTION("""COMPUTED_VALUE"""),"G")</f>
        <v>G</v>
      </c>
      <c r="AN1413" s="1" t="str">
        <f>IFERROR(__xludf.DUMMYFUNCTION("""COMPUTED_VALUE"""),"G")</f>
        <v>G</v>
      </c>
    </row>
    <row r="1414" customHeight="1" spans="1:40">
      <c r="A1414" s="1"/>
      <c r="B1414" s="1"/>
      <c r="C1414" s="119"/>
      <c r="D1414" s="1" t="str">
        <f>IFERROR(__xludf.DUMMYFUNCTION("""COMPUTED_VALUE"""),"GILDONEI MELO DE SOUZA")</f>
        <v>GILDONEI MELO DE SOUZA</v>
      </c>
      <c r="E1414" s="1" t="str">
        <f>IFERROR(__xludf.DUMMYFUNCTION("""COMPUTED_VALUE"""),"Módulo 2 e 3 concluído")</f>
        <v>Módulo 2 e 3 concluído</v>
      </c>
      <c r="F1414" s="1" t="str">
        <f>IFERROR(__xludf.DUMMYFUNCTION("""COMPUTED_VALUE"""),"015.953.950-16")</f>
        <v>015.953.950-16</v>
      </c>
      <c r="G1414" s="1"/>
      <c r="H1414" s="1"/>
      <c r="I1414" s="1"/>
      <c r="J1414" s="1"/>
      <c r="K1414" s="1"/>
      <c r="L1414" s="1"/>
      <c r="M1414" s="1"/>
      <c r="N1414" s="120"/>
      <c r="O1414" s="1"/>
      <c r="P1414" s="1"/>
      <c r="Q1414" s="1"/>
      <c r="R1414" s="1"/>
      <c r="S1414" s="1"/>
      <c r="T1414" s="1"/>
      <c r="U1414" s="1"/>
      <c r="V1414" s="1"/>
      <c r="W1414" s="1"/>
      <c r="X1414" s="1"/>
      <c r="Y1414" s="1"/>
      <c r="Z1414" s="1"/>
      <c r="AA1414" s="1"/>
      <c r="AB1414" s="1"/>
      <c r="AC1414" s="1"/>
      <c r="AD1414" s="1"/>
      <c r="AE1414" s="1"/>
      <c r="AF1414" s="1"/>
      <c r="AG1414" s="1"/>
      <c r="AH1414" s="1"/>
      <c r="AI1414" s="1"/>
      <c r="AJ1414" s="1"/>
      <c r="AK1414" s="1"/>
      <c r="AL1414" s="1"/>
      <c r="AM1414" s="1"/>
      <c r="AN1414" s="1"/>
    </row>
    <row r="1415" customHeight="1" spans="1:40">
      <c r="A1415" s="1" t="str">
        <f>IFERROR(__xludf.DUMMYFUNCTION("""COMPUTED_VALUE"""),"12° BBM")</f>
        <v>12° BBM</v>
      </c>
      <c r="B1415" s="1" t="str">
        <f>IFERROR(__xludf.DUMMYFUNCTION("""COMPUTED_VALUE"""),"Ajuricaba")</f>
        <v>Ajuricaba</v>
      </c>
      <c r="C1415" s="119" t="str">
        <f>IFERROR(__xludf.DUMMYFUNCTION("""COMPUTED_VALUE"""),"CAB")</f>
        <v>CAB</v>
      </c>
      <c r="D1415" s="1" t="str">
        <f>IFERROR(__xludf.DUMMYFUNCTION("""COMPUTED_VALUE"""),"GILMAR ARTUR HECK")</f>
        <v>GILMAR ARTUR HECK</v>
      </c>
      <c r="E1415" s="119" t="str">
        <f>IFERROR(__xludf.DUMMYFUNCTION("""COMPUTED_VALUE"""),"")</f>
        <v/>
      </c>
      <c r="F1415" s="1" t="str">
        <f>IFERROR(__xludf.DUMMYFUNCTION("""COMPUTED_VALUE"""),"713.048.780-15")</f>
        <v>713.048.780-15</v>
      </c>
      <c r="G1415" s="1">
        <f>IFERROR(__xludf.DUMMYFUNCTION("""COMPUTED_VALUE"""),1054150626)</f>
        <v>1054150626</v>
      </c>
      <c r="H1415" s="1" t="str">
        <f>IFERROR(__xludf.DUMMYFUNCTION("""COMPUTED_VALUE"""),"MACÂNICO")</f>
        <v>MACÂNICO</v>
      </c>
      <c r="I1415" s="1" t="str">
        <f>IFERROR(__xludf.DUMMYFUNCTION("""COMPUTED_VALUE"""),"nocoes basicas/combate/ABT")</f>
        <v>nocoes basicas/combate/ABT</v>
      </c>
      <c r="J1415" s="1" t="str">
        <f>IFERROR(__xludf.DUMMYFUNCTION("""COMPUTED_VALUE"""),"Não")</f>
        <v>Não</v>
      </c>
      <c r="K1415" s="1" t="str">
        <f>IFERROR(__xludf.DUMMYFUNCTION("""COMPUTED_VALUE"""),"Não")</f>
        <v>Não</v>
      </c>
      <c r="L1415" s="1" t="str">
        <f>IFERROR(__xludf.DUMMYFUNCTION("""COMPUTED_VALUE"""),"A+")</f>
        <v>A+</v>
      </c>
      <c r="M1415" s="1" t="str">
        <f>IFERROR(__xludf.DUMMYFUNCTION("""COMPUTED_VALUE"""),"Gilmar")</f>
        <v>Gilmar</v>
      </c>
      <c r="N1415" s="1"/>
      <c r="O1415" s="1" t="str">
        <f>IFERROR(__xludf.DUMMYFUNCTION("""COMPUTED_VALUE"""),"Masculino")</f>
        <v>Masculino</v>
      </c>
      <c r="P1415" s="1"/>
      <c r="Q1415" s="1" t="str">
        <f>IFERROR(__xludf.DUMMYFUNCTION("""COMPUTED_VALUE"""),"Ensino Médio")</f>
        <v>Ensino Médio</v>
      </c>
      <c r="R1415" s="1" t="str">
        <f>IFERROR(__xludf.DUMMYFUNCTION("""COMPUTED_VALUE"""),"gilmararthurheck@hotmail.com")</f>
        <v>gilmararthurheck@hotmail.com</v>
      </c>
      <c r="S1415" s="1" t="str">
        <f>IFERROR(__xludf.DUMMYFUNCTION("""COMPUTED_VALUE"""),"90kg")</f>
        <v>90kg</v>
      </c>
      <c r="T1415" s="1" t="str">
        <f>IFERROR(__xludf.DUMMYFUNCTION("""COMPUTED_VALUE"""),"Entre 1,71m e 1,75m")</f>
        <v>Entre 1,71m e 1,75m</v>
      </c>
      <c r="U1415" s="1"/>
      <c r="V1415" s="1" t="str">
        <f>IFERROR(__xludf.DUMMYFUNCTION("""COMPUTED_VALUE"""),"(55) 99660-6284")</f>
        <v>(55) 99660-6284</v>
      </c>
      <c r="W1415" s="1" t="str">
        <f>IFERROR(__xludf.DUMMYFUNCTION("""COMPUTED_VALUE"""),"99721-3617")</f>
        <v>99721-3617</v>
      </c>
      <c r="X1415" s="1" t="str">
        <f>IFERROR(__xludf.DUMMYFUNCTION("""COMPUTED_VALUE"""),"RS")</f>
        <v>RS</v>
      </c>
      <c r="Y1415" s="1" t="str">
        <f>IFERROR(__xludf.DUMMYFUNCTION("""COMPUTED_VALUE"""),"Ajuricaba")</f>
        <v>Ajuricaba</v>
      </c>
      <c r="Z1415" s="1" t="str">
        <f>IFERROR(__xludf.DUMMYFUNCTION("""COMPUTED_VALUE"""),"98750-000")</f>
        <v>98750-000</v>
      </c>
      <c r="AA1415" s="1" t="str">
        <f>IFERROR(__xludf.DUMMYFUNCTION("""COMPUTED_VALUE"""),"Rua Eduardo Prauchner, 151")</f>
        <v>Rua Eduardo Prauchner, 151</v>
      </c>
      <c r="AB1415" s="1" t="str">
        <f>IFERROR(__xludf.DUMMYFUNCTION("""COMPUTED_VALUE"""),"Centro")</f>
        <v>Centro</v>
      </c>
      <c r="AC1415" s="1" t="str">
        <f>IFERROR(__xludf.DUMMYFUNCTION("""COMPUTED_VALUE"""),"GG")</f>
        <v>GG</v>
      </c>
      <c r="AD1415" s="1" t="str">
        <f>IFERROR(__xludf.DUMMYFUNCTION("""COMPUTED_VALUE"""),"GG")</f>
        <v>GG</v>
      </c>
      <c r="AE1415" s="1" t="str">
        <f>IFERROR(__xludf.DUMMYFUNCTION("""COMPUTED_VALUE"""),"GG")</f>
        <v>GG</v>
      </c>
      <c r="AF1415" s="1" t="str">
        <f>IFERROR(__xludf.DUMMYFUNCTION("""COMPUTED_VALUE"""),"GG")</f>
        <v>GG</v>
      </c>
      <c r="AG1415" s="1" t="str">
        <f>IFERROR(__xludf.DUMMYFUNCTION("""COMPUTED_VALUE"""),"GG")</f>
        <v>GG</v>
      </c>
      <c r="AH1415" s="1">
        <f>IFERROR(__xludf.DUMMYFUNCTION("""COMPUTED_VALUE"""),40)</f>
        <v>40</v>
      </c>
      <c r="AI1415" s="1"/>
      <c r="AJ1415" s="1">
        <f>IFERROR(__xludf.DUMMYFUNCTION("""COMPUTED_VALUE"""),40)</f>
        <v>40</v>
      </c>
      <c r="AK1415" s="1">
        <f>IFERROR(__xludf.DUMMYFUNCTION("""COMPUTED_VALUE"""),41)</f>
        <v>41</v>
      </c>
      <c r="AL1415" s="1" t="str">
        <f>IFERROR(__xludf.DUMMYFUNCTION("""COMPUTED_VALUE"""),"GG")</f>
        <v>GG</v>
      </c>
      <c r="AM1415" s="1" t="str">
        <f>IFERROR(__xludf.DUMMYFUNCTION("""COMPUTED_VALUE"""),"GG")</f>
        <v>GG</v>
      </c>
      <c r="AN1415" s="1" t="str">
        <f>IFERROR(__xludf.DUMMYFUNCTION("""COMPUTED_VALUE"""),"G")</f>
        <v>G</v>
      </c>
    </row>
    <row r="1416" customHeight="1" spans="1:40">
      <c r="A1416" s="1"/>
      <c r="B1416" s="1"/>
      <c r="C1416" s="119"/>
      <c r="D1416" s="1" t="str">
        <f>IFERROR(__xludf.DUMMYFUNCTION("""COMPUTED_VALUE"""),"IVANDRO BIAZZI")</f>
        <v>IVANDRO BIAZZI</v>
      </c>
      <c r="E1416" s="1" t="str">
        <f>IFERROR(__xludf.DUMMYFUNCTION("""COMPUTED_VALUE"""),"Curso CAB operador concluído")</f>
        <v>Curso CAB operador concluído</v>
      </c>
      <c r="F1416" s="1" t="str">
        <f>IFERROR(__xludf.DUMMYFUNCTION("""COMPUTED_VALUE"""),"773.312.060-87")</f>
        <v>773.312.060-87</v>
      </c>
      <c r="G1416" s="1"/>
      <c r="H1416" s="1"/>
      <c r="I1416" s="1"/>
      <c r="J1416" s="1"/>
      <c r="K1416" s="1"/>
      <c r="L1416" s="1"/>
      <c r="M1416" s="1"/>
      <c r="N1416" s="120"/>
      <c r="O1416" s="1"/>
      <c r="P1416" s="1"/>
      <c r="Q1416" s="1"/>
      <c r="R1416" s="1"/>
      <c r="S1416" s="1"/>
      <c r="T1416" s="1"/>
      <c r="U1416" s="1"/>
      <c r="V1416" s="1"/>
      <c r="W1416" s="1"/>
      <c r="X1416" s="1"/>
      <c r="Y1416" s="1"/>
      <c r="Z1416" s="1"/>
      <c r="AA1416" s="1"/>
      <c r="AB1416" s="1"/>
      <c r="AC1416" s="1"/>
      <c r="AD1416" s="1"/>
      <c r="AE1416" s="1"/>
      <c r="AF1416" s="1"/>
      <c r="AG1416" s="1"/>
      <c r="AH1416" s="1"/>
      <c r="AI1416" s="1"/>
      <c r="AJ1416" s="1"/>
      <c r="AK1416" s="1"/>
      <c r="AL1416" s="1"/>
      <c r="AM1416" s="1"/>
      <c r="AN1416" s="1"/>
    </row>
    <row r="1417" customHeight="1" spans="1:40">
      <c r="A1417" s="1"/>
      <c r="B1417" s="1"/>
      <c r="C1417" s="119"/>
      <c r="D1417" s="1" t="str">
        <f>IFERROR(__xludf.DUMMYFUNCTION("""COMPUTED_VALUE"""),"IVO TIARAJU BORBA DE OLIVEIRA")</f>
        <v>IVO TIARAJU BORBA DE OLIVEIRA</v>
      </c>
      <c r="E1417" s="1" t="str">
        <f>IFERROR(__xludf.DUMMYFUNCTION("""COMPUTED_VALUE"""),"Curso CAB operador concluído")</f>
        <v>Curso CAB operador concluído</v>
      </c>
      <c r="F1417" s="1" t="str">
        <f>IFERROR(__xludf.DUMMYFUNCTION("""COMPUTED_VALUE"""),"974.324.900-15")</f>
        <v>974.324.900-15</v>
      </c>
      <c r="G1417" s="1"/>
      <c r="H1417" s="1"/>
      <c r="I1417" s="1"/>
      <c r="J1417" s="1"/>
      <c r="K1417" s="1"/>
      <c r="L1417" s="1"/>
      <c r="M1417" s="1"/>
      <c r="N1417" s="120"/>
      <c r="O1417" s="1"/>
      <c r="P1417" s="1"/>
      <c r="Q1417" s="1"/>
      <c r="R1417" s="1"/>
      <c r="S1417" s="1"/>
      <c r="T1417" s="1"/>
      <c r="U1417" s="1"/>
      <c r="V1417" s="1"/>
      <c r="W1417" s="1"/>
      <c r="X1417" s="1"/>
      <c r="Y1417" s="1"/>
      <c r="Z1417" s="1"/>
      <c r="AA1417" s="1"/>
      <c r="AB1417" s="1"/>
      <c r="AC1417" s="1"/>
      <c r="AD1417" s="1"/>
      <c r="AE1417" s="1"/>
      <c r="AF1417" s="1"/>
      <c r="AG1417" s="1"/>
      <c r="AH1417" s="1"/>
      <c r="AI1417" s="1"/>
      <c r="AJ1417" s="1"/>
      <c r="AK1417" s="1"/>
      <c r="AL1417" s="1"/>
      <c r="AM1417" s="1"/>
      <c r="AN1417" s="1"/>
    </row>
    <row r="1418" customHeight="1" spans="1:40">
      <c r="A1418" s="1" t="str">
        <f>IFERROR(__xludf.DUMMYFUNCTION("""COMPUTED_VALUE"""),"12° BBM")</f>
        <v>12° BBM</v>
      </c>
      <c r="B1418" s="1" t="str">
        <f>IFERROR(__xludf.DUMMYFUNCTION("""COMPUTED_VALUE"""),"Salto do Jacuí")</f>
        <v>Salto do Jacuí</v>
      </c>
      <c r="C1418" s="119" t="str">
        <f>IFERROR(__xludf.DUMMYFUNCTION("""COMPUTED_VALUE"""),"CAB")</f>
        <v>CAB</v>
      </c>
      <c r="D1418" s="1" t="str">
        <f>IFERROR(__xludf.DUMMYFUNCTION("""COMPUTED_VALUE"""),"JADIR MUSSOLIN")</f>
        <v>JADIR MUSSOLIN</v>
      </c>
      <c r="E1418" s="1" t="str">
        <f>IFERROR(__xludf.DUMMYFUNCTION("""COMPUTED_VALUE"""),"Módulo 2 e 3 concluído")</f>
        <v>Módulo 2 e 3 concluído</v>
      </c>
      <c r="F1418" s="1" t="str">
        <f>IFERROR(__xludf.DUMMYFUNCTION("""COMPUTED_VALUE"""),"610.820.740.04")</f>
        <v>610.820.740.04</v>
      </c>
      <c r="G1418" s="1">
        <f>IFERROR(__xludf.DUMMYFUNCTION("""COMPUTED_VALUE"""),2051033427)</f>
        <v>2051033427</v>
      </c>
      <c r="H1418" s="1" t="str">
        <f>IFERROR(__xludf.DUMMYFUNCTION("""COMPUTED_VALUE"""),"Bombeiro Civil Voluntario")</f>
        <v>Bombeiro Civil Voluntario</v>
      </c>
      <c r="I1418" s="1" t="str">
        <f>IFERROR(__xludf.DUMMYFUNCTION("""COMPUTED_VALUE"""),"Curso de combate a incêndio fornecidos pelo Corpo de Bombeiros de Cruz Alta.")</f>
        <v>Curso de combate a incêndio fornecidos pelo Corpo de Bombeiros de Cruz Alta.</v>
      </c>
      <c r="J1418" s="1" t="str">
        <f>IFERROR(__xludf.DUMMYFUNCTION("""COMPUTED_VALUE"""),"Não")</f>
        <v>Não</v>
      </c>
      <c r="K1418" s="1" t="str">
        <f>IFERROR(__xludf.DUMMYFUNCTION("""COMPUTED_VALUE"""),"Não")</f>
        <v>Não</v>
      </c>
      <c r="L1418" s="1"/>
      <c r="M1418" s="1" t="str">
        <f>IFERROR(__xludf.DUMMYFUNCTION("""COMPUTED_VALUE"""),"mussolin")</f>
        <v>mussolin</v>
      </c>
      <c r="N1418" s="120">
        <f>IFERROR(__xludf.DUMMYFUNCTION("""COMPUTED_VALUE"""),25448)</f>
        <v>25448</v>
      </c>
      <c r="O1418" s="1" t="str">
        <f>IFERROR(__xludf.DUMMYFUNCTION("""COMPUTED_VALUE"""),"Masculino")</f>
        <v>Masculino</v>
      </c>
      <c r="P1418" s="1" t="str">
        <f>IFERROR(__xludf.DUMMYFUNCTION("""COMPUTED_VALUE"""),"Branca")</f>
        <v>Branca</v>
      </c>
      <c r="Q1418" s="1" t="str">
        <f>IFERROR(__xludf.DUMMYFUNCTION("""COMPUTED_VALUE"""),"Ensino Médio")</f>
        <v>Ensino Médio</v>
      </c>
      <c r="R1418" s="1"/>
      <c r="S1418" s="1"/>
      <c r="T1418" s="1" t="str">
        <f>IFERROR(__xludf.DUMMYFUNCTION("""COMPUTED_VALUE"""),"Entre 1,86m e 1,90m")</f>
        <v>Entre 1,86m e 1,90m</v>
      </c>
      <c r="U1418" s="1"/>
      <c r="V1418" s="1" t="str">
        <f>IFERROR(__xludf.DUMMYFUNCTION("""COMPUTED_VALUE"""),"55 996058411")</f>
        <v>55 996058411</v>
      </c>
      <c r="W1418" s="1"/>
      <c r="X1418" s="1" t="str">
        <f>IFERROR(__xludf.DUMMYFUNCTION("""COMPUTED_VALUE"""),"RS")</f>
        <v>RS</v>
      </c>
      <c r="Y1418" s="1" t="str">
        <f>IFERROR(__xludf.DUMMYFUNCTION("""COMPUTED_VALUE"""),"Salto do Jacuí")</f>
        <v>Salto do Jacuí</v>
      </c>
      <c r="Z1418" s="1"/>
      <c r="AA1418" s="1" t="str">
        <f>IFERROR(__xludf.DUMMYFUNCTION("""COMPUTED_VALUE"""),"lajeado nº 13")</f>
        <v>lajeado nº 13</v>
      </c>
      <c r="AB1418" s="1" t="str">
        <f>IFERROR(__xludf.DUMMYFUNCTION("""COMPUTED_VALUE"""),"m. deus ")</f>
        <v>m. deus </v>
      </c>
      <c r="AC1418" s="1" t="str">
        <f>IFERROR(__xludf.DUMMYFUNCTION("""COMPUTED_VALUE"""),"GG")</f>
        <v>GG</v>
      </c>
      <c r="AD1418" s="1" t="str">
        <f>IFERROR(__xludf.DUMMYFUNCTION("""COMPUTED_VALUE"""),"EXG")</f>
        <v>EXG</v>
      </c>
      <c r="AE1418" s="1" t="str">
        <f>IFERROR(__xludf.DUMMYFUNCTION("""COMPUTED_VALUE"""),"EXG")</f>
        <v>EXG</v>
      </c>
      <c r="AF1418" s="1" t="str">
        <f>IFERROR(__xludf.DUMMYFUNCTION("""COMPUTED_VALUE"""),"EXG")</f>
        <v>EXG</v>
      </c>
      <c r="AG1418" s="1" t="str">
        <f>IFERROR(__xludf.DUMMYFUNCTION("""COMPUTED_VALUE"""),"EXG")</f>
        <v>EXG</v>
      </c>
      <c r="AH1418" s="1">
        <f>IFERROR(__xludf.DUMMYFUNCTION("""COMPUTED_VALUE"""),40)</f>
        <v>40</v>
      </c>
      <c r="AI1418" s="1">
        <f>IFERROR(__xludf.DUMMYFUNCTION("""COMPUTED_VALUE"""),40)</f>
        <v>40</v>
      </c>
      <c r="AJ1418" s="1">
        <f>IFERROR(__xludf.DUMMYFUNCTION("""COMPUTED_VALUE"""),40)</f>
        <v>40</v>
      </c>
      <c r="AK1418" s="1">
        <f>IFERROR(__xludf.DUMMYFUNCTION("""COMPUTED_VALUE"""),40)</f>
        <v>40</v>
      </c>
      <c r="AL1418" s="1" t="str">
        <f>IFERROR(__xludf.DUMMYFUNCTION("""COMPUTED_VALUE"""),"EXG")</f>
        <v>EXG</v>
      </c>
      <c r="AM1418" s="1" t="str">
        <f>IFERROR(__xludf.DUMMYFUNCTION("""COMPUTED_VALUE"""),"EXG")</f>
        <v>EXG</v>
      </c>
      <c r="AN1418" s="1" t="str">
        <f>IFERROR(__xludf.DUMMYFUNCTION("""COMPUTED_VALUE"""),"G")</f>
        <v>G</v>
      </c>
    </row>
    <row r="1419" customHeight="1" spans="1:40">
      <c r="A1419" s="1" t="str">
        <f>IFERROR(__xludf.DUMMYFUNCTION("""COMPUTED_VALUE"""),"12° BBM")</f>
        <v>12° BBM</v>
      </c>
      <c r="B1419" s="1" t="str">
        <f>IFERROR(__xludf.DUMMYFUNCTION("""COMPUTED_VALUE"""),"Chiapetta")</f>
        <v>Chiapetta</v>
      </c>
      <c r="C1419" s="119" t="str">
        <f>IFERROR(__xludf.DUMMYFUNCTION("""COMPUTED_VALUE"""),"CAB")</f>
        <v>CAB</v>
      </c>
      <c r="D1419" s="1" t="str">
        <f>IFERROR(__xludf.DUMMYFUNCTION("""COMPUTED_VALUE"""),"JAIRO MILANI KESSLER")</f>
        <v>JAIRO MILANI KESSLER</v>
      </c>
      <c r="E1419" s="119" t="str">
        <f>IFERROR(__xludf.DUMMYFUNCTION("""COMPUTED_VALUE"""),"")</f>
        <v/>
      </c>
      <c r="F1419" s="1" t="str">
        <f>IFERROR(__xludf.DUMMYFUNCTION("""COMPUTED_VALUE"""),"708.961.860-91")</f>
        <v>708.961.860-91</v>
      </c>
      <c r="G1419" s="1">
        <f>IFERROR(__xludf.DUMMYFUNCTION("""COMPUTED_VALUE"""),1061980817)</f>
        <v>1061980817</v>
      </c>
      <c r="H1419" s="1" t="str">
        <f>IFERROR(__xludf.DUMMYFUNCTION("""COMPUTED_VALUE"""),"MOTORISTA")</f>
        <v>MOTORISTA</v>
      </c>
      <c r="I1419" s="1" t="str">
        <f>IFERROR(__xludf.DUMMYFUNCTION("""COMPUTED_VALUE"""),"nocoes basicas/combate/ABT")</f>
        <v>nocoes basicas/combate/ABT</v>
      </c>
      <c r="J1419" s="1" t="str">
        <f>IFERROR(__xludf.DUMMYFUNCTION("""COMPUTED_VALUE"""),"Não")</f>
        <v>Não</v>
      </c>
      <c r="K1419" s="1" t="str">
        <f>IFERROR(__xludf.DUMMYFUNCTION("""COMPUTED_VALUE"""),"não")</f>
        <v>não</v>
      </c>
      <c r="L1419" s="1" t="str">
        <f>IFERROR(__xludf.DUMMYFUNCTION("""COMPUTED_VALUE"""),"A+")</f>
        <v>A+</v>
      </c>
      <c r="M1419" s="1"/>
      <c r="N1419" s="120"/>
      <c r="O1419" s="1" t="str">
        <f>IFERROR(__xludf.DUMMYFUNCTION("""COMPUTED_VALUE"""),"Masculino")</f>
        <v>Masculino</v>
      </c>
      <c r="P1419" s="1" t="str">
        <f>IFERROR(__xludf.DUMMYFUNCTION("""COMPUTED_VALUE"""),"BRANCA")</f>
        <v>BRANCA</v>
      </c>
      <c r="Q1419" s="1" t="str">
        <f>IFERROR(__xludf.DUMMYFUNCTION("""COMPUTED_VALUE"""),"Ensino Médio")</f>
        <v>Ensino Médio</v>
      </c>
      <c r="R1419" s="1" t="str">
        <f>IFERROR(__xludf.DUMMYFUNCTION("""COMPUTED_VALUE"""),"gabinete@chiapetta.rs.gov.br")</f>
        <v>gabinete@chiapetta.rs.gov.br</v>
      </c>
      <c r="S1419" s="1" t="str">
        <f>IFERROR(__xludf.DUMMYFUNCTION("""COMPUTED_VALUE"""),"87kg")</f>
        <v>87kg</v>
      </c>
      <c r="T1419" s="1" t="str">
        <f>IFERROR(__xludf.DUMMYFUNCTION("""COMPUTED_VALUE"""),"Entre 1,71m e 1,75m")</f>
        <v>Entre 1,71m e 1,75m</v>
      </c>
      <c r="U1419" s="1"/>
      <c r="V1419" s="1" t="str">
        <f>IFERROR(__xludf.DUMMYFUNCTION("""COMPUTED_VALUE"""),"(55) 99624-3757")</f>
        <v>(55) 99624-3757</v>
      </c>
      <c r="W1419" s="1"/>
      <c r="X1419" s="1" t="str">
        <f>IFERROR(__xludf.DUMMYFUNCTION("""COMPUTED_VALUE"""),"RS")</f>
        <v>RS</v>
      </c>
      <c r="Y1419" s="1" t="str">
        <f>IFERROR(__xludf.DUMMYFUNCTION("""COMPUTED_VALUE"""),"Chiapetta")</f>
        <v>Chiapetta</v>
      </c>
      <c r="Z1419" s="1" t="str">
        <f>IFERROR(__xludf.DUMMYFUNCTION("""COMPUTED_VALUE"""),"98760-000")</f>
        <v>98760-000</v>
      </c>
      <c r="AA1419" s="1" t="str">
        <f>IFERROR(__xludf.DUMMYFUNCTION("""COMPUTED_VALUE"""),"Rua 7 de Setembro n°67")</f>
        <v>Rua 7 de Setembro n°67</v>
      </c>
      <c r="AB1419" s="1" t="str">
        <f>IFERROR(__xludf.DUMMYFUNCTION("""COMPUTED_VALUE"""),"CENTRO")</f>
        <v>CENTRO</v>
      </c>
      <c r="AC1419" s="1" t="str">
        <f>IFERROR(__xludf.DUMMYFUNCTION("""COMPUTED_VALUE"""),"G")</f>
        <v>G</v>
      </c>
      <c r="AD1419" s="1" t="str">
        <f>IFERROR(__xludf.DUMMYFUNCTION("""COMPUTED_VALUE"""),"G")</f>
        <v>G</v>
      </c>
      <c r="AE1419" s="1" t="str">
        <f>IFERROR(__xludf.DUMMYFUNCTION("""COMPUTED_VALUE"""),"G")</f>
        <v>G</v>
      </c>
      <c r="AF1419" s="1" t="str">
        <f>IFERROR(__xludf.DUMMYFUNCTION("""COMPUTED_VALUE"""),"G")</f>
        <v>G</v>
      </c>
      <c r="AG1419" s="1" t="str">
        <f>IFERROR(__xludf.DUMMYFUNCTION("""COMPUTED_VALUE"""),"G")</f>
        <v>G</v>
      </c>
      <c r="AH1419" s="1">
        <f>IFERROR(__xludf.DUMMYFUNCTION("""COMPUTED_VALUE"""),41)</f>
        <v>41</v>
      </c>
      <c r="AI1419" s="1">
        <f>IFERROR(__xludf.DUMMYFUNCTION("""COMPUTED_VALUE"""),41)</f>
        <v>41</v>
      </c>
      <c r="AJ1419" s="1">
        <f>IFERROR(__xludf.DUMMYFUNCTION("""COMPUTED_VALUE"""),41)</f>
        <v>41</v>
      </c>
      <c r="AK1419" s="1">
        <f>IFERROR(__xludf.DUMMYFUNCTION("""COMPUTED_VALUE"""),41)</f>
        <v>41</v>
      </c>
      <c r="AL1419" s="1" t="str">
        <f>IFERROR(__xludf.DUMMYFUNCTION("""COMPUTED_VALUE"""),"G")</f>
        <v>G</v>
      </c>
      <c r="AM1419" s="1" t="str">
        <f>IFERROR(__xludf.DUMMYFUNCTION("""COMPUTED_VALUE"""),"G")</f>
        <v>G</v>
      </c>
      <c r="AN1419" s="1" t="str">
        <f>IFERROR(__xludf.DUMMYFUNCTION("""COMPUTED_VALUE"""),"G")</f>
        <v>G</v>
      </c>
    </row>
    <row r="1420" customHeight="1" spans="1:40">
      <c r="A1420" s="1" t="str">
        <f>IFERROR(__xludf.DUMMYFUNCTION("""COMPUTED_VALUE"""),"12° BBM")</f>
        <v>12° BBM</v>
      </c>
      <c r="B1420" s="1"/>
      <c r="C1420" s="119"/>
      <c r="D1420" s="1" t="str">
        <f>IFERROR(__xludf.DUMMYFUNCTION("""COMPUTED_VALUE"""),"JARDEL VINICIUS BORGES DE BARROS")</f>
        <v>JARDEL VINICIUS BORGES DE BARROS</v>
      </c>
      <c r="E1420" s="1" t="str">
        <f>IFERROR(__xludf.DUMMYFUNCTION("""COMPUTED_VALUE"""),"Módulo 1 concluído")</f>
        <v>Módulo 1 concluído</v>
      </c>
      <c r="F1420" s="1" t="str">
        <f>IFERROR(__xludf.DUMMYFUNCTION("""COMPUTED_VALUE"""),"032.200.710-07")</f>
        <v>032.200.710-07</v>
      </c>
      <c r="G1420" s="1"/>
      <c r="H1420" s="1"/>
      <c r="I1420" s="1"/>
      <c r="J1420" s="1"/>
      <c r="K1420" s="1"/>
      <c r="L1420" s="1"/>
      <c r="M1420" s="1"/>
      <c r="N1420" s="120"/>
      <c r="O1420" s="1"/>
      <c r="P1420" s="1"/>
      <c r="Q1420" s="1"/>
      <c r="R1420" s="1"/>
      <c r="S1420" s="1"/>
      <c r="T1420" s="1"/>
      <c r="U1420" s="1"/>
      <c r="V1420" s="1"/>
      <c r="W1420" s="1"/>
      <c r="X1420" s="1"/>
      <c r="Y1420" s="1"/>
      <c r="Z1420" s="1"/>
      <c r="AA1420" s="1"/>
      <c r="AB1420" s="1"/>
      <c r="AC1420" s="1"/>
      <c r="AD1420" s="1"/>
      <c r="AE1420" s="1"/>
      <c r="AF1420" s="1"/>
      <c r="AG1420" s="1"/>
      <c r="AH1420" s="1"/>
      <c r="AI1420" s="1"/>
      <c r="AJ1420" s="1"/>
      <c r="AK1420" s="1"/>
      <c r="AL1420" s="1"/>
      <c r="AM1420" s="1"/>
      <c r="AN1420" s="1"/>
    </row>
    <row r="1421" customHeight="1" spans="1:40">
      <c r="A1421" s="1" t="str">
        <f>IFERROR(__xludf.DUMMYFUNCTION("""COMPUTED_VALUE"""),"12° BBM")</f>
        <v>12° BBM</v>
      </c>
      <c r="B1421" s="1"/>
      <c r="C1421" s="119"/>
      <c r="D1421" s="1" t="str">
        <f>IFERROR(__xludf.DUMMYFUNCTION("""COMPUTED_VALUE"""),"JORGE JAIR GOIS DOS SANTOS")</f>
        <v>JORGE JAIR GOIS DOS SANTOS</v>
      </c>
      <c r="E1421" s="1" t="str">
        <f>IFERROR(__xludf.DUMMYFUNCTION("""COMPUTED_VALUE"""),"Módulo 1 concluído")</f>
        <v>Módulo 1 concluído</v>
      </c>
      <c r="F1421" s="1" t="str">
        <f>IFERROR(__xludf.DUMMYFUNCTION("""COMPUTED_VALUE"""),"576.868.150-72")</f>
        <v>576.868.150-72</v>
      </c>
      <c r="G1421" s="1"/>
      <c r="H1421" s="1"/>
      <c r="I1421" s="1"/>
      <c r="J1421" s="1"/>
      <c r="K1421" s="1"/>
      <c r="L1421" s="1"/>
      <c r="M1421" s="1"/>
      <c r="N1421" s="120"/>
      <c r="O1421" s="1"/>
      <c r="P1421" s="1"/>
      <c r="Q1421" s="1"/>
      <c r="R1421" s="1"/>
      <c r="S1421" s="1"/>
      <c r="T1421" s="1"/>
      <c r="U1421" s="1"/>
      <c r="V1421" s="1"/>
      <c r="W1421" s="1"/>
      <c r="X1421" s="1"/>
      <c r="Y1421" s="1"/>
      <c r="Z1421" s="1"/>
      <c r="AA1421" s="1"/>
      <c r="AB1421" s="1"/>
      <c r="AC1421" s="1"/>
      <c r="AD1421" s="1"/>
      <c r="AE1421" s="1"/>
      <c r="AF1421" s="1"/>
      <c r="AG1421" s="1"/>
      <c r="AH1421" s="1"/>
      <c r="AI1421" s="1"/>
      <c r="AJ1421" s="1"/>
      <c r="AK1421" s="1"/>
      <c r="AL1421" s="1"/>
      <c r="AM1421" s="1"/>
      <c r="AN1421" s="1"/>
    </row>
    <row r="1422" customHeight="1" spans="1:40">
      <c r="A1422" s="1" t="str">
        <f>IFERROR(__xludf.DUMMYFUNCTION("""COMPUTED_VALUE"""),"12° BBM")</f>
        <v>12° BBM</v>
      </c>
      <c r="B1422" s="1" t="str">
        <f>IFERROR(__xludf.DUMMYFUNCTION("""COMPUTED_VALUE"""),"Ibirubá")</f>
        <v>Ibirubá</v>
      </c>
      <c r="C1422" s="119" t="str">
        <f>IFERROR(__xludf.DUMMYFUNCTION("""COMPUTED_VALUE"""),"Comunitario")</f>
        <v>Comunitario</v>
      </c>
      <c r="D1422" s="1" t="str">
        <f>IFERROR(__xludf.DUMMYFUNCTION("""COMPUTED_VALUE"""),"JOSÉ ROBERTO DE SOUZA SILVA")</f>
        <v>JOSÉ ROBERTO DE SOUZA SILVA</v>
      </c>
      <c r="E1422" s="119" t="str">
        <f>IFERROR(__xludf.DUMMYFUNCTION("""COMPUTED_VALUE"""),"Curso CAB operador concluído")</f>
        <v>Curso CAB operador concluído</v>
      </c>
      <c r="F1422" s="1" t="str">
        <f>IFERROR(__xludf.DUMMYFUNCTION("""COMPUTED_VALUE"""),"501.051.750-72")</f>
        <v>501.051.750-72</v>
      </c>
      <c r="G1422" s="1">
        <f>IFERROR(__xludf.DUMMYFUNCTION("""COMPUTED_VALUE"""),2044877096)</f>
        <v>2044877096</v>
      </c>
      <c r="H1422" s="1" t="str">
        <f>IFERROR(__xludf.DUMMYFUNCTION("""COMPUTED_VALUE"""),"Combatente, socorrista e telefonista")</f>
        <v>Combatente, socorrista e telefonista</v>
      </c>
      <c r="I1422" s="1" t="str">
        <f>IFERROR(__xludf.DUMMYFUNCTION("""COMPUTED_VALUE"""),"CVE, CONDUTOR CAT D, APH, SBV, TÉC E TÁTICA DE COMBATE A INCÊNDIO,")</f>
        <v>CVE, CONDUTOR CAT D, APH, SBV, TÉC E TÁTICA DE COMBATE A INCÊNDIO,</v>
      </c>
      <c r="J1422" s="1" t="str">
        <f>IFERROR(__xludf.DUMMYFUNCTION("""COMPUTED_VALUE"""),"Sim")</f>
        <v>Sim</v>
      </c>
      <c r="K1422" s="1" t="str">
        <f>IFERROR(__xludf.DUMMYFUNCTION("""COMPUTED_VALUE"""),"Sim")</f>
        <v>Sim</v>
      </c>
      <c r="L1422" s="1" t="str">
        <f>IFERROR(__xludf.DUMMYFUNCTION("""COMPUTED_VALUE"""),"O+")</f>
        <v>O+</v>
      </c>
      <c r="M1422" s="1" t="str">
        <f>IFERROR(__xludf.DUMMYFUNCTION("""COMPUTED_VALUE"""),"José")</f>
        <v>José</v>
      </c>
      <c r="N1422" s="125">
        <f>IFERROR(__xludf.DUMMYFUNCTION("""COMPUTED_VALUE"""),25329)</f>
        <v>25329</v>
      </c>
      <c r="O1422" s="1" t="str">
        <f>IFERROR(__xludf.DUMMYFUNCTION("""COMPUTED_VALUE"""),"Masculino")</f>
        <v>Masculino</v>
      </c>
      <c r="P1422" s="1" t="str">
        <f>IFERROR(__xludf.DUMMYFUNCTION("""COMPUTED_VALUE"""),"Parda")</f>
        <v>Parda</v>
      </c>
      <c r="Q1422" s="1" t="str">
        <f>IFERROR(__xludf.DUMMYFUNCTION("""COMPUTED_VALUE"""),"Pós-graduação")</f>
        <v>Pós-graduação</v>
      </c>
      <c r="R1422" s="1" t="str">
        <f>IFERROR(__xludf.DUMMYFUNCTION("""COMPUTED_VALUE"""),"josesinistro@hotmail.com")</f>
        <v>josesinistro@hotmail.com</v>
      </c>
      <c r="S1422" s="1">
        <f>IFERROR(__xludf.DUMMYFUNCTION("""COMPUTED_VALUE"""),92)</f>
        <v>92</v>
      </c>
      <c r="T1422" s="1" t="str">
        <f>IFERROR(__xludf.DUMMYFUNCTION("""COMPUTED_VALUE"""),"Entre 1,66m e 1,70m")</f>
        <v>Entre 1,66m e 1,70m</v>
      </c>
      <c r="U1422" s="1" t="str">
        <f>IFERROR(__xludf.DUMMYFUNCTION("""COMPUTED_VALUE"""),"(54) 3199-0852")</f>
        <v>(54) 3199-0852</v>
      </c>
      <c r="V1422" s="1" t="str">
        <f>IFERROR(__xludf.DUMMYFUNCTION("""COMPUTED_VALUE"""),"(54) 99186-1039")</f>
        <v>(54) 99186-1039</v>
      </c>
      <c r="W1422" s="1" t="str">
        <f>IFERROR(__xludf.DUMMYFUNCTION("""COMPUTED_VALUE"""),"(54) 99149-2110")</f>
        <v>(54) 99149-2110</v>
      </c>
      <c r="X1422" s="1" t="str">
        <f>IFERROR(__xludf.DUMMYFUNCTION("""COMPUTED_VALUE"""),"RIO GRANDE DO SUL")</f>
        <v>RIO GRANDE DO SUL</v>
      </c>
      <c r="Y1422" s="1" t="str">
        <f>IFERROR(__xludf.DUMMYFUNCTION("""COMPUTED_VALUE"""),"Ibirubá")</f>
        <v>Ibirubá</v>
      </c>
      <c r="Z1422" s="1" t="str">
        <f>IFERROR(__xludf.DUMMYFUNCTION("""COMPUTED_VALUE"""),"98200-000")</f>
        <v>98200-000</v>
      </c>
      <c r="AA1422" s="1" t="str">
        <f>IFERROR(__xludf.DUMMYFUNCTION("""COMPUTED_VALUE"""),"Rua Três de Outubro, 1412B")</f>
        <v>Rua Três de Outubro, 1412B</v>
      </c>
      <c r="AB1422" s="1" t="str">
        <f>IFERROR(__xludf.DUMMYFUNCTION("""COMPUTED_VALUE"""),"Centro")</f>
        <v>Centro</v>
      </c>
      <c r="AC1422" s="1" t="str">
        <f>IFERROR(__xludf.DUMMYFUNCTION("""COMPUTED_VALUE"""),"GG")</f>
        <v>GG</v>
      </c>
      <c r="AD1422" s="1" t="str">
        <f>IFERROR(__xludf.DUMMYFUNCTION("""COMPUTED_VALUE"""),"GG")</f>
        <v>GG</v>
      </c>
      <c r="AE1422" s="1" t="str">
        <f>IFERROR(__xludf.DUMMYFUNCTION("""COMPUTED_VALUE"""),"GG")</f>
        <v>GG</v>
      </c>
      <c r="AF1422" s="1" t="str">
        <f>IFERROR(__xludf.DUMMYFUNCTION("""COMPUTED_VALUE"""),"GG")</f>
        <v>GG</v>
      </c>
      <c r="AG1422" s="1" t="str">
        <f>IFERROR(__xludf.DUMMYFUNCTION("""COMPUTED_VALUE"""),"GG")</f>
        <v>GG</v>
      </c>
      <c r="AH1422" s="1">
        <f>IFERROR(__xludf.DUMMYFUNCTION("""COMPUTED_VALUE"""),39)</f>
        <v>39</v>
      </c>
      <c r="AI1422" s="1">
        <f>IFERROR(__xludf.DUMMYFUNCTION("""COMPUTED_VALUE"""),39)</f>
        <v>39</v>
      </c>
      <c r="AJ1422" s="1">
        <f>IFERROR(__xludf.DUMMYFUNCTION("""COMPUTED_VALUE"""),39)</f>
        <v>39</v>
      </c>
      <c r="AK1422" s="1">
        <f>IFERROR(__xludf.DUMMYFUNCTION("""COMPUTED_VALUE"""),39)</f>
        <v>39</v>
      </c>
      <c r="AL1422" s="1" t="str">
        <f>IFERROR(__xludf.DUMMYFUNCTION("""COMPUTED_VALUE"""),"GG")</f>
        <v>GG</v>
      </c>
      <c r="AM1422" s="1" t="str">
        <f>IFERROR(__xludf.DUMMYFUNCTION("""COMPUTED_VALUE"""),"GG")</f>
        <v>GG</v>
      </c>
      <c r="AN1422" s="1" t="str">
        <f>IFERROR(__xludf.DUMMYFUNCTION("""COMPUTED_VALUE"""),"GG")</f>
        <v>GG</v>
      </c>
    </row>
    <row r="1423" customHeight="1" spans="1:40">
      <c r="A1423" s="1" t="str">
        <f>IFERROR(__xludf.DUMMYFUNCTION("""COMPUTED_VALUE"""),"12° BBM")</f>
        <v>12° BBM</v>
      </c>
      <c r="B1423" s="1" t="str">
        <f>IFERROR(__xludf.DUMMYFUNCTION("""COMPUTED_VALUE"""),"Santa Bárbara do Sul ")</f>
        <v>Santa Bárbara do Sul </v>
      </c>
      <c r="C1423" s="119" t="str">
        <f>IFERROR(__xludf.DUMMYFUNCTION("""COMPUTED_VALUE"""),"CAB")</f>
        <v>CAB</v>
      </c>
      <c r="D1423" s="1" t="str">
        <f>IFERROR(__xludf.DUMMYFUNCTION("""COMPUTED_VALUE"""),"JOSÉ VALDECIR VIEIRA")</f>
        <v>JOSÉ VALDECIR VIEIRA</v>
      </c>
      <c r="E1423" s="119" t="str">
        <f>IFERROR(__xludf.DUMMYFUNCTION("""COMPUTED_VALUE"""),"")</f>
        <v/>
      </c>
      <c r="F1423" s="1" t="str">
        <f>IFERROR(__xludf.DUMMYFUNCTION("""COMPUTED_VALUE"""),"646.175.800-34")</f>
        <v>646.175.800-34</v>
      </c>
      <c r="G1423" s="1">
        <f>IFERROR(__xludf.DUMMYFUNCTION("""COMPUTED_VALUE"""),8043476509)</f>
        <v>8043476509</v>
      </c>
      <c r="H1423" s="1" t="str">
        <f>IFERROR(__xludf.DUMMYFUNCTION("""COMPUTED_VALUE"""),"SERVIÇOS GERAIS PREF.")</f>
        <v>SERVIÇOS GERAIS PREF.</v>
      </c>
      <c r="I1423" s="1" t="str">
        <f>IFERROR(__xludf.DUMMYFUNCTION("""COMPUTED_VALUE"""),"Treinamento de Prevenção e combate a Incêndio 10 H/A")</f>
        <v>Treinamento de Prevenção e combate a Incêndio 10 H/A</v>
      </c>
      <c r="J1423" s="1" t="str">
        <f>IFERROR(__xludf.DUMMYFUNCTION("""COMPUTED_VALUE"""),"Sim")</f>
        <v>Sim</v>
      </c>
      <c r="K1423" s="1" t="str">
        <f>IFERROR(__xludf.DUMMYFUNCTION("""COMPUTED_VALUE"""),"Sim")</f>
        <v>Sim</v>
      </c>
      <c r="L1423" s="1" t="str">
        <f>IFERROR(__xludf.DUMMYFUNCTION("""COMPUTED_VALUE"""),"O+")</f>
        <v>O+</v>
      </c>
      <c r="M1423" s="1" t="str">
        <f>IFERROR(__xludf.DUMMYFUNCTION("""COMPUTED_VALUE"""),"Vieira")</f>
        <v>Vieira</v>
      </c>
      <c r="N1423" s="120">
        <f>IFERROR(__xludf.DUMMYFUNCTION("""COMPUTED_VALUE"""),26706)</f>
        <v>26706</v>
      </c>
      <c r="O1423" s="1" t="str">
        <f>IFERROR(__xludf.DUMMYFUNCTION("""COMPUTED_VALUE"""),"Masculino")</f>
        <v>Masculino</v>
      </c>
      <c r="P1423" s="1" t="str">
        <f>IFERROR(__xludf.DUMMYFUNCTION("""COMPUTED_VALUE"""),"Morena")</f>
        <v>Morena</v>
      </c>
      <c r="Q1423" s="1" t="str">
        <f>IFERROR(__xludf.DUMMYFUNCTION("""COMPUTED_VALUE"""),"Ensino Médio")</f>
        <v>Ensino Médio</v>
      </c>
      <c r="R1423" s="1"/>
      <c r="S1423" s="1">
        <f>IFERROR(__xludf.DUMMYFUNCTION("""COMPUTED_VALUE"""),98)</f>
        <v>98</v>
      </c>
      <c r="T1423" s="1" t="str">
        <f>IFERROR(__xludf.DUMMYFUNCTION("""COMPUTED_VALUE"""),"Entre 1,76m e 1,80m")</f>
        <v>Entre 1,76m e 1,80m</v>
      </c>
      <c r="U1423" s="1">
        <f>IFERROR(__xludf.DUMMYFUNCTION("""COMPUTED_VALUE"""),55999875519)</f>
        <v>55999875519</v>
      </c>
      <c r="V1423" s="1">
        <f>IFERROR(__xludf.DUMMYFUNCTION("""COMPUTED_VALUE"""),55999875519)</f>
        <v>55999875519</v>
      </c>
      <c r="W1423" s="1">
        <f>IFERROR(__xludf.DUMMYFUNCTION("""COMPUTED_VALUE"""),55999875519)</f>
        <v>55999875519</v>
      </c>
      <c r="X1423" s="1" t="str">
        <f>IFERROR(__xludf.DUMMYFUNCTION("""COMPUTED_VALUE"""),"RIO GRANDE DO SUL")</f>
        <v>RIO GRANDE DO SUL</v>
      </c>
      <c r="Y1423" s="1" t="str">
        <f>IFERROR(__xludf.DUMMYFUNCTION("""COMPUTED_VALUE"""),"Santa Bárbara do Sul")</f>
        <v>Santa Bárbara do Sul</v>
      </c>
      <c r="Z1423" s="1">
        <f>IFERROR(__xludf.DUMMYFUNCTION("""COMPUTED_VALUE"""),98240000)</f>
        <v>98240000</v>
      </c>
      <c r="AA1423" s="1" t="str">
        <f>IFERROR(__xludf.DUMMYFUNCTION("""COMPUTED_VALUE"""),"Rua 1 de Maio 240")</f>
        <v>Rua 1 de Maio 240</v>
      </c>
      <c r="AB1423" s="1" t="str">
        <f>IFERROR(__xludf.DUMMYFUNCTION("""COMPUTED_VALUE"""),"Fatima")</f>
        <v>Fatima</v>
      </c>
      <c r="AC1423" s="1" t="str">
        <f>IFERROR(__xludf.DUMMYFUNCTION("""COMPUTED_VALUE"""),"GG")</f>
        <v>GG</v>
      </c>
      <c r="AD1423" s="1" t="str">
        <f>IFERROR(__xludf.DUMMYFUNCTION("""COMPUTED_VALUE"""),"GG")</f>
        <v>GG</v>
      </c>
      <c r="AE1423" s="1" t="str">
        <f>IFERROR(__xludf.DUMMYFUNCTION("""COMPUTED_VALUE"""),"GG")</f>
        <v>GG</v>
      </c>
      <c r="AF1423" s="1" t="str">
        <f>IFERROR(__xludf.DUMMYFUNCTION("""COMPUTED_VALUE"""),"GG")</f>
        <v>GG</v>
      </c>
      <c r="AG1423" s="1" t="str">
        <f>IFERROR(__xludf.DUMMYFUNCTION("""COMPUTED_VALUE"""),"GG")</f>
        <v>GG</v>
      </c>
      <c r="AH1423" s="1">
        <f>IFERROR(__xludf.DUMMYFUNCTION("""COMPUTED_VALUE"""),41)</f>
        <v>41</v>
      </c>
      <c r="AI1423" s="1">
        <f>IFERROR(__xludf.DUMMYFUNCTION("""COMPUTED_VALUE"""),39)</f>
        <v>39</v>
      </c>
      <c r="AJ1423" s="1">
        <f>IFERROR(__xludf.DUMMYFUNCTION("""COMPUTED_VALUE"""),41)</f>
        <v>41</v>
      </c>
      <c r="AK1423" s="1">
        <f>IFERROR(__xludf.DUMMYFUNCTION("""COMPUTED_VALUE"""),41)</f>
        <v>41</v>
      </c>
      <c r="AL1423" s="1" t="str">
        <f>IFERROR(__xludf.DUMMYFUNCTION("""COMPUTED_VALUE"""),"GG")</f>
        <v>GG</v>
      </c>
      <c r="AM1423" s="1" t="str">
        <f>IFERROR(__xludf.DUMMYFUNCTION("""COMPUTED_VALUE"""),"GG")</f>
        <v>GG</v>
      </c>
      <c r="AN1423" s="1" t="str">
        <f>IFERROR(__xludf.DUMMYFUNCTION("""COMPUTED_VALUE"""),"G")</f>
        <v>G</v>
      </c>
    </row>
    <row r="1424" customHeight="1" spans="1:40">
      <c r="A1424" s="1" t="str">
        <f>IFERROR(__xludf.DUMMYFUNCTION("""COMPUTED_VALUE"""),"12° BBM")</f>
        <v>12° BBM</v>
      </c>
      <c r="B1424" s="1" t="str">
        <f>IFERROR(__xludf.DUMMYFUNCTION("""COMPUTED_VALUE"""),"Salto do Jacuí")</f>
        <v>Salto do Jacuí</v>
      </c>
      <c r="C1424" s="119" t="str">
        <f>IFERROR(__xludf.DUMMYFUNCTION("""COMPUTED_VALUE"""),"CAB")</f>
        <v>CAB</v>
      </c>
      <c r="D1424" s="1" t="str">
        <f>IFERROR(__xludf.DUMMYFUNCTION("""COMPUTED_VALUE"""),"LEONI DE SOUZA ")</f>
        <v>LEONI DE SOUZA </v>
      </c>
      <c r="E1424" s="119"/>
      <c r="F1424" s="1" t="str">
        <f>IFERROR(__xludf.DUMMYFUNCTION("""COMPUTED_VALUE"""),"993.438.350-00")</f>
        <v>993.438.350-00</v>
      </c>
      <c r="G1424" s="1">
        <f>IFERROR(__xludf.DUMMYFUNCTION("""COMPUTED_VALUE"""),9086043412)</f>
        <v>9086043412</v>
      </c>
      <c r="H1424" s="1" t="str">
        <f>IFERROR(__xludf.DUMMYFUNCTION("""COMPUTED_VALUE"""),"Bombeiro Civil Voluntario")</f>
        <v>Bombeiro Civil Voluntario</v>
      </c>
      <c r="I1424" s="1" t="str">
        <f>IFERROR(__xludf.DUMMYFUNCTION("""COMPUTED_VALUE"""),"Curso de combate a incêndio fornecidos pelo Corpo de Bombeiros de Cruz Alta.")</f>
        <v>Curso de combate a incêndio fornecidos pelo Corpo de Bombeiros de Cruz Alta.</v>
      </c>
      <c r="J1424" s="1" t="str">
        <f>IFERROR(__xludf.DUMMYFUNCTION("""COMPUTED_VALUE"""),"Não")</f>
        <v>Não</v>
      </c>
      <c r="K1424" s="1" t="str">
        <f>IFERROR(__xludf.DUMMYFUNCTION("""COMPUTED_VALUE"""),"Não")</f>
        <v>Não</v>
      </c>
      <c r="L1424" s="1" t="str">
        <f>IFERROR(__xludf.DUMMYFUNCTION("""COMPUTED_VALUE"""),"O-")</f>
        <v>O-</v>
      </c>
      <c r="M1424" s="1" t="str">
        <f>IFERROR(__xludf.DUMMYFUNCTION("""COMPUTED_VALUE"""),"souza")</f>
        <v>souza</v>
      </c>
      <c r="N1424" s="120">
        <f>IFERROR(__xludf.DUMMYFUNCTION("""COMPUTED_VALUE"""),33660)</f>
        <v>33660</v>
      </c>
      <c r="O1424" s="1" t="str">
        <f>IFERROR(__xludf.DUMMYFUNCTION("""COMPUTED_VALUE"""),"Masculino")</f>
        <v>Masculino</v>
      </c>
      <c r="P1424" s="1" t="str">
        <f>IFERROR(__xludf.DUMMYFUNCTION("""COMPUTED_VALUE"""),"Branca")</f>
        <v>Branca</v>
      </c>
      <c r="Q1424" s="1" t="str">
        <f>IFERROR(__xludf.DUMMYFUNCTION("""COMPUTED_VALUE"""),"Ensino Médio")</f>
        <v>Ensino Médio</v>
      </c>
      <c r="R1424" s="1"/>
      <c r="S1424" s="1"/>
      <c r="T1424" s="1" t="str">
        <f>IFERROR(__xludf.DUMMYFUNCTION("""COMPUTED_VALUE"""),"Entre 1,61m e 1,65m")</f>
        <v>Entre 1,61m e 1,65m</v>
      </c>
      <c r="U1424" s="1"/>
      <c r="V1424" s="1"/>
      <c r="W1424" s="1"/>
      <c r="X1424" s="1" t="str">
        <f>IFERROR(__xludf.DUMMYFUNCTION("""COMPUTED_VALUE"""),"RS")</f>
        <v>RS</v>
      </c>
      <c r="Y1424" s="1" t="str">
        <f>IFERROR(__xludf.DUMMYFUNCTION("""COMPUTED_VALUE"""),"Salto do Jacuí")</f>
        <v>Salto do Jacuí</v>
      </c>
      <c r="Z1424" s="1"/>
      <c r="AA1424" s="1" t="str">
        <f>IFERROR(__xludf.DUMMYFUNCTION("""COMPUTED_VALUE"""),"aberbal sheimed nº 485")</f>
        <v>aberbal sheimed nº 485</v>
      </c>
      <c r="AB1424" s="1"/>
      <c r="AC1424" s="1" t="str">
        <f>IFERROR(__xludf.DUMMYFUNCTION("""COMPUTED_VALUE"""),"G")</f>
        <v>G</v>
      </c>
      <c r="AD1424" s="1" t="str">
        <f>IFERROR(__xludf.DUMMYFUNCTION("""COMPUTED_VALUE"""),"G")</f>
        <v>G</v>
      </c>
      <c r="AE1424" s="1" t="str">
        <f>IFERROR(__xludf.DUMMYFUNCTION("""COMPUTED_VALUE"""),"G")</f>
        <v>G</v>
      </c>
      <c r="AF1424" s="1" t="str">
        <f>IFERROR(__xludf.DUMMYFUNCTION("""COMPUTED_VALUE"""),"G")</f>
        <v>G</v>
      </c>
      <c r="AG1424" s="1" t="str">
        <f>IFERROR(__xludf.DUMMYFUNCTION("""COMPUTED_VALUE"""),"G")</f>
        <v>G</v>
      </c>
      <c r="AH1424" s="1">
        <f>IFERROR(__xludf.DUMMYFUNCTION("""COMPUTED_VALUE"""),39)</f>
        <v>39</v>
      </c>
      <c r="AI1424" s="1">
        <f>IFERROR(__xludf.DUMMYFUNCTION("""COMPUTED_VALUE"""),39)</f>
        <v>39</v>
      </c>
      <c r="AJ1424" s="1">
        <f>IFERROR(__xludf.DUMMYFUNCTION("""COMPUTED_VALUE"""),39)</f>
        <v>39</v>
      </c>
      <c r="AK1424" s="1">
        <f>IFERROR(__xludf.DUMMYFUNCTION("""COMPUTED_VALUE"""),39)</f>
        <v>39</v>
      </c>
      <c r="AL1424" s="1" t="str">
        <f>IFERROR(__xludf.DUMMYFUNCTION("""COMPUTED_VALUE"""),"M")</f>
        <v>M</v>
      </c>
      <c r="AM1424" s="1" t="str">
        <f>IFERROR(__xludf.DUMMYFUNCTION("""COMPUTED_VALUE"""),"M")</f>
        <v>M</v>
      </c>
      <c r="AN1424" s="1" t="str">
        <f>IFERROR(__xludf.DUMMYFUNCTION("""COMPUTED_VALUE"""),"M")</f>
        <v>M</v>
      </c>
    </row>
    <row r="1425" customHeight="1" spans="1:40">
      <c r="A1425" s="1" t="str">
        <f>IFERROR(__xludf.DUMMYFUNCTION("""COMPUTED_VALUE"""),"12° BBM")</f>
        <v>12° BBM</v>
      </c>
      <c r="B1425" s="1"/>
      <c r="C1425" s="119"/>
      <c r="D1425" s="1" t="str">
        <f>IFERROR(__xludf.DUMMYFUNCTION("""COMPUTED_VALUE"""),"LEONIR ANTONIO DANEZ")</f>
        <v>LEONIR ANTONIO DANEZ</v>
      </c>
      <c r="E1425" s="1" t="str">
        <f>IFERROR(__xludf.DUMMYFUNCTION("""COMPUTED_VALUE"""),"Módulo 1 concluído")</f>
        <v>Módulo 1 concluído</v>
      </c>
      <c r="F1425" s="1" t="str">
        <f>IFERROR(__xludf.DUMMYFUNCTION("""COMPUTED_VALUE"""),"603.015.620-91")</f>
        <v>603.015.620-91</v>
      </c>
      <c r="G1425" s="1"/>
      <c r="H1425" s="1"/>
      <c r="I1425" s="1"/>
      <c r="J1425" s="1"/>
      <c r="K1425" s="1"/>
      <c r="L1425" s="1"/>
      <c r="M1425" s="1"/>
      <c r="N1425" s="120"/>
      <c r="O1425" s="1"/>
      <c r="P1425" s="1"/>
      <c r="Q1425" s="1"/>
      <c r="R1425" s="1"/>
      <c r="S1425" s="1"/>
      <c r="T1425" s="1"/>
      <c r="U1425" s="1"/>
      <c r="V1425" s="1"/>
      <c r="W1425" s="1"/>
      <c r="X1425" s="1"/>
      <c r="Y1425" s="1"/>
      <c r="Z1425" s="1"/>
      <c r="AA1425" s="1"/>
      <c r="AB1425" s="1"/>
      <c r="AC1425" s="1"/>
      <c r="AD1425" s="1"/>
      <c r="AE1425" s="1"/>
      <c r="AF1425" s="1"/>
      <c r="AG1425" s="1"/>
      <c r="AH1425" s="1"/>
      <c r="AI1425" s="1"/>
      <c r="AJ1425" s="1"/>
      <c r="AK1425" s="1"/>
      <c r="AL1425" s="1"/>
      <c r="AM1425" s="1"/>
      <c r="AN1425" s="1"/>
    </row>
    <row r="1426" customHeight="1" spans="1:40">
      <c r="A1426" s="1" t="str">
        <f>IFERROR(__xludf.DUMMYFUNCTION("""COMPUTED_VALUE"""),"12° BBM")</f>
        <v>12° BBM</v>
      </c>
      <c r="B1426" s="1" t="str">
        <f>IFERROR(__xludf.DUMMYFUNCTION("""COMPUTED_VALUE"""),"Salto do Jacuí")</f>
        <v>Salto do Jacuí</v>
      </c>
      <c r="C1426" s="119" t="str">
        <f>IFERROR(__xludf.DUMMYFUNCTION("""COMPUTED_VALUE"""),"CAB")</f>
        <v>CAB</v>
      </c>
      <c r="D1426" s="1" t="str">
        <f>IFERROR(__xludf.DUMMYFUNCTION("""COMPUTED_VALUE"""),"LEONIR DA SILVA PEREIRA ")</f>
        <v>LEONIR DA SILVA PEREIRA </v>
      </c>
      <c r="E1426" s="119" t="str">
        <f>IFERROR(__xludf.DUMMYFUNCTION("""COMPUTED_VALUE"""),"")</f>
        <v/>
      </c>
      <c r="F1426" s="1" t="str">
        <f>IFERROR(__xludf.DUMMYFUNCTION("""COMPUTED_VALUE"""),"985.800.190-87")</f>
        <v>985.800.190-87</v>
      </c>
      <c r="G1426" s="1">
        <f>IFERROR(__xludf.DUMMYFUNCTION("""COMPUTED_VALUE"""),7081945433)</f>
        <v>7081945433</v>
      </c>
      <c r="H1426" s="1" t="str">
        <f>IFERROR(__xludf.DUMMYFUNCTION("""COMPUTED_VALUE"""),"Bombeiro Civil Voluntario")</f>
        <v>Bombeiro Civil Voluntario</v>
      </c>
      <c r="I1426" s="1" t="str">
        <f>IFERROR(__xludf.DUMMYFUNCTION("""COMPUTED_VALUE"""),"Curso de combate a incêndio fornecidos pelo Corpo de Bombeiros de Cruz Alta")</f>
        <v>Curso de combate a incêndio fornecidos pelo Corpo de Bombeiros de Cruz Alta</v>
      </c>
      <c r="J1426" s="1" t="str">
        <f>IFERROR(__xludf.DUMMYFUNCTION("""COMPUTED_VALUE"""),"Não")</f>
        <v>Não</v>
      </c>
      <c r="K1426" s="1" t="str">
        <f>IFERROR(__xludf.DUMMYFUNCTION("""COMPUTED_VALUE"""),"Não")</f>
        <v>Não</v>
      </c>
      <c r="L1426" s="1" t="str">
        <f>IFERROR(__xludf.DUMMYFUNCTION("""COMPUTED_VALUE"""),"O+")</f>
        <v>O+</v>
      </c>
      <c r="M1426" s="1" t="str">
        <f>IFERROR(__xludf.DUMMYFUNCTION("""COMPUTED_VALUE"""),"pereira")</f>
        <v>pereira</v>
      </c>
      <c r="N1426" s="120">
        <f>IFERROR(__xludf.DUMMYFUNCTION("""COMPUTED_VALUE"""),29334)</f>
        <v>29334</v>
      </c>
      <c r="O1426" s="1" t="str">
        <f>IFERROR(__xludf.DUMMYFUNCTION("""COMPUTED_VALUE"""),"Masculino")</f>
        <v>Masculino</v>
      </c>
      <c r="P1426" s="1" t="str">
        <f>IFERROR(__xludf.DUMMYFUNCTION("""COMPUTED_VALUE"""),"Branca")</f>
        <v>Branca</v>
      </c>
      <c r="Q1426" s="1"/>
      <c r="R1426" s="1"/>
      <c r="S1426" s="1"/>
      <c r="T1426" s="1" t="str">
        <f>IFERROR(__xludf.DUMMYFUNCTION("""COMPUTED_VALUE"""),"Entre 1,76m e 1,80m")</f>
        <v>Entre 1,76m e 1,80m</v>
      </c>
      <c r="U1426" s="1"/>
      <c r="V1426" s="1"/>
      <c r="W1426" s="1"/>
      <c r="X1426" s="1" t="str">
        <f>IFERROR(__xludf.DUMMYFUNCTION("""COMPUTED_VALUE"""),"RS")</f>
        <v>RS</v>
      </c>
      <c r="Y1426" s="1" t="str">
        <f>IFERROR(__xludf.DUMMYFUNCTION("""COMPUTED_VALUE"""),"Salto do Jacuí")</f>
        <v>Salto do Jacuí</v>
      </c>
      <c r="Z1426" s="1"/>
      <c r="AA1426" s="1"/>
      <c r="AB1426" s="1"/>
      <c r="AC1426" s="1" t="str">
        <f>IFERROR(__xludf.DUMMYFUNCTION("""COMPUTED_VALUE"""),"G")</f>
        <v>G</v>
      </c>
      <c r="AD1426" s="1" t="str">
        <f>IFERROR(__xludf.DUMMYFUNCTION("""COMPUTED_VALUE"""),"G")</f>
        <v>G</v>
      </c>
      <c r="AE1426" s="1" t="str">
        <f>IFERROR(__xludf.DUMMYFUNCTION("""COMPUTED_VALUE"""),"G")</f>
        <v>G</v>
      </c>
      <c r="AF1426" s="1" t="str">
        <f>IFERROR(__xludf.DUMMYFUNCTION("""COMPUTED_VALUE"""),"G")</f>
        <v>G</v>
      </c>
      <c r="AG1426" s="1" t="str">
        <f>IFERROR(__xludf.DUMMYFUNCTION("""COMPUTED_VALUE"""),"GG")</f>
        <v>GG</v>
      </c>
      <c r="AH1426" s="1">
        <f>IFERROR(__xludf.DUMMYFUNCTION("""COMPUTED_VALUE"""),40)</f>
        <v>40</v>
      </c>
      <c r="AI1426" s="1">
        <f>IFERROR(__xludf.DUMMYFUNCTION("""COMPUTED_VALUE"""),40)</f>
        <v>40</v>
      </c>
      <c r="AJ1426" s="1">
        <f>IFERROR(__xludf.DUMMYFUNCTION("""COMPUTED_VALUE"""),40)</f>
        <v>40</v>
      </c>
      <c r="AK1426" s="1">
        <f>IFERROR(__xludf.DUMMYFUNCTION("""COMPUTED_VALUE"""),40)</f>
        <v>40</v>
      </c>
      <c r="AL1426" s="1" t="str">
        <f>IFERROR(__xludf.DUMMYFUNCTION("""COMPUTED_VALUE"""),"G")</f>
        <v>G</v>
      </c>
      <c r="AM1426" s="1" t="str">
        <f>IFERROR(__xludf.DUMMYFUNCTION("""COMPUTED_VALUE"""),"G")</f>
        <v>G</v>
      </c>
      <c r="AN1426" s="1" t="str">
        <f>IFERROR(__xludf.DUMMYFUNCTION("""COMPUTED_VALUE"""),"G")</f>
        <v>G</v>
      </c>
    </row>
    <row r="1427" customHeight="1" spans="1:40">
      <c r="A1427" s="1" t="str">
        <f>IFERROR(__xludf.DUMMYFUNCTION("""COMPUTED_VALUE"""),"12° BBM")</f>
        <v>12° BBM</v>
      </c>
      <c r="B1427" s="1" t="str">
        <f>IFERROR(__xludf.DUMMYFUNCTION("""COMPUTED_VALUE"""),"Salto do Jacuí")</f>
        <v>Salto do Jacuí</v>
      </c>
      <c r="C1427" s="119" t="str">
        <f>IFERROR(__xludf.DUMMYFUNCTION("""COMPUTED_VALUE"""),"CAB")</f>
        <v>CAB</v>
      </c>
      <c r="D1427" s="1" t="str">
        <f>IFERROR(__xludf.DUMMYFUNCTION("""COMPUTED_VALUE"""),"LUCIANO RAMOS BARROS ")</f>
        <v>LUCIANO RAMOS BARROS </v>
      </c>
      <c r="E1427" s="119" t="str">
        <f>IFERROR(__xludf.DUMMYFUNCTION("""COMPUTED_VALUE"""),"")</f>
        <v/>
      </c>
      <c r="F1427" s="1" t="str">
        <f>IFERROR(__xludf.DUMMYFUNCTION("""COMPUTED_VALUE"""),"980.204.710-49")</f>
        <v>980.204.710-49</v>
      </c>
      <c r="G1427" s="1">
        <f>IFERROR(__xludf.DUMMYFUNCTION("""COMPUTED_VALUE"""),9054875101)</f>
        <v>9054875101</v>
      </c>
      <c r="H1427" s="1" t="str">
        <f>IFERROR(__xludf.DUMMYFUNCTION("""COMPUTED_VALUE"""),"Bombeiro Civil Voluntario")</f>
        <v>Bombeiro Civil Voluntario</v>
      </c>
      <c r="I1427" s="1" t="str">
        <f>IFERROR(__xludf.DUMMYFUNCTION("""COMPUTED_VALUE"""),"Curso de combate a incêndio fornecidos pelo Corpo de Bombeiros de Cruz Alta")</f>
        <v>Curso de combate a incêndio fornecidos pelo Corpo de Bombeiros de Cruz Alta</v>
      </c>
      <c r="J1427" s="1" t="str">
        <f>IFERROR(__xludf.DUMMYFUNCTION("""COMPUTED_VALUE"""),"Não")</f>
        <v>Não</v>
      </c>
      <c r="K1427" s="1" t="str">
        <f>IFERROR(__xludf.DUMMYFUNCTION("""COMPUTED_VALUE"""),"Não")</f>
        <v>Não</v>
      </c>
      <c r="L1427" s="1" t="str">
        <f>IFERROR(__xludf.DUMMYFUNCTION("""COMPUTED_VALUE"""),"O+")</f>
        <v>O+</v>
      </c>
      <c r="M1427" s="1" t="str">
        <f>IFERROR(__xludf.DUMMYFUNCTION("""COMPUTED_VALUE"""),"barros")</f>
        <v>barros</v>
      </c>
      <c r="N1427" s="121">
        <f>IFERROR(__xludf.DUMMYFUNCTION("""COMPUTED_VALUE"""),28366)</f>
        <v>28366</v>
      </c>
      <c r="O1427" s="1" t="str">
        <f>IFERROR(__xludf.DUMMYFUNCTION("""COMPUTED_VALUE"""),"Masculino")</f>
        <v>Masculino</v>
      </c>
      <c r="P1427" s="1" t="str">
        <f>IFERROR(__xludf.DUMMYFUNCTION("""COMPUTED_VALUE"""),"Morena")</f>
        <v>Morena</v>
      </c>
      <c r="Q1427" s="1" t="str">
        <f>IFERROR(__xludf.DUMMYFUNCTION("""COMPUTED_VALUE"""),"Ensino Superior Completo")</f>
        <v>Ensino Superior Completo</v>
      </c>
      <c r="R1427" s="1"/>
      <c r="S1427" s="1"/>
      <c r="T1427" s="1" t="str">
        <f>IFERROR(__xludf.DUMMYFUNCTION("""COMPUTED_VALUE"""),"Entre 1,76m e 1,80m")</f>
        <v>Entre 1,76m e 1,80m</v>
      </c>
      <c r="U1427" s="1"/>
      <c r="V1427" s="1"/>
      <c r="W1427" s="1"/>
      <c r="X1427" s="1" t="str">
        <f>IFERROR(__xludf.DUMMYFUNCTION("""COMPUTED_VALUE"""),"RS")</f>
        <v>RS</v>
      </c>
      <c r="Y1427" s="1" t="str">
        <f>IFERROR(__xludf.DUMMYFUNCTION("""COMPUTED_VALUE"""),"Salto do Jacuí")</f>
        <v>Salto do Jacuí</v>
      </c>
      <c r="Z1427" s="1"/>
      <c r="AA1427" s="1"/>
      <c r="AB1427" s="1"/>
      <c r="AC1427" s="1" t="str">
        <f>IFERROR(__xludf.DUMMYFUNCTION("""COMPUTED_VALUE"""),"GG")</f>
        <v>GG</v>
      </c>
      <c r="AD1427" s="1" t="str">
        <f>IFERROR(__xludf.DUMMYFUNCTION("""COMPUTED_VALUE"""),"GG")</f>
        <v>GG</v>
      </c>
      <c r="AE1427" s="1" t="str">
        <f>IFERROR(__xludf.DUMMYFUNCTION("""COMPUTED_VALUE"""),"GG")</f>
        <v>GG</v>
      </c>
      <c r="AF1427" s="1" t="str">
        <f>IFERROR(__xludf.DUMMYFUNCTION("""COMPUTED_VALUE"""),"GG")</f>
        <v>GG</v>
      </c>
      <c r="AG1427" s="1" t="str">
        <f>IFERROR(__xludf.DUMMYFUNCTION("""COMPUTED_VALUE"""),"GG")</f>
        <v>GG</v>
      </c>
      <c r="AH1427" s="1">
        <f>IFERROR(__xludf.DUMMYFUNCTION("""COMPUTED_VALUE"""),40)</f>
        <v>40</v>
      </c>
      <c r="AI1427" s="1">
        <f>IFERROR(__xludf.DUMMYFUNCTION("""COMPUTED_VALUE"""),40)</f>
        <v>40</v>
      </c>
      <c r="AJ1427" s="1">
        <f>IFERROR(__xludf.DUMMYFUNCTION("""COMPUTED_VALUE"""),40)</f>
        <v>40</v>
      </c>
      <c r="AK1427" s="1">
        <f>IFERROR(__xludf.DUMMYFUNCTION("""COMPUTED_VALUE"""),40)</f>
        <v>40</v>
      </c>
      <c r="AL1427" s="1" t="str">
        <f>IFERROR(__xludf.DUMMYFUNCTION("""COMPUTED_VALUE"""),"G")</f>
        <v>G</v>
      </c>
      <c r="AM1427" s="1" t="str">
        <f>IFERROR(__xludf.DUMMYFUNCTION("""COMPUTED_VALUE"""),"GG")</f>
        <v>GG</v>
      </c>
      <c r="AN1427" s="1" t="str">
        <f>IFERROR(__xludf.DUMMYFUNCTION("""COMPUTED_VALUE"""),"G")</f>
        <v>G</v>
      </c>
    </row>
    <row r="1428" customHeight="1" spans="1:40">
      <c r="A1428" s="1" t="str">
        <f>IFERROR(__xludf.DUMMYFUNCTION("""COMPUTED_VALUE"""),"12° BBM")</f>
        <v>12° BBM</v>
      </c>
      <c r="B1428" s="1"/>
      <c r="C1428" s="119"/>
      <c r="D1428" s="1" t="str">
        <f>IFERROR(__xludf.DUMMYFUNCTION("""COMPUTED_VALUE"""),"LUCIANO RIBAS")</f>
        <v>LUCIANO RIBAS</v>
      </c>
      <c r="E1428" s="1" t="str">
        <f>IFERROR(__xludf.DUMMYFUNCTION("""COMPUTED_VALUE"""),"Módulo 1 concluído")</f>
        <v>Módulo 1 concluído</v>
      </c>
      <c r="F1428" s="1" t="str">
        <f>IFERROR(__xludf.DUMMYFUNCTION("""COMPUTED_VALUE"""),"685.757.260-72")</f>
        <v>685.757.260-72</v>
      </c>
      <c r="G1428" s="1"/>
      <c r="H1428" s="1"/>
      <c r="I1428" s="1"/>
      <c r="J1428" s="1"/>
      <c r="K1428" s="1"/>
      <c r="L1428" s="1"/>
      <c r="M1428" s="1"/>
      <c r="N1428" s="120"/>
      <c r="O1428" s="1"/>
      <c r="P1428" s="1"/>
      <c r="Q1428" s="1"/>
      <c r="R1428" s="1"/>
      <c r="S1428" s="1"/>
      <c r="T1428" s="1"/>
      <c r="U1428" s="1"/>
      <c r="V1428" s="1"/>
      <c r="W1428" s="1"/>
      <c r="X1428" s="1"/>
      <c r="Y1428" s="1"/>
      <c r="Z1428" s="1"/>
      <c r="AA1428" s="1"/>
      <c r="AB1428" s="1"/>
      <c r="AC1428" s="1"/>
      <c r="AD1428" s="1"/>
      <c r="AE1428" s="1"/>
      <c r="AF1428" s="1"/>
      <c r="AG1428" s="1"/>
      <c r="AH1428" s="1"/>
      <c r="AI1428" s="1"/>
      <c r="AJ1428" s="1"/>
      <c r="AK1428" s="1"/>
      <c r="AL1428" s="1"/>
      <c r="AM1428" s="1"/>
      <c r="AN1428" s="1"/>
    </row>
    <row r="1429" customHeight="1" spans="1:40">
      <c r="A1429" s="1" t="str">
        <f>IFERROR(__xludf.DUMMYFUNCTION("""COMPUTED_VALUE"""),"12° BBM")</f>
        <v>12° BBM</v>
      </c>
      <c r="B1429" s="1" t="str">
        <f>IFERROR(__xludf.DUMMYFUNCTION("""COMPUTED_VALUE"""),"Ibirubá")</f>
        <v>Ibirubá</v>
      </c>
      <c r="C1429" s="119" t="str">
        <f>IFERROR(__xludf.DUMMYFUNCTION("""COMPUTED_VALUE"""),"Comunitario")</f>
        <v>Comunitario</v>
      </c>
      <c r="D1429" s="1" t="str">
        <f>IFERROR(__xludf.DUMMYFUNCTION("""COMPUTED_VALUE"""),"LUIS EDUARDO DE ANDRADE")</f>
        <v>LUIS EDUARDO DE ANDRADE</v>
      </c>
      <c r="E1429" s="119" t="str">
        <f>IFERROR(__xludf.DUMMYFUNCTION("""COMPUTED_VALUE"""),"Curso CAB operador concluído")</f>
        <v>Curso CAB operador concluído</v>
      </c>
      <c r="F1429" s="1" t="str">
        <f>IFERROR(__xludf.DUMMYFUNCTION("""COMPUTED_VALUE"""),"949.174.850-53")</f>
        <v>949.174.850-53</v>
      </c>
      <c r="G1429" s="1">
        <f>IFERROR(__xludf.DUMMYFUNCTION("""COMPUTED_VALUE"""),7054353391)</f>
        <v>7054353391</v>
      </c>
      <c r="H1429" s="1" t="str">
        <f>IFERROR(__xludf.DUMMYFUNCTION("""COMPUTED_VALUE"""),"Combatente, socorrista, telefonista e CVE")</f>
        <v>Combatente, socorrista, telefonista e CVE</v>
      </c>
      <c r="I1429" s="1" t="str">
        <f>IFERROR(__xludf.DUMMYFUNCTION("""COMPUTED_VALUE"""),"CVE, CONDUTOR CAT D, APH, SBV, TÉC E TÁTICA DE COMBATE A INCÊNDIO, ARRAIS AMADOR")</f>
        <v>CVE, CONDUTOR CAT D, APH, SBV, TÉC E TÁTICA DE COMBATE A INCÊNDIO, ARRAIS AMADOR</v>
      </c>
      <c r="J1429" s="1" t="str">
        <f>IFERROR(__xludf.DUMMYFUNCTION("""COMPUTED_VALUE"""),"Sim")</f>
        <v>Sim</v>
      </c>
      <c r="K1429" s="1" t="str">
        <f>IFERROR(__xludf.DUMMYFUNCTION("""COMPUTED_VALUE"""),"Sim")</f>
        <v>Sim</v>
      </c>
      <c r="L1429" s="1" t="str">
        <f>IFERROR(__xludf.DUMMYFUNCTION("""COMPUTED_VALUE"""),"A+")</f>
        <v>A+</v>
      </c>
      <c r="M1429" s="1" t="str">
        <f>IFERROR(__xludf.DUMMYFUNCTION("""COMPUTED_VALUE"""),"Eduardo")</f>
        <v>Eduardo</v>
      </c>
      <c r="N1429" s="120">
        <f>IFERROR(__xludf.DUMMYFUNCTION("""COMPUTED_VALUE"""),27268)</f>
        <v>27268</v>
      </c>
      <c r="O1429" s="1" t="str">
        <f>IFERROR(__xludf.DUMMYFUNCTION("""COMPUTED_VALUE"""),"Masculino")</f>
        <v>Masculino</v>
      </c>
      <c r="P1429" s="1" t="str">
        <f>IFERROR(__xludf.DUMMYFUNCTION("""COMPUTED_VALUE"""),"Branca")</f>
        <v>Branca</v>
      </c>
      <c r="Q1429" s="1" t="str">
        <f>IFERROR(__xludf.DUMMYFUNCTION("""COMPUTED_VALUE"""),"Ensino Superior Completo")</f>
        <v>Ensino Superior Completo</v>
      </c>
      <c r="R1429" s="1" t="str">
        <f>IFERROR(__xludf.DUMMYFUNCTION("""COMPUTED_VALUE"""),"dududeandrade@yahoo.com")</f>
        <v>dududeandrade@yahoo.com</v>
      </c>
      <c r="S1429" s="1">
        <f>IFERROR(__xludf.DUMMYFUNCTION("""COMPUTED_VALUE"""),130)</f>
        <v>130</v>
      </c>
      <c r="T1429" s="1" t="str">
        <f>IFERROR(__xludf.DUMMYFUNCTION("""COMPUTED_VALUE"""),"Entre 1,76m e 1,80m")</f>
        <v>Entre 1,76m e 1,80m</v>
      </c>
      <c r="U1429" s="1"/>
      <c r="V1429" s="1" t="str">
        <f>IFERROR(__xludf.DUMMYFUNCTION("""COMPUTED_VALUE"""),"(54) 99982-1455")</f>
        <v>(54) 99982-1455</v>
      </c>
      <c r="W1429" s="1" t="str">
        <f>IFERROR(__xludf.DUMMYFUNCTION("""COMPUTED_VALUE"""),"(54) 996127634")</f>
        <v>(54) 996127634</v>
      </c>
      <c r="X1429" s="1" t="str">
        <f>IFERROR(__xludf.DUMMYFUNCTION("""COMPUTED_VALUE"""),"RIO GRANDE DO SUL")</f>
        <v>RIO GRANDE DO SUL</v>
      </c>
      <c r="Y1429" s="1" t="str">
        <f>IFERROR(__xludf.DUMMYFUNCTION("""COMPUTED_VALUE"""),"Ibirubá")</f>
        <v>Ibirubá</v>
      </c>
      <c r="Z1429" s="1" t="str">
        <f>IFERROR(__xludf.DUMMYFUNCTION("""COMPUTED_VALUE"""),"98200-000")</f>
        <v>98200-000</v>
      </c>
      <c r="AA1429" s="1" t="str">
        <f>IFERROR(__xludf.DUMMYFUNCTION("""COMPUTED_VALUE"""),"Rua Santos Dumont, 101")</f>
        <v>Rua Santos Dumont, 101</v>
      </c>
      <c r="AB1429" s="1" t="str">
        <f>IFERROR(__xludf.DUMMYFUNCTION("""COMPUTED_VALUE"""),"Floresta")</f>
        <v>Floresta</v>
      </c>
      <c r="AC1429" s="1" t="str">
        <f>IFERROR(__xludf.DUMMYFUNCTION("""COMPUTED_VALUE"""),"EXG")</f>
        <v>EXG</v>
      </c>
      <c r="AD1429" s="1" t="str">
        <f>IFERROR(__xludf.DUMMYFUNCTION("""COMPUTED_VALUE"""),"EXG")</f>
        <v>EXG</v>
      </c>
      <c r="AE1429" s="1" t="str">
        <f>IFERROR(__xludf.DUMMYFUNCTION("""COMPUTED_VALUE"""),"EXG")</f>
        <v>EXG</v>
      </c>
      <c r="AF1429" s="1" t="str">
        <f>IFERROR(__xludf.DUMMYFUNCTION("""COMPUTED_VALUE"""),"EXG")</f>
        <v>EXG</v>
      </c>
      <c r="AG1429" s="1" t="str">
        <f>IFERROR(__xludf.DUMMYFUNCTION("""COMPUTED_VALUE"""),"EXG")</f>
        <v>EXG</v>
      </c>
      <c r="AH1429" s="1">
        <f>IFERROR(__xludf.DUMMYFUNCTION("""COMPUTED_VALUE"""),44)</f>
        <v>44</v>
      </c>
      <c r="AI1429" s="1">
        <f>IFERROR(__xludf.DUMMYFUNCTION("""COMPUTED_VALUE"""),44)</f>
        <v>44</v>
      </c>
      <c r="AJ1429" s="1">
        <f>IFERROR(__xludf.DUMMYFUNCTION("""COMPUTED_VALUE"""),44)</f>
        <v>44</v>
      </c>
      <c r="AK1429" s="1">
        <f>IFERROR(__xludf.DUMMYFUNCTION("""COMPUTED_VALUE"""),44)</f>
        <v>44</v>
      </c>
      <c r="AL1429" s="1" t="str">
        <f>IFERROR(__xludf.DUMMYFUNCTION("""COMPUTED_VALUE"""),"EXG")</f>
        <v>EXG</v>
      </c>
      <c r="AM1429" s="1" t="str">
        <f>IFERROR(__xludf.DUMMYFUNCTION("""COMPUTED_VALUE"""),"EXG")</f>
        <v>EXG</v>
      </c>
      <c r="AN1429" s="1" t="str">
        <f>IFERROR(__xludf.DUMMYFUNCTION("""COMPUTED_VALUE"""),"EXG")</f>
        <v>EXG</v>
      </c>
    </row>
    <row r="1430" customHeight="1" spans="1:40">
      <c r="A1430" s="1" t="str">
        <f>IFERROR(__xludf.DUMMYFUNCTION("""COMPUTED_VALUE"""),"12° BBM")</f>
        <v>12° BBM</v>
      </c>
      <c r="B1430" s="1" t="str">
        <f>IFERROR(__xludf.DUMMYFUNCTION("""COMPUTED_VALUE"""),"Ajuricaba")</f>
        <v>Ajuricaba</v>
      </c>
      <c r="C1430" s="119" t="str">
        <f>IFERROR(__xludf.DUMMYFUNCTION("""COMPUTED_VALUE"""),"CAB")</f>
        <v>CAB</v>
      </c>
      <c r="D1430" s="1" t="str">
        <f>IFERROR(__xludf.DUMMYFUNCTION("""COMPUTED_VALUE"""),"MAILSON DOS SANTOS")</f>
        <v>MAILSON DOS SANTOS</v>
      </c>
      <c r="E1430" s="119" t="str">
        <f>IFERROR(__xludf.DUMMYFUNCTION("""COMPUTED_VALUE"""),"")</f>
        <v/>
      </c>
      <c r="F1430" s="1" t="str">
        <f>IFERROR(__xludf.DUMMYFUNCTION("""COMPUTED_VALUE"""),"006.118.800-08")</f>
        <v>006.118.800-08</v>
      </c>
      <c r="G1430" s="1">
        <f>IFERROR(__xludf.DUMMYFUNCTION("""COMPUTED_VALUE"""),7083567367)</f>
        <v>7083567367</v>
      </c>
      <c r="H1430" s="1" t="str">
        <f>IFERROR(__xludf.DUMMYFUNCTION("""COMPUTED_VALUE"""),"OPERADOR DE MÁQUINAS")</f>
        <v>OPERADOR DE MÁQUINAS</v>
      </c>
      <c r="I1430" s="1" t="str">
        <f>IFERROR(__xludf.DUMMYFUNCTION("""COMPUTED_VALUE"""),"nocoes basicas/combate/ABT")</f>
        <v>nocoes basicas/combate/ABT</v>
      </c>
      <c r="J1430" s="1" t="str">
        <f>IFERROR(__xludf.DUMMYFUNCTION("""COMPUTED_VALUE"""),"Não")</f>
        <v>Não</v>
      </c>
      <c r="K1430" s="1" t="str">
        <f>IFERROR(__xludf.DUMMYFUNCTION("""COMPUTED_VALUE"""),"Não")</f>
        <v>Não</v>
      </c>
      <c r="L1430" s="1" t="str">
        <f>IFERROR(__xludf.DUMMYFUNCTION("""COMPUTED_VALUE"""),"O+")</f>
        <v>O+</v>
      </c>
      <c r="M1430" s="1" t="str">
        <f>IFERROR(__xludf.DUMMYFUNCTION("""COMPUTED_VALUE"""),"Mailson")</f>
        <v>Mailson</v>
      </c>
      <c r="N1430" s="1"/>
      <c r="O1430" s="1" t="str">
        <f>IFERROR(__xludf.DUMMYFUNCTION("""COMPUTED_VALUE"""),"Masculino")</f>
        <v>Masculino</v>
      </c>
      <c r="P1430" s="1"/>
      <c r="Q1430" s="1" t="str">
        <f>IFERROR(__xludf.DUMMYFUNCTION("""COMPUTED_VALUE"""),"Ensino Médio")</f>
        <v>Ensino Médio</v>
      </c>
      <c r="R1430" s="1" t="str">
        <f>IFERROR(__xludf.DUMMYFUNCTION("""COMPUTED_VALUE"""),"mailsondossantos1984@gmail.com")</f>
        <v>mailsondossantos1984@gmail.com</v>
      </c>
      <c r="S1430" s="1" t="str">
        <f>IFERROR(__xludf.DUMMYFUNCTION("""COMPUTED_VALUE"""),"100kg")</f>
        <v>100kg</v>
      </c>
      <c r="T1430" s="1" t="str">
        <f>IFERROR(__xludf.DUMMYFUNCTION("""COMPUTED_VALUE"""),"Mais de 1,96m")</f>
        <v>Mais de 1,96m</v>
      </c>
      <c r="U1430" s="1"/>
      <c r="V1430" s="1" t="str">
        <f>IFERROR(__xludf.DUMMYFUNCTION("""COMPUTED_VALUE"""),"(55) 99971-4825")</f>
        <v>(55) 99971-4825</v>
      </c>
      <c r="W1430" s="1"/>
      <c r="X1430" s="1" t="str">
        <f>IFERROR(__xludf.DUMMYFUNCTION("""COMPUTED_VALUE"""),"RS")</f>
        <v>RS</v>
      </c>
      <c r="Y1430" s="1" t="str">
        <f>IFERROR(__xludf.DUMMYFUNCTION("""COMPUTED_VALUE"""),"Ajuricaba")</f>
        <v>Ajuricaba</v>
      </c>
      <c r="Z1430" s="1" t="str">
        <f>IFERROR(__xludf.DUMMYFUNCTION("""COMPUTED_VALUE"""),"98750-000")</f>
        <v>98750-000</v>
      </c>
      <c r="AA1430" s="1" t="str">
        <f>IFERROR(__xludf.DUMMYFUNCTION("""COMPUTED_VALUE"""),"Rua BC da Praça")</f>
        <v>Rua BC da Praça</v>
      </c>
      <c r="AB1430" s="1" t="str">
        <f>IFERROR(__xludf.DUMMYFUNCTION("""COMPUTED_VALUE"""),"Planalto")</f>
        <v>Planalto</v>
      </c>
      <c r="AC1430" s="1" t="str">
        <f>IFERROR(__xludf.DUMMYFUNCTION("""COMPUTED_VALUE"""),"EXG")</f>
        <v>EXG</v>
      </c>
      <c r="AD1430" s="1" t="str">
        <f>IFERROR(__xludf.DUMMYFUNCTION("""COMPUTED_VALUE"""),"EXG")</f>
        <v>EXG</v>
      </c>
      <c r="AE1430" s="1" t="str">
        <f>IFERROR(__xludf.DUMMYFUNCTION("""COMPUTED_VALUE"""),"EXG")</f>
        <v>EXG</v>
      </c>
      <c r="AF1430" s="1" t="str">
        <f>IFERROR(__xludf.DUMMYFUNCTION("""COMPUTED_VALUE"""),"EXG")</f>
        <v>EXG</v>
      </c>
      <c r="AG1430" s="1" t="str">
        <f>IFERROR(__xludf.DUMMYFUNCTION("""COMPUTED_VALUE"""),"EXG")</f>
        <v>EXG</v>
      </c>
      <c r="AH1430" s="1">
        <f>IFERROR(__xludf.DUMMYFUNCTION("""COMPUTED_VALUE"""),43)</f>
        <v>43</v>
      </c>
      <c r="AI1430" s="1"/>
      <c r="AJ1430" s="1">
        <f>IFERROR(__xludf.DUMMYFUNCTION("""COMPUTED_VALUE"""),43)</f>
        <v>43</v>
      </c>
      <c r="AK1430" s="1">
        <f>IFERROR(__xludf.DUMMYFUNCTION("""COMPUTED_VALUE"""),44)</f>
        <v>44</v>
      </c>
      <c r="AL1430" s="1" t="str">
        <f>IFERROR(__xludf.DUMMYFUNCTION("""COMPUTED_VALUE"""),"EXG")</f>
        <v>EXG</v>
      </c>
      <c r="AM1430" s="1" t="str">
        <f>IFERROR(__xludf.DUMMYFUNCTION("""COMPUTED_VALUE"""),"EXG")</f>
        <v>EXG</v>
      </c>
      <c r="AN1430" s="1" t="str">
        <f>IFERROR(__xludf.DUMMYFUNCTION("""COMPUTED_VALUE"""),"G")</f>
        <v>G</v>
      </c>
    </row>
    <row r="1431" customHeight="1" spans="1:40">
      <c r="A1431" s="1" t="str">
        <f>IFERROR(__xludf.DUMMYFUNCTION("""COMPUTED_VALUE"""),"12° BBM")</f>
        <v>12° BBM</v>
      </c>
      <c r="B1431" s="1"/>
      <c r="C1431" s="119"/>
      <c r="D1431" s="1" t="str">
        <f>IFERROR(__xludf.DUMMYFUNCTION("""COMPUTED_VALUE"""),"MARCELO BENDER")</f>
        <v>MARCELO BENDER</v>
      </c>
      <c r="E1431" s="1" t="str">
        <f>IFERROR(__xludf.DUMMYFUNCTION("""COMPUTED_VALUE"""),"Módulo 1 concluído")</f>
        <v>Módulo 1 concluído</v>
      </c>
      <c r="F1431" s="1" t="str">
        <f>IFERROR(__xludf.DUMMYFUNCTION("""COMPUTED_VALUE"""),"773.551.560-04")</f>
        <v>773.551.560-04</v>
      </c>
      <c r="G1431" s="1"/>
      <c r="H1431" s="1"/>
      <c r="I1431" s="1"/>
      <c r="J1431" s="1"/>
      <c r="K1431" s="1"/>
      <c r="L1431" s="1"/>
      <c r="M1431" s="1"/>
      <c r="N1431" s="120"/>
      <c r="O1431" s="1"/>
      <c r="P1431" s="1"/>
      <c r="Q1431" s="1"/>
      <c r="R1431" s="1"/>
      <c r="S1431" s="1"/>
      <c r="T1431" s="1"/>
      <c r="U1431" s="1"/>
      <c r="V1431" s="1"/>
      <c r="W1431" s="1"/>
      <c r="X1431" s="1"/>
      <c r="Y1431" s="1"/>
      <c r="Z1431" s="1"/>
      <c r="AA1431" s="1"/>
      <c r="AB1431" s="1"/>
      <c r="AC1431" s="1"/>
      <c r="AD1431" s="1"/>
      <c r="AE1431" s="1"/>
      <c r="AF1431" s="1"/>
      <c r="AG1431" s="1"/>
      <c r="AH1431" s="1"/>
      <c r="AI1431" s="1"/>
      <c r="AJ1431" s="1"/>
      <c r="AK1431" s="1"/>
      <c r="AL1431" s="1"/>
      <c r="AM1431" s="1"/>
      <c r="AN1431" s="1"/>
    </row>
    <row r="1432" customHeight="1" spans="1:40">
      <c r="A1432" s="1"/>
      <c r="B1432" s="1"/>
      <c r="C1432" s="119"/>
      <c r="D1432" s="1" t="str">
        <f>IFERROR(__xludf.DUMMYFUNCTION("""COMPUTED_VALUE"""),"MARCELO SARAIVA DO NASCIMENTO")</f>
        <v>MARCELO SARAIVA DO NASCIMENTO</v>
      </c>
      <c r="E1432" s="1" t="str">
        <f>IFERROR(__xludf.DUMMYFUNCTION("""COMPUTED_VALUE"""),"Curso CAB operador concluído")</f>
        <v>Curso CAB operador concluído</v>
      </c>
      <c r="F1432" s="1" t="str">
        <f>IFERROR(__xludf.DUMMYFUNCTION("""COMPUTED_VALUE"""),"990.054.920-15")</f>
        <v>990.054.920-15</v>
      </c>
      <c r="G1432" s="1"/>
      <c r="H1432" s="1"/>
      <c r="I1432" s="1"/>
      <c r="J1432" s="1"/>
      <c r="K1432" s="1"/>
      <c r="L1432" s="1"/>
      <c r="M1432" s="1"/>
      <c r="N1432" s="120"/>
      <c r="O1432" s="1"/>
      <c r="P1432" s="1"/>
      <c r="Q1432" s="1"/>
      <c r="R1432" s="1"/>
      <c r="S1432" s="1"/>
      <c r="T1432" s="1"/>
      <c r="U1432" s="1"/>
      <c r="V1432" s="1"/>
      <c r="W1432" s="1"/>
      <c r="X1432" s="1"/>
      <c r="Y1432" s="1"/>
      <c r="Z1432" s="1"/>
      <c r="AA1432" s="1"/>
      <c r="AB1432" s="1"/>
      <c r="AC1432" s="1"/>
      <c r="AD1432" s="1"/>
      <c r="AE1432" s="1"/>
      <c r="AF1432" s="1"/>
      <c r="AG1432" s="1"/>
      <c r="AH1432" s="1"/>
      <c r="AI1432" s="1"/>
      <c r="AJ1432" s="1"/>
      <c r="AK1432" s="1"/>
      <c r="AL1432" s="1"/>
      <c r="AM1432" s="1"/>
      <c r="AN1432" s="1"/>
    </row>
    <row r="1433" customHeight="1" spans="1:40">
      <c r="A1433" s="1"/>
      <c r="B1433" s="1"/>
      <c r="C1433" s="119"/>
      <c r="D1433" s="1" t="str">
        <f>IFERROR(__xludf.DUMMYFUNCTION("""COMPUTED_VALUE"""),"MARCIA CRISTINA DE ANDRADE")</f>
        <v>MARCIA CRISTINA DE ANDRADE</v>
      </c>
      <c r="E1433" s="1" t="str">
        <f>IFERROR(__xludf.DUMMYFUNCTION("""COMPUTED_VALUE"""),"Curso CAB operador concluído")</f>
        <v>Curso CAB operador concluído</v>
      </c>
      <c r="F1433" s="1" t="str">
        <f>IFERROR(__xludf.DUMMYFUNCTION("""COMPUTED_VALUE"""),"029.858.320-80")</f>
        <v>029.858.320-80</v>
      </c>
      <c r="G1433" s="1"/>
      <c r="H1433" s="1"/>
      <c r="I1433" s="1"/>
      <c r="J1433" s="1"/>
      <c r="K1433" s="1"/>
      <c r="L1433" s="1"/>
      <c r="M1433" s="1"/>
      <c r="N1433" s="120"/>
      <c r="O1433" s="1"/>
      <c r="P1433" s="1"/>
      <c r="Q1433" s="1"/>
      <c r="R1433" s="1"/>
      <c r="S1433" s="1"/>
      <c r="T1433" s="1"/>
      <c r="U1433" s="1"/>
      <c r="V1433" s="1"/>
      <c r="W1433" s="1"/>
      <c r="X1433" s="1"/>
      <c r="Y1433" s="1"/>
      <c r="Z1433" s="1"/>
      <c r="AA1433" s="1"/>
      <c r="AB1433" s="1"/>
      <c r="AC1433" s="1"/>
      <c r="AD1433" s="1"/>
      <c r="AE1433" s="1"/>
      <c r="AF1433" s="1"/>
      <c r="AG1433" s="1"/>
      <c r="AH1433" s="1"/>
      <c r="AI1433" s="1"/>
      <c r="AJ1433" s="1"/>
      <c r="AK1433" s="1"/>
      <c r="AL1433" s="1"/>
      <c r="AM1433" s="1"/>
      <c r="AN1433" s="1"/>
    </row>
    <row r="1434" customHeight="1" spans="1:40">
      <c r="A1434" s="1" t="str">
        <f>IFERROR(__xludf.DUMMYFUNCTION("""COMPUTED_VALUE"""),"12° BBM")</f>
        <v>12° BBM</v>
      </c>
      <c r="B1434" s="1" t="str">
        <f>IFERROR(__xludf.DUMMYFUNCTION("""COMPUTED_VALUE"""),"Ajuricaba")</f>
        <v>Ajuricaba</v>
      </c>
      <c r="C1434" s="119" t="str">
        <f>IFERROR(__xludf.DUMMYFUNCTION("""COMPUTED_VALUE"""),"CAB")</f>
        <v>CAB</v>
      </c>
      <c r="D1434" s="1" t="str">
        <f>IFERROR(__xludf.DUMMYFUNCTION("""COMPUTED_VALUE"""),"MARCOS ORÉLIO TOSO")</f>
        <v>MARCOS ORÉLIO TOSO</v>
      </c>
      <c r="E1434" s="119" t="str">
        <f>IFERROR(__xludf.DUMMYFUNCTION("""COMPUTED_VALUE"""),"")</f>
        <v/>
      </c>
      <c r="F1434" s="1" t="str">
        <f>IFERROR(__xludf.DUMMYFUNCTION("""COMPUTED_VALUE"""),"001.788.410-13")</f>
        <v>001.788.410-13</v>
      </c>
      <c r="G1434" s="1">
        <f>IFERROR(__xludf.DUMMYFUNCTION("""COMPUTED_VALUE"""),1072622358)</f>
        <v>1072622358</v>
      </c>
      <c r="H1434" s="1" t="str">
        <f>IFERROR(__xludf.DUMMYFUNCTION("""COMPUTED_VALUE"""),"SEC. ADJUNTO DE OBRAS")</f>
        <v>SEC. ADJUNTO DE OBRAS</v>
      </c>
      <c r="I1434" s="1" t="str">
        <f>IFERROR(__xludf.DUMMYFUNCTION("""COMPUTED_VALUE"""),"nocoes basicas/combate/ABT")</f>
        <v>nocoes basicas/combate/ABT</v>
      </c>
      <c r="J1434" s="1" t="str">
        <f>IFERROR(__xludf.DUMMYFUNCTION("""COMPUTED_VALUE"""),"Não")</f>
        <v>Não</v>
      </c>
      <c r="K1434" s="1" t="str">
        <f>IFERROR(__xludf.DUMMYFUNCTION("""COMPUTED_VALUE"""),"Não")</f>
        <v>Não</v>
      </c>
      <c r="L1434" s="1" t="str">
        <f>IFERROR(__xludf.DUMMYFUNCTION("""COMPUTED_VALUE"""),"B+")</f>
        <v>B+</v>
      </c>
      <c r="M1434" s="1" t="str">
        <f>IFERROR(__xludf.DUMMYFUNCTION("""COMPUTED_VALUE"""),"Marcos")</f>
        <v>Marcos</v>
      </c>
      <c r="N1434" s="120"/>
      <c r="O1434" s="1" t="str">
        <f>IFERROR(__xludf.DUMMYFUNCTION("""COMPUTED_VALUE"""),"Masculino")</f>
        <v>Masculino</v>
      </c>
      <c r="P1434" s="1"/>
      <c r="Q1434" s="1" t="str">
        <f>IFERROR(__xludf.DUMMYFUNCTION("""COMPUTED_VALUE"""),"Ensino Médio")</f>
        <v>Ensino Médio</v>
      </c>
      <c r="R1434" s="1" t="str">
        <f>IFERROR(__xludf.DUMMYFUNCTION("""COMPUTED_VALUE"""),"marcos.o.toso@hotmail.com")</f>
        <v>marcos.o.toso@hotmail.com</v>
      </c>
      <c r="S1434" s="1" t="str">
        <f>IFERROR(__xludf.DUMMYFUNCTION("""COMPUTED_VALUE"""),"79kg")</f>
        <v>79kg</v>
      </c>
      <c r="T1434" s="1" t="str">
        <f>IFERROR(__xludf.DUMMYFUNCTION("""COMPUTED_VALUE"""),"Entre 1,66m e 1,70m")</f>
        <v>Entre 1,66m e 1,70m</v>
      </c>
      <c r="U1434" s="1"/>
      <c r="V1434" s="1" t="str">
        <f>IFERROR(__xludf.DUMMYFUNCTION("""COMPUTED_VALUE"""),"(55) 99934-6661")</f>
        <v>(55) 99934-6661</v>
      </c>
      <c r="W1434" s="1" t="str">
        <f>IFERROR(__xludf.DUMMYFUNCTION("""COMPUTED_VALUE"""),"99722-5893")</f>
        <v>99722-5893</v>
      </c>
      <c r="X1434" s="1" t="str">
        <f>IFERROR(__xludf.DUMMYFUNCTION("""COMPUTED_VALUE"""),"RS")</f>
        <v>RS</v>
      </c>
      <c r="Y1434" s="1" t="str">
        <f>IFERROR(__xludf.DUMMYFUNCTION("""COMPUTED_VALUE"""),"Ajuricaba")</f>
        <v>Ajuricaba</v>
      </c>
      <c r="Z1434" s="1" t="str">
        <f>IFERROR(__xludf.DUMMYFUNCTION("""COMPUTED_VALUE"""),"98750-000")</f>
        <v>98750-000</v>
      </c>
      <c r="AA1434" s="1" t="str">
        <f>IFERROR(__xludf.DUMMYFUNCTION("""COMPUTED_VALUE"""),"Rua Eduardo Prauchner, 243")</f>
        <v>Rua Eduardo Prauchner, 243</v>
      </c>
      <c r="AB1434" s="1" t="str">
        <f>IFERROR(__xludf.DUMMYFUNCTION("""COMPUTED_VALUE"""),"Planalto")</f>
        <v>Planalto</v>
      </c>
      <c r="AC1434" s="1" t="str">
        <f>IFERROR(__xludf.DUMMYFUNCTION("""COMPUTED_VALUE"""),"G")</f>
        <v>G</v>
      </c>
      <c r="AD1434" s="1" t="str">
        <f>IFERROR(__xludf.DUMMYFUNCTION("""COMPUTED_VALUE"""),"G")</f>
        <v>G</v>
      </c>
      <c r="AE1434" s="1" t="str">
        <f>IFERROR(__xludf.DUMMYFUNCTION("""COMPUTED_VALUE"""),"G")</f>
        <v>G</v>
      </c>
      <c r="AF1434" s="1" t="str">
        <f>IFERROR(__xludf.DUMMYFUNCTION("""COMPUTED_VALUE"""),"G")</f>
        <v>G</v>
      </c>
      <c r="AG1434" s="1" t="str">
        <f>IFERROR(__xludf.DUMMYFUNCTION("""COMPUTED_VALUE"""),"G")</f>
        <v>G</v>
      </c>
      <c r="AH1434" s="1">
        <f>IFERROR(__xludf.DUMMYFUNCTION("""COMPUTED_VALUE"""),40)</f>
        <v>40</v>
      </c>
      <c r="AI1434" s="1"/>
      <c r="AJ1434" s="1">
        <f>IFERROR(__xludf.DUMMYFUNCTION("""COMPUTED_VALUE"""),40)</f>
        <v>40</v>
      </c>
      <c r="AK1434" s="1">
        <f>IFERROR(__xludf.DUMMYFUNCTION("""COMPUTED_VALUE"""),41)</f>
        <v>41</v>
      </c>
      <c r="AL1434" s="1" t="str">
        <f>IFERROR(__xludf.DUMMYFUNCTION("""COMPUTED_VALUE"""),"G")</f>
        <v>G</v>
      </c>
      <c r="AM1434" s="1" t="str">
        <f>IFERROR(__xludf.DUMMYFUNCTION("""COMPUTED_VALUE"""),"G")</f>
        <v>G</v>
      </c>
      <c r="AN1434" s="1" t="str">
        <f>IFERROR(__xludf.DUMMYFUNCTION("""COMPUTED_VALUE"""),"G")</f>
        <v>G</v>
      </c>
    </row>
    <row r="1435" customHeight="1" spans="1:40">
      <c r="A1435" s="1" t="str">
        <f>IFERROR(__xludf.DUMMYFUNCTION("""COMPUTED_VALUE"""),"12° BBM")</f>
        <v>12° BBM</v>
      </c>
      <c r="B1435" s="1" t="str">
        <f>IFERROR(__xludf.DUMMYFUNCTION("""COMPUTED_VALUE"""),"Santa Bárbara do Sul ")</f>
        <v>Santa Bárbara do Sul </v>
      </c>
      <c r="C1435" s="119" t="str">
        <f>IFERROR(__xludf.DUMMYFUNCTION("""COMPUTED_VALUE"""),"CAB")</f>
        <v>CAB</v>
      </c>
      <c r="D1435" s="1" t="str">
        <f>IFERROR(__xludf.DUMMYFUNCTION("""COMPUTED_VALUE"""),"MATUZALEM CARVALHO")</f>
        <v>MATUZALEM CARVALHO</v>
      </c>
      <c r="E1435" s="119" t="str">
        <f>IFERROR(__xludf.DUMMYFUNCTION("""COMPUTED_VALUE"""),"")</f>
        <v/>
      </c>
      <c r="F1435" s="1" t="str">
        <f>IFERROR(__xludf.DUMMYFUNCTION("""COMPUTED_VALUE"""),"592.808.320-34")</f>
        <v>592.808.320-34</v>
      </c>
      <c r="G1435" s="1">
        <f>IFERROR(__xludf.DUMMYFUNCTION("""COMPUTED_VALUE"""),1042521847)</f>
        <v>1042521847</v>
      </c>
      <c r="H1435" s="1" t="str">
        <f>IFERROR(__xludf.DUMMYFUNCTION("""COMPUTED_VALUE"""),"MOTORISTA")</f>
        <v>MOTORISTA</v>
      </c>
      <c r="I1435" s="1" t="str">
        <f>IFERROR(__xludf.DUMMYFUNCTION("""COMPUTED_VALUE"""),"Não tem")</f>
        <v>Não tem</v>
      </c>
      <c r="J1435" s="1" t="str">
        <f>IFERROR(__xludf.DUMMYFUNCTION("""COMPUTED_VALUE"""),"Não")</f>
        <v>Não</v>
      </c>
      <c r="K1435" s="1" t="str">
        <f>IFERROR(__xludf.DUMMYFUNCTION("""COMPUTED_VALUE"""),"Não")</f>
        <v>Não</v>
      </c>
      <c r="L1435" s="1" t="str">
        <f>IFERROR(__xludf.DUMMYFUNCTION("""COMPUTED_VALUE"""),"O+")</f>
        <v>O+</v>
      </c>
      <c r="M1435" s="1" t="str">
        <f>IFERROR(__xludf.DUMMYFUNCTION("""COMPUTED_VALUE"""),"Matuza")</f>
        <v>Matuza</v>
      </c>
      <c r="N1435" s="130">
        <f>IFERROR(__xludf.DUMMYFUNCTION("""COMPUTED_VALUE"""),24976)</f>
        <v>24976</v>
      </c>
      <c r="O1435" s="1" t="str">
        <f>IFERROR(__xludf.DUMMYFUNCTION("""COMPUTED_VALUE"""),"Masculino")</f>
        <v>Masculino</v>
      </c>
      <c r="P1435" s="1" t="str">
        <f>IFERROR(__xludf.DUMMYFUNCTION("""COMPUTED_VALUE"""),"Morena")</f>
        <v>Morena</v>
      </c>
      <c r="Q1435" s="1" t="str">
        <f>IFERROR(__xludf.DUMMYFUNCTION("""COMPUTED_VALUE"""),"Ensino Médio")</f>
        <v>Ensino Médio</v>
      </c>
      <c r="R1435" s="1"/>
      <c r="S1435" s="1">
        <f>IFERROR(__xludf.DUMMYFUNCTION("""COMPUTED_VALUE"""),70)</f>
        <v>70</v>
      </c>
      <c r="T1435" s="1" t="str">
        <f>IFERROR(__xludf.DUMMYFUNCTION("""COMPUTED_VALUE"""),"Entre 1,71m e 1,75m")</f>
        <v>Entre 1,71m e 1,75m</v>
      </c>
      <c r="U1435" s="1" t="str">
        <f>IFERROR(__xludf.DUMMYFUNCTION("""COMPUTED_VALUE"""),"(55) 999026275")</f>
        <v>(55) 999026275</v>
      </c>
      <c r="V1435" s="1" t="str">
        <f>IFERROR(__xludf.DUMMYFUNCTION("""COMPUTED_VALUE"""),"(55) 999026275")</f>
        <v>(55) 999026275</v>
      </c>
      <c r="W1435" s="1" t="str">
        <f>IFERROR(__xludf.DUMMYFUNCTION("""COMPUTED_VALUE"""),"(55) 999026275")</f>
        <v>(55) 999026275</v>
      </c>
      <c r="X1435" s="1" t="str">
        <f>IFERROR(__xludf.DUMMYFUNCTION("""COMPUTED_VALUE"""),"RS")</f>
        <v>RS</v>
      </c>
      <c r="Y1435" s="1" t="str">
        <f>IFERROR(__xludf.DUMMYFUNCTION("""COMPUTED_VALUE"""),"Santa Bárbara do Sul")</f>
        <v>Santa Bárbara do Sul</v>
      </c>
      <c r="Z1435" s="1">
        <f>IFERROR(__xludf.DUMMYFUNCTION("""COMPUTED_VALUE"""),98240000)</f>
        <v>98240000</v>
      </c>
      <c r="AA1435" s="1" t="str">
        <f>IFERROR(__xludf.DUMMYFUNCTION("""COMPUTED_VALUE"""),"Emília Rosa 398")</f>
        <v>Emília Rosa 398</v>
      </c>
      <c r="AB1435" s="1" t="str">
        <f>IFERROR(__xludf.DUMMYFUNCTION("""COMPUTED_VALUE"""),"Loeblein")</f>
        <v>Loeblein</v>
      </c>
      <c r="AC1435" s="1"/>
      <c r="AD1435" s="1"/>
      <c r="AE1435" s="1"/>
      <c r="AF1435" s="1"/>
      <c r="AG1435" s="1"/>
      <c r="AH1435" s="1"/>
      <c r="AI1435" s="1"/>
      <c r="AJ1435" s="1"/>
      <c r="AK1435" s="1"/>
      <c r="AL1435" s="1"/>
      <c r="AM1435" s="1"/>
      <c r="AN1435" s="1"/>
    </row>
    <row r="1436" customHeight="1" spans="1:40">
      <c r="A1436" s="1" t="str">
        <f>IFERROR(__xludf.DUMMYFUNCTION("""COMPUTED_VALUE"""),"12° BBM")</f>
        <v>12° BBM</v>
      </c>
      <c r="B1436" s="1" t="str">
        <f>IFERROR(__xludf.DUMMYFUNCTION("""COMPUTED_VALUE"""),"Salto do Jacuí")</f>
        <v>Salto do Jacuí</v>
      </c>
      <c r="C1436" s="119" t="str">
        <f>IFERROR(__xludf.DUMMYFUNCTION("""COMPUTED_VALUE"""),"CAB")</f>
        <v>CAB</v>
      </c>
      <c r="D1436" s="1" t="str">
        <f>IFERROR(__xludf.DUMMYFUNCTION("""COMPUTED_VALUE"""),"MAURO SILVANO WEBER")</f>
        <v>MAURO SILVANO WEBER</v>
      </c>
      <c r="E1436" s="119" t="str">
        <f>IFERROR(__xludf.DUMMYFUNCTION("""COMPUTED_VALUE"""),"")</f>
        <v/>
      </c>
      <c r="F1436" s="1" t="str">
        <f>IFERROR(__xludf.DUMMYFUNCTION("""COMPUTED_VALUE"""),"589.901.430-04")</f>
        <v>589.901.430-04</v>
      </c>
      <c r="G1436" s="1">
        <f>IFERROR(__xludf.DUMMYFUNCTION("""COMPUTED_VALUE"""),2044857825)</f>
        <v>2044857825</v>
      </c>
      <c r="H1436" s="1" t="str">
        <f>IFERROR(__xludf.DUMMYFUNCTION("""COMPUTED_VALUE"""),"Bombeiro Civil Voluntario")</f>
        <v>Bombeiro Civil Voluntario</v>
      </c>
      <c r="I1436" s="1" t="str">
        <f>IFERROR(__xludf.DUMMYFUNCTION("""COMPUTED_VALUE"""),"Curso de combate a incêndio fornecidos pelo Corpo de Bombeiros de Cruz Alta")</f>
        <v>Curso de combate a incêndio fornecidos pelo Corpo de Bombeiros de Cruz Alta</v>
      </c>
      <c r="J1436" s="1" t="str">
        <f>IFERROR(__xludf.DUMMYFUNCTION("""COMPUTED_VALUE"""),"Não")</f>
        <v>Não</v>
      </c>
      <c r="K1436" s="1" t="str">
        <f>IFERROR(__xludf.DUMMYFUNCTION("""COMPUTED_VALUE"""),"Não")</f>
        <v>Não</v>
      </c>
      <c r="L1436" s="1" t="str">
        <f>IFERROR(__xludf.DUMMYFUNCTION("""COMPUTED_VALUE"""),"B+")</f>
        <v>B+</v>
      </c>
      <c r="M1436" s="1" t="str">
        <f>IFERROR(__xludf.DUMMYFUNCTION("""COMPUTED_VALUE"""),"weber ")</f>
        <v>weber </v>
      </c>
      <c r="N1436" s="121">
        <f>IFERROR(__xludf.DUMMYFUNCTION("""COMPUTED_VALUE"""),25548)</f>
        <v>25548</v>
      </c>
      <c r="O1436" s="1" t="str">
        <f>IFERROR(__xludf.DUMMYFUNCTION("""COMPUTED_VALUE"""),"Masculino")</f>
        <v>Masculino</v>
      </c>
      <c r="P1436" s="1" t="str">
        <f>IFERROR(__xludf.DUMMYFUNCTION("""COMPUTED_VALUE"""),"Branca")</f>
        <v>Branca</v>
      </c>
      <c r="Q1436" s="1" t="str">
        <f>IFERROR(__xludf.DUMMYFUNCTION("""COMPUTED_VALUE"""),"Ensino Superior Completo")</f>
        <v>Ensino Superior Completo</v>
      </c>
      <c r="R1436" s="1"/>
      <c r="S1436" s="1"/>
      <c r="T1436" s="1" t="str">
        <f>IFERROR(__xludf.DUMMYFUNCTION("""COMPUTED_VALUE"""),"Entre 1,86m e 1,90m")</f>
        <v>Entre 1,86m e 1,90m</v>
      </c>
      <c r="U1436" s="1"/>
      <c r="V1436" s="1" t="str">
        <f>IFERROR(__xludf.DUMMYFUNCTION("""COMPUTED_VALUE"""),"55 981206714")</f>
        <v>55 981206714</v>
      </c>
      <c r="W1436" s="1"/>
      <c r="X1436" s="1" t="str">
        <f>IFERROR(__xludf.DUMMYFUNCTION("""COMPUTED_VALUE"""),"RS")</f>
        <v>RS</v>
      </c>
      <c r="Y1436" s="1" t="str">
        <f>IFERROR(__xludf.DUMMYFUNCTION("""COMPUTED_VALUE"""),"Salto do Jacuí")</f>
        <v>Salto do Jacuí</v>
      </c>
      <c r="Z1436" s="1"/>
      <c r="AA1436" s="1" t="str">
        <f>IFERROR(__xludf.DUMMYFUNCTION("""COMPUTED_VALUE"""),"guilherme muller nº 721")</f>
        <v>guilherme muller nº 721</v>
      </c>
      <c r="AB1436" s="1" t="str">
        <f>IFERROR(__xludf.DUMMYFUNCTION("""COMPUTED_VALUE"""),"cruzeiro")</f>
        <v>cruzeiro</v>
      </c>
      <c r="AC1436" s="1" t="str">
        <f>IFERROR(__xludf.DUMMYFUNCTION("""COMPUTED_VALUE"""),"G")</f>
        <v>G</v>
      </c>
      <c r="AD1436" s="1" t="str">
        <f>IFERROR(__xludf.DUMMYFUNCTION("""COMPUTED_VALUE"""),"G")</f>
        <v>G</v>
      </c>
      <c r="AE1436" s="1" t="str">
        <f>IFERROR(__xludf.DUMMYFUNCTION("""COMPUTED_VALUE"""),"G")</f>
        <v>G</v>
      </c>
      <c r="AF1436" s="1" t="str">
        <f>IFERROR(__xludf.DUMMYFUNCTION("""COMPUTED_VALUE"""),"G")</f>
        <v>G</v>
      </c>
      <c r="AG1436" s="1" t="str">
        <f>IFERROR(__xludf.DUMMYFUNCTION("""COMPUTED_VALUE"""),"GG")</f>
        <v>GG</v>
      </c>
      <c r="AH1436" s="1">
        <f>IFERROR(__xludf.DUMMYFUNCTION("""COMPUTED_VALUE"""),41)</f>
        <v>41</v>
      </c>
      <c r="AI1436" s="1">
        <f>IFERROR(__xludf.DUMMYFUNCTION("""COMPUTED_VALUE"""),41)</f>
        <v>41</v>
      </c>
      <c r="AJ1436" s="1">
        <f>IFERROR(__xludf.DUMMYFUNCTION("""COMPUTED_VALUE"""),41)</f>
        <v>41</v>
      </c>
      <c r="AK1436" s="1">
        <f>IFERROR(__xludf.DUMMYFUNCTION("""COMPUTED_VALUE"""),41)</f>
        <v>41</v>
      </c>
      <c r="AL1436" s="1" t="str">
        <f>IFERROR(__xludf.DUMMYFUNCTION("""COMPUTED_VALUE"""),"G")</f>
        <v>G</v>
      </c>
      <c r="AM1436" s="1" t="str">
        <f>IFERROR(__xludf.DUMMYFUNCTION("""COMPUTED_VALUE"""),"G")</f>
        <v>G</v>
      </c>
      <c r="AN1436" s="1" t="str">
        <f>IFERROR(__xludf.DUMMYFUNCTION("""COMPUTED_VALUE"""),"G")</f>
        <v>G</v>
      </c>
    </row>
    <row r="1437" customHeight="1" spans="1:40">
      <c r="A1437" s="1" t="str">
        <f>IFERROR(__xludf.DUMMYFUNCTION("""COMPUTED_VALUE"""),"12° BBM")</f>
        <v>12° BBM</v>
      </c>
      <c r="B1437" s="1" t="str">
        <f>IFERROR(__xludf.DUMMYFUNCTION("""COMPUTED_VALUE"""),"Salto do Jacuí")</f>
        <v>Salto do Jacuí</v>
      </c>
      <c r="C1437" s="119" t="str">
        <f>IFERROR(__xludf.DUMMYFUNCTION("""COMPUTED_VALUE"""),"CAB")</f>
        <v>CAB</v>
      </c>
      <c r="D1437" s="1" t="str">
        <f>IFERROR(__xludf.DUMMYFUNCTION("""COMPUTED_VALUE"""),"MIGUEL ALEXANDRE LOPES ")</f>
        <v>MIGUEL ALEXANDRE LOPES </v>
      </c>
      <c r="E1437" s="119" t="str">
        <f>IFERROR(__xludf.DUMMYFUNCTION("""COMPUTED_VALUE"""),"")</f>
        <v/>
      </c>
      <c r="F1437" s="1" t="str">
        <f>IFERROR(__xludf.DUMMYFUNCTION("""COMPUTED_VALUE"""),"016.227.880-28")</f>
        <v>016.227.880-28</v>
      </c>
      <c r="G1437" s="1">
        <f>IFERROR(__xludf.DUMMYFUNCTION("""COMPUTED_VALUE"""),5101189172)</f>
        <v>5101189172</v>
      </c>
      <c r="H1437" s="1" t="str">
        <f>IFERROR(__xludf.DUMMYFUNCTION("""COMPUTED_VALUE"""),"Bombeiro Civil Voluntario")</f>
        <v>Bombeiro Civil Voluntario</v>
      </c>
      <c r="I1437" s="1" t="str">
        <f>IFERROR(__xludf.DUMMYFUNCTION("""COMPUTED_VALUE"""),"Curso de combate a incêndio fornecidos pelo Corpo de Bombeiros de Cruz Alta")</f>
        <v>Curso de combate a incêndio fornecidos pelo Corpo de Bombeiros de Cruz Alta</v>
      </c>
      <c r="J1437" s="1" t="str">
        <f>IFERROR(__xludf.DUMMYFUNCTION("""COMPUTED_VALUE"""),"Não")</f>
        <v>Não</v>
      </c>
      <c r="K1437" s="1" t="str">
        <f>IFERROR(__xludf.DUMMYFUNCTION("""COMPUTED_VALUE"""),"Não")</f>
        <v>Não</v>
      </c>
      <c r="L1437" s="1" t="str">
        <f>IFERROR(__xludf.DUMMYFUNCTION("""COMPUTED_VALUE"""),"A+")</f>
        <v>A+</v>
      </c>
      <c r="M1437" s="1" t="str">
        <f>IFERROR(__xludf.DUMMYFUNCTION("""COMPUTED_VALUE"""),"lopes")</f>
        <v>lopes</v>
      </c>
      <c r="N1437" s="1"/>
      <c r="O1437" s="1" t="str">
        <f>IFERROR(__xludf.DUMMYFUNCTION("""COMPUTED_VALUE"""),"Masculino")</f>
        <v>Masculino</v>
      </c>
      <c r="P1437" s="1" t="str">
        <f>IFERROR(__xludf.DUMMYFUNCTION("""COMPUTED_VALUE"""),"Branca")</f>
        <v>Branca</v>
      </c>
      <c r="Q1437" s="1" t="str">
        <f>IFERROR(__xludf.DUMMYFUNCTION("""COMPUTED_VALUE"""),"Ensino Médio")</f>
        <v>Ensino Médio</v>
      </c>
      <c r="R1437" s="1"/>
      <c r="S1437" s="1"/>
      <c r="T1437" s="1" t="str">
        <f>IFERROR(__xludf.DUMMYFUNCTION("""COMPUTED_VALUE"""),"Entre 1,66m e 1,70m")</f>
        <v>Entre 1,66m e 1,70m</v>
      </c>
      <c r="U1437" s="1"/>
      <c r="V1437" s="1" t="str">
        <f>IFERROR(__xludf.DUMMYFUNCTION("""COMPUTED_VALUE"""),"55 999097532")</f>
        <v>55 999097532</v>
      </c>
      <c r="W1437" s="1"/>
      <c r="X1437" s="1" t="str">
        <f>IFERROR(__xludf.DUMMYFUNCTION("""COMPUTED_VALUE"""),"RS")</f>
        <v>RS</v>
      </c>
      <c r="Y1437" s="1" t="str">
        <f>IFERROR(__xludf.DUMMYFUNCTION("""COMPUTED_VALUE"""),"Salto do Jacuí")</f>
        <v>Salto do Jacuí</v>
      </c>
      <c r="Z1437" s="1"/>
      <c r="AA1437" s="1" t="str">
        <f>IFERROR(__xludf.DUMMYFUNCTION("""COMPUTED_VALUE"""),"pio xii nº 2536")</f>
        <v>pio xii nº 2536</v>
      </c>
      <c r="AB1437" s="1"/>
      <c r="AC1437" s="1" t="str">
        <f>IFERROR(__xludf.DUMMYFUNCTION("""COMPUTED_VALUE"""),"G")</f>
        <v>G</v>
      </c>
      <c r="AD1437" s="1" t="str">
        <f>IFERROR(__xludf.DUMMYFUNCTION("""COMPUTED_VALUE"""),"G")</f>
        <v>G</v>
      </c>
      <c r="AE1437" s="1" t="str">
        <f>IFERROR(__xludf.DUMMYFUNCTION("""COMPUTED_VALUE"""),"G")</f>
        <v>G</v>
      </c>
      <c r="AF1437" s="1" t="str">
        <f>IFERROR(__xludf.DUMMYFUNCTION("""COMPUTED_VALUE"""),"G")</f>
        <v>G</v>
      </c>
      <c r="AG1437" s="1" t="str">
        <f>IFERROR(__xludf.DUMMYFUNCTION("""COMPUTED_VALUE"""),"G")</f>
        <v>G</v>
      </c>
      <c r="AH1437" s="1">
        <f>IFERROR(__xludf.DUMMYFUNCTION("""COMPUTED_VALUE"""),42)</f>
        <v>42</v>
      </c>
      <c r="AI1437" s="1">
        <f>IFERROR(__xludf.DUMMYFUNCTION("""COMPUTED_VALUE"""),42)</f>
        <v>42</v>
      </c>
      <c r="AJ1437" s="1">
        <f>IFERROR(__xludf.DUMMYFUNCTION("""COMPUTED_VALUE"""),42)</f>
        <v>42</v>
      </c>
      <c r="AK1437" s="1">
        <f>IFERROR(__xludf.DUMMYFUNCTION("""COMPUTED_VALUE"""),42)</f>
        <v>42</v>
      </c>
      <c r="AL1437" s="1" t="str">
        <f>IFERROR(__xludf.DUMMYFUNCTION("""COMPUTED_VALUE"""),"G")</f>
        <v>G</v>
      </c>
      <c r="AM1437" s="1" t="str">
        <f>IFERROR(__xludf.DUMMYFUNCTION("""COMPUTED_VALUE"""),"G")</f>
        <v>G</v>
      </c>
      <c r="AN1437" s="1" t="str">
        <f>IFERROR(__xludf.DUMMYFUNCTION("""COMPUTED_VALUE"""),"G")</f>
        <v>G</v>
      </c>
    </row>
    <row r="1438" customHeight="1" spans="1:40">
      <c r="A1438" s="1" t="str">
        <f>IFERROR(__xludf.DUMMYFUNCTION("""COMPUTED_VALUE"""),"12° BBM")</f>
        <v>12° BBM</v>
      </c>
      <c r="B1438" s="1" t="str">
        <f>IFERROR(__xludf.DUMMYFUNCTION("""COMPUTED_VALUE"""),"Salto do Jacuí")</f>
        <v>Salto do Jacuí</v>
      </c>
      <c r="C1438" s="119" t="str">
        <f>IFERROR(__xludf.DUMMYFUNCTION("""COMPUTED_VALUE"""),"CAB")</f>
        <v>CAB</v>
      </c>
      <c r="D1438" s="1" t="str">
        <f>IFERROR(__xludf.DUMMYFUNCTION("""COMPUTED_VALUE"""),"OZIEL DE SOUZA COSTA ")</f>
        <v>OZIEL DE SOUZA COSTA </v>
      </c>
      <c r="E1438" s="119" t="str">
        <f>IFERROR(__xludf.DUMMYFUNCTION("""COMPUTED_VALUE"""),"")</f>
        <v/>
      </c>
      <c r="F1438" s="1" t="str">
        <f>IFERROR(__xludf.DUMMYFUNCTION("""COMPUTED_VALUE"""),"600.697.080.53")</f>
        <v>600.697.080.53</v>
      </c>
      <c r="G1438" s="1">
        <f>IFERROR(__xludf.DUMMYFUNCTION("""COMPUTED_VALUE"""),4048595221)</f>
        <v>4048595221</v>
      </c>
      <c r="H1438" s="1" t="str">
        <f>IFERROR(__xludf.DUMMYFUNCTION("""COMPUTED_VALUE"""),"Bombeiro Civil Voluntario")</f>
        <v>Bombeiro Civil Voluntario</v>
      </c>
      <c r="I1438" s="1" t="str">
        <f>IFERROR(__xludf.DUMMYFUNCTION("""COMPUTED_VALUE"""),"Curso de combate a incêndio fornecidos pelo Corpo de Bombeiros de Cruz Alta")</f>
        <v>Curso de combate a incêndio fornecidos pelo Corpo de Bombeiros de Cruz Alta</v>
      </c>
      <c r="J1438" s="1" t="str">
        <f>IFERROR(__xludf.DUMMYFUNCTION("""COMPUTED_VALUE"""),"Não")</f>
        <v>Não</v>
      </c>
      <c r="K1438" s="1" t="str">
        <f>IFERROR(__xludf.DUMMYFUNCTION("""COMPUTED_VALUE"""),"Não")</f>
        <v>Não</v>
      </c>
      <c r="L1438" s="1" t="str">
        <f>IFERROR(__xludf.DUMMYFUNCTION("""COMPUTED_VALUE"""),"O+")</f>
        <v>O+</v>
      </c>
      <c r="M1438" s="1" t="str">
        <f>IFERROR(__xludf.DUMMYFUNCTION("""COMPUTED_VALUE"""),"costa")</f>
        <v>costa</v>
      </c>
      <c r="N1438" s="120">
        <f>IFERROR(__xludf.DUMMYFUNCTION("""COMPUTED_VALUE"""),27483)</f>
        <v>27483</v>
      </c>
      <c r="O1438" s="1" t="str">
        <f>IFERROR(__xludf.DUMMYFUNCTION("""COMPUTED_VALUE"""),"Masculino")</f>
        <v>Masculino</v>
      </c>
      <c r="P1438" s="1" t="str">
        <f>IFERROR(__xludf.DUMMYFUNCTION("""COMPUTED_VALUE"""),"Branca")</f>
        <v>Branca</v>
      </c>
      <c r="Q1438" s="1" t="str">
        <f>IFERROR(__xludf.DUMMYFUNCTION("""COMPUTED_VALUE"""),"Ensino Médio")</f>
        <v>Ensino Médio</v>
      </c>
      <c r="R1438" s="1"/>
      <c r="S1438" s="1"/>
      <c r="T1438" s="1" t="str">
        <f>IFERROR(__xludf.DUMMYFUNCTION("""COMPUTED_VALUE"""),"Entre 1,71m e 1,75m")</f>
        <v>Entre 1,71m e 1,75m</v>
      </c>
      <c r="U1438" s="1"/>
      <c r="V1438" s="1" t="str">
        <f>IFERROR(__xludf.DUMMYFUNCTION("""COMPUTED_VALUE"""),"55 999670858")</f>
        <v>55 999670858</v>
      </c>
      <c r="W1438" s="1"/>
      <c r="X1438" s="1" t="str">
        <f>IFERROR(__xludf.DUMMYFUNCTION("""COMPUTED_VALUE"""),"RS")</f>
        <v>RS</v>
      </c>
      <c r="Y1438" s="1" t="str">
        <f>IFERROR(__xludf.DUMMYFUNCTION("""COMPUTED_VALUE"""),"Salto do Jacuí")</f>
        <v>Salto do Jacuí</v>
      </c>
      <c r="Z1438" s="1"/>
      <c r="AA1438" s="1" t="str">
        <f>IFERROR(__xludf.DUMMYFUNCTION("""COMPUTED_VALUE"""),"cap joanes nº 232")</f>
        <v>cap joanes nº 232</v>
      </c>
      <c r="AB1438" s="1" t="str">
        <f>IFERROR(__xludf.DUMMYFUNCTION("""COMPUTED_VALUE"""),"m. deus")</f>
        <v>m. deus</v>
      </c>
      <c r="AC1438" s="1" t="str">
        <f>IFERROR(__xludf.DUMMYFUNCTION("""COMPUTED_VALUE"""),"GG")</f>
        <v>GG</v>
      </c>
      <c r="AD1438" s="1" t="str">
        <f>IFERROR(__xludf.DUMMYFUNCTION("""COMPUTED_VALUE"""),"GG")</f>
        <v>GG</v>
      </c>
      <c r="AE1438" s="1" t="str">
        <f>IFERROR(__xludf.DUMMYFUNCTION("""COMPUTED_VALUE"""),"GG")</f>
        <v>GG</v>
      </c>
      <c r="AF1438" s="1" t="str">
        <f>IFERROR(__xludf.DUMMYFUNCTION("""COMPUTED_VALUE"""),"GG")</f>
        <v>GG</v>
      </c>
      <c r="AG1438" s="1" t="str">
        <f>IFERROR(__xludf.DUMMYFUNCTION("""COMPUTED_VALUE"""),"GG")</f>
        <v>GG</v>
      </c>
      <c r="AH1438" s="1">
        <f>IFERROR(__xludf.DUMMYFUNCTION("""COMPUTED_VALUE"""),41)</f>
        <v>41</v>
      </c>
      <c r="AI1438" s="1">
        <f>IFERROR(__xludf.DUMMYFUNCTION("""COMPUTED_VALUE"""),41)</f>
        <v>41</v>
      </c>
      <c r="AJ1438" s="1">
        <f>IFERROR(__xludf.DUMMYFUNCTION("""COMPUTED_VALUE"""),41)</f>
        <v>41</v>
      </c>
      <c r="AK1438" s="1">
        <f>IFERROR(__xludf.DUMMYFUNCTION("""COMPUTED_VALUE"""),41)</f>
        <v>41</v>
      </c>
      <c r="AL1438" s="1" t="str">
        <f>IFERROR(__xludf.DUMMYFUNCTION("""COMPUTED_VALUE"""),"G")</f>
        <v>G</v>
      </c>
      <c r="AM1438" s="1" t="str">
        <f>IFERROR(__xludf.DUMMYFUNCTION("""COMPUTED_VALUE"""),"GG")</f>
        <v>GG</v>
      </c>
      <c r="AN1438" s="1" t="str">
        <f>IFERROR(__xludf.DUMMYFUNCTION("""COMPUTED_VALUE"""),"G")</f>
        <v>G</v>
      </c>
    </row>
    <row r="1439" customHeight="1" spans="1:40">
      <c r="A1439" s="1"/>
      <c r="B1439" s="1"/>
      <c r="C1439" s="119"/>
      <c r="D1439" s="1" t="str">
        <f>IFERROR(__xludf.DUMMYFUNCTION("""COMPUTED_VALUE"""),"PAOLO SANTOS PACHECO")</f>
        <v>PAOLO SANTOS PACHECO</v>
      </c>
      <c r="E1439" s="1" t="str">
        <f>IFERROR(__xludf.DUMMYFUNCTION("""COMPUTED_VALUE"""),"Módulo 2 e 3 concluído")</f>
        <v>Módulo 2 e 3 concluído</v>
      </c>
      <c r="F1439" s="1" t="str">
        <f>IFERROR(__xludf.DUMMYFUNCTION("""COMPUTED_VALUE"""),"022.963.180-02")</f>
        <v>022.963.180-02</v>
      </c>
      <c r="G1439" s="1"/>
      <c r="H1439" s="1"/>
      <c r="I1439" s="1"/>
      <c r="J1439" s="1"/>
      <c r="K1439" s="1"/>
      <c r="L1439" s="1"/>
      <c r="M1439" s="1"/>
      <c r="N1439" s="120"/>
      <c r="O1439" s="1"/>
      <c r="P1439" s="1"/>
      <c r="Q1439" s="1"/>
      <c r="R1439" s="1"/>
      <c r="S1439" s="1"/>
      <c r="T1439" s="1"/>
      <c r="U1439" s="1"/>
      <c r="V1439" s="1"/>
      <c r="W1439" s="1"/>
      <c r="X1439" s="1"/>
      <c r="Y1439" s="1"/>
      <c r="Z1439" s="1"/>
      <c r="AA1439" s="1"/>
      <c r="AB1439" s="1"/>
      <c r="AC1439" s="1"/>
      <c r="AD1439" s="1"/>
      <c r="AE1439" s="1"/>
      <c r="AF1439" s="1"/>
      <c r="AG1439" s="1"/>
      <c r="AH1439" s="1"/>
      <c r="AI1439" s="1"/>
      <c r="AJ1439" s="1"/>
      <c r="AK1439" s="1"/>
      <c r="AL1439" s="1"/>
      <c r="AM1439" s="1"/>
      <c r="AN1439" s="1"/>
    </row>
    <row r="1440" customHeight="1" spans="1:40">
      <c r="A1440" s="1" t="str">
        <f>IFERROR(__xludf.DUMMYFUNCTION("""COMPUTED_VALUE"""),"12° BBM")</f>
        <v>12° BBM</v>
      </c>
      <c r="B1440" s="1" t="str">
        <f>IFERROR(__xludf.DUMMYFUNCTION("""COMPUTED_VALUE"""),"Santo Augusto")</f>
        <v>Santo Augusto</v>
      </c>
      <c r="C1440" s="119" t="str">
        <f>IFERROR(__xludf.DUMMYFUNCTION("""COMPUTED_VALUE"""),"CAB")</f>
        <v>CAB</v>
      </c>
      <c r="D1440" s="1" t="str">
        <f>IFERROR(__xludf.DUMMYFUNCTION("""COMPUTED_VALUE"""),"PAULO OSMAR MARQUES")</f>
        <v>PAULO OSMAR MARQUES</v>
      </c>
      <c r="E1440" s="119" t="str">
        <f>IFERROR(__xludf.DUMMYFUNCTION("""COMPUTED_VALUE"""),"")</f>
        <v/>
      </c>
      <c r="F1440" s="1" t="str">
        <f>IFERROR(__xludf.DUMMYFUNCTION("""COMPUTED_VALUE"""),"418.353.600-68")</f>
        <v>418.353.600-68</v>
      </c>
      <c r="G1440" s="1">
        <f>IFERROR(__xludf.DUMMYFUNCTION("""COMPUTED_VALUE"""),5040007006)</f>
        <v>5040007006</v>
      </c>
      <c r="H1440" s="1" t="str">
        <f>IFERROR(__xludf.DUMMYFUNCTION("""COMPUTED_VALUE"""),"MOTORISTA")</f>
        <v>MOTORISTA</v>
      </c>
      <c r="I1440" s="1" t="str">
        <f>IFERROR(__xludf.DUMMYFUNCTION("""COMPUTED_VALUE"""),"nocoes basicas combate incendio")</f>
        <v>nocoes basicas combate incendio</v>
      </c>
      <c r="J1440" s="1" t="str">
        <f>IFERROR(__xludf.DUMMYFUNCTION("""COMPUTED_VALUE"""),"Sim")</f>
        <v>Sim</v>
      </c>
      <c r="K1440" s="1" t="str">
        <f>IFERROR(__xludf.DUMMYFUNCTION("""COMPUTED_VALUE"""),"Não")</f>
        <v>Não</v>
      </c>
      <c r="L1440" s="1" t="str">
        <f>IFERROR(__xludf.DUMMYFUNCTION("""COMPUTED_VALUE"""),"A-")</f>
        <v>A-</v>
      </c>
      <c r="M1440" s="1" t="str">
        <f>IFERROR(__xludf.DUMMYFUNCTION("""COMPUTED_VALUE"""),"Paulão")</f>
        <v>Paulão</v>
      </c>
      <c r="N1440" s="120">
        <f>IFERROR(__xludf.DUMMYFUNCTION("""COMPUTED_VALUE"""),24857)</f>
        <v>24857</v>
      </c>
      <c r="O1440" s="1" t="str">
        <f>IFERROR(__xludf.DUMMYFUNCTION("""COMPUTED_VALUE"""),"Masculino")</f>
        <v>Masculino</v>
      </c>
      <c r="P1440" s="1" t="str">
        <f>IFERROR(__xludf.DUMMYFUNCTION("""COMPUTED_VALUE"""),"Branca")</f>
        <v>Branca</v>
      </c>
      <c r="Q1440" s="1"/>
      <c r="R1440" s="1"/>
      <c r="S1440" s="1"/>
      <c r="T1440" s="1"/>
      <c r="U1440" s="1"/>
      <c r="V1440" s="1" t="str">
        <f>IFERROR(__xludf.DUMMYFUNCTION("""COMPUTED_VALUE"""),"55 999274768")</f>
        <v>55 999274768</v>
      </c>
      <c r="W1440" s="1" t="str">
        <f>IFERROR(__xludf.DUMMYFUNCTION("""COMPUTED_VALUE"""),"55 996267354")</f>
        <v>55 996267354</v>
      </c>
      <c r="X1440" s="1" t="str">
        <f>IFERROR(__xludf.DUMMYFUNCTION("""COMPUTED_VALUE"""),"RS")</f>
        <v>RS</v>
      </c>
      <c r="Y1440" s="1" t="str">
        <f>IFERROR(__xludf.DUMMYFUNCTION("""COMPUTED_VALUE"""),"Santo Augusto")</f>
        <v>Santo Augusto</v>
      </c>
      <c r="Z1440" s="1">
        <f>IFERROR(__xludf.DUMMYFUNCTION("""COMPUTED_VALUE"""),98590000)</f>
        <v>98590000</v>
      </c>
      <c r="AA1440" s="1" t="str">
        <f>IFERROR(__xludf.DUMMYFUNCTION("""COMPUTED_VALUE"""),"Av. Central,")</f>
        <v>Av. Central,</v>
      </c>
      <c r="AB1440" s="1" t="str">
        <f>IFERROR(__xludf.DUMMYFUNCTION("""COMPUTED_VALUE"""),"Santo Antonio")</f>
        <v>Santo Antonio</v>
      </c>
      <c r="AC1440" s="1" t="str">
        <f>IFERROR(__xludf.DUMMYFUNCTION("""COMPUTED_VALUE"""),"GG")</f>
        <v>GG</v>
      </c>
      <c r="AD1440" s="1" t="str">
        <f>IFERROR(__xludf.DUMMYFUNCTION("""COMPUTED_VALUE"""),"EXG")</f>
        <v>EXG</v>
      </c>
      <c r="AE1440" s="1" t="str">
        <f>IFERROR(__xludf.DUMMYFUNCTION("""COMPUTED_VALUE"""),"EXG")</f>
        <v>EXG</v>
      </c>
      <c r="AF1440" s="1" t="str">
        <f>IFERROR(__xludf.DUMMYFUNCTION("""COMPUTED_VALUE"""),"EXG")</f>
        <v>EXG</v>
      </c>
      <c r="AG1440" s="1" t="str">
        <f>IFERROR(__xludf.DUMMYFUNCTION("""COMPUTED_VALUE"""),"EXG")</f>
        <v>EXG</v>
      </c>
      <c r="AH1440" s="1">
        <f>IFERROR(__xludf.DUMMYFUNCTION("""COMPUTED_VALUE"""),44)</f>
        <v>44</v>
      </c>
      <c r="AI1440" s="1">
        <f>IFERROR(__xludf.DUMMYFUNCTION("""COMPUTED_VALUE"""),44)</f>
        <v>44</v>
      </c>
      <c r="AJ1440" s="1">
        <f>IFERROR(__xludf.DUMMYFUNCTION("""COMPUTED_VALUE"""),44)</f>
        <v>44</v>
      </c>
      <c r="AK1440" s="1">
        <f>IFERROR(__xludf.DUMMYFUNCTION("""COMPUTED_VALUE"""),44)</f>
        <v>44</v>
      </c>
      <c r="AL1440" s="1" t="str">
        <f>IFERROR(__xludf.DUMMYFUNCTION("""COMPUTED_VALUE"""),"EXG")</f>
        <v>EXG</v>
      </c>
      <c r="AM1440" s="1" t="str">
        <f>IFERROR(__xludf.DUMMYFUNCTION("""COMPUTED_VALUE"""),"EXG")</f>
        <v>EXG</v>
      </c>
      <c r="AN1440" s="1" t="str">
        <f>IFERROR(__xludf.DUMMYFUNCTION("""COMPUTED_VALUE"""),"GG")</f>
        <v>GG</v>
      </c>
    </row>
    <row r="1441" customHeight="1" spans="1:40">
      <c r="A1441" s="1" t="str">
        <f>IFERROR(__xludf.DUMMYFUNCTION("""COMPUTED_VALUE"""),"12° BBM")</f>
        <v>12° BBM</v>
      </c>
      <c r="B1441" s="1"/>
      <c r="C1441" s="119"/>
      <c r="D1441" s="1" t="str">
        <f>IFERROR(__xludf.DUMMYFUNCTION("""COMPUTED_VALUE"""),"RONI TRATSCH")</f>
        <v>RONI TRATSCH</v>
      </c>
      <c r="E1441" s="1" t="str">
        <f>IFERROR(__xludf.DUMMYFUNCTION("""COMPUTED_VALUE"""),"Módulo 1 concluído")</f>
        <v>Módulo 1 concluído</v>
      </c>
      <c r="F1441" s="1" t="str">
        <f>IFERROR(__xludf.DUMMYFUNCTION("""COMPUTED_VALUE"""),"772.806.600-53")</f>
        <v>772.806.600-53</v>
      </c>
      <c r="G1441" s="1"/>
      <c r="H1441" s="1"/>
      <c r="I1441" s="1"/>
      <c r="J1441" s="1"/>
      <c r="K1441" s="1"/>
      <c r="L1441" s="1"/>
      <c r="M1441" s="1"/>
      <c r="N1441" s="120"/>
      <c r="O1441" s="1"/>
      <c r="P1441" s="1"/>
      <c r="Q1441" s="1"/>
      <c r="R1441" s="1"/>
      <c r="S1441" s="1"/>
      <c r="T1441" s="1"/>
      <c r="U1441" s="1"/>
      <c r="V1441" s="1"/>
      <c r="W1441" s="1"/>
      <c r="X1441" s="1"/>
      <c r="Y1441" s="1"/>
      <c r="Z1441" s="1"/>
      <c r="AA1441" s="1"/>
      <c r="AB1441" s="1"/>
      <c r="AC1441" s="1"/>
      <c r="AD1441" s="1"/>
      <c r="AE1441" s="1"/>
      <c r="AF1441" s="1"/>
      <c r="AG1441" s="1"/>
      <c r="AH1441" s="1"/>
      <c r="AI1441" s="1"/>
      <c r="AJ1441" s="1"/>
      <c r="AK1441" s="1"/>
      <c r="AL1441" s="1"/>
      <c r="AM1441" s="1"/>
      <c r="AN1441" s="1"/>
    </row>
    <row r="1442" customHeight="1" spans="1:40">
      <c r="A1442" s="1" t="str">
        <f>IFERROR(__xludf.DUMMYFUNCTION("""COMPUTED_VALUE"""),"12° BBM")</f>
        <v>12° BBM</v>
      </c>
      <c r="B1442" s="1"/>
      <c r="C1442" s="119"/>
      <c r="D1442" s="1" t="str">
        <f>IFERROR(__xludf.DUMMYFUNCTION("""COMPUTED_VALUE"""),"ROQUE CLAUDIR DE OLIVEIRA")</f>
        <v>ROQUE CLAUDIR DE OLIVEIRA</v>
      </c>
      <c r="E1442" s="1" t="str">
        <f>IFERROR(__xludf.DUMMYFUNCTION("""COMPUTED_VALUE"""),"Módulo 1 concluído")</f>
        <v>Módulo 1 concluído</v>
      </c>
      <c r="F1442" s="1" t="str">
        <f>IFERROR(__xludf.DUMMYFUNCTION("""COMPUTED_VALUE"""),"666.144.140-20")</f>
        <v>666.144.140-20</v>
      </c>
      <c r="G1442" s="1"/>
      <c r="H1442" s="1"/>
      <c r="I1442" s="1"/>
      <c r="J1442" s="1"/>
      <c r="K1442" s="1"/>
      <c r="L1442" s="1"/>
      <c r="M1442" s="1"/>
      <c r="N1442" s="120"/>
      <c r="O1442" s="1"/>
      <c r="P1442" s="1"/>
      <c r="Q1442" s="1"/>
      <c r="R1442" s="1"/>
      <c r="S1442" s="1"/>
      <c r="T1442" s="1"/>
      <c r="U1442" s="1"/>
      <c r="V1442" s="1"/>
      <c r="W1442" s="1"/>
      <c r="X1442" s="1"/>
      <c r="Y1442" s="1"/>
      <c r="Z1442" s="1"/>
      <c r="AA1442" s="1"/>
      <c r="AB1442" s="1"/>
      <c r="AC1442" s="1"/>
      <c r="AD1442" s="1"/>
      <c r="AE1442" s="1"/>
      <c r="AF1442" s="1"/>
      <c r="AG1442" s="1"/>
      <c r="AH1442" s="1"/>
      <c r="AI1442" s="1"/>
      <c r="AJ1442" s="1"/>
      <c r="AK1442" s="1"/>
      <c r="AL1442" s="1"/>
      <c r="AM1442" s="1"/>
      <c r="AN1442" s="1"/>
    </row>
    <row r="1443" customHeight="1" spans="1:40">
      <c r="A1443" s="1"/>
      <c r="B1443" s="1"/>
      <c r="C1443" s="119"/>
      <c r="D1443" s="1" t="str">
        <f>IFERROR(__xludf.DUMMYFUNCTION("""COMPUTED_VALUE"""),"ROSANA DE LIMA PADILHA GASTRING")</f>
        <v>ROSANA DE LIMA PADILHA GASTRING</v>
      </c>
      <c r="E1443" s="1" t="str">
        <f>IFERROR(__xludf.DUMMYFUNCTION("""COMPUTED_VALUE"""),"Curso CAB operador concluído")</f>
        <v>Curso CAB operador concluído</v>
      </c>
      <c r="F1443" s="1" t="str">
        <f>IFERROR(__xludf.DUMMYFUNCTION("""COMPUTED_VALUE"""),"826.444.890-91")</f>
        <v>826.444.890-91</v>
      </c>
      <c r="G1443" s="1"/>
      <c r="H1443" s="1"/>
      <c r="I1443" s="1"/>
      <c r="J1443" s="1"/>
      <c r="K1443" s="1"/>
      <c r="L1443" s="1"/>
      <c r="M1443" s="1"/>
      <c r="N1443" s="120"/>
      <c r="O1443" s="1"/>
      <c r="P1443" s="1"/>
      <c r="Q1443" s="1"/>
      <c r="R1443" s="1"/>
      <c r="S1443" s="1"/>
      <c r="T1443" s="1"/>
      <c r="U1443" s="1"/>
      <c r="V1443" s="1"/>
      <c r="W1443" s="1"/>
      <c r="X1443" s="1"/>
      <c r="Y1443" s="1"/>
      <c r="Z1443" s="1"/>
      <c r="AA1443" s="1"/>
      <c r="AB1443" s="1"/>
      <c r="AC1443" s="1"/>
      <c r="AD1443" s="1"/>
      <c r="AE1443" s="1"/>
      <c r="AF1443" s="1"/>
      <c r="AG1443" s="1"/>
      <c r="AH1443" s="1"/>
      <c r="AI1443" s="1"/>
      <c r="AJ1443" s="1"/>
      <c r="AK1443" s="1"/>
      <c r="AL1443" s="1"/>
      <c r="AM1443" s="1"/>
      <c r="AN1443" s="1"/>
    </row>
    <row r="1444" customHeight="1" spans="1:40">
      <c r="A1444" s="1" t="str">
        <f>IFERROR(__xludf.DUMMYFUNCTION("""COMPUTED_VALUE"""),"12° BBM")</f>
        <v>12° BBM</v>
      </c>
      <c r="B1444" s="1" t="str">
        <f>IFERROR(__xludf.DUMMYFUNCTION("""COMPUTED_VALUE"""),"Santo Augusto")</f>
        <v>Santo Augusto</v>
      </c>
      <c r="C1444" s="119" t="str">
        <f>IFERROR(__xludf.DUMMYFUNCTION("""COMPUTED_VALUE"""),"CAB")</f>
        <v>CAB</v>
      </c>
      <c r="D1444" s="1" t="str">
        <f>IFERROR(__xludf.DUMMYFUNCTION("""COMPUTED_VALUE"""),"VANDERLEI VEIGA DOS SANTOS")</f>
        <v>VANDERLEI VEIGA DOS SANTOS</v>
      </c>
      <c r="E1444" s="119" t="str">
        <f>IFERROR(__xludf.DUMMYFUNCTION("""COMPUTED_VALUE"""),"")</f>
        <v/>
      </c>
      <c r="F1444" s="1" t="str">
        <f>IFERROR(__xludf.DUMMYFUNCTION("""COMPUTED_VALUE"""),"708.615.360-53")</f>
        <v>708.615.360-53</v>
      </c>
      <c r="G1444" s="1">
        <f>IFERROR(__xludf.DUMMYFUNCTION("""COMPUTED_VALUE"""),2066543337)</f>
        <v>2066543337</v>
      </c>
      <c r="H1444" s="1" t="str">
        <f>IFERROR(__xludf.DUMMYFUNCTION("""COMPUTED_VALUE"""),"MOTORISTA")</f>
        <v>MOTORISTA</v>
      </c>
      <c r="I1444" s="1" t="str">
        <f>IFERROR(__xludf.DUMMYFUNCTION("""COMPUTED_VALUE"""),"nocoes basicas combate incendio")</f>
        <v>nocoes basicas combate incendio</v>
      </c>
      <c r="J1444" s="1" t="str">
        <f>IFERROR(__xludf.DUMMYFUNCTION("""COMPUTED_VALUE"""),"Sim")</f>
        <v>Sim</v>
      </c>
      <c r="K1444" s="1" t="str">
        <f>IFERROR(__xludf.DUMMYFUNCTION("""COMPUTED_VALUE"""),"Não")</f>
        <v>Não</v>
      </c>
      <c r="L1444" s="1"/>
      <c r="M1444" s="1"/>
      <c r="N1444" s="120">
        <f>IFERROR(__xludf.DUMMYFUNCTION("""COMPUTED_VALUE"""),27807)</f>
        <v>27807</v>
      </c>
      <c r="O1444" s="1" t="str">
        <f>IFERROR(__xludf.DUMMYFUNCTION("""COMPUTED_VALUE"""),"Masculino")</f>
        <v>Masculino</v>
      </c>
      <c r="P1444" s="1" t="str">
        <f>IFERROR(__xludf.DUMMYFUNCTION("""COMPUTED_VALUE"""),"Branca")</f>
        <v>Branca</v>
      </c>
      <c r="Q1444" s="1"/>
      <c r="R1444" s="1" t="str">
        <f>IFERROR(__xludf.DUMMYFUNCTION("""COMPUTED_VALUE"""),"vanderleisantosveiga@gmail.com")</f>
        <v>vanderleisantosveiga@gmail.com</v>
      </c>
      <c r="S1444" s="1">
        <f>IFERROR(__xludf.DUMMYFUNCTION("""COMPUTED_VALUE"""),70)</f>
        <v>70</v>
      </c>
      <c r="T1444" s="1"/>
      <c r="U1444" s="1"/>
      <c r="V1444" s="1" t="str">
        <f>IFERROR(__xludf.DUMMYFUNCTION("""COMPUTED_VALUE"""),"55 999884361")</f>
        <v>55 999884361</v>
      </c>
      <c r="W1444" s="1" t="str">
        <f>IFERROR(__xludf.DUMMYFUNCTION("""COMPUTED_VALUE"""),"55 996267354")</f>
        <v>55 996267354</v>
      </c>
      <c r="X1444" s="1" t="str">
        <f>IFERROR(__xludf.DUMMYFUNCTION("""COMPUTED_VALUE"""),"RS")</f>
        <v>RS</v>
      </c>
      <c r="Y1444" s="1" t="str">
        <f>IFERROR(__xludf.DUMMYFUNCTION("""COMPUTED_VALUE"""),"Santo Augusto")</f>
        <v>Santo Augusto</v>
      </c>
      <c r="Z1444" s="1">
        <f>IFERROR(__xludf.DUMMYFUNCTION("""COMPUTED_VALUE"""),98590000)</f>
        <v>98590000</v>
      </c>
      <c r="AA1444" s="1" t="str">
        <f>IFERROR(__xludf.DUMMYFUNCTION("""COMPUTED_VALUE"""),"Dona Sinha, 28")</f>
        <v>Dona Sinha, 28</v>
      </c>
      <c r="AB1444" s="1" t="str">
        <f>IFERROR(__xludf.DUMMYFUNCTION("""COMPUTED_VALUE"""),"Santo Antonio")</f>
        <v>Santo Antonio</v>
      </c>
      <c r="AC1444" s="1" t="str">
        <f>IFERROR(__xludf.DUMMYFUNCTION("""COMPUTED_VALUE"""),"G")</f>
        <v>G</v>
      </c>
      <c r="AD1444" s="1" t="str">
        <f>IFERROR(__xludf.DUMMYFUNCTION("""COMPUTED_VALUE"""),"G")</f>
        <v>G</v>
      </c>
      <c r="AE1444" s="1" t="str">
        <f>IFERROR(__xludf.DUMMYFUNCTION("""COMPUTED_VALUE"""),"G")</f>
        <v>G</v>
      </c>
      <c r="AF1444" s="1" t="str">
        <f>IFERROR(__xludf.DUMMYFUNCTION("""COMPUTED_VALUE"""),"G")</f>
        <v>G</v>
      </c>
      <c r="AG1444" s="1" t="str">
        <f>IFERROR(__xludf.DUMMYFUNCTION("""COMPUTED_VALUE"""),"G")</f>
        <v>G</v>
      </c>
      <c r="AH1444" s="1">
        <f>IFERROR(__xludf.DUMMYFUNCTION("""COMPUTED_VALUE"""),40)</f>
        <v>40</v>
      </c>
      <c r="AI1444" s="1">
        <f>IFERROR(__xludf.DUMMYFUNCTION("""COMPUTED_VALUE"""),39)</f>
        <v>39</v>
      </c>
      <c r="AJ1444" s="1">
        <f>IFERROR(__xludf.DUMMYFUNCTION("""COMPUTED_VALUE"""),39)</f>
        <v>39</v>
      </c>
      <c r="AK1444" s="1">
        <f>IFERROR(__xludf.DUMMYFUNCTION("""COMPUTED_VALUE"""),40)</f>
        <v>40</v>
      </c>
      <c r="AL1444" s="1" t="str">
        <f>IFERROR(__xludf.DUMMYFUNCTION("""COMPUTED_VALUE"""),"G")</f>
        <v>G</v>
      </c>
      <c r="AM1444" s="1" t="str">
        <f>IFERROR(__xludf.DUMMYFUNCTION("""COMPUTED_VALUE"""),"M")</f>
        <v>M</v>
      </c>
      <c r="AN1444" s="1" t="str">
        <f>IFERROR(__xludf.DUMMYFUNCTION("""COMPUTED_VALUE"""),"M")</f>
        <v>M</v>
      </c>
    </row>
    <row r="1445" customHeight="1" spans="1:40">
      <c r="A1445" s="1" t="str">
        <f>IFERROR(__xludf.DUMMYFUNCTION("""COMPUTED_VALUE"""),"12° BBM")</f>
        <v>12° BBM</v>
      </c>
      <c r="B1445" s="1" t="str">
        <f>IFERROR(__xludf.DUMMYFUNCTION("""COMPUTED_VALUE"""),"Quinze de Novembro")</f>
        <v>Quinze de Novembro</v>
      </c>
      <c r="C1445" s="119" t="str">
        <f>IFERROR(__xludf.DUMMYFUNCTION("""COMPUTED_VALUE"""),"CAB")</f>
        <v>CAB</v>
      </c>
      <c r="D1445" s="1" t="str">
        <f>IFERROR(__xludf.DUMMYFUNCTION("""COMPUTED_VALUE"""),"VILSON LAMB BUDKE")</f>
        <v>VILSON LAMB BUDKE</v>
      </c>
      <c r="E1445" s="119" t="str">
        <f>IFERROR(__xludf.DUMMYFUNCTION("""COMPUTED_VALUE"""),"Curso CAB operador concluído")</f>
        <v>Curso CAB operador concluído</v>
      </c>
      <c r="F1445" s="1" t="str">
        <f>IFERROR(__xludf.DUMMYFUNCTION("""COMPUTED_VALUE"""),"985.950.400-87")</f>
        <v>985.950.400-87</v>
      </c>
      <c r="G1445" s="1">
        <f>IFERROR(__xludf.DUMMYFUNCTION("""COMPUTED_VALUE"""),1064772501)</f>
        <v>1064772501</v>
      </c>
      <c r="H1445" s="1" t="str">
        <f>IFERROR(__xludf.DUMMYFUNCTION("""COMPUTED_VALUE"""),"motorista / operador")</f>
        <v>motorista / operador</v>
      </c>
      <c r="I1445" s="1"/>
      <c r="J1445" s="1" t="str">
        <f>IFERROR(__xludf.DUMMYFUNCTION("""COMPUTED_VALUE"""),"Sim")</f>
        <v>Sim</v>
      </c>
      <c r="K1445" s="1" t="str">
        <f>IFERROR(__xludf.DUMMYFUNCTION("""COMPUTED_VALUE"""),"Não")</f>
        <v>Não</v>
      </c>
      <c r="L1445" s="1" t="str">
        <f>IFERROR(__xludf.DUMMYFUNCTION("""COMPUTED_VALUE"""),"A+")</f>
        <v>A+</v>
      </c>
      <c r="M1445" s="1" t="str">
        <f>IFERROR(__xludf.DUMMYFUNCTION("""COMPUTED_VALUE"""),"vilson")</f>
        <v>vilson</v>
      </c>
      <c r="N1445" s="120">
        <f>IFERROR(__xludf.DUMMYFUNCTION("""COMPUTED_VALUE"""),29698)</f>
        <v>29698</v>
      </c>
      <c r="O1445" s="1" t="str">
        <f>IFERROR(__xludf.DUMMYFUNCTION("""COMPUTED_VALUE"""),"Masculino")</f>
        <v>Masculino</v>
      </c>
      <c r="P1445" s="1" t="str">
        <f>IFERROR(__xludf.DUMMYFUNCTION("""COMPUTED_VALUE"""),"Branca")</f>
        <v>Branca</v>
      </c>
      <c r="Q1445" s="1" t="str">
        <f>IFERROR(__xludf.DUMMYFUNCTION("""COMPUTED_VALUE"""),"Ensino Médio")</f>
        <v>Ensino Médio</v>
      </c>
      <c r="R1445" s="1" t="str">
        <f>IFERROR(__xludf.DUMMYFUNCTION("""COMPUTED_VALUE"""),"vilson.budke@hotmail.com")</f>
        <v>vilson.budke@hotmail.com</v>
      </c>
      <c r="S1445" s="1">
        <f>IFERROR(__xludf.DUMMYFUNCTION("""COMPUTED_VALUE"""),103)</f>
        <v>103</v>
      </c>
      <c r="T1445" s="1" t="str">
        <f>IFERROR(__xludf.DUMMYFUNCTION("""COMPUTED_VALUE"""),"Entre 1,86m e 1,90m")</f>
        <v>Entre 1,86m e 1,90m</v>
      </c>
      <c r="U1445" s="1" t="str">
        <f>IFERROR(__xludf.DUMMYFUNCTION("""COMPUTED_VALUE"""),"(54) 99120-8848")</f>
        <v>(54) 99120-8848</v>
      </c>
      <c r="V1445" s="1" t="str">
        <f>IFERROR(__xludf.DUMMYFUNCTION("""COMPUTED_VALUE"""),"(54) 99120-8848")</f>
        <v>(54) 99120-8848</v>
      </c>
      <c r="W1445" s="1" t="str">
        <f>IFERROR(__xludf.DUMMYFUNCTION("""COMPUTED_VALUE"""),"(54) 99120-8848")</f>
        <v>(54) 99120-8848</v>
      </c>
      <c r="X1445" s="1" t="str">
        <f>IFERROR(__xludf.DUMMYFUNCTION("""COMPUTED_VALUE"""),"RS")</f>
        <v>RS</v>
      </c>
      <c r="Y1445" s="1" t="str">
        <f>IFERROR(__xludf.DUMMYFUNCTION("""COMPUTED_VALUE"""),"Quinze de Novembro")</f>
        <v>Quinze de Novembro</v>
      </c>
      <c r="Z1445" s="1" t="str">
        <f>IFERROR(__xludf.DUMMYFUNCTION("""COMPUTED_VALUE"""),"98230-000")</f>
        <v>98230-000</v>
      </c>
      <c r="AA1445" s="1" t="str">
        <f>IFERROR(__xludf.DUMMYFUNCTION("""COMPUTED_VALUE"""),"rua rui barbosa. 1160")</f>
        <v>rua rui barbosa. 1160</v>
      </c>
      <c r="AB1445" s="1" t="str">
        <f>IFERROR(__xludf.DUMMYFUNCTION("""COMPUTED_VALUE"""),"Centro")</f>
        <v>Centro</v>
      </c>
      <c r="AC1445" s="1" t="str">
        <f>IFERROR(__xludf.DUMMYFUNCTION("""COMPUTED_VALUE"""),"G")</f>
        <v>G</v>
      </c>
      <c r="AD1445" s="1" t="str">
        <f>IFERROR(__xludf.DUMMYFUNCTION("""COMPUTED_VALUE"""),"G")</f>
        <v>G</v>
      </c>
      <c r="AE1445" s="1" t="str">
        <f>IFERROR(__xludf.DUMMYFUNCTION("""COMPUTED_VALUE"""),"GG")</f>
        <v>GG</v>
      </c>
      <c r="AF1445" s="1" t="str">
        <f>IFERROR(__xludf.DUMMYFUNCTION("""COMPUTED_VALUE"""),"GG")</f>
        <v>GG</v>
      </c>
      <c r="AG1445" s="1" t="str">
        <f>IFERROR(__xludf.DUMMYFUNCTION("""COMPUTED_VALUE"""),"GG")</f>
        <v>GG</v>
      </c>
      <c r="AH1445" s="1">
        <f>IFERROR(__xludf.DUMMYFUNCTION("""COMPUTED_VALUE"""),45)</f>
        <v>45</v>
      </c>
      <c r="AI1445" s="1">
        <f>IFERROR(__xludf.DUMMYFUNCTION("""COMPUTED_VALUE"""),45)</f>
        <v>45</v>
      </c>
      <c r="AJ1445" s="1">
        <f>IFERROR(__xludf.DUMMYFUNCTION("""COMPUTED_VALUE"""),45)</f>
        <v>45</v>
      </c>
      <c r="AK1445" s="1">
        <f>IFERROR(__xludf.DUMMYFUNCTION("""COMPUTED_VALUE"""),45)</f>
        <v>45</v>
      </c>
      <c r="AL1445" s="1" t="str">
        <f>IFERROR(__xludf.DUMMYFUNCTION("""COMPUTED_VALUE"""),"GG")</f>
        <v>GG</v>
      </c>
      <c r="AM1445" s="1" t="str">
        <f>IFERROR(__xludf.DUMMYFUNCTION("""COMPUTED_VALUE"""),"GG")</f>
        <v>GG</v>
      </c>
      <c r="AN1445" s="1" t="str">
        <f>IFERROR(__xludf.DUMMYFUNCTION("""COMPUTED_VALUE"""),"GG")</f>
        <v>GG</v>
      </c>
    </row>
    <row r="1446" customHeight="1" spans="1:40">
      <c r="A1446" s="1" t="str">
        <f>IFERROR(__xludf.DUMMYFUNCTION("""COMPUTED_VALUE"""),"12° BBM")</f>
        <v>12° BBM</v>
      </c>
      <c r="B1446" s="1" t="str">
        <f>IFERROR(__xludf.DUMMYFUNCTION("""COMPUTED_VALUE"""),"Chiapetta")</f>
        <v>Chiapetta</v>
      </c>
      <c r="C1446" s="119" t="str">
        <f>IFERROR(__xludf.DUMMYFUNCTION("""COMPUTED_VALUE"""),"CAB")</f>
        <v>CAB</v>
      </c>
      <c r="D1446" s="1" t="str">
        <f>IFERROR(__xludf.DUMMYFUNCTION("""COMPUTED_VALUE"""),"ZEVIR DE VARGAS MOURA")</f>
        <v>ZEVIR DE VARGAS MOURA</v>
      </c>
      <c r="E1446" s="119" t="str">
        <f>IFERROR(__xludf.DUMMYFUNCTION("""COMPUTED_VALUE"""),"")</f>
        <v/>
      </c>
      <c r="F1446" s="1" t="str">
        <f>IFERROR(__xludf.DUMMYFUNCTION("""COMPUTED_VALUE"""),"428.698.700-00")</f>
        <v>428.698.700-00</v>
      </c>
      <c r="G1446" s="1">
        <f>IFERROR(__xludf.DUMMYFUNCTION("""COMPUTED_VALUE"""),1035717196)</f>
        <v>1035717196</v>
      </c>
      <c r="H1446" s="1" t="str">
        <f>IFERROR(__xludf.DUMMYFUNCTION("""COMPUTED_VALUE"""),"MOTORISTA")</f>
        <v>MOTORISTA</v>
      </c>
      <c r="I1446" s="1" t="str">
        <f>IFERROR(__xludf.DUMMYFUNCTION("""COMPUTED_VALUE"""),"nocoes basicas/combate/ABT")</f>
        <v>nocoes basicas/combate/ABT</v>
      </c>
      <c r="J1446" s="1" t="str">
        <f>IFERROR(__xludf.DUMMYFUNCTION("""COMPUTED_VALUE"""),"Não")</f>
        <v>Não</v>
      </c>
      <c r="K1446" s="1" t="str">
        <f>IFERROR(__xludf.DUMMYFUNCTION("""COMPUTED_VALUE"""),"não")</f>
        <v>não</v>
      </c>
      <c r="L1446" s="1" t="str">
        <f>IFERROR(__xludf.DUMMYFUNCTION("""COMPUTED_VALUE"""),"O+")</f>
        <v>O+</v>
      </c>
      <c r="M1446" s="1"/>
      <c r="N1446" s="1"/>
      <c r="O1446" s="1" t="str">
        <f>IFERROR(__xludf.DUMMYFUNCTION("""COMPUTED_VALUE"""),"Masculino")</f>
        <v>Masculino</v>
      </c>
      <c r="P1446" s="1" t="str">
        <f>IFERROR(__xludf.DUMMYFUNCTION("""COMPUTED_VALUE"""),"BRANCA")</f>
        <v>BRANCA</v>
      </c>
      <c r="Q1446" s="1" t="str">
        <f>IFERROR(__xludf.DUMMYFUNCTION("""COMPUTED_VALUE"""),"Ensino Médio")</f>
        <v>Ensino Médio</v>
      </c>
      <c r="R1446" s="1" t="str">
        <f>IFERROR(__xludf.DUMMYFUNCTION("""COMPUTED_VALUE"""),"gabinete@chiapetta.rs.gov.br")</f>
        <v>gabinete@chiapetta.rs.gov.br</v>
      </c>
      <c r="S1446" s="1" t="str">
        <f>IFERROR(__xludf.DUMMYFUNCTION("""COMPUTED_VALUE"""),"90kg")</f>
        <v>90kg</v>
      </c>
      <c r="T1446" s="1" t="str">
        <f>IFERROR(__xludf.DUMMYFUNCTION("""COMPUTED_VALUE"""),"Entre 1,76m e 1,80m")</f>
        <v>Entre 1,76m e 1,80m</v>
      </c>
      <c r="U1446" s="1"/>
      <c r="V1446" s="1" t="str">
        <f>IFERROR(__xludf.DUMMYFUNCTION("""COMPUTED_VALUE"""),"(55) 99614-7150")</f>
        <v>(55) 99614-7150</v>
      </c>
      <c r="W1446" s="1"/>
      <c r="X1446" s="1" t="str">
        <f>IFERROR(__xludf.DUMMYFUNCTION("""COMPUTED_VALUE"""),"RS")</f>
        <v>RS</v>
      </c>
      <c r="Y1446" s="1" t="str">
        <f>IFERROR(__xludf.DUMMYFUNCTION("""COMPUTED_VALUE"""),"Chiapetta")</f>
        <v>Chiapetta</v>
      </c>
      <c r="Z1446" s="1" t="str">
        <f>IFERROR(__xludf.DUMMYFUNCTION("""COMPUTED_VALUE"""),"98760-000")</f>
        <v>98760-000</v>
      </c>
      <c r="AA1446" s="1" t="str">
        <f>IFERROR(__xludf.DUMMYFUNCTION("""COMPUTED_VALUE"""),"Hiran Cunha n°732")</f>
        <v>Hiran Cunha n°732</v>
      </c>
      <c r="AB1446" s="1" t="str">
        <f>IFERROR(__xludf.DUMMYFUNCTION("""COMPUTED_VALUE"""),"CENTRO")</f>
        <v>CENTRO</v>
      </c>
      <c r="AC1446" s="1" t="str">
        <f>IFERROR(__xludf.DUMMYFUNCTION("""COMPUTED_VALUE"""),"G")</f>
        <v>G</v>
      </c>
      <c r="AD1446" s="1" t="str">
        <f>IFERROR(__xludf.DUMMYFUNCTION("""COMPUTED_VALUE"""),"G")</f>
        <v>G</v>
      </c>
      <c r="AE1446" s="1" t="str">
        <f>IFERROR(__xludf.DUMMYFUNCTION("""COMPUTED_VALUE"""),"G")</f>
        <v>G</v>
      </c>
      <c r="AF1446" s="1" t="str">
        <f>IFERROR(__xludf.DUMMYFUNCTION("""COMPUTED_VALUE"""),"G")</f>
        <v>G</v>
      </c>
      <c r="AG1446" s="1" t="str">
        <f>IFERROR(__xludf.DUMMYFUNCTION("""COMPUTED_VALUE"""),"G")</f>
        <v>G</v>
      </c>
      <c r="AH1446" s="1">
        <f>IFERROR(__xludf.DUMMYFUNCTION("""COMPUTED_VALUE"""),42)</f>
        <v>42</v>
      </c>
      <c r="AI1446" s="1">
        <f>IFERROR(__xludf.DUMMYFUNCTION("""COMPUTED_VALUE"""),42)</f>
        <v>42</v>
      </c>
      <c r="AJ1446" s="1">
        <f>IFERROR(__xludf.DUMMYFUNCTION("""COMPUTED_VALUE"""),42)</f>
        <v>42</v>
      </c>
      <c r="AK1446" s="1">
        <f>IFERROR(__xludf.DUMMYFUNCTION("""COMPUTED_VALUE"""),42)</f>
        <v>42</v>
      </c>
      <c r="AL1446" s="1" t="str">
        <f>IFERROR(__xludf.DUMMYFUNCTION("""COMPUTED_VALUE"""),"G")</f>
        <v>G</v>
      </c>
      <c r="AM1446" s="1" t="str">
        <f>IFERROR(__xludf.DUMMYFUNCTION("""COMPUTED_VALUE"""),"G")</f>
        <v>G</v>
      </c>
      <c r="AN1446" s="1" t="str">
        <f>IFERROR(__xludf.DUMMYFUNCTION("""COMPUTED_VALUE"""),"G")</f>
        <v>G</v>
      </c>
    </row>
    <row r="1540" customHeight="1" spans="1:40">
      <c r="A1540" s="126" t="str">
        <f>IFERROR(__xludf.DUMMYFUNCTION("IMPORTRANGE(""1uCBYq_B1noXDnZ2hAWfjmyqidVGOrreR1eUpbj41kZg/edit?gid=516654854"",""13BBM!A2:AN"")"),"")</f>
        <v/>
      </c>
      <c r="B1540" s="1"/>
      <c r="C1540" s="119"/>
      <c r="D1540" s="1" t="str">
        <f>IFERROR(__xludf.DUMMYFUNCTION("""COMPUTED_VALUE"""),"ANA JANETE PINHEIRO DINAT")</f>
        <v>ANA JANETE PINHEIRO DINAT</v>
      </c>
      <c r="E1540" s="1" t="str">
        <f>IFERROR(__xludf.DUMMYFUNCTION("""COMPUTED_VALUE"""),"Módulo 1 concluído")</f>
        <v>Módulo 1 concluído</v>
      </c>
      <c r="F1540" s="119" t="str">
        <f>IFERROR(__xludf.DUMMYFUNCTION("""COMPUTED_VALUE"""),"668.881.150-20")</f>
        <v>668.881.150-20</v>
      </c>
      <c r="G1540" s="1"/>
      <c r="H1540" s="1"/>
      <c r="I1540" s="1"/>
      <c r="J1540" s="1"/>
      <c r="K1540" s="1"/>
      <c r="L1540" s="1"/>
      <c r="M1540" s="1"/>
      <c r="N1540" s="120"/>
      <c r="O1540" s="1"/>
      <c r="P1540" s="1"/>
      <c r="Q1540" s="1"/>
      <c r="R1540" s="1"/>
      <c r="S1540" s="1"/>
      <c r="T1540" s="1"/>
      <c r="U1540" s="1"/>
      <c r="V1540" s="1"/>
      <c r="W1540" s="1"/>
      <c r="X1540" s="1"/>
      <c r="Y1540" s="1"/>
      <c r="Z1540" s="1"/>
      <c r="AA1540" s="1"/>
      <c r="AB1540" s="1"/>
      <c r="AC1540" s="1"/>
      <c r="AD1540" s="1"/>
      <c r="AE1540" s="1"/>
      <c r="AF1540" s="1"/>
      <c r="AG1540" s="1"/>
      <c r="AH1540" s="1"/>
      <c r="AI1540" s="1"/>
      <c r="AJ1540" s="1"/>
      <c r="AK1540" s="1"/>
      <c r="AL1540" s="1"/>
      <c r="AM1540" s="1"/>
      <c r="AN1540" s="1"/>
    </row>
    <row r="1541" customHeight="1" spans="1:40">
      <c r="A1541" s="1" t="str">
        <f>IFERROR(__xludf.DUMMYFUNCTION("""COMPUTED_VALUE"""),"13° BBM")</f>
        <v>13° BBM</v>
      </c>
      <c r="B1541" s="1" t="str">
        <f>IFERROR(__xludf.DUMMYFUNCTION("""COMPUTED_VALUE"""),"Itaqui")</f>
        <v>Itaqui</v>
      </c>
      <c r="C1541" s="119" t="str">
        <f>IFERROR(__xludf.DUMMYFUNCTION("""COMPUTED_VALUE"""),"Comunitario")</f>
        <v>Comunitario</v>
      </c>
      <c r="D1541" s="1" t="str">
        <f>IFERROR(__xludf.DUMMYFUNCTION("""COMPUTED_VALUE"""),"ÂNGELO DIONISIO DA SILVA RODRIGUES")</f>
        <v>ÂNGELO DIONISIO DA SILVA RODRIGUES</v>
      </c>
      <c r="E1541" s="1" t="str">
        <f>IFERROR(__xludf.DUMMYFUNCTION("""COMPUTED_VALUE"""),"Curso CAB operador concluído")</f>
        <v>Curso CAB operador concluído</v>
      </c>
      <c r="F1541" s="1" t="str">
        <f>IFERROR(__xludf.DUMMYFUNCTION("""COMPUTED_VALUE"""),"518.045.810-20")</f>
        <v>518.045.810-20</v>
      </c>
      <c r="G1541" s="1">
        <f>IFERROR(__xludf.DUMMYFUNCTION("""COMPUTED_VALUE"""),5034876598)</f>
        <v>5034876598</v>
      </c>
      <c r="H1541" s="1" t="str">
        <f>IFERROR(__xludf.DUMMYFUNCTION("""COMPUTED_VALUE"""),"Combatente")</f>
        <v>Combatente</v>
      </c>
      <c r="I1541" s="1" t="str">
        <f>IFERROR(__xludf.DUMMYFUNCTION("""COMPUTED_VALUE"""),"Curso de Técnica e Tática de Combate à Incêndio - Nível I")</f>
        <v>Curso de Técnica e Tática de Combate à Incêndio - Nível I</v>
      </c>
      <c r="J1541" s="1" t="str">
        <f>IFERROR(__xludf.DUMMYFUNCTION("""COMPUTED_VALUE"""),"Sim")</f>
        <v>Sim</v>
      </c>
      <c r="K1541" s="1" t="str">
        <f>IFERROR(__xludf.DUMMYFUNCTION("""COMPUTED_VALUE"""),"Sim")</f>
        <v>Sim</v>
      </c>
      <c r="L1541" s="1" t="str">
        <f>IFERROR(__xludf.DUMMYFUNCTION("""COMPUTED_VALUE"""),"O+")</f>
        <v>O+</v>
      </c>
      <c r="M1541" s="1" t="str">
        <f>IFERROR(__xludf.DUMMYFUNCTION("""COMPUTED_VALUE"""),"ANGELO")</f>
        <v>ANGELO</v>
      </c>
      <c r="N1541" s="121">
        <f>IFERROR(__xludf.DUMMYFUNCTION("""COMPUTED_VALUE"""),24399)</f>
        <v>24399</v>
      </c>
      <c r="O1541" s="1" t="str">
        <f>IFERROR(__xludf.DUMMYFUNCTION("""COMPUTED_VALUE"""),"Masculino")</f>
        <v>Masculino</v>
      </c>
      <c r="P1541" s="1" t="str">
        <f>IFERROR(__xludf.DUMMYFUNCTION("""COMPUTED_VALUE"""),"Morena")</f>
        <v>Morena</v>
      </c>
      <c r="Q1541" s="1" t="str">
        <f>IFERROR(__xludf.DUMMYFUNCTION("""COMPUTED_VALUE"""),"Ensino Médio")</f>
        <v>Ensino Médio</v>
      </c>
      <c r="R1541" s="1"/>
      <c r="S1541" s="1">
        <f>IFERROR(__xludf.DUMMYFUNCTION("""COMPUTED_VALUE"""),84)</f>
        <v>84</v>
      </c>
      <c r="T1541" s="1" t="str">
        <f>IFERROR(__xludf.DUMMYFUNCTION("""COMPUTED_VALUE"""),"Entre 1,66m e 1,70m")</f>
        <v>Entre 1,66m e 1,70m</v>
      </c>
      <c r="U1541" s="1"/>
      <c r="V1541" s="1" t="str">
        <f>IFERROR(__xludf.DUMMYFUNCTION("""COMPUTED_VALUE"""),"(55) 99657-9817")</f>
        <v>(55) 99657-9817</v>
      </c>
      <c r="W1541" s="1" t="str">
        <f>IFERROR(__xludf.DUMMYFUNCTION("""COMPUTED_VALUE"""),"(55) 3433-4385")</f>
        <v>(55) 3433-4385</v>
      </c>
      <c r="X1541" s="1" t="str">
        <f>IFERROR(__xludf.DUMMYFUNCTION("""COMPUTED_VALUE"""),"RS")</f>
        <v>RS</v>
      </c>
      <c r="Y1541" s="1" t="str">
        <f>IFERROR(__xludf.DUMMYFUNCTION("""COMPUTED_VALUE"""),"Itaqui")</f>
        <v>Itaqui</v>
      </c>
      <c r="Z1541" s="1" t="str">
        <f>IFERROR(__xludf.DUMMYFUNCTION("""COMPUTED_VALUE"""),"           97650-000")</f>
        <v>           97650-000</v>
      </c>
      <c r="AA1541" s="1" t="str">
        <f>IFERROR(__xludf.DUMMYFUNCTION("""COMPUTED_VALUE"""),"SÃO BORJA")</f>
        <v>SÃO BORJA</v>
      </c>
      <c r="AB1541" s="1" t="str">
        <f>IFERROR(__xludf.DUMMYFUNCTION("""COMPUTED_VALUE"""),"DR AYUB")</f>
        <v>DR AYUB</v>
      </c>
      <c r="AC1541" s="1" t="str">
        <f>IFERROR(__xludf.DUMMYFUNCTION("""COMPUTED_VALUE"""),"M")</f>
        <v>M</v>
      </c>
      <c r="AD1541" s="1" t="str">
        <f>IFERROR(__xludf.DUMMYFUNCTION("""COMPUTED_VALUE"""),"M")</f>
        <v>M</v>
      </c>
      <c r="AE1541" s="1" t="str">
        <f>IFERROR(__xludf.DUMMYFUNCTION("""COMPUTED_VALUE"""),"M")</f>
        <v>M</v>
      </c>
      <c r="AF1541" s="1" t="str">
        <f>IFERROR(__xludf.DUMMYFUNCTION("""COMPUTED_VALUE"""),"G")</f>
        <v>G</v>
      </c>
      <c r="AG1541" s="1" t="str">
        <f>IFERROR(__xludf.DUMMYFUNCTION("""COMPUTED_VALUE"""),"G")</f>
        <v>G</v>
      </c>
      <c r="AH1541" s="1">
        <f>IFERROR(__xludf.DUMMYFUNCTION("""COMPUTED_VALUE"""),41)</f>
        <v>41</v>
      </c>
      <c r="AI1541" s="1">
        <f>IFERROR(__xludf.DUMMYFUNCTION("""COMPUTED_VALUE"""),41)</f>
        <v>41</v>
      </c>
      <c r="AJ1541" s="1">
        <f>IFERROR(__xludf.DUMMYFUNCTION("""COMPUTED_VALUE"""),41)</f>
        <v>41</v>
      </c>
      <c r="AK1541" s="1">
        <f>IFERROR(__xludf.DUMMYFUNCTION("""COMPUTED_VALUE"""),41)</f>
        <v>41</v>
      </c>
      <c r="AL1541" s="1" t="str">
        <f>IFERROR(__xludf.DUMMYFUNCTION("""COMPUTED_VALUE"""),"G")</f>
        <v>G</v>
      </c>
      <c r="AM1541" s="1" t="str">
        <f>IFERROR(__xludf.DUMMYFUNCTION("""COMPUTED_VALUE"""),"G")</f>
        <v>G</v>
      </c>
      <c r="AN1541" s="1" t="str">
        <f>IFERROR(__xludf.DUMMYFUNCTION("""COMPUTED_VALUE"""),"G")</f>
        <v>G</v>
      </c>
    </row>
    <row r="1542" customHeight="1" spans="1:40">
      <c r="A1542" s="1" t="str">
        <f>IFERROR(__xludf.DUMMYFUNCTION("""COMPUTED_VALUE"""),"13° BBM")</f>
        <v>13° BBM</v>
      </c>
      <c r="B1542" s="1" t="str">
        <f>IFERROR(__xludf.DUMMYFUNCTION("""COMPUTED_VALUE"""),"Itaqui")</f>
        <v>Itaqui</v>
      </c>
      <c r="C1542" s="119" t="str">
        <f>IFERROR(__xludf.DUMMYFUNCTION("""COMPUTED_VALUE"""),"Comunitario")</f>
        <v>Comunitario</v>
      </c>
      <c r="D1542" s="1" t="str">
        <f>IFERROR(__xludf.DUMMYFUNCTION("""COMPUTED_VALUE"""),"CLEIDINEI BATISTA DOS SANTOS")</f>
        <v>CLEIDINEI BATISTA DOS SANTOS</v>
      </c>
      <c r="E1542" s="1" t="str">
        <f>IFERROR(__xludf.DUMMYFUNCTION("""COMPUTED_VALUE"""),"Módulo 2 e 3 concluído")</f>
        <v>Módulo 2 e 3 concluído</v>
      </c>
      <c r="F1542" s="1" t="str">
        <f>IFERROR(__xludf.DUMMYFUNCTION("""COMPUTED_VALUE"""),"563.902.970-68")</f>
        <v>563.902.970-68</v>
      </c>
      <c r="G1542" s="1">
        <f>IFERROR(__xludf.DUMMYFUNCTION("""COMPUTED_VALUE"""),1061797427)</f>
        <v>1061797427</v>
      </c>
      <c r="H1542" s="1" t="str">
        <f>IFERROR(__xludf.DUMMYFUNCTION("""COMPUTED_VALUE"""),"Combatente")</f>
        <v>Combatente</v>
      </c>
      <c r="I1542" s="1" t="str">
        <f>IFERROR(__xludf.DUMMYFUNCTION("""COMPUTED_VALUE"""),"Curso de Técnica e Tática de Combate à Incêndio - Nível I")</f>
        <v>Curso de Técnica e Tática de Combate à Incêndio - Nível I</v>
      </c>
      <c r="J1542" s="1" t="str">
        <f>IFERROR(__xludf.DUMMYFUNCTION("""COMPUTED_VALUE"""),"Sim")</f>
        <v>Sim</v>
      </c>
      <c r="K1542" s="1" t="str">
        <f>IFERROR(__xludf.DUMMYFUNCTION("""COMPUTED_VALUE"""),"Sim")</f>
        <v>Sim</v>
      </c>
      <c r="L1542" s="1" t="str">
        <f>IFERROR(__xludf.DUMMYFUNCTION("""COMPUTED_VALUE"""),"O+")</f>
        <v>O+</v>
      </c>
      <c r="M1542" s="1" t="str">
        <f>IFERROR(__xludf.DUMMYFUNCTION("""COMPUTED_VALUE"""),"CLEIDINEI")</f>
        <v>CLEIDINEI</v>
      </c>
      <c r="N1542" s="120">
        <f>IFERROR(__xludf.DUMMYFUNCTION("""COMPUTED_VALUE"""),26834)</f>
        <v>26834</v>
      </c>
      <c r="O1542" s="1" t="str">
        <f>IFERROR(__xludf.DUMMYFUNCTION("""COMPUTED_VALUE"""),"Masculino")</f>
        <v>Masculino</v>
      </c>
      <c r="P1542" s="1" t="str">
        <f>IFERROR(__xludf.DUMMYFUNCTION("""COMPUTED_VALUE"""),"Branca")</f>
        <v>Branca</v>
      </c>
      <c r="Q1542" s="1" t="str">
        <f>IFERROR(__xludf.DUMMYFUNCTION("""COMPUTED_VALUE"""),"Ensino Médio")</f>
        <v>Ensino Médio</v>
      </c>
      <c r="R1542" s="1"/>
      <c r="S1542" s="1">
        <f>IFERROR(__xludf.DUMMYFUNCTION("""COMPUTED_VALUE"""),68)</f>
        <v>68</v>
      </c>
      <c r="T1542" s="1" t="str">
        <f>IFERROR(__xludf.DUMMYFUNCTION("""COMPUTED_VALUE"""),"Entre 1,71m e 1,75m")</f>
        <v>Entre 1,71m e 1,75m</v>
      </c>
      <c r="U1542" s="1"/>
      <c r="V1542" s="1" t="str">
        <f>IFERROR(__xludf.DUMMYFUNCTION("""COMPUTED_VALUE"""),"(55) 98401-0538")</f>
        <v>(55) 98401-0538</v>
      </c>
      <c r="W1542" s="1" t="str">
        <f>IFERROR(__xludf.DUMMYFUNCTION("""COMPUTED_VALUE"""),"(55) 3433-4385")</f>
        <v>(55) 3433-4385</v>
      </c>
      <c r="X1542" s="1" t="str">
        <f>IFERROR(__xludf.DUMMYFUNCTION("""COMPUTED_VALUE"""),"RS")</f>
        <v>RS</v>
      </c>
      <c r="Y1542" s="1" t="str">
        <f>IFERROR(__xludf.DUMMYFUNCTION("""COMPUTED_VALUE"""),"Itaqui")</f>
        <v>Itaqui</v>
      </c>
      <c r="Z1542" s="1" t="str">
        <f>IFERROR(__xludf.DUMMYFUNCTION("""COMPUTED_VALUE"""),"         97650-000")</f>
        <v>         97650-000</v>
      </c>
      <c r="AA1542" s="1" t="str">
        <f>IFERROR(__xludf.DUMMYFUNCTION("""COMPUTED_VALUE"""),"RINCÃO DA CRUZ 3209")</f>
        <v>RINCÃO DA CRUZ 3209</v>
      </c>
      <c r="AB1542" s="1" t="str">
        <f>IFERROR(__xludf.DUMMYFUNCTION("""COMPUTED_VALUE"""),"JOSÉ DA LUZ")</f>
        <v>JOSÉ DA LUZ</v>
      </c>
      <c r="AC1542" s="1" t="str">
        <f>IFERROR(__xludf.DUMMYFUNCTION("""COMPUTED_VALUE"""),"G")</f>
        <v>G</v>
      </c>
      <c r="AD1542" s="1" t="str">
        <f>IFERROR(__xludf.DUMMYFUNCTION("""COMPUTED_VALUE"""),"G")</f>
        <v>G</v>
      </c>
      <c r="AE1542" s="1" t="str">
        <f>IFERROR(__xludf.DUMMYFUNCTION("""COMPUTED_VALUE"""),"G")</f>
        <v>G</v>
      </c>
      <c r="AF1542" s="1" t="str">
        <f>IFERROR(__xludf.DUMMYFUNCTION("""COMPUTED_VALUE"""),"G")</f>
        <v>G</v>
      </c>
      <c r="AG1542" s="1" t="str">
        <f>IFERROR(__xludf.DUMMYFUNCTION("""COMPUTED_VALUE"""),"G")</f>
        <v>G</v>
      </c>
      <c r="AH1542" s="1">
        <f>IFERROR(__xludf.DUMMYFUNCTION("""COMPUTED_VALUE"""),40)</f>
        <v>40</v>
      </c>
      <c r="AI1542" s="1">
        <f>IFERROR(__xludf.DUMMYFUNCTION("""COMPUTED_VALUE"""),40)</f>
        <v>40</v>
      </c>
      <c r="AJ1542" s="1">
        <f>IFERROR(__xludf.DUMMYFUNCTION("""COMPUTED_VALUE"""),40)</f>
        <v>40</v>
      </c>
      <c r="AK1542" s="1">
        <f>IFERROR(__xludf.DUMMYFUNCTION("""COMPUTED_VALUE"""),40)</f>
        <v>40</v>
      </c>
      <c r="AL1542" s="1" t="str">
        <f>IFERROR(__xludf.DUMMYFUNCTION("""COMPUTED_VALUE"""),"G")</f>
        <v>G</v>
      </c>
      <c r="AM1542" s="1" t="str">
        <f>IFERROR(__xludf.DUMMYFUNCTION("""COMPUTED_VALUE"""),"G")</f>
        <v>G</v>
      </c>
      <c r="AN1542" s="1" t="str">
        <f>IFERROR(__xludf.DUMMYFUNCTION("""COMPUTED_VALUE"""),"G")</f>
        <v>G</v>
      </c>
    </row>
    <row r="1543" customHeight="1" spans="1:40">
      <c r="A1543" s="1"/>
      <c r="B1543" s="1"/>
      <c r="C1543" s="119"/>
      <c r="D1543" s="1" t="str">
        <f>IFERROR(__xludf.DUMMYFUNCTION("""COMPUTED_VALUE"""),"EDUARDO DELLAMORA SILIPRANDI")</f>
        <v>EDUARDO DELLAMORA SILIPRANDI</v>
      </c>
      <c r="E1543" s="1" t="str">
        <f>IFERROR(__xludf.DUMMYFUNCTION("""COMPUTED_VALUE"""),"Módulo 1 concluído")</f>
        <v>Módulo 1 concluído</v>
      </c>
      <c r="F1543" s="119" t="str">
        <f>IFERROR(__xludf.DUMMYFUNCTION("""COMPUTED_VALUE"""),"000.165.560-46")</f>
        <v>000.165.560-46</v>
      </c>
      <c r="G1543" s="1"/>
      <c r="H1543" s="1"/>
      <c r="I1543" s="1"/>
      <c r="J1543" s="1"/>
      <c r="K1543" s="1"/>
      <c r="L1543" s="1"/>
      <c r="M1543" s="1"/>
      <c r="N1543" s="120"/>
      <c r="O1543" s="1"/>
      <c r="P1543" s="1"/>
      <c r="Q1543" s="1"/>
      <c r="R1543" s="1"/>
      <c r="S1543" s="1"/>
      <c r="T1543" s="1"/>
      <c r="U1543" s="1"/>
      <c r="V1543" s="1"/>
      <c r="W1543" s="1"/>
      <c r="X1543" s="1"/>
      <c r="Y1543" s="1"/>
      <c r="Z1543" s="1"/>
      <c r="AA1543" s="1"/>
      <c r="AB1543" s="1"/>
      <c r="AC1543" s="1"/>
      <c r="AD1543" s="1"/>
      <c r="AE1543" s="1"/>
      <c r="AF1543" s="1"/>
      <c r="AG1543" s="1"/>
      <c r="AH1543" s="1"/>
      <c r="AI1543" s="1"/>
      <c r="AJ1543" s="1"/>
      <c r="AK1543" s="1"/>
      <c r="AL1543" s="1"/>
      <c r="AM1543" s="1"/>
      <c r="AN1543" s="1"/>
    </row>
    <row r="1544" customHeight="1" spans="1:40">
      <c r="A1544" s="1"/>
      <c r="B1544" s="1"/>
      <c r="C1544" s="119"/>
      <c r="D1544" s="1" t="str">
        <f>IFERROR(__xludf.DUMMYFUNCTION("""COMPUTED_VALUE"""),"EMERSON PIVOTO MELO")</f>
        <v>EMERSON PIVOTO MELO</v>
      </c>
      <c r="E1544" s="1" t="str">
        <f>IFERROR(__xludf.DUMMYFUNCTION("""COMPUTED_VALUE"""),"Módulo 1 concluído")</f>
        <v>Módulo 1 concluído</v>
      </c>
      <c r="F1544" s="119" t="str">
        <f>IFERROR(__xludf.DUMMYFUNCTION("""COMPUTED_VALUE"""),"000.738.830-69")</f>
        <v>000.738.830-69</v>
      </c>
      <c r="G1544" s="1"/>
      <c r="H1544" s="1"/>
      <c r="I1544" s="1"/>
      <c r="J1544" s="1"/>
      <c r="K1544" s="1"/>
      <c r="L1544" s="1"/>
      <c r="M1544" s="1"/>
      <c r="N1544" s="120"/>
      <c r="O1544" s="1"/>
      <c r="P1544" s="1"/>
      <c r="Q1544" s="1"/>
      <c r="R1544" s="1"/>
      <c r="S1544" s="1"/>
      <c r="T1544" s="1"/>
      <c r="U1544" s="1"/>
      <c r="V1544" s="1"/>
      <c r="W1544" s="1"/>
      <c r="X1544" s="1"/>
      <c r="Y1544" s="1"/>
      <c r="Z1544" s="1"/>
      <c r="AA1544" s="1"/>
      <c r="AB1544" s="1"/>
      <c r="AC1544" s="1"/>
      <c r="AD1544" s="1"/>
      <c r="AE1544" s="1"/>
      <c r="AF1544" s="1"/>
      <c r="AG1544" s="1"/>
      <c r="AH1544" s="1"/>
      <c r="AI1544" s="1"/>
      <c r="AJ1544" s="1"/>
      <c r="AK1544" s="1"/>
      <c r="AL1544" s="1"/>
      <c r="AM1544" s="1"/>
      <c r="AN1544" s="1"/>
    </row>
    <row r="1545" customHeight="1" spans="1:40">
      <c r="A1545" s="1" t="str">
        <f>IFERROR(__xludf.DUMMYFUNCTION("""COMPUTED_VALUE"""),"13° BBM")</f>
        <v>13° BBM</v>
      </c>
      <c r="B1545" s="1" t="str">
        <f>IFERROR(__xludf.DUMMYFUNCTION("""COMPUTED_VALUE"""),"Barra do Quaraí")</f>
        <v>Barra do Quaraí</v>
      </c>
      <c r="C1545" s="119" t="str">
        <f>IFERROR(__xludf.DUMMYFUNCTION("""COMPUTED_VALUE"""),"Comunitario")</f>
        <v>Comunitario</v>
      </c>
      <c r="D1545" s="1" t="str">
        <f>IFERROR(__xludf.DUMMYFUNCTION("""COMPUTED_VALUE"""),"FABIO ALEX MACHADO DO AMARAL")</f>
        <v>FABIO ALEX MACHADO DO AMARAL</v>
      </c>
      <c r="E1545" s="1" t="str">
        <f>IFERROR(__xludf.DUMMYFUNCTION("""COMPUTED_VALUE"""),"Curso CAB operador concluído")</f>
        <v>Curso CAB operador concluído</v>
      </c>
      <c r="F1545" s="1" t="str">
        <f>IFERROR(__xludf.DUMMYFUNCTION("""COMPUTED_VALUE"""),"991.951.190-00")</f>
        <v>991.951.190-00</v>
      </c>
      <c r="G1545" s="1">
        <f>IFERROR(__xludf.DUMMYFUNCTION("""COMPUTED_VALUE"""),1061126411)</f>
        <v>1061126411</v>
      </c>
      <c r="H1545" s="1" t="str">
        <f>IFERROR(__xludf.DUMMYFUNCTION("""COMPUTED_VALUE"""),"Combatente, socorrista e telefonista")</f>
        <v>Combatente, socorrista e telefonista</v>
      </c>
      <c r="I1545" s="1" t="str">
        <f>IFERROR(__xludf.DUMMYFUNCTION("""COMPUTED_VALUE"""),"Curso Bombeiro Civil, Curso de Embarcações, Curso de motosserra")</f>
        <v>Curso Bombeiro Civil, Curso de Embarcações, Curso de motosserra</v>
      </c>
      <c r="J1545" s="1" t="str">
        <f>IFERROR(__xludf.DUMMYFUNCTION("""COMPUTED_VALUE"""),"Sim")</f>
        <v>Sim</v>
      </c>
      <c r="K1545" s="1" t="str">
        <f>IFERROR(__xludf.DUMMYFUNCTION("""COMPUTED_VALUE"""),"Sim")</f>
        <v>Sim</v>
      </c>
      <c r="L1545" s="1" t="str">
        <f>IFERROR(__xludf.DUMMYFUNCTION("""COMPUTED_VALUE"""),"A+")</f>
        <v>A+</v>
      </c>
      <c r="M1545" s="1" t="str">
        <f>IFERROR(__xludf.DUMMYFUNCTION("""COMPUTED_VALUE"""),"MACHADO")</f>
        <v>MACHADO</v>
      </c>
      <c r="N1545" s="121">
        <f>IFERROR(__xludf.DUMMYFUNCTION("""COMPUTED_VALUE"""),27685)</f>
        <v>27685</v>
      </c>
      <c r="O1545" s="1" t="str">
        <f>IFERROR(__xludf.DUMMYFUNCTION("""COMPUTED_VALUE"""),"Masculino")</f>
        <v>Masculino</v>
      </c>
      <c r="P1545" s="1" t="str">
        <f>IFERROR(__xludf.DUMMYFUNCTION("""COMPUTED_VALUE"""),"Branca")</f>
        <v>Branca</v>
      </c>
      <c r="Q1545" s="1" t="str">
        <f>IFERROR(__xludf.DUMMYFUNCTION("""COMPUTED_VALUE"""),"Ensino Médio")</f>
        <v>Ensino Médio</v>
      </c>
      <c r="R1545" s="1"/>
      <c r="S1545" s="1">
        <f>IFERROR(__xludf.DUMMYFUNCTION("""COMPUTED_VALUE"""),80)</f>
        <v>80</v>
      </c>
      <c r="T1545" s="1" t="str">
        <f>IFERROR(__xludf.DUMMYFUNCTION("""COMPUTED_VALUE"""),"Entre 1,61m e 1,65m")</f>
        <v>Entre 1,61m e 1,65m</v>
      </c>
      <c r="U1545" s="1" t="str">
        <f>IFERROR(__xludf.DUMMYFUNCTION("""COMPUTED_VALUE"""),"(55) 3419-1511")</f>
        <v>(55) 3419-1511</v>
      </c>
      <c r="V1545" s="1" t="str">
        <f>IFERROR(__xludf.DUMMYFUNCTION("""COMPUTED_VALUE"""),"(55) 9980-3712")</f>
        <v>(55) 9980-3712</v>
      </c>
      <c r="W1545" s="1" t="str">
        <f>IFERROR(__xludf.DUMMYFUNCTION("""COMPUTED_VALUE"""),"(55) 9674-1502")</f>
        <v>(55) 9674-1502</v>
      </c>
      <c r="X1545" s="1" t="str">
        <f>IFERROR(__xludf.DUMMYFUNCTION("""COMPUTED_VALUE"""),"RS")</f>
        <v>RS</v>
      </c>
      <c r="Y1545" s="1" t="str">
        <f>IFERROR(__xludf.DUMMYFUNCTION("""COMPUTED_VALUE"""),"Barra do Quaraí")</f>
        <v>Barra do Quaraí</v>
      </c>
      <c r="Z1545" s="1" t="str">
        <f>IFERROR(__xludf.DUMMYFUNCTION("""COMPUTED_VALUE"""),"         97538-000")</f>
        <v>         97538-000</v>
      </c>
      <c r="AA1545" s="1"/>
      <c r="AB1545" s="1"/>
      <c r="AC1545" s="1" t="str">
        <f>IFERROR(__xludf.DUMMYFUNCTION("""COMPUTED_VALUE"""),"G")</f>
        <v>G</v>
      </c>
      <c r="AD1545" s="1" t="str">
        <f>IFERROR(__xludf.DUMMYFUNCTION("""COMPUTED_VALUE"""),"G")</f>
        <v>G</v>
      </c>
      <c r="AE1545" s="1" t="str">
        <f>IFERROR(__xludf.DUMMYFUNCTION("""COMPUTED_VALUE"""),"G")</f>
        <v>G</v>
      </c>
      <c r="AF1545" s="1" t="str">
        <f>IFERROR(__xludf.DUMMYFUNCTION("""COMPUTED_VALUE"""),"G")</f>
        <v>G</v>
      </c>
      <c r="AG1545" s="1" t="str">
        <f>IFERROR(__xludf.DUMMYFUNCTION("""COMPUTED_VALUE"""),"G")</f>
        <v>G</v>
      </c>
      <c r="AH1545" s="1">
        <f>IFERROR(__xludf.DUMMYFUNCTION("""COMPUTED_VALUE"""),34)</f>
        <v>34</v>
      </c>
      <c r="AI1545" s="1">
        <f>IFERROR(__xludf.DUMMYFUNCTION("""COMPUTED_VALUE"""),34)</f>
        <v>34</v>
      </c>
      <c r="AJ1545" s="1">
        <f>IFERROR(__xludf.DUMMYFUNCTION("""COMPUTED_VALUE"""),34)</f>
        <v>34</v>
      </c>
      <c r="AK1545" s="1">
        <f>IFERROR(__xludf.DUMMYFUNCTION("""COMPUTED_VALUE"""),34)</f>
        <v>34</v>
      </c>
      <c r="AL1545" s="1" t="str">
        <f>IFERROR(__xludf.DUMMYFUNCTION("""COMPUTED_VALUE"""),"G")</f>
        <v>G</v>
      </c>
      <c r="AM1545" s="1" t="str">
        <f>IFERROR(__xludf.DUMMYFUNCTION("""COMPUTED_VALUE"""),"G")</f>
        <v>G</v>
      </c>
      <c r="AN1545" s="1" t="str">
        <f>IFERROR(__xludf.DUMMYFUNCTION("""COMPUTED_VALUE"""),"M")</f>
        <v>M</v>
      </c>
    </row>
    <row r="1546" customHeight="1" spans="1:40">
      <c r="A1546" s="1" t="str">
        <f>IFERROR(__xludf.DUMMYFUNCTION("""COMPUTED_VALUE"""),"13° BBM")</f>
        <v>13° BBM</v>
      </c>
      <c r="B1546" s="1" t="str">
        <f>IFERROR(__xludf.DUMMYFUNCTION("""COMPUTED_VALUE"""),"Itaqui")</f>
        <v>Itaqui</v>
      </c>
      <c r="C1546" s="119" t="str">
        <f>IFERROR(__xludf.DUMMYFUNCTION("""COMPUTED_VALUE"""),"Comunitario")</f>
        <v>Comunitario</v>
      </c>
      <c r="D1546" s="1" t="str">
        <f>IFERROR(__xludf.DUMMYFUNCTION("""COMPUTED_VALUE"""),"ISMAEL DOS SANTOS DE LEON")</f>
        <v>ISMAEL DOS SANTOS DE LEON</v>
      </c>
      <c r="E1546" s="1" t="str">
        <f>IFERROR(__xludf.DUMMYFUNCTION("""COMPUTED_VALUE"""),"Curso CAB operador concluído")</f>
        <v>Curso CAB operador concluído</v>
      </c>
      <c r="F1546" s="1" t="str">
        <f>IFERROR(__xludf.DUMMYFUNCTION("""COMPUTED_VALUE"""),"712.314.800-25")</f>
        <v>712.314.800-25</v>
      </c>
      <c r="G1546" s="1">
        <f>IFERROR(__xludf.DUMMYFUNCTION("""COMPUTED_VALUE"""),4054179298)</f>
        <v>4054179298</v>
      </c>
      <c r="H1546" s="1" t="str">
        <f>IFERROR(__xludf.DUMMYFUNCTION("""COMPUTED_VALUE"""),"C.O.V")</f>
        <v>C.O.V</v>
      </c>
      <c r="I1546" s="1" t="str">
        <f>IFERROR(__xludf.DUMMYFUNCTION("""COMPUTED_VALUE"""),"Curso de Técnica e Tática de Combate à Incêndio - Nível I")</f>
        <v>Curso de Técnica e Tática de Combate à Incêndio - Nível I</v>
      </c>
      <c r="J1546" s="1" t="str">
        <f>IFERROR(__xludf.DUMMYFUNCTION("""COMPUTED_VALUE"""),"Sim")</f>
        <v>Sim</v>
      </c>
      <c r="K1546" s="1" t="str">
        <f>IFERROR(__xludf.DUMMYFUNCTION("""COMPUTED_VALUE"""),"Sim")</f>
        <v>Sim</v>
      </c>
      <c r="L1546" s="1" t="str">
        <f>IFERROR(__xludf.DUMMYFUNCTION("""COMPUTED_VALUE"""),"B-")</f>
        <v>B-</v>
      </c>
      <c r="M1546" s="1" t="str">
        <f>IFERROR(__xludf.DUMMYFUNCTION("""COMPUTED_VALUE"""),"ISMAEL")</f>
        <v>ISMAEL</v>
      </c>
      <c r="N1546" s="120">
        <f>IFERROR(__xludf.DUMMYFUNCTION("""COMPUTED_VALUE"""),27673)</f>
        <v>27673</v>
      </c>
      <c r="O1546" s="1" t="str">
        <f>IFERROR(__xludf.DUMMYFUNCTION("""COMPUTED_VALUE"""),"Masculino")</f>
        <v>Masculino</v>
      </c>
      <c r="P1546" s="1" t="str">
        <f>IFERROR(__xludf.DUMMYFUNCTION("""COMPUTED_VALUE"""),"Branca")</f>
        <v>Branca</v>
      </c>
      <c r="Q1546" s="1" t="str">
        <f>IFERROR(__xludf.DUMMYFUNCTION("""COMPUTED_VALUE"""),"Ensino Médio")</f>
        <v>Ensino Médio</v>
      </c>
      <c r="R1546" s="1"/>
      <c r="S1546" s="1">
        <f>IFERROR(__xludf.DUMMYFUNCTION("""COMPUTED_VALUE"""),120)</f>
        <v>120</v>
      </c>
      <c r="T1546" s="1" t="str">
        <f>IFERROR(__xludf.DUMMYFUNCTION("""COMPUTED_VALUE"""),"Entre 1,91m e 1,95m")</f>
        <v>Entre 1,91m e 1,95m</v>
      </c>
      <c r="U1546" s="1"/>
      <c r="V1546" s="1" t="str">
        <f>IFERROR(__xludf.DUMMYFUNCTION("""COMPUTED_VALUE"""),"(55) 99684-4668")</f>
        <v>(55) 99684-4668</v>
      </c>
      <c r="W1546" s="1"/>
      <c r="X1546" s="1" t="str">
        <f>IFERROR(__xludf.DUMMYFUNCTION("""COMPUTED_VALUE"""),"RS")</f>
        <v>RS</v>
      </c>
      <c r="Y1546" s="1" t="str">
        <f>IFERROR(__xludf.DUMMYFUNCTION("""COMPUTED_VALUE"""),"Itaqui")</f>
        <v>Itaqui</v>
      </c>
      <c r="Z1546" s="1" t="str">
        <f>IFERROR(__xludf.DUMMYFUNCTION("""COMPUTED_VALUE"""),"           97650-000")</f>
        <v>           97650-000</v>
      </c>
      <c r="AA1546" s="1" t="str">
        <f>IFERROR(__xludf.DUMMYFUNCTION("""COMPUTED_VALUE"""),"XX DE SETEMBRO")</f>
        <v>XX DE SETEMBRO</v>
      </c>
      <c r="AB1546" s="1" t="str">
        <f>IFERROR(__xludf.DUMMYFUNCTION("""COMPUTED_VALUE"""),"CIDADE ALTA")</f>
        <v>CIDADE ALTA</v>
      </c>
      <c r="AC1546" s="1" t="str">
        <f>IFERROR(__xludf.DUMMYFUNCTION("""COMPUTED_VALUE"""),"GG")</f>
        <v>GG</v>
      </c>
      <c r="AD1546" s="1" t="str">
        <f>IFERROR(__xludf.DUMMYFUNCTION("""COMPUTED_VALUE"""),"GG")</f>
        <v>GG</v>
      </c>
      <c r="AE1546" s="1" t="str">
        <f>IFERROR(__xludf.DUMMYFUNCTION("""COMPUTED_VALUE"""),"GG")</f>
        <v>GG</v>
      </c>
      <c r="AF1546" s="1" t="str">
        <f>IFERROR(__xludf.DUMMYFUNCTION("""COMPUTED_VALUE"""),"G")</f>
        <v>G</v>
      </c>
      <c r="AG1546" s="1" t="str">
        <f>IFERROR(__xludf.DUMMYFUNCTION("""COMPUTED_VALUE"""),"GG")</f>
        <v>GG</v>
      </c>
      <c r="AH1546" s="1">
        <f>IFERROR(__xludf.DUMMYFUNCTION("""COMPUTED_VALUE"""),41)</f>
        <v>41</v>
      </c>
      <c r="AI1546" s="1">
        <f>IFERROR(__xludf.DUMMYFUNCTION("""COMPUTED_VALUE"""),41)</f>
        <v>41</v>
      </c>
      <c r="AJ1546" s="1">
        <f>IFERROR(__xludf.DUMMYFUNCTION("""COMPUTED_VALUE"""),41)</f>
        <v>41</v>
      </c>
      <c r="AK1546" s="1">
        <f>IFERROR(__xludf.DUMMYFUNCTION("""COMPUTED_VALUE"""),41)</f>
        <v>41</v>
      </c>
      <c r="AL1546" s="1" t="str">
        <f>IFERROR(__xludf.DUMMYFUNCTION("""COMPUTED_VALUE"""),"G")</f>
        <v>G</v>
      </c>
      <c r="AM1546" s="1" t="str">
        <f>IFERROR(__xludf.DUMMYFUNCTION("""COMPUTED_VALUE"""),"G")</f>
        <v>G</v>
      </c>
      <c r="AN1546" s="1" t="str">
        <f>IFERROR(__xludf.DUMMYFUNCTION("""COMPUTED_VALUE"""),"G")</f>
        <v>G</v>
      </c>
    </row>
    <row r="1547" customHeight="1" spans="1:40">
      <c r="A1547" s="1" t="str">
        <f>IFERROR(__xludf.DUMMYFUNCTION("""COMPUTED_VALUE"""),"13° BBM")</f>
        <v>13° BBM</v>
      </c>
      <c r="B1547" s="1" t="str">
        <f>IFERROR(__xludf.DUMMYFUNCTION("""COMPUTED_VALUE"""),"Barra do Quaraí")</f>
        <v>Barra do Quaraí</v>
      </c>
      <c r="C1547" s="119" t="str">
        <f>IFERROR(__xludf.DUMMYFUNCTION("""COMPUTED_VALUE"""),"Comunitario")</f>
        <v>Comunitario</v>
      </c>
      <c r="D1547" s="1" t="str">
        <f>IFERROR(__xludf.DUMMYFUNCTION("""COMPUTED_VALUE"""),"JAIR DA SILVA")</f>
        <v>JAIR DA SILVA</v>
      </c>
      <c r="E1547" s="1" t="str">
        <f>IFERROR(__xludf.DUMMYFUNCTION("""COMPUTED_VALUE"""),"Curso CAB operador concluído")</f>
        <v>Curso CAB operador concluído</v>
      </c>
      <c r="F1547" s="1" t="str">
        <f>IFERROR(__xludf.DUMMYFUNCTION("""COMPUTED_VALUE"""),"988.568.550-20")</f>
        <v>988.568.550-20</v>
      </c>
      <c r="G1547" s="1">
        <f>IFERROR(__xludf.DUMMYFUNCTION("""COMPUTED_VALUE"""),2085625801)</f>
        <v>2085625801</v>
      </c>
      <c r="H1547" s="1" t="str">
        <f>IFERROR(__xludf.DUMMYFUNCTION("""COMPUTED_VALUE"""),"Combatente, socorrista e telefonista")</f>
        <v>Combatente, socorrista e telefonista</v>
      </c>
      <c r="I1547" s="1" t="str">
        <f>IFERROR(__xludf.DUMMYFUNCTION("""COMPUTED_VALUE"""),"Curso básico de CAB, Curso Bombeiro Civil")</f>
        <v>Curso básico de CAB, Curso Bombeiro Civil</v>
      </c>
      <c r="J1547" s="1" t="str">
        <f>IFERROR(__xludf.DUMMYFUNCTION("""COMPUTED_VALUE"""),"Sim")</f>
        <v>Sim</v>
      </c>
      <c r="K1547" s="1" t="str">
        <f>IFERROR(__xludf.DUMMYFUNCTION("""COMPUTED_VALUE"""),"Sim")</f>
        <v>Sim</v>
      </c>
      <c r="L1547" s="1" t="str">
        <f>IFERROR(__xludf.DUMMYFUNCTION("""COMPUTED_VALUE"""),"O+")</f>
        <v>O+</v>
      </c>
      <c r="M1547" s="1" t="str">
        <f>IFERROR(__xludf.DUMMYFUNCTION("""COMPUTED_VALUE"""),"JAIR")</f>
        <v>JAIR</v>
      </c>
      <c r="N1547" s="120">
        <f>IFERROR(__xludf.DUMMYFUNCTION("""COMPUTED_VALUE"""),26614)</f>
        <v>26614</v>
      </c>
      <c r="O1547" s="1" t="str">
        <f>IFERROR(__xludf.DUMMYFUNCTION("""COMPUTED_VALUE"""),"Masculino")</f>
        <v>Masculino</v>
      </c>
      <c r="P1547" s="1" t="str">
        <f>IFERROR(__xludf.DUMMYFUNCTION("""COMPUTED_VALUE"""),"Parda")</f>
        <v>Parda</v>
      </c>
      <c r="Q1547" s="1" t="str">
        <f>IFERROR(__xludf.DUMMYFUNCTION("""COMPUTED_VALUE"""),"Ensino Médio")</f>
        <v>Ensino Médio</v>
      </c>
      <c r="R1547" s="1" t="str">
        <f>IFERROR(__xludf.DUMMYFUNCTION("""COMPUTED_VALUE"""),"JAIR201050@HOTMAIL.COM")</f>
        <v>JAIR201050@HOTMAIL.COM</v>
      </c>
      <c r="S1547" s="1">
        <f>IFERROR(__xludf.DUMMYFUNCTION("""COMPUTED_VALUE"""),74)</f>
        <v>74</v>
      </c>
      <c r="T1547" s="1" t="str">
        <f>IFERROR(__xludf.DUMMYFUNCTION("""COMPUTED_VALUE"""),"Entre 1,61m e 1,65m")</f>
        <v>Entre 1,61m e 1,65m</v>
      </c>
      <c r="U1547" s="1"/>
      <c r="V1547" s="1" t="str">
        <f>IFERROR(__xludf.DUMMYFUNCTION("""COMPUTED_VALUE"""),"(55) 9 9972 1538")</f>
        <v>(55) 9 9972 1538</v>
      </c>
      <c r="W1547" s="1" t="str">
        <f>IFERROR(__xludf.DUMMYFUNCTION("""COMPUTED_VALUE"""),"(55) 3419-1347")</f>
        <v>(55) 3419-1347</v>
      </c>
      <c r="X1547" s="1" t="str">
        <f>IFERROR(__xludf.DUMMYFUNCTION("""COMPUTED_VALUE"""),"RS")</f>
        <v>RS</v>
      </c>
      <c r="Y1547" s="1" t="str">
        <f>IFERROR(__xludf.DUMMYFUNCTION("""COMPUTED_VALUE"""),"Barra do Quaraí")</f>
        <v>Barra do Quaraí</v>
      </c>
      <c r="Z1547" s="1" t="str">
        <f>IFERROR(__xludf.DUMMYFUNCTION("""COMPUTED_VALUE"""),"          97380-000 ")</f>
        <v>          97380-000 </v>
      </c>
      <c r="AA1547" s="1" t="str">
        <f>IFERROR(__xludf.DUMMYFUNCTION("""COMPUTED_VALUE"""),"TRAV. LURDES APESTEGUI MARTY N,34")</f>
        <v>TRAV. LURDES APESTEGUI MARTY N,34</v>
      </c>
      <c r="AB1547" s="1" t="str">
        <f>IFERROR(__xludf.DUMMYFUNCTION("""COMPUTED_VALUE"""),"VILA POPULAR")</f>
        <v>VILA POPULAR</v>
      </c>
      <c r="AC1547" s="1" t="str">
        <f>IFERROR(__xludf.DUMMYFUNCTION("""COMPUTED_VALUE"""),"M")</f>
        <v>M</v>
      </c>
      <c r="AD1547" s="1" t="str">
        <f>IFERROR(__xludf.DUMMYFUNCTION("""COMPUTED_VALUE"""),"M")</f>
        <v>M</v>
      </c>
      <c r="AE1547" s="1" t="str">
        <f>IFERROR(__xludf.DUMMYFUNCTION("""COMPUTED_VALUE"""),"M")</f>
        <v>M</v>
      </c>
      <c r="AF1547" s="1" t="str">
        <f>IFERROR(__xludf.DUMMYFUNCTION("""COMPUTED_VALUE"""),"G")</f>
        <v>G</v>
      </c>
      <c r="AG1547" s="1" t="str">
        <f>IFERROR(__xludf.DUMMYFUNCTION("""COMPUTED_VALUE"""),"M")</f>
        <v>M</v>
      </c>
      <c r="AH1547" s="1">
        <f>IFERROR(__xludf.DUMMYFUNCTION("""COMPUTED_VALUE"""),34)</f>
        <v>34</v>
      </c>
      <c r="AI1547" s="1">
        <f>IFERROR(__xludf.DUMMYFUNCTION("""COMPUTED_VALUE"""),34)</f>
        <v>34</v>
      </c>
      <c r="AJ1547" s="1">
        <f>IFERROR(__xludf.DUMMYFUNCTION("""COMPUTED_VALUE"""),34)</f>
        <v>34</v>
      </c>
      <c r="AK1547" s="1">
        <f>IFERROR(__xludf.DUMMYFUNCTION("""COMPUTED_VALUE"""),34)</f>
        <v>34</v>
      </c>
      <c r="AL1547" s="1" t="str">
        <f>IFERROR(__xludf.DUMMYFUNCTION("""COMPUTED_VALUE"""),"M")</f>
        <v>M</v>
      </c>
      <c r="AM1547" s="1" t="str">
        <f>IFERROR(__xludf.DUMMYFUNCTION("""COMPUTED_VALUE"""),"P")</f>
        <v>P</v>
      </c>
      <c r="AN1547" s="1" t="str">
        <f>IFERROR(__xludf.DUMMYFUNCTION("""COMPUTED_VALUE"""),"M")</f>
        <v>M</v>
      </c>
    </row>
    <row r="1548" customHeight="1" spans="1:40">
      <c r="A1548" s="1" t="str">
        <f>IFERROR(__xludf.DUMMYFUNCTION("""COMPUTED_VALUE"""),"13° BBM")</f>
        <v>13° BBM</v>
      </c>
      <c r="B1548" s="1" t="str">
        <f>IFERROR(__xludf.DUMMYFUNCTION("""COMPUTED_VALUE"""),"Itaqui")</f>
        <v>Itaqui</v>
      </c>
      <c r="C1548" s="119" t="str">
        <f>IFERROR(__xludf.DUMMYFUNCTION("""COMPUTED_VALUE"""),"Comunitario")</f>
        <v>Comunitario</v>
      </c>
      <c r="D1548" s="1" t="str">
        <f>IFERROR(__xludf.DUMMYFUNCTION("""COMPUTED_VALUE"""),"JOÃO ÉLCIO DOS SANTOS")</f>
        <v>JOÃO ÉLCIO DOS SANTOS</v>
      </c>
      <c r="E1548" s="1" t="str">
        <f>IFERROR(__xludf.DUMMYFUNCTION("""COMPUTED_VALUE"""),"Curso CAB operador concluído")</f>
        <v>Curso CAB operador concluído</v>
      </c>
      <c r="F1548" s="1" t="str">
        <f>IFERROR(__xludf.DUMMYFUNCTION("""COMPUTED_VALUE"""),"635.917.230-53")</f>
        <v>635.917.230-53</v>
      </c>
      <c r="G1548" s="1">
        <f>IFERROR(__xludf.DUMMYFUNCTION("""COMPUTED_VALUE"""),1046213482)</f>
        <v>1046213482</v>
      </c>
      <c r="H1548" s="1" t="str">
        <f>IFERROR(__xludf.DUMMYFUNCTION("""COMPUTED_VALUE"""),"C.O.V")</f>
        <v>C.O.V</v>
      </c>
      <c r="I1548" s="1" t="str">
        <f>IFERROR(__xludf.DUMMYFUNCTION("""COMPUTED_VALUE"""),"Curso de Técnica e Tática de Combate à Incêndio - Nível I")</f>
        <v>Curso de Técnica e Tática de Combate à Incêndio - Nível I</v>
      </c>
      <c r="J1548" s="1" t="str">
        <f>IFERROR(__xludf.DUMMYFUNCTION("""COMPUTED_VALUE"""),"Sim")</f>
        <v>Sim</v>
      </c>
      <c r="K1548" s="1" t="str">
        <f>IFERROR(__xludf.DUMMYFUNCTION("""COMPUTED_VALUE"""),"Sim")</f>
        <v>Sim</v>
      </c>
      <c r="L1548" s="1" t="str">
        <f>IFERROR(__xludf.DUMMYFUNCTION("""COMPUTED_VALUE"""),"O+")</f>
        <v>O+</v>
      </c>
      <c r="M1548" s="1" t="str">
        <f>IFERROR(__xludf.DUMMYFUNCTION("""COMPUTED_VALUE"""),"JOAO ELCIO")</f>
        <v>JOAO ELCIO</v>
      </c>
      <c r="N1548" s="120">
        <f>IFERROR(__xludf.DUMMYFUNCTION("""COMPUTED_VALUE"""),22091)</f>
        <v>22091</v>
      </c>
      <c r="O1548" s="1" t="str">
        <f>IFERROR(__xludf.DUMMYFUNCTION("""COMPUTED_VALUE"""),"Masculino")</f>
        <v>Masculino</v>
      </c>
      <c r="P1548" s="1" t="str">
        <f>IFERROR(__xludf.DUMMYFUNCTION("""COMPUTED_VALUE"""),"Morena")</f>
        <v>Morena</v>
      </c>
      <c r="Q1548" s="1" t="str">
        <f>IFERROR(__xludf.DUMMYFUNCTION("""COMPUTED_VALUE"""),"Ensino Médio")</f>
        <v>Ensino Médio</v>
      </c>
      <c r="R1548" s="1"/>
      <c r="S1548" s="1"/>
      <c r="T1548" s="1" t="str">
        <f>IFERROR(__xludf.DUMMYFUNCTION("""COMPUTED_VALUE"""),"Entre 1,76m e 1,80m")</f>
        <v>Entre 1,76m e 1,80m</v>
      </c>
      <c r="U1548" s="1"/>
      <c r="V1548" s="1" t="str">
        <f>IFERROR(__xludf.DUMMYFUNCTION("""COMPUTED_VALUE"""),"(55) 99925-0526")</f>
        <v>(55) 99925-0526</v>
      </c>
      <c r="W1548" s="1"/>
      <c r="X1548" s="1" t="str">
        <f>IFERROR(__xludf.DUMMYFUNCTION("""COMPUTED_VALUE"""),"RS")</f>
        <v>RS</v>
      </c>
      <c r="Y1548" s="1" t="str">
        <f>IFERROR(__xludf.DUMMYFUNCTION("""COMPUTED_VALUE"""),"Itaqui")</f>
        <v>Itaqui</v>
      </c>
      <c r="Z1548" s="1" t="str">
        <f>IFERROR(__xludf.DUMMYFUNCTION("""COMPUTED_VALUE"""),"         97650-000")</f>
        <v>         97650-000</v>
      </c>
      <c r="AA1548" s="1" t="str">
        <f>IFERROR(__xludf.DUMMYFUNCTION("""COMPUTED_VALUE"""),"CASTELO BRANCO Nº 2257")</f>
        <v>CASTELO BRANCO Nº 2257</v>
      </c>
      <c r="AB1548" s="1" t="str">
        <f>IFERROR(__xludf.DUMMYFUNCTION("""COMPUTED_VALUE"""),"CIDADE ALTA")</f>
        <v>CIDADE ALTA</v>
      </c>
      <c r="AC1548" s="1" t="str">
        <f>IFERROR(__xludf.DUMMYFUNCTION("""COMPUTED_VALUE"""),"M")</f>
        <v>M</v>
      </c>
      <c r="AD1548" s="1" t="str">
        <f>IFERROR(__xludf.DUMMYFUNCTION("""COMPUTED_VALUE"""),"M")</f>
        <v>M</v>
      </c>
      <c r="AE1548" s="1" t="str">
        <f>IFERROR(__xludf.DUMMYFUNCTION("""COMPUTED_VALUE"""),"M")</f>
        <v>M</v>
      </c>
      <c r="AF1548" s="1" t="str">
        <f>IFERROR(__xludf.DUMMYFUNCTION("""COMPUTED_VALUE"""),"G")</f>
        <v>G</v>
      </c>
      <c r="AG1548" s="1" t="str">
        <f>IFERROR(__xludf.DUMMYFUNCTION("""COMPUTED_VALUE"""),"G")</f>
        <v>G</v>
      </c>
      <c r="AH1548" s="1">
        <f>IFERROR(__xludf.DUMMYFUNCTION("""COMPUTED_VALUE"""),40)</f>
        <v>40</v>
      </c>
      <c r="AI1548" s="1">
        <f>IFERROR(__xludf.DUMMYFUNCTION("""COMPUTED_VALUE"""),40)</f>
        <v>40</v>
      </c>
      <c r="AJ1548" s="1">
        <f>IFERROR(__xludf.DUMMYFUNCTION("""COMPUTED_VALUE"""),40)</f>
        <v>40</v>
      </c>
      <c r="AK1548" s="1">
        <f>IFERROR(__xludf.DUMMYFUNCTION("""COMPUTED_VALUE"""),41)</f>
        <v>41</v>
      </c>
      <c r="AL1548" s="1" t="str">
        <f>IFERROR(__xludf.DUMMYFUNCTION("""COMPUTED_VALUE"""),"G")</f>
        <v>G</v>
      </c>
      <c r="AM1548" s="1" t="str">
        <f>IFERROR(__xludf.DUMMYFUNCTION("""COMPUTED_VALUE"""),"G")</f>
        <v>G</v>
      </c>
      <c r="AN1548" s="1" t="str">
        <f>IFERROR(__xludf.DUMMYFUNCTION("""COMPUTED_VALUE"""),"M")</f>
        <v>M</v>
      </c>
    </row>
    <row r="1549" customHeight="1" spans="1:40">
      <c r="A1549" s="1"/>
      <c r="B1549" s="1"/>
      <c r="C1549" s="119"/>
      <c r="D1549" s="1" t="str">
        <f>IFERROR(__xludf.DUMMYFUNCTION("""COMPUTED_VALUE"""),"JOÃO LEONEL DISCONCI LOPES")</f>
        <v>JOÃO LEONEL DISCONCI LOPES</v>
      </c>
      <c r="E1549" s="1" t="str">
        <f>IFERROR(__xludf.DUMMYFUNCTION("""COMPUTED_VALUE"""),"Módulo 1 concluído")</f>
        <v>Módulo 1 concluído</v>
      </c>
      <c r="F1549" s="119" t="str">
        <f>IFERROR(__xludf.DUMMYFUNCTION("""COMPUTED_VALUE"""),"764.899.570-00")</f>
        <v>764.899.570-00</v>
      </c>
      <c r="G1549" s="1"/>
      <c r="H1549" s="1"/>
      <c r="I1549" s="1"/>
      <c r="J1549" s="1"/>
      <c r="K1549" s="1"/>
      <c r="L1549" s="1"/>
      <c r="M1549" s="1"/>
      <c r="N1549" s="120"/>
      <c r="O1549" s="1"/>
      <c r="P1549" s="1"/>
      <c r="Q1549" s="1"/>
      <c r="R1549" s="1"/>
      <c r="S1549" s="1"/>
      <c r="T1549" s="1"/>
      <c r="U1549" s="1"/>
      <c r="V1549" s="1"/>
      <c r="W1549" s="1"/>
      <c r="X1549" s="1"/>
      <c r="Y1549" s="1"/>
      <c r="Z1549" s="1"/>
      <c r="AA1549" s="1"/>
      <c r="AB1549" s="1"/>
      <c r="AC1549" s="1"/>
      <c r="AD1549" s="1"/>
      <c r="AE1549" s="1"/>
      <c r="AF1549" s="1"/>
      <c r="AG1549" s="1"/>
      <c r="AH1549" s="1"/>
      <c r="AI1549" s="1"/>
      <c r="AJ1549" s="1"/>
      <c r="AK1549" s="1"/>
      <c r="AL1549" s="1"/>
      <c r="AM1549" s="1"/>
      <c r="AN1549" s="1"/>
    </row>
    <row r="1550" customHeight="1" spans="1:40">
      <c r="A1550" s="1" t="str">
        <f>IFERROR(__xludf.DUMMYFUNCTION("""COMPUTED_VALUE"""),"13° BBM")</f>
        <v>13° BBM</v>
      </c>
      <c r="B1550" s="1" t="str">
        <f>IFERROR(__xludf.DUMMYFUNCTION("""COMPUTED_VALUE"""),"Itaqui")</f>
        <v>Itaqui</v>
      </c>
      <c r="C1550" s="119" t="str">
        <f>IFERROR(__xludf.DUMMYFUNCTION("""COMPUTED_VALUE"""),"Comunitario")</f>
        <v>Comunitario</v>
      </c>
      <c r="D1550" s="1" t="str">
        <f>IFERROR(__xludf.DUMMYFUNCTION("""COMPUTED_VALUE"""),"JOSÉ OBERTAN BARBOSA DOS SANTOS")</f>
        <v>JOSÉ OBERTAN BARBOSA DOS SANTOS</v>
      </c>
      <c r="E1550" s="1" t="str">
        <f>IFERROR(__xludf.DUMMYFUNCTION("""COMPUTED_VALUE"""),"Curso CAB operador concluído")</f>
        <v>Curso CAB operador concluído</v>
      </c>
      <c r="F1550" s="1" t="str">
        <f>IFERROR(__xludf.DUMMYFUNCTION("""COMPUTED_VALUE"""),"911.719.970-00")</f>
        <v>911.719.970-00</v>
      </c>
      <c r="G1550" s="1">
        <f>IFERROR(__xludf.DUMMYFUNCTION("""COMPUTED_VALUE"""),7059958772)</f>
        <v>7059958772</v>
      </c>
      <c r="H1550" s="1" t="str">
        <f>IFERROR(__xludf.DUMMYFUNCTION("""COMPUTED_VALUE"""),"C.O.V")</f>
        <v>C.O.V</v>
      </c>
      <c r="I1550" s="1" t="str">
        <f>IFERROR(__xludf.DUMMYFUNCTION("""COMPUTED_VALUE"""),"Curso de Técnica e Tática de Combate à Incêndio - Nível I")</f>
        <v>Curso de Técnica e Tática de Combate à Incêndio - Nível I</v>
      </c>
      <c r="J1550" s="1" t="str">
        <f>IFERROR(__xludf.DUMMYFUNCTION("""COMPUTED_VALUE"""),"Sim")</f>
        <v>Sim</v>
      </c>
      <c r="K1550" s="1" t="str">
        <f>IFERROR(__xludf.DUMMYFUNCTION("""COMPUTED_VALUE"""),"Sim")</f>
        <v>Sim</v>
      </c>
      <c r="L1550" s="1" t="str">
        <f>IFERROR(__xludf.DUMMYFUNCTION("""COMPUTED_VALUE"""),"O+")</f>
        <v>O+</v>
      </c>
      <c r="M1550" s="1" t="str">
        <f>IFERROR(__xludf.DUMMYFUNCTION("""COMPUTED_VALUE"""),"OBERTAN")</f>
        <v>OBERTAN</v>
      </c>
      <c r="N1550" s="120">
        <f>IFERROR(__xludf.DUMMYFUNCTION("""COMPUTED_VALUE"""),27464)</f>
        <v>27464</v>
      </c>
      <c r="O1550" s="1" t="str">
        <f>IFERROR(__xludf.DUMMYFUNCTION("""COMPUTED_VALUE"""),"Masculino")</f>
        <v>Masculino</v>
      </c>
      <c r="P1550" s="1" t="str">
        <f>IFERROR(__xludf.DUMMYFUNCTION("""COMPUTED_VALUE"""),"Branca")</f>
        <v>Branca</v>
      </c>
      <c r="Q1550" s="1" t="str">
        <f>IFERROR(__xludf.DUMMYFUNCTION("""COMPUTED_VALUE"""),"Ensino Superior Completo")</f>
        <v>Ensino Superior Completo</v>
      </c>
      <c r="R1550" s="1" t="str">
        <f>IFERROR(__xludf.DUMMYFUNCTION("""COMPUTED_VALUE"""),"OBERTANEF@YAHOO.COM.BR")</f>
        <v>OBERTANEF@YAHOO.COM.BR</v>
      </c>
      <c r="S1550" s="1">
        <f>IFERROR(__xludf.DUMMYFUNCTION("""COMPUTED_VALUE"""),80)</f>
        <v>80</v>
      </c>
      <c r="T1550" s="1" t="str">
        <f>IFERROR(__xludf.DUMMYFUNCTION("""COMPUTED_VALUE"""),"Entre 1,66m e 1,70m")</f>
        <v>Entre 1,66m e 1,70m</v>
      </c>
      <c r="U1550" s="1"/>
      <c r="V1550" s="1" t="str">
        <f>IFERROR(__xludf.DUMMYFUNCTION("""COMPUTED_VALUE"""),"(55) 99904-2828")</f>
        <v>(55) 99904-2828</v>
      </c>
      <c r="W1550" s="1" t="str">
        <f>IFERROR(__xludf.DUMMYFUNCTION("""COMPUTED_VALUE"""),"(55) 3433-4385")</f>
        <v>(55) 3433-4385</v>
      </c>
      <c r="X1550" s="1" t="str">
        <f>IFERROR(__xludf.DUMMYFUNCTION("""COMPUTED_VALUE"""),"RS")</f>
        <v>RS</v>
      </c>
      <c r="Y1550" s="1" t="str">
        <f>IFERROR(__xludf.DUMMYFUNCTION("""COMPUTED_VALUE"""),"Itaqui")</f>
        <v>Itaqui</v>
      </c>
      <c r="Z1550" s="1" t="str">
        <f>IFERROR(__xludf.DUMMYFUNCTION("""COMPUTED_VALUE"""),"         97650-000")</f>
        <v>         97650-000</v>
      </c>
      <c r="AA1550" s="1" t="str">
        <f>IFERROR(__xludf.DUMMYFUNCTION("""COMPUTED_VALUE"""),"DR. ESCOBAR Nº 96")</f>
        <v>DR. ESCOBAR Nº 96</v>
      </c>
      <c r="AB1550" s="1" t="str">
        <f>IFERROR(__xludf.DUMMYFUNCTION("""COMPUTED_VALUE"""),"JOSÉ DA LUZ")</f>
        <v>JOSÉ DA LUZ</v>
      </c>
      <c r="AC1550" s="1" t="str">
        <f>IFERROR(__xludf.DUMMYFUNCTION("""COMPUTED_VALUE"""),"M")</f>
        <v>M</v>
      </c>
      <c r="AD1550" s="1" t="str">
        <f>IFERROR(__xludf.DUMMYFUNCTION("""COMPUTED_VALUE"""),"M")</f>
        <v>M</v>
      </c>
      <c r="AE1550" s="1" t="str">
        <f>IFERROR(__xludf.DUMMYFUNCTION("""COMPUTED_VALUE"""),"M")</f>
        <v>M</v>
      </c>
      <c r="AF1550" s="1" t="str">
        <f>IFERROR(__xludf.DUMMYFUNCTION("""COMPUTED_VALUE"""),"G")</f>
        <v>G</v>
      </c>
      <c r="AG1550" s="1" t="str">
        <f>IFERROR(__xludf.DUMMYFUNCTION("""COMPUTED_VALUE"""),"G")</f>
        <v>G</v>
      </c>
      <c r="AH1550" s="1">
        <f>IFERROR(__xludf.DUMMYFUNCTION("""COMPUTED_VALUE"""),41)</f>
        <v>41</v>
      </c>
      <c r="AI1550" s="1">
        <f>IFERROR(__xludf.DUMMYFUNCTION("""COMPUTED_VALUE"""),41)</f>
        <v>41</v>
      </c>
      <c r="AJ1550" s="1">
        <f>IFERROR(__xludf.DUMMYFUNCTION("""COMPUTED_VALUE"""),41)</f>
        <v>41</v>
      </c>
      <c r="AK1550" s="1">
        <f>IFERROR(__xludf.DUMMYFUNCTION("""COMPUTED_VALUE"""),41)</f>
        <v>41</v>
      </c>
      <c r="AL1550" s="1" t="str">
        <f>IFERROR(__xludf.DUMMYFUNCTION("""COMPUTED_VALUE"""),"G")</f>
        <v>G</v>
      </c>
      <c r="AM1550" s="1" t="str">
        <f>IFERROR(__xludf.DUMMYFUNCTION("""COMPUTED_VALUE"""),"G")</f>
        <v>G</v>
      </c>
      <c r="AN1550" s="1" t="str">
        <f>IFERROR(__xludf.DUMMYFUNCTION("""COMPUTED_VALUE"""),"M")</f>
        <v>M</v>
      </c>
    </row>
    <row r="1551" customHeight="1" spans="1:40">
      <c r="A1551" s="1" t="str">
        <f>IFERROR(__xludf.DUMMYFUNCTION("""COMPUTED_VALUE"""),"13° BBM")</f>
        <v>13° BBM</v>
      </c>
      <c r="B1551" s="1" t="str">
        <f>IFERROR(__xludf.DUMMYFUNCTION("""COMPUTED_VALUE"""),"Barra do Quaraí")</f>
        <v>Barra do Quaraí</v>
      </c>
      <c r="C1551" s="119" t="str">
        <f>IFERROR(__xludf.DUMMYFUNCTION("""COMPUTED_VALUE"""),"Comunitario")</f>
        <v>Comunitario</v>
      </c>
      <c r="D1551" s="1" t="str">
        <f>IFERROR(__xludf.DUMMYFUNCTION("""COMPUTED_VALUE"""),"LUIS FERNANDO MACHADO DO AMARAL ")</f>
        <v>LUIS FERNANDO MACHADO DO AMARAL </v>
      </c>
      <c r="E1551" s="1" t="str">
        <f>IFERROR(__xludf.DUMMYFUNCTION("""COMPUTED_VALUE"""),"Módulo 2 e 3 concluído")</f>
        <v>Módulo 2 e 3 concluído</v>
      </c>
      <c r="F1551" s="1" t="str">
        <f>IFERROR(__xludf.DUMMYFUNCTION("""COMPUTED_VALUE"""),"829.689.770-91")</f>
        <v>829.689.770-91</v>
      </c>
      <c r="G1551" s="1">
        <f>IFERROR(__xludf.DUMMYFUNCTION("""COMPUTED_VALUE"""),1076938362)</f>
        <v>1076938362</v>
      </c>
      <c r="H1551" s="1" t="str">
        <f>IFERROR(__xludf.DUMMYFUNCTION("""COMPUTED_VALUE"""),"Combatente, socorrista e telefonista")</f>
        <v>Combatente, socorrista e telefonista</v>
      </c>
      <c r="I1551" s="1" t="str">
        <f>IFERROR(__xludf.DUMMYFUNCTION("""COMPUTED_VALUE"""),"Curso Bombeiro Civil, Curso motosserra, Curso de Combate a Incêndio")</f>
        <v>Curso Bombeiro Civil, Curso motosserra, Curso de Combate a Incêndio</v>
      </c>
      <c r="J1551" s="1" t="str">
        <f>IFERROR(__xludf.DUMMYFUNCTION("""COMPUTED_VALUE"""),"Sim")</f>
        <v>Sim</v>
      </c>
      <c r="K1551" s="1" t="str">
        <f>IFERROR(__xludf.DUMMYFUNCTION("""COMPUTED_VALUE"""),"Sim")</f>
        <v>Sim</v>
      </c>
      <c r="L1551" s="1" t="str">
        <f>IFERROR(__xludf.DUMMYFUNCTION("""COMPUTED_VALUE"""),"O+")</f>
        <v>O+</v>
      </c>
      <c r="M1551" s="1" t="str">
        <f>IFERROR(__xludf.DUMMYFUNCTION("""COMPUTED_VALUE"""),"MACHADO")</f>
        <v>MACHADO</v>
      </c>
      <c r="N1551" s="120">
        <f>IFERROR(__xludf.DUMMYFUNCTION("""COMPUTED_VALUE"""),30486)</f>
        <v>30486</v>
      </c>
      <c r="O1551" s="1" t="str">
        <f>IFERROR(__xludf.DUMMYFUNCTION("""COMPUTED_VALUE"""),"Masculino")</f>
        <v>Masculino</v>
      </c>
      <c r="P1551" s="1" t="str">
        <f>IFERROR(__xludf.DUMMYFUNCTION("""COMPUTED_VALUE"""),"Branca")</f>
        <v>Branca</v>
      </c>
      <c r="Q1551" s="1" t="str">
        <f>IFERROR(__xludf.DUMMYFUNCTION("""COMPUTED_VALUE"""),"Ensino Médio")</f>
        <v>Ensino Médio</v>
      </c>
      <c r="R1551" s="1"/>
      <c r="S1551" s="1">
        <f>IFERROR(__xludf.DUMMYFUNCTION("""COMPUTED_VALUE"""),80)</f>
        <v>80</v>
      </c>
      <c r="T1551" s="1" t="str">
        <f>IFERROR(__xludf.DUMMYFUNCTION("""COMPUTED_VALUE"""),"Entre 1,66m e 1,70m")</f>
        <v>Entre 1,66m e 1,70m</v>
      </c>
      <c r="U1551" s="1"/>
      <c r="V1551" s="1" t="str">
        <f>IFERROR(__xludf.DUMMYFUNCTION("""COMPUTED_VALUE"""),"(55) 9651-7968")</f>
        <v>(55) 9651-7968</v>
      </c>
      <c r="W1551" s="1"/>
      <c r="X1551" s="1" t="str">
        <f>IFERROR(__xludf.DUMMYFUNCTION("""COMPUTED_VALUE"""),"RS")</f>
        <v>RS</v>
      </c>
      <c r="Y1551" s="1" t="str">
        <f>IFERROR(__xludf.DUMMYFUNCTION("""COMPUTED_VALUE"""),"Barra do Quaraí")</f>
        <v>Barra do Quaraí</v>
      </c>
      <c r="Z1551" s="1" t="str">
        <f>IFERROR(__xludf.DUMMYFUNCTION("""COMPUTED_VALUE"""),"           97538-000")</f>
        <v>           97538-000</v>
      </c>
      <c r="AA1551" s="1" t="str">
        <f>IFERROR(__xludf.DUMMYFUNCTION("""COMPUTED_VALUE"""),"FERMINIANO BICA 213")</f>
        <v>FERMINIANO BICA 213</v>
      </c>
      <c r="AB1551" s="1" t="str">
        <f>IFERROR(__xludf.DUMMYFUNCTION("""COMPUTED_VALUE"""),"CENTRO")</f>
        <v>CENTRO</v>
      </c>
      <c r="AC1551" s="1" t="str">
        <f>IFERROR(__xludf.DUMMYFUNCTION("""COMPUTED_VALUE"""),"M")</f>
        <v>M</v>
      </c>
      <c r="AD1551" s="1" t="str">
        <f>IFERROR(__xludf.DUMMYFUNCTION("""COMPUTED_VALUE"""),"M")</f>
        <v>M</v>
      </c>
      <c r="AE1551" s="1" t="str">
        <f>IFERROR(__xludf.DUMMYFUNCTION("""COMPUTED_VALUE"""),"M")</f>
        <v>M</v>
      </c>
      <c r="AF1551" s="1" t="str">
        <f>IFERROR(__xludf.DUMMYFUNCTION("""COMPUTED_VALUE"""),"G")</f>
        <v>G</v>
      </c>
      <c r="AG1551" s="1" t="str">
        <f>IFERROR(__xludf.DUMMYFUNCTION("""COMPUTED_VALUE"""),"G")</f>
        <v>G</v>
      </c>
      <c r="AH1551" s="1">
        <f>IFERROR(__xludf.DUMMYFUNCTION("""COMPUTED_VALUE"""),34)</f>
        <v>34</v>
      </c>
      <c r="AI1551" s="1">
        <f>IFERROR(__xludf.DUMMYFUNCTION("""COMPUTED_VALUE"""),34)</f>
        <v>34</v>
      </c>
      <c r="AJ1551" s="1">
        <f>IFERROR(__xludf.DUMMYFUNCTION("""COMPUTED_VALUE"""),34)</f>
        <v>34</v>
      </c>
      <c r="AK1551" s="1">
        <f>IFERROR(__xludf.DUMMYFUNCTION("""COMPUTED_VALUE"""),34)</f>
        <v>34</v>
      </c>
      <c r="AL1551" s="1" t="str">
        <f>IFERROR(__xludf.DUMMYFUNCTION("""COMPUTED_VALUE"""),"G")</f>
        <v>G</v>
      </c>
      <c r="AM1551" s="1" t="str">
        <f>IFERROR(__xludf.DUMMYFUNCTION("""COMPUTED_VALUE"""),"M")</f>
        <v>M</v>
      </c>
      <c r="AN1551" s="1" t="str">
        <f>IFERROR(__xludf.DUMMYFUNCTION("""COMPUTED_VALUE"""),"M")</f>
        <v>M</v>
      </c>
    </row>
    <row r="1552" customHeight="1" spans="1:40">
      <c r="A1552" s="1"/>
      <c r="B1552" s="1"/>
      <c r="C1552" s="119"/>
      <c r="D1552" s="1" t="str">
        <f>IFERROR(__xludf.DUMMYFUNCTION("""COMPUTED_VALUE"""),"MAURO MOTA")</f>
        <v>MAURO MOTA</v>
      </c>
      <c r="E1552" s="1" t="str">
        <f>IFERROR(__xludf.DUMMYFUNCTION("""COMPUTED_VALUE"""),"Módulo 1 concluído")</f>
        <v>Módulo 1 concluído</v>
      </c>
      <c r="F1552" s="119" t="str">
        <f>IFERROR(__xludf.DUMMYFUNCTION("""COMPUTED_VALUE"""),"943.268.000-20")</f>
        <v>943.268.000-20</v>
      </c>
      <c r="G1552" s="1"/>
      <c r="H1552" s="1"/>
      <c r="I1552" s="1"/>
      <c r="J1552" s="1"/>
      <c r="K1552" s="1"/>
      <c r="L1552" s="1"/>
      <c r="M1552" s="1"/>
      <c r="N1552" s="120"/>
      <c r="O1552" s="1"/>
      <c r="P1552" s="1"/>
      <c r="Q1552" s="1"/>
      <c r="R1552" s="1"/>
      <c r="S1552" s="1"/>
      <c r="T1552" s="1"/>
      <c r="U1552" s="1"/>
      <c r="V1552" s="1"/>
      <c r="W1552" s="1"/>
      <c r="X1552" s="1"/>
      <c r="Y1552" s="1"/>
      <c r="Z1552" s="1"/>
      <c r="AA1552" s="1"/>
      <c r="AB1552" s="1"/>
      <c r="AC1552" s="1"/>
      <c r="AD1552" s="1"/>
      <c r="AE1552" s="1"/>
      <c r="AF1552" s="1"/>
      <c r="AG1552" s="1"/>
      <c r="AH1552" s="1"/>
      <c r="AI1552" s="1"/>
      <c r="AJ1552" s="1"/>
      <c r="AK1552" s="1"/>
      <c r="AL1552" s="1"/>
      <c r="AM1552" s="1"/>
      <c r="AN1552" s="1"/>
    </row>
    <row r="1553" customHeight="1" spans="1:40">
      <c r="A1553" s="1"/>
      <c r="B1553" s="1"/>
      <c r="C1553" s="119"/>
      <c r="D1553" s="1" t="str">
        <f>IFERROR(__xludf.DUMMYFUNCTION("""COMPUTED_VALUE"""),"NERITO KAEFER")</f>
        <v>NERITO KAEFER</v>
      </c>
      <c r="E1553" s="1" t="str">
        <f>IFERROR(__xludf.DUMMYFUNCTION("""COMPUTED_VALUE"""),"Módulo 1 concluído")</f>
        <v>Módulo 1 concluído</v>
      </c>
      <c r="F1553" s="119" t="str">
        <f>IFERROR(__xludf.DUMMYFUNCTION("""COMPUTED_VALUE"""),"891.666.710-00")</f>
        <v>891.666.710-00</v>
      </c>
      <c r="G1553" s="1"/>
      <c r="H1553" s="1"/>
      <c r="I1553" s="1"/>
      <c r="J1553" s="1"/>
      <c r="K1553" s="1"/>
      <c r="L1553" s="1"/>
      <c r="M1553" s="1"/>
      <c r="N1553" s="120"/>
      <c r="O1553" s="1"/>
      <c r="P1553" s="1"/>
      <c r="Q1553" s="1"/>
      <c r="R1553" s="1"/>
      <c r="S1553" s="1"/>
      <c r="T1553" s="1"/>
      <c r="U1553" s="1"/>
      <c r="V1553" s="1"/>
      <c r="W1553" s="1"/>
      <c r="X1553" s="1"/>
      <c r="Y1553" s="1"/>
      <c r="Z1553" s="1"/>
      <c r="AA1553" s="1"/>
      <c r="AB1553" s="1"/>
      <c r="AC1553" s="1"/>
      <c r="AD1553" s="1"/>
      <c r="AE1553" s="1"/>
      <c r="AF1553" s="1"/>
      <c r="AG1553" s="1"/>
      <c r="AH1553" s="1"/>
      <c r="AI1553" s="1"/>
      <c r="AJ1553" s="1"/>
      <c r="AK1553" s="1"/>
      <c r="AL1553" s="1"/>
      <c r="AM1553" s="1"/>
      <c r="AN1553" s="1"/>
    </row>
    <row r="1554" customHeight="1" spans="1:40">
      <c r="A1554" s="1" t="str">
        <f>IFERROR(__xludf.DUMMYFUNCTION("""COMPUTED_VALUE"""),"13° BBM")</f>
        <v>13° BBM</v>
      </c>
      <c r="B1554" s="1" t="str">
        <f>IFERROR(__xludf.DUMMYFUNCTION("""COMPUTED_VALUE"""),"Barra do Quaraí")</f>
        <v>Barra do Quaraí</v>
      </c>
      <c r="C1554" s="119" t="str">
        <f>IFERROR(__xludf.DUMMYFUNCTION("""COMPUTED_VALUE"""),"Comunitario")</f>
        <v>Comunitario</v>
      </c>
      <c r="D1554" s="1" t="str">
        <f>IFERROR(__xludf.DUMMYFUNCTION("""COMPUTED_VALUE"""),"PAULO ROBERTO OLDANI DA SILVA")</f>
        <v>PAULO ROBERTO OLDANI DA SILVA</v>
      </c>
      <c r="E1554" s="1" t="str">
        <f>IFERROR(__xludf.DUMMYFUNCTION("""COMPUTED_VALUE"""),"Módulo 1 concluído")</f>
        <v>Módulo 1 concluído</v>
      </c>
      <c r="F1554" s="1" t="str">
        <f>IFERROR(__xludf.DUMMYFUNCTION("""COMPUTED_VALUE"""),"304.314.760-04")</f>
        <v>304.314.760-04</v>
      </c>
      <c r="G1554" s="1">
        <f>IFERROR(__xludf.DUMMYFUNCTION("""COMPUTED_VALUE"""),7025545431)</f>
        <v>7025545431</v>
      </c>
      <c r="H1554" s="1" t="str">
        <f>IFERROR(__xludf.DUMMYFUNCTION("""COMPUTED_VALUE"""),"Motorista (COV)")</f>
        <v>Motorista (COV)</v>
      </c>
      <c r="I1554" s="1" t="str">
        <f>IFERROR(__xludf.DUMMYFUNCTION("""COMPUTED_VALUE"""),"Condutor CAT D, Curso de condutor de veículo de transporte de emergência CACVTE, Curso de Combate a Incêndio, Curso de Transporte Coletivo")</f>
        <v>Condutor CAT D, Curso de condutor de veículo de transporte de emergência CACVTE, Curso de Combate a Incêndio, Curso de Transporte Coletivo</v>
      </c>
      <c r="J1554" s="1" t="str">
        <f>IFERROR(__xludf.DUMMYFUNCTION("""COMPUTED_VALUE"""),"Sim")</f>
        <v>Sim</v>
      </c>
      <c r="K1554" s="1" t="str">
        <f>IFERROR(__xludf.DUMMYFUNCTION("""COMPUTED_VALUE"""),"Sim")</f>
        <v>Sim</v>
      </c>
      <c r="L1554" s="1" t="str">
        <f>IFERROR(__xludf.DUMMYFUNCTION("""COMPUTED_VALUE"""),"O+")</f>
        <v>O+</v>
      </c>
      <c r="M1554" s="1" t="str">
        <f>IFERROR(__xludf.DUMMYFUNCTION("""COMPUTED_VALUE"""),"OLDANI")</f>
        <v>OLDANI</v>
      </c>
      <c r="N1554" s="120">
        <f>IFERROR(__xludf.DUMMYFUNCTION("""COMPUTED_VALUE"""),21590)</f>
        <v>21590</v>
      </c>
      <c r="O1554" s="1" t="str">
        <f>IFERROR(__xludf.DUMMYFUNCTION("""COMPUTED_VALUE"""),"Masculino")</f>
        <v>Masculino</v>
      </c>
      <c r="P1554" s="1" t="str">
        <f>IFERROR(__xludf.DUMMYFUNCTION("""COMPUTED_VALUE"""),"Branca")</f>
        <v>Branca</v>
      </c>
      <c r="Q1554" s="1" t="str">
        <f>IFERROR(__xludf.DUMMYFUNCTION("""COMPUTED_VALUE"""),"Ensino Médio")</f>
        <v>Ensino Médio</v>
      </c>
      <c r="R1554" s="1"/>
      <c r="S1554" s="1">
        <f>IFERROR(__xludf.DUMMYFUNCTION("""COMPUTED_VALUE"""),80)</f>
        <v>80</v>
      </c>
      <c r="T1554" s="1" t="str">
        <f>IFERROR(__xludf.DUMMYFUNCTION("""COMPUTED_VALUE"""),"Entre 1,66m e 1,70m")</f>
        <v>Entre 1,66m e 1,70m</v>
      </c>
      <c r="U1554" s="1"/>
      <c r="V1554" s="1" t="str">
        <f>IFERROR(__xludf.DUMMYFUNCTION("""COMPUTED_VALUE"""),"(55) 99911-8127")</f>
        <v>(55) 99911-8127</v>
      </c>
      <c r="W1554" s="1" t="str">
        <f>IFERROR(__xludf.DUMMYFUNCTION("""COMPUTED_VALUE"""),"(55) 99905-8129")</f>
        <v>(55) 99905-8129</v>
      </c>
      <c r="X1554" s="1" t="str">
        <f>IFERROR(__xludf.DUMMYFUNCTION("""COMPUTED_VALUE"""),"RS")</f>
        <v>RS</v>
      </c>
      <c r="Y1554" s="1" t="str">
        <f>IFERROR(__xludf.DUMMYFUNCTION("""COMPUTED_VALUE"""),"Uruguaiana")</f>
        <v>Uruguaiana</v>
      </c>
      <c r="Z1554" s="1" t="str">
        <f>IFERROR(__xludf.DUMMYFUNCTION("""COMPUTED_VALUE"""),"          97502-804")</f>
        <v>          97502-804</v>
      </c>
      <c r="AA1554" s="1" t="str">
        <f>IFERROR(__xludf.DUMMYFUNCTION("""COMPUTED_VALUE"""),"RUA JOSÉ GARIBALDI")</f>
        <v>RUA JOSÉ GARIBALDI</v>
      </c>
      <c r="AB1554" s="1" t="str">
        <f>IFERROR(__xludf.DUMMYFUNCTION("""COMPUTED_VALUE"""),"SÃO MIGUEL")</f>
        <v>SÃO MIGUEL</v>
      </c>
      <c r="AC1554" s="1" t="str">
        <f>IFERROR(__xludf.DUMMYFUNCTION("""COMPUTED_VALUE"""),"M")</f>
        <v>M</v>
      </c>
      <c r="AD1554" s="1" t="str">
        <f>IFERROR(__xludf.DUMMYFUNCTION("""COMPUTED_VALUE"""),"M")</f>
        <v>M</v>
      </c>
      <c r="AE1554" s="1" t="str">
        <f>IFERROR(__xludf.DUMMYFUNCTION("""COMPUTED_VALUE"""),"M")</f>
        <v>M</v>
      </c>
      <c r="AF1554" s="1" t="str">
        <f>IFERROR(__xludf.DUMMYFUNCTION("""COMPUTED_VALUE"""),"G")</f>
        <v>G</v>
      </c>
      <c r="AG1554" s="1" t="str">
        <f>IFERROR(__xludf.DUMMYFUNCTION("""COMPUTED_VALUE"""),"G")</f>
        <v>G</v>
      </c>
      <c r="AH1554" s="1">
        <f>IFERROR(__xludf.DUMMYFUNCTION("""COMPUTED_VALUE"""),40)</f>
        <v>40</v>
      </c>
      <c r="AI1554" s="1">
        <f>IFERROR(__xludf.DUMMYFUNCTION("""COMPUTED_VALUE"""),40)</f>
        <v>40</v>
      </c>
      <c r="AJ1554" s="1">
        <f>IFERROR(__xludf.DUMMYFUNCTION("""COMPUTED_VALUE"""),40)</f>
        <v>40</v>
      </c>
      <c r="AK1554" s="1">
        <f>IFERROR(__xludf.DUMMYFUNCTION("""COMPUTED_VALUE"""),40)</f>
        <v>40</v>
      </c>
      <c r="AL1554" s="1" t="str">
        <f>IFERROR(__xludf.DUMMYFUNCTION("""COMPUTED_VALUE"""),"G")</f>
        <v>G</v>
      </c>
      <c r="AM1554" s="1" t="str">
        <f>IFERROR(__xludf.DUMMYFUNCTION("""COMPUTED_VALUE"""),"G")</f>
        <v>G</v>
      </c>
      <c r="AN1554" s="1" t="str">
        <f>IFERROR(__xludf.DUMMYFUNCTION("""COMPUTED_VALUE"""),"M")</f>
        <v>M</v>
      </c>
    </row>
    <row r="1555" customHeight="1" spans="1:40">
      <c r="A1555" s="1" t="str">
        <f>IFERROR(__xludf.DUMMYFUNCTION("""COMPUTED_VALUE"""),"13° BBM")</f>
        <v>13° BBM</v>
      </c>
      <c r="B1555" s="1" t="str">
        <f>IFERROR(__xludf.DUMMYFUNCTION("""COMPUTED_VALUE"""),"Barra do Quaraí")</f>
        <v>Barra do Quaraí</v>
      </c>
      <c r="C1555" s="119" t="str">
        <f>IFERROR(__xludf.DUMMYFUNCTION("""COMPUTED_VALUE"""),"Comunitario")</f>
        <v>Comunitario</v>
      </c>
      <c r="D1555" s="1" t="str">
        <f>IFERROR(__xludf.DUMMYFUNCTION("""COMPUTED_VALUE"""),"RENATO COELHO BALOK")</f>
        <v>RENATO COELHO BALOK</v>
      </c>
      <c r="E1555" s="1" t="str">
        <f>IFERROR(__xludf.DUMMYFUNCTION("""COMPUTED_VALUE"""),"Curso CAB operador concluído")</f>
        <v>Curso CAB operador concluído</v>
      </c>
      <c r="F1555" s="1" t="str">
        <f>IFERROR(__xludf.DUMMYFUNCTION("""COMPUTED_VALUE"""),"026.284.950-07 ")</f>
        <v>026.284.950-07 </v>
      </c>
      <c r="G1555" s="1">
        <f>IFERROR(__xludf.DUMMYFUNCTION("""COMPUTED_VALUE"""),3107591616)</f>
        <v>3107591616</v>
      </c>
      <c r="H1555" s="1" t="str">
        <f>IFERROR(__xludf.DUMMYFUNCTION("""COMPUTED_VALUE"""),"Motorista (COV)")</f>
        <v>Motorista (COV)</v>
      </c>
      <c r="I1555" s="1" t="str">
        <f>IFERROR(__xludf.DUMMYFUNCTION("""COMPUTED_VALUE"""),"Condutor CAT D, Curso de condutor de veículo de transporte de emergência CACVTE")</f>
        <v>Condutor CAT D, Curso de condutor de veículo de transporte de emergência CACVTE</v>
      </c>
      <c r="J1555" s="1" t="str">
        <f>IFERROR(__xludf.DUMMYFUNCTION("""COMPUTED_VALUE"""),"Sim")</f>
        <v>Sim</v>
      </c>
      <c r="K1555" s="1" t="str">
        <f>IFERROR(__xludf.DUMMYFUNCTION("""COMPUTED_VALUE"""),"Sim")</f>
        <v>Sim</v>
      </c>
      <c r="L1555" s="1" t="str">
        <f>IFERROR(__xludf.DUMMYFUNCTION("""COMPUTED_VALUE"""),"O+")</f>
        <v>O+</v>
      </c>
      <c r="M1555" s="1" t="str">
        <f>IFERROR(__xludf.DUMMYFUNCTION("""COMPUTED_VALUE"""),"RENATO")</f>
        <v>RENATO</v>
      </c>
      <c r="N1555" s="120">
        <f>IFERROR(__xludf.DUMMYFUNCTION("""COMPUTED_VALUE"""),33990)</f>
        <v>33990</v>
      </c>
      <c r="O1555" s="1" t="str">
        <f>IFERROR(__xludf.DUMMYFUNCTION("""COMPUTED_VALUE"""),"Masculino")</f>
        <v>Masculino</v>
      </c>
      <c r="P1555" s="1" t="str">
        <f>IFERROR(__xludf.DUMMYFUNCTION("""COMPUTED_VALUE"""),"Branca")</f>
        <v>Branca</v>
      </c>
      <c r="Q1555" s="1" t="str">
        <f>IFERROR(__xludf.DUMMYFUNCTION("""COMPUTED_VALUE"""),"Ensino Médio")</f>
        <v>Ensino Médio</v>
      </c>
      <c r="R1555" s="1"/>
      <c r="S1555" s="1">
        <f>IFERROR(__xludf.DUMMYFUNCTION("""COMPUTED_VALUE"""),75)</f>
        <v>75</v>
      </c>
      <c r="T1555" s="1" t="str">
        <f>IFERROR(__xludf.DUMMYFUNCTION("""COMPUTED_VALUE"""),"Entre 1,76m e 1,80m")</f>
        <v>Entre 1,76m e 1,80m</v>
      </c>
      <c r="U1555" s="1"/>
      <c r="V1555" s="1" t="str">
        <f>IFERROR(__xludf.DUMMYFUNCTION("""COMPUTED_VALUE"""),"(55) 9948-4679")</f>
        <v>(55) 9948-4679</v>
      </c>
      <c r="W1555" s="1" t="str">
        <f>IFERROR(__xludf.DUMMYFUNCTION("""COMPUTED_VALUE"""),"(55) 9693-2914")</f>
        <v>(55) 9693-2914</v>
      </c>
      <c r="X1555" s="1" t="str">
        <f>IFERROR(__xludf.DUMMYFUNCTION("""COMPUTED_VALUE"""),"RS")</f>
        <v>RS</v>
      </c>
      <c r="Y1555" s="1" t="str">
        <f>IFERROR(__xludf.DUMMYFUNCTION("""COMPUTED_VALUE"""),"Barra do Quaraí")</f>
        <v>Barra do Quaraí</v>
      </c>
      <c r="Z1555" s="1" t="str">
        <f>IFERROR(__xludf.DUMMYFUNCTION("""COMPUTED_VALUE"""),"           97538-000")</f>
        <v>           97538-000</v>
      </c>
      <c r="AA1555" s="1" t="str">
        <f>IFERROR(__xludf.DUMMYFUNCTION("""COMPUTED_VALUE"""),"VILA SÃO FRANCISCO 34")</f>
        <v>VILA SÃO FRANCISCO 34</v>
      </c>
      <c r="AB1555" s="1" t="str">
        <f>IFERROR(__xludf.DUMMYFUNCTION("""COMPUTED_VALUE"""),"CENTRO")</f>
        <v>CENTRO</v>
      </c>
      <c r="AC1555" s="1" t="str">
        <f>IFERROR(__xludf.DUMMYFUNCTION("""COMPUTED_VALUE"""),"G")</f>
        <v>G</v>
      </c>
      <c r="AD1555" s="1" t="str">
        <f>IFERROR(__xludf.DUMMYFUNCTION("""COMPUTED_VALUE"""),"G")</f>
        <v>G</v>
      </c>
      <c r="AE1555" s="1" t="str">
        <f>IFERROR(__xludf.DUMMYFUNCTION("""COMPUTED_VALUE"""),"G")</f>
        <v>G</v>
      </c>
      <c r="AF1555" s="1" t="str">
        <f>IFERROR(__xludf.DUMMYFUNCTION("""COMPUTED_VALUE"""),"G")</f>
        <v>G</v>
      </c>
      <c r="AG1555" s="1" t="str">
        <f>IFERROR(__xludf.DUMMYFUNCTION("""COMPUTED_VALUE"""),"G")</f>
        <v>G</v>
      </c>
      <c r="AH1555" s="1">
        <f>IFERROR(__xludf.DUMMYFUNCTION("""COMPUTED_VALUE"""),41)</f>
        <v>41</v>
      </c>
      <c r="AI1555" s="1">
        <f>IFERROR(__xludf.DUMMYFUNCTION("""COMPUTED_VALUE"""),41)</f>
        <v>41</v>
      </c>
      <c r="AJ1555" s="1">
        <f>IFERROR(__xludf.DUMMYFUNCTION("""COMPUTED_VALUE"""),41)</f>
        <v>41</v>
      </c>
      <c r="AK1555" s="1">
        <f>IFERROR(__xludf.DUMMYFUNCTION("""COMPUTED_VALUE"""),41)</f>
        <v>41</v>
      </c>
      <c r="AL1555" s="1" t="str">
        <f>IFERROR(__xludf.DUMMYFUNCTION("""COMPUTED_VALUE"""),"G")</f>
        <v>G</v>
      </c>
      <c r="AM1555" s="1" t="str">
        <f>IFERROR(__xludf.DUMMYFUNCTION("""COMPUTED_VALUE"""),"G")</f>
        <v>G</v>
      </c>
      <c r="AN1555" s="1" t="str">
        <f>IFERROR(__xludf.DUMMYFUNCTION("""COMPUTED_VALUE"""),"M")</f>
        <v>M</v>
      </c>
    </row>
    <row r="1556" customHeight="1" spans="1:40">
      <c r="A1556" s="1" t="str">
        <f>IFERROR(__xludf.DUMMYFUNCTION("""COMPUTED_VALUE"""),"13° BBM")</f>
        <v>13° BBM</v>
      </c>
      <c r="B1556" s="1" t="str">
        <f>IFERROR(__xludf.DUMMYFUNCTION("""COMPUTED_VALUE"""),"Itaqui")</f>
        <v>Itaqui</v>
      </c>
      <c r="C1556" s="119" t="str">
        <f>IFERROR(__xludf.DUMMYFUNCTION("""COMPUTED_VALUE"""),"Comunitario")</f>
        <v>Comunitario</v>
      </c>
      <c r="D1556" s="1" t="str">
        <f>IFERROR(__xludf.DUMMYFUNCTION("""COMPUTED_VALUE"""),"ROGÉRIO FREITAS DO NASCIMENTO")</f>
        <v>ROGÉRIO FREITAS DO NASCIMENTO</v>
      </c>
      <c r="E1556" s="1" t="str">
        <f>IFERROR(__xludf.DUMMYFUNCTION("""COMPUTED_VALUE"""),"Curso CAB operador concluído")</f>
        <v>Curso CAB operador concluído</v>
      </c>
      <c r="F1556" s="1" t="str">
        <f>IFERROR(__xludf.DUMMYFUNCTION("""COMPUTED_VALUE"""),"645.841.510-91")</f>
        <v>645.841.510-91</v>
      </c>
      <c r="G1556" s="1">
        <f>IFERROR(__xludf.DUMMYFUNCTION("""COMPUTED_VALUE"""),2042007399)</f>
        <v>2042007399</v>
      </c>
      <c r="H1556" s="1" t="str">
        <f>IFERROR(__xludf.DUMMYFUNCTION("""COMPUTED_VALUE"""),"Combatente")</f>
        <v>Combatente</v>
      </c>
      <c r="I1556" s="1" t="str">
        <f>IFERROR(__xludf.DUMMYFUNCTION("""COMPUTED_VALUE"""),"Curso de Técnica e Tática de Combate à Incêndio - Nível I")</f>
        <v>Curso de Técnica e Tática de Combate à Incêndio - Nível I</v>
      </c>
      <c r="J1556" s="1" t="str">
        <f>IFERROR(__xludf.DUMMYFUNCTION("""COMPUTED_VALUE"""),"Sim")</f>
        <v>Sim</v>
      </c>
      <c r="K1556" s="1" t="str">
        <f>IFERROR(__xludf.DUMMYFUNCTION("""COMPUTED_VALUE"""),"Sim")</f>
        <v>Sim</v>
      </c>
      <c r="L1556" s="1" t="str">
        <f>IFERROR(__xludf.DUMMYFUNCTION("""COMPUTED_VALUE"""),"A+")</f>
        <v>A+</v>
      </c>
      <c r="M1556" s="1" t="str">
        <f>IFERROR(__xludf.DUMMYFUNCTION("""COMPUTED_VALUE"""),"ROGERIO")</f>
        <v>ROGERIO</v>
      </c>
      <c r="N1556" s="120">
        <f>IFERROR(__xludf.DUMMYFUNCTION("""COMPUTED_VALUE"""),25952)</f>
        <v>25952</v>
      </c>
      <c r="O1556" s="1" t="str">
        <f>IFERROR(__xludf.DUMMYFUNCTION("""COMPUTED_VALUE"""),"Masculino")</f>
        <v>Masculino</v>
      </c>
      <c r="P1556" s="1" t="str">
        <f>IFERROR(__xludf.DUMMYFUNCTION("""COMPUTED_VALUE"""),"Morena")</f>
        <v>Morena</v>
      </c>
      <c r="Q1556" s="1" t="str">
        <f>IFERROR(__xludf.DUMMYFUNCTION("""COMPUTED_VALUE"""),"Ensino Médio")</f>
        <v>Ensino Médio</v>
      </c>
      <c r="R1556" s="1"/>
      <c r="S1556" s="1">
        <f>IFERROR(__xludf.DUMMYFUNCTION("""COMPUTED_VALUE"""),89)</f>
        <v>89</v>
      </c>
      <c r="T1556" s="1" t="str">
        <f>IFERROR(__xludf.DUMMYFUNCTION("""COMPUTED_VALUE"""),"Entre 1,71m e 1,75m")</f>
        <v>Entre 1,71m e 1,75m</v>
      </c>
      <c r="U1556" s="1"/>
      <c r="V1556" s="1" t="str">
        <f>IFERROR(__xludf.DUMMYFUNCTION("""COMPUTED_VALUE"""),"(55) 99694-1829")</f>
        <v>(55) 99694-1829</v>
      </c>
      <c r="W1556" s="1" t="str">
        <f>IFERROR(__xludf.DUMMYFUNCTION("""COMPUTED_VALUE"""),"(55) 3433-4385")</f>
        <v>(55) 3433-4385</v>
      </c>
      <c r="X1556" s="1" t="str">
        <f>IFERROR(__xludf.DUMMYFUNCTION("""COMPUTED_VALUE"""),"RS")</f>
        <v>RS</v>
      </c>
      <c r="Y1556" s="1" t="str">
        <f>IFERROR(__xludf.DUMMYFUNCTION("""COMPUTED_VALUE"""),"Itaqui")</f>
        <v>Itaqui</v>
      </c>
      <c r="Z1556" s="1" t="str">
        <f>IFERROR(__xludf.DUMMYFUNCTION("""COMPUTED_VALUE"""),"         97650-000")</f>
        <v>         97650-000</v>
      </c>
      <c r="AA1556" s="1" t="str">
        <f>IFERROR(__xludf.DUMMYFUNCTION("""COMPUTED_VALUE"""),"BATISTA CAETANO Nº 1400-A")</f>
        <v>BATISTA CAETANO Nº 1400-A</v>
      </c>
      <c r="AB1556" s="1" t="str">
        <f>IFERROR(__xludf.DUMMYFUNCTION("""COMPUTED_VALUE"""),"CAFIFAS")</f>
        <v>CAFIFAS</v>
      </c>
      <c r="AC1556" s="1" t="str">
        <f>IFERROR(__xludf.DUMMYFUNCTION("""COMPUTED_VALUE"""),"M")</f>
        <v>M</v>
      </c>
      <c r="AD1556" s="1" t="str">
        <f>IFERROR(__xludf.DUMMYFUNCTION("""COMPUTED_VALUE"""),"M")</f>
        <v>M</v>
      </c>
      <c r="AE1556" s="1" t="str">
        <f>IFERROR(__xludf.DUMMYFUNCTION("""COMPUTED_VALUE"""),"M")</f>
        <v>M</v>
      </c>
      <c r="AF1556" s="1" t="str">
        <f>IFERROR(__xludf.DUMMYFUNCTION("""COMPUTED_VALUE"""),"G")</f>
        <v>G</v>
      </c>
      <c r="AG1556" s="1" t="str">
        <f>IFERROR(__xludf.DUMMYFUNCTION("""COMPUTED_VALUE"""),"G")</f>
        <v>G</v>
      </c>
      <c r="AH1556" s="1">
        <f>IFERROR(__xludf.DUMMYFUNCTION("""COMPUTED_VALUE"""),41)</f>
        <v>41</v>
      </c>
      <c r="AI1556" s="1">
        <f>IFERROR(__xludf.DUMMYFUNCTION("""COMPUTED_VALUE"""),41)</f>
        <v>41</v>
      </c>
      <c r="AJ1556" s="1">
        <f>IFERROR(__xludf.DUMMYFUNCTION("""COMPUTED_VALUE"""),41)</f>
        <v>41</v>
      </c>
      <c r="AK1556" s="1">
        <f>IFERROR(__xludf.DUMMYFUNCTION("""COMPUTED_VALUE"""),41)</f>
        <v>41</v>
      </c>
      <c r="AL1556" s="1" t="str">
        <f>IFERROR(__xludf.DUMMYFUNCTION("""COMPUTED_VALUE"""),"G")</f>
        <v>G</v>
      </c>
      <c r="AM1556" s="1" t="str">
        <f>IFERROR(__xludf.DUMMYFUNCTION("""COMPUTED_VALUE"""),"G")</f>
        <v>G</v>
      </c>
      <c r="AN1556" s="1" t="str">
        <f>IFERROR(__xludf.DUMMYFUNCTION("""COMPUTED_VALUE"""),"M")</f>
        <v>M</v>
      </c>
    </row>
    <row r="1557" customHeight="1" spans="1:40">
      <c r="A1557" s="1" t="str">
        <f>IFERROR(__xludf.DUMMYFUNCTION("""COMPUTED_VALUE"""),"13° BBM")</f>
        <v>13° BBM</v>
      </c>
      <c r="B1557" s="1" t="str">
        <f>IFERROR(__xludf.DUMMYFUNCTION("""COMPUTED_VALUE"""),"Barra do Quaraí")</f>
        <v>Barra do Quaraí</v>
      </c>
      <c r="C1557" s="119" t="str">
        <f>IFERROR(__xludf.DUMMYFUNCTION("""COMPUTED_VALUE"""),"Comunitario")</f>
        <v>Comunitario</v>
      </c>
      <c r="D1557" s="1" t="str">
        <f>IFERROR(__xludf.DUMMYFUNCTION("""COMPUTED_VALUE"""),"SILON FRANCISCO PEREIRA JUNIOR")</f>
        <v>SILON FRANCISCO PEREIRA JUNIOR</v>
      </c>
      <c r="E1557" s="1" t="str">
        <f>IFERROR(__xludf.DUMMYFUNCTION("""COMPUTED_VALUE"""),"Módulo 2 e 3 concluído")</f>
        <v>Módulo 2 e 3 concluído</v>
      </c>
      <c r="F1557" s="1" t="str">
        <f>IFERROR(__xludf.DUMMYFUNCTION("""COMPUTED_VALUE"""),"928.129.700-06")</f>
        <v>928.129.700-06</v>
      </c>
      <c r="G1557" s="1">
        <f>IFERROR(__xludf.DUMMYFUNCTION("""COMPUTED_VALUE"""),1033929975)</f>
        <v>1033929975</v>
      </c>
      <c r="H1557" s="1" t="str">
        <f>IFERROR(__xludf.DUMMYFUNCTION("""COMPUTED_VALUE"""),"MOTOrista (COV)")</f>
        <v>MOTOrista (COV)</v>
      </c>
      <c r="I1557" s="1" t="str">
        <f>IFERROR(__xludf.DUMMYFUNCTION("""COMPUTED_VALUE"""),"Condutor CAT AD, Curso de condutor de veículo de transporte de emergência CACVTE")</f>
        <v>Condutor CAT AD, Curso de condutor de veículo de transporte de emergência CACVTE</v>
      </c>
      <c r="J1557" s="1" t="str">
        <f>IFERROR(__xludf.DUMMYFUNCTION("""COMPUTED_VALUE"""),"Não")</f>
        <v>Não</v>
      </c>
      <c r="K1557" s="1" t="str">
        <f>IFERROR(__xludf.DUMMYFUNCTION("""COMPUTED_VALUE"""),"Sim")</f>
        <v>Sim</v>
      </c>
      <c r="L1557" s="1" t="str">
        <f>IFERROR(__xludf.DUMMYFUNCTION("""COMPUTED_VALUE"""),"B+")</f>
        <v>B+</v>
      </c>
      <c r="M1557" s="1" t="str">
        <f>IFERROR(__xludf.DUMMYFUNCTION("""COMPUTED_VALUE"""),"SILON")</f>
        <v>SILON</v>
      </c>
      <c r="N1557" s="120">
        <f>IFERROR(__xludf.DUMMYFUNCTION("""COMPUTED_VALUE"""),28002)</f>
        <v>28002</v>
      </c>
      <c r="O1557" s="1" t="str">
        <f>IFERROR(__xludf.DUMMYFUNCTION("""COMPUTED_VALUE"""),"Masculino")</f>
        <v>Masculino</v>
      </c>
      <c r="P1557" s="1" t="str">
        <f>IFERROR(__xludf.DUMMYFUNCTION("""COMPUTED_VALUE"""),"Branca")</f>
        <v>Branca</v>
      </c>
      <c r="Q1557" s="1" t="str">
        <f>IFERROR(__xludf.DUMMYFUNCTION("""COMPUTED_VALUE"""),"Ensino Médio")</f>
        <v>Ensino Médio</v>
      </c>
      <c r="R1557" s="1" t="str">
        <f>IFERROR(__xludf.DUMMYFUNCTION("""COMPUTED_VALUE"""),"SILONJR@OUTLOOK.COM")</f>
        <v>SILONJR@OUTLOOK.COM</v>
      </c>
      <c r="S1557" s="1">
        <f>IFERROR(__xludf.DUMMYFUNCTION("""COMPUTED_VALUE"""),120)</f>
        <v>120</v>
      </c>
      <c r="T1557" s="1" t="str">
        <f>IFERROR(__xludf.DUMMYFUNCTION("""COMPUTED_VALUE"""),"Entre 1,81m e 1,85m")</f>
        <v>Entre 1,81m e 1,85m</v>
      </c>
      <c r="U1557" s="1" t="str">
        <f>IFERROR(__xludf.DUMMYFUNCTION("""COMPUTED_VALUE"""),"(51) 99810-7704")</f>
        <v>(51) 99810-7704</v>
      </c>
      <c r="V1557" s="1" t="str">
        <f>IFERROR(__xludf.DUMMYFUNCTION("""COMPUTED_VALUE"""),"(55) 9927-5076")</f>
        <v>(55) 9927-5076</v>
      </c>
      <c r="W1557" s="1"/>
      <c r="X1557" s="1" t="str">
        <f>IFERROR(__xludf.DUMMYFUNCTION("""COMPUTED_VALUE"""),"RS")</f>
        <v>RS</v>
      </c>
      <c r="Y1557" s="1" t="str">
        <f>IFERROR(__xludf.DUMMYFUNCTION("""COMPUTED_VALUE"""),"Uruguaiana")</f>
        <v>Uruguaiana</v>
      </c>
      <c r="Z1557" s="1" t="str">
        <f>IFERROR(__xludf.DUMMYFUNCTION("""COMPUTED_VALUE"""),"         97507-550")</f>
        <v>         97507-550</v>
      </c>
      <c r="AA1557" s="1" t="str">
        <f>IFERROR(__xludf.DUMMYFUNCTION("""COMPUTED_VALUE"""),"RUA GUABIJU 489")</f>
        <v>RUA GUABIJU 489</v>
      </c>
      <c r="AB1557" s="1" t="str">
        <f>IFERROR(__xludf.DUMMYFUNCTION("""COMPUTED_VALUE"""),"VILA JULIA")</f>
        <v>VILA JULIA</v>
      </c>
      <c r="AC1557" s="1" t="str">
        <f>IFERROR(__xludf.DUMMYFUNCTION("""COMPUTED_VALUE"""),"GG")</f>
        <v>GG</v>
      </c>
      <c r="AD1557" s="1" t="str">
        <f>IFERROR(__xludf.DUMMYFUNCTION("""COMPUTED_VALUE"""),"GG")</f>
        <v>GG</v>
      </c>
      <c r="AE1557" s="1" t="str">
        <f>IFERROR(__xludf.DUMMYFUNCTION("""COMPUTED_VALUE"""),"GG")</f>
        <v>GG</v>
      </c>
      <c r="AF1557" s="1" t="str">
        <f>IFERROR(__xludf.DUMMYFUNCTION("""COMPUTED_VALUE"""),"GG")</f>
        <v>GG</v>
      </c>
      <c r="AG1557" s="1" t="str">
        <f>IFERROR(__xludf.DUMMYFUNCTION("""COMPUTED_VALUE"""),"GG")</f>
        <v>GG</v>
      </c>
      <c r="AH1557" s="1">
        <f>IFERROR(__xludf.DUMMYFUNCTION("""COMPUTED_VALUE"""),41)</f>
        <v>41</v>
      </c>
      <c r="AI1557" s="1">
        <f>IFERROR(__xludf.DUMMYFUNCTION("""COMPUTED_VALUE"""),41)</f>
        <v>41</v>
      </c>
      <c r="AJ1557" s="1">
        <f>IFERROR(__xludf.DUMMYFUNCTION("""COMPUTED_VALUE"""),41)</f>
        <v>41</v>
      </c>
      <c r="AK1557" s="1">
        <f>IFERROR(__xludf.DUMMYFUNCTION("""COMPUTED_VALUE"""),41)</f>
        <v>41</v>
      </c>
      <c r="AL1557" s="1" t="str">
        <f>IFERROR(__xludf.DUMMYFUNCTION("""COMPUTED_VALUE"""),"GG")</f>
        <v>GG</v>
      </c>
      <c r="AM1557" s="1" t="str">
        <f>IFERROR(__xludf.DUMMYFUNCTION("""COMPUTED_VALUE"""),"GG")</f>
        <v>GG</v>
      </c>
      <c r="AN1557" s="1" t="str">
        <f>IFERROR(__xludf.DUMMYFUNCTION("""COMPUTED_VALUE"""),"G")</f>
        <v>G</v>
      </c>
    </row>
    <row r="1558" customHeight="1" spans="1:40">
      <c r="A1558" s="1" t="str">
        <f>IFERROR(__xludf.DUMMYFUNCTION("""COMPUTED_VALUE"""),"13° BBM")</f>
        <v>13° BBM</v>
      </c>
      <c r="B1558" s="1" t="str">
        <f>IFERROR(__xludf.DUMMYFUNCTION("""COMPUTED_VALUE"""),"Barra do Quaraí")</f>
        <v>Barra do Quaraí</v>
      </c>
      <c r="C1558" s="119" t="str">
        <f>IFERROR(__xludf.DUMMYFUNCTION("""COMPUTED_VALUE"""),"Comunitario")</f>
        <v>Comunitario</v>
      </c>
      <c r="D1558" s="1" t="str">
        <f>IFERROR(__xludf.DUMMYFUNCTION("""COMPUTED_VALUE"""),"THIAGO RIBEIRO NUNES")</f>
        <v>THIAGO RIBEIRO NUNES</v>
      </c>
      <c r="E1558" s="1" t="str">
        <f>IFERROR(__xludf.DUMMYFUNCTION("""COMPUTED_VALUE"""),"Curso CAB operador concluído")</f>
        <v>Curso CAB operador concluído</v>
      </c>
      <c r="F1558" s="1" t="str">
        <f>IFERROR(__xludf.DUMMYFUNCTION("""COMPUTED_VALUE"""),"012.172.010-17")</f>
        <v>012.172.010-17</v>
      </c>
      <c r="G1558" s="1">
        <f>IFERROR(__xludf.DUMMYFUNCTION("""COMPUTED_VALUE"""),1084124443)</f>
        <v>1084124443</v>
      </c>
      <c r="H1558" s="1" t="str">
        <f>IFERROR(__xludf.DUMMYFUNCTION("""COMPUTED_VALUE"""),"Motorista (COV)")</f>
        <v>Motorista (COV)</v>
      </c>
      <c r="I1558" s="1" t="str">
        <f>IFERROR(__xludf.DUMMYFUNCTION("""COMPUTED_VALUE"""),"Condutor CAT D, Curso de condutor de veículo de transporte de emergência CACVTE, APH, RESGATE, Curso básico de CAB")</f>
        <v>Condutor CAT D, Curso de condutor de veículo de transporte de emergência CACVTE, APH, RESGATE, Curso básico de CAB</v>
      </c>
      <c r="J1558" s="1" t="str">
        <f>IFERROR(__xludf.DUMMYFUNCTION("""COMPUTED_VALUE"""),"Não")</f>
        <v>Não</v>
      </c>
      <c r="K1558" s="1" t="str">
        <f>IFERROR(__xludf.DUMMYFUNCTION("""COMPUTED_VALUE"""),"Sim")</f>
        <v>Sim</v>
      </c>
      <c r="L1558" s="1" t="str">
        <f>IFERROR(__xludf.DUMMYFUNCTION("""COMPUTED_VALUE"""),"O+")</f>
        <v>O+</v>
      </c>
      <c r="M1558" s="1" t="str">
        <f>IFERROR(__xludf.DUMMYFUNCTION("""COMPUTED_VALUE"""),"NUNES")</f>
        <v>NUNES</v>
      </c>
      <c r="N1558" s="120">
        <f>IFERROR(__xludf.DUMMYFUNCTION("""COMPUTED_VALUE"""),31944)</f>
        <v>31944</v>
      </c>
      <c r="O1558" s="1" t="str">
        <f>IFERROR(__xludf.DUMMYFUNCTION("""COMPUTED_VALUE"""),"Masculino")</f>
        <v>Masculino</v>
      </c>
      <c r="P1558" s="1" t="str">
        <f>IFERROR(__xludf.DUMMYFUNCTION("""COMPUTED_VALUE"""),"Branca")</f>
        <v>Branca</v>
      </c>
      <c r="Q1558" s="1" t="str">
        <f>IFERROR(__xludf.DUMMYFUNCTION("""COMPUTED_VALUE"""),"Ensino Médio")</f>
        <v>Ensino Médio</v>
      </c>
      <c r="R1558" s="1" t="str">
        <f>IFERROR(__xludf.DUMMYFUNCTION("""COMPUTED_VALUE"""),"thiagoribeironunes028@gmail.com")</f>
        <v>thiagoribeironunes028@gmail.com</v>
      </c>
      <c r="S1558" s="1">
        <f>IFERROR(__xludf.DUMMYFUNCTION("""COMPUTED_VALUE"""),80)</f>
        <v>80</v>
      </c>
      <c r="T1558" s="1" t="str">
        <f>IFERROR(__xludf.DUMMYFUNCTION("""COMPUTED_VALUE"""),"Entre 1,66m e 1,70m")</f>
        <v>Entre 1,66m e 1,70m</v>
      </c>
      <c r="U1558" s="1"/>
      <c r="V1558" s="1" t="str">
        <f>IFERROR(__xludf.DUMMYFUNCTION("""COMPUTED_VALUE"""),"(55) 99644-4359")</f>
        <v>(55) 99644-4359</v>
      </c>
      <c r="W1558" s="1"/>
      <c r="X1558" s="1" t="str">
        <f>IFERROR(__xludf.DUMMYFUNCTION("""COMPUTED_VALUE"""),"RS")</f>
        <v>RS</v>
      </c>
      <c r="Y1558" s="1" t="str">
        <f>IFERROR(__xludf.DUMMYFUNCTION("""COMPUTED_VALUE"""),"Barra do Quaraí")</f>
        <v>Barra do Quaraí</v>
      </c>
      <c r="Z1558" s="1" t="str">
        <f>IFERROR(__xludf.DUMMYFUNCTION("""COMPUTED_VALUE"""),"         97538-000")</f>
        <v>         97538-000</v>
      </c>
      <c r="AA1558" s="1"/>
      <c r="AB1558" s="1"/>
      <c r="AC1558" s="1" t="str">
        <f>IFERROR(__xludf.DUMMYFUNCTION("""COMPUTED_VALUE"""),"M")</f>
        <v>M</v>
      </c>
      <c r="AD1558" s="1" t="str">
        <f>IFERROR(__xludf.DUMMYFUNCTION("""COMPUTED_VALUE"""),"P")</f>
        <v>P</v>
      </c>
      <c r="AE1558" s="1" t="str">
        <f>IFERROR(__xludf.DUMMYFUNCTION("""COMPUTED_VALUE"""),"P")</f>
        <v>P</v>
      </c>
      <c r="AF1558" s="1" t="str">
        <f>IFERROR(__xludf.DUMMYFUNCTION("""COMPUTED_VALUE"""),"G")</f>
        <v>G</v>
      </c>
      <c r="AG1558" s="1"/>
      <c r="AH1558" s="1">
        <f>IFERROR(__xludf.DUMMYFUNCTION("""COMPUTED_VALUE"""),40)</f>
        <v>40</v>
      </c>
      <c r="AI1558" s="1">
        <f>IFERROR(__xludf.DUMMYFUNCTION("""COMPUTED_VALUE"""),40)</f>
        <v>40</v>
      </c>
      <c r="AJ1558" s="1">
        <f>IFERROR(__xludf.DUMMYFUNCTION("""COMPUTED_VALUE"""),40)</f>
        <v>40</v>
      </c>
      <c r="AK1558" s="1">
        <f>IFERROR(__xludf.DUMMYFUNCTION("""COMPUTED_VALUE"""),40)</f>
        <v>40</v>
      </c>
      <c r="AL1558" s="1" t="str">
        <f>IFERROR(__xludf.DUMMYFUNCTION("""COMPUTED_VALUE"""),"G")</f>
        <v>G</v>
      </c>
      <c r="AM1558" s="1" t="str">
        <f>IFERROR(__xludf.DUMMYFUNCTION("""COMPUTED_VALUE"""),"G")</f>
        <v>G</v>
      </c>
      <c r="AN1558" s="1" t="str">
        <f>IFERROR(__xludf.DUMMYFUNCTION("""COMPUTED_VALUE"""),"M")</f>
        <v>M</v>
      </c>
    </row>
    <row r="1559" customHeight="1" spans="1:40">
      <c r="A1559" s="1" t="str">
        <f>IFERROR(__xludf.DUMMYFUNCTION("""COMPUTED_VALUE"""),"13° BBM")</f>
        <v>13° BBM</v>
      </c>
      <c r="B1559" s="1" t="str">
        <f>IFERROR(__xludf.DUMMYFUNCTION("""COMPUTED_VALUE"""),"Barra do Quaraí")</f>
        <v>Barra do Quaraí</v>
      </c>
      <c r="C1559" s="119" t="str">
        <f>IFERROR(__xludf.DUMMYFUNCTION("""COMPUTED_VALUE"""),"Comunitario")</f>
        <v>Comunitario</v>
      </c>
      <c r="D1559" s="1" t="str">
        <f>IFERROR(__xludf.DUMMYFUNCTION("""COMPUTED_VALUE"""),"VALDECI ROMEIRO DA SILVA")</f>
        <v>VALDECI ROMEIRO DA SILVA</v>
      </c>
      <c r="E1559" s="1" t="str">
        <f>IFERROR(__xludf.DUMMYFUNCTION("""COMPUTED_VALUE"""),"Módulo 1 concluído")</f>
        <v>Módulo 1 concluído</v>
      </c>
      <c r="F1559" s="1" t="str">
        <f>IFERROR(__xludf.DUMMYFUNCTION("""COMPUTED_VALUE"""),"914.439.620-15")</f>
        <v>914.439.620-15</v>
      </c>
      <c r="G1559" s="1">
        <f>IFERROR(__xludf.DUMMYFUNCTION("""COMPUTED_VALUE"""),91443962015)</f>
        <v>91443962015</v>
      </c>
      <c r="H1559" s="1" t="str">
        <f>IFERROR(__xludf.DUMMYFUNCTION("""COMPUTED_VALUE"""),"Combatente, socorrista e telefonista")</f>
        <v>Combatente, socorrista e telefonista</v>
      </c>
      <c r="I1559" s="1" t="str">
        <f>IFERROR(__xludf.DUMMYFUNCTION("""COMPUTED_VALUE"""),"Curso básico de CAB, Curso Bombeiro Civil, Curso de Motoserra")</f>
        <v>Curso básico de CAB, Curso Bombeiro Civil, Curso de Motoserra</v>
      </c>
      <c r="J1559" s="1" t="str">
        <f>IFERROR(__xludf.DUMMYFUNCTION("""COMPUTED_VALUE"""),"Sim")</f>
        <v>Sim</v>
      </c>
      <c r="K1559" s="1" t="str">
        <f>IFERROR(__xludf.DUMMYFUNCTION("""COMPUTED_VALUE"""),"Sim")</f>
        <v>Sim</v>
      </c>
      <c r="L1559" s="1" t="str">
        <f>IFERROR(__xludf.DUMMYFUNCTION("""COMPUTED_VALUE"""),"A-")</f>
        <v>A-</v>
      </c>
      <c r="M1559" s="1" t="str">
        <f>IFERROR(__xludf.DUMMYFUNCTION("""COMPUTED_VALUE"""),"VALDECI")</f>
        <v>VALDECI</v>
      </c>
      <c r="N1559" s="120">
        <f>IFERROR(__xludf.DUMMYFUNCTION("""COMPUTED_VALUE"""),25643)</f>
        <v>25643</v>
      </c>
      <c r="O1559" s="1" t="str">
        <f>IFERROR(__xludf.DUMMYFUNCTION("""COMPUTED_VALUE"""),"Masculino")</f>
        <v>Masculino</v>
      </c>
      <c r="P1559" s="1" t="str">
        <f>IFERROR(__xludf.DUMMYFUNCTION("""COMPUTED_VALUE"""),"Branca")</f>
        <v>Branca</v>
      </c>
      <c r="Q1559" s="1" t="str">
        <f>IFERROR(__xludf.DUMMYFUNCTION("""COMPUTED_VALUE"""),"Ensino Médio")</f>
        <v>Ensino Médio</v>
      </c>
      <c r="R1559" s="1"/>
      <c r="S1559" s="1">
        <f>IFERROR(__xludf.DUMMYFUNCTION("""COMPUTED_VALUE"""),80)</f>
        <v>80</v>
      </c>
      <c r="T1559" s="1" t="str">
        <f>IFERROR(__xludf.DUMMYFUNCTION("""COMPUTED_VALUE"""),"Entre 1,66m e 1,70m")</f>
        <v>Entre 1,66m e 1,70m</v>
      </c>
      <c r="U1559" s="1"/>
      <c r="V1559" s="1" t="str">
        <f>IFERROR(__xludf.DUMMYFUNCTION("""COMPUTED_VALUE"""),"(55) 9674-2651")</f>
        <v>(55) 9674-2651</v>
      </c>
      <c r="W1559" s="1"/>
      <c r="X1559" s="1" t="str">
        <f>IFERROR(__xludf.DUMMYFUNCTION("""COMPUTED_VALUE"""),"RS")</f>
        <v>RS</v>
      </c>
      <c r="Y1559" s="1" t="str">
        <f>IFERROR(__xludf.DUMMYFUNCTION("""COMPUTED_VALUE"""),"Barra do Quaraí")</f>
        <v>Barra do Quaraí</v>
      </c>
      <c r="Z1559" s="1">
        <f>IFERROR(__xludf.DUMMYFUNCTION("""COMPUTED_VALUE"""),97538000)</f>
        <v>97538000</v>
      </c>
      <c r="AA1559" s="1" t="str">
        <f>IFERROR(__xludf.DUMMYFUNCTION("""COMPUTED_VALUE"""),"BR 472")</f>
        <v>BR 472</v>
      </c>
      <c r="AB1559" s="1" t="str">
        <f>IFERROR(__xludf.DUMMYFUNCTION("""COMPUTED_VALUE"""),"CENTRO")</f>
        <v>CENTRO</v>
      </c>
      <c r="AC1559" s="1" t="str">
        <f>IFERROR(__xludf.DUMMYFUNCTION("""COMPUTED_VALUE"""),"M")</f>
        <v>M</v>
      </c>
      <c r="AD1559" s="1" t="str">
        <f>IFERROR(__xludf.DUMMYFUNCTION("""COMPUTED_VALUE"""),"M")</f>
        <v>M</v>
      </c>
      <c r="AE1559" s="1" t="str">
        <f>IFERROR(__xludf.DUMMYFUNCTION("""COMPUTED_VALUE"""),"M")</f>
        <v>M</v>
      </c>
      <c r="AF1559" s="1" t="str">
        <f>IFERROR(__xludf.DUMMYFUNCTION("""COMPUTED_VALUE"""),"G")</f>
        <v>G</v>
      </c>
      <c r="AG1559" s="1" t="str">
        <f>IFERROR(__xludf.DUMMYFUNCTION("""COMPUTED_VALUE"""),"M")</f>
        <v>M</v>
      </c>
      <c r="AH1559" s="1">
        <f>IFERROR(__xludf.DUMMYFUNCTION("""COMPUTED_VALUE"""),34)</f>
        <v>34</v>
      </c>
      <c r="AI1559" s="1">
        <f>IFERROR(__xludf.DUMMYFUNCTION("""COMPUTED_VALUE"""),34)</f>
        <v>34</v>
      </c>
      <c r="AJ1559" s="1">
        <f>IFERROR(__xludf.DUMMYFUNCTION("""COMPUTED_VALUE"""),34)</f>
        <v>34</v>
      </c>
      <c r="AK1559" s="1">
        <f>IFERROR(__xludf.DUMMYFUNCTION("""COMPUTED_VALUE"""),34)</f>
        <v>34</v>
      </c>
      <c r="AL1559" s="1" t="str">
        <f>IFERROR(__xludf.DUMMYFUNCTION("""COMPUTED_VALUE"""),"M")</f>
        <v>M</v>
      </c>
      <c r="AM1559" s="1" t="str">
        <f>IFERROR(__xludf.DUMMYFUNCTION("""COMPUTED_VALUE"""),"P")</f>
        <v>P</v>
      </c>
      <c r="AN1559" s="1" t="str">
        <f>IFERROR(__xludf.DUMMYFUNCTION("""COMPUTED_VALUE"""),"M")</f>
        <v>M</v>
      </c>
    </row>
    <row r="1560" customHeight="1" spans="1:40">
      <c r="A1560" s="1"/>
      <c r="B1560" s="1"/>
      <c r="C1560" s="119"/>
      <c r="D1560" s="1" t="str">
        <f>IFERROR(__xludf.DUMMYFUNCTION("""COMPUTED_VALUE"""),"WILLIAN MARTINS")</f>
        <v>WILLIAN MARTINS</v>
      </c>
      <c r="E1560" s="1" t="str">
        <f>IFERROR(__xludf.DUMMYFUNCTION("""COMPUTED_VALUE"""),"Módulo 1 concluído")</f>
        <v>Módulo 1 concluído</v>
      </c>
      <c r="F1560" s="119" t="str">
        <f>IFERROR(__xludf.DUMMYFUNCTION("""COMPUTED_VALUE"""),"015.972.630-10")</f>
        <v>015.972.630-10</v>
      </c>
      <c r="G1560" s="1"/>
      <c r="H1560" s="1"/>
      <c r="I1560" s="1"/>
      <c r="J1560" s="1"/>
      <c r="K1560" s="1"/>
      <c r="L1560" s="1"/>
      <c r="M1560" s="1"/>
      <c r="N1560" s="120"/>
      <c r="O1560" s="1"/>
      <c r="P1560" s="1"/>
      <c r="Q1560" s="1"/>
      <c r="R1560" s="1"/>
      <c r="S1560" s="1"/>
      <c r="T1560" s="1"/>
      <c r="U1560" s="1"/>
      <c r="V1560" s="1"/>
      <c r="W1560" s="1"/>
      <c r="X1560" s="1"/>
      <c r="Y1560" s="1"/>
      <c r="Z1560" s="1"/>
      <c r="AA1560" s="1"/>
      <c r="AB1560" s="1"/>
      <c r="AC1560" s="1"/>
      <c r="AD1560" s="1"/>
      <c r="AE1560" s="1"/>
      <c r="AF1560" s="1"/>
      <c r="AG1560" s="1"/>
      <c r="AH1560" s="1"/>
      <c r="AI1560" s="1"/>
      <c r="AJ1560" s="1"/>
      <c r="AK1560" s="1"/>
      <c r="AL1560" s="1"/>
      <c r="AM1560" s="1"/>
      <c r="AN1560" s="1"/>
    </row>
    <row r="1583" customHeight="1" spans="2:41">
      <c r="B1583" s="1" t="str">
        <f>Viaturas!A2</f>
        <v>Ajuricaba</v>
      </c>
      <c r="AO1583" s="1" t="str">
        <f>Viaturas!F2</f>
        <v>Mercedes</v>
      </c>
    </row>
    <row r="1584" customHeight="1" spans="2:41">
      <c r="B1584" s="1" t="str">
        <f>Viaturas!A3</f>
        <v>Arambaré</v>
      </c>
      <c r="AO1584" s="1" t="str">
        <f>Viaturas!F3</f>
        <v>VOLKSWAGEM 15.180</v>
      </c>
    </row>
    <row r="1585" customHeight="1" spans="2:41">
      <c r="B1585" s="1" t="str">
        <f>Viaturas!A4</f>
        <v>Arambaré</v>
      </c>
      <c r="AO1585" s="1" t="str">
        <f>Viaturas!F4</f>
        <v>SIENA FIRE</v>
      </c>
    </row>
    <row r="1586" customHeight="1" spans="2:41">
      <c r="B1586" s="1" t="str">
        <f>Viaturas!A5</f>
        <v>Araricá</v>
      </c>
      <c r="AO1586" s="1" t="str">
        <f>Viaturas!F5</f>
        <v>GM Astra</v>
      </c>
    </row>
    <row r="1587" customHeight="1" spans="2:41">
      <c r="B1587" s="1" t="str">
        <f>Viaturas!A6</f>
        <v>Araricá</v>
      </c>
      <c r="AO1587" s="1" t="str">
        <f>Viaturas!F6</f>
        <v>Mercedes Sprinter</v>
      </c>
    </row>
    <row r="1588" customHeight="1" spans="2:41">
      <c r="B1588" s="1" t="str">
        <f>Viaturas!A7</f>
        <v>Araricá</v>
      </c>
      <c r="AO1588" s="1" t="str">
        <f>Viaturas!F7</f>
        <v>Ford Cargo</v>
      </c>
    </row>
    <row r="1589" customHeight="1" spans="2:41">
      <c r="B1589" s="1" t="str">
        <f>Viaturas!A8</f>
        <v>Araricá</v>
      </c>
      <c r="AO1589" s="1" t="str">
        <f>Viaturas!F8</f>
        <v>Volkswagen Parati</v>
      </c>
    </row>
    <row r="1590" customHeight="1" spans="2:41">
      <c r="B1590" s="1" t="str">
        <f>Viaturas!A9</f>
        <v>Araricá</v>
      </c>
      <c r="AO1590" s="1" t="str">
        <f>Viaturas!F9</f>
        <v>Fiat Ducato</v>
      </c>
    </row>
    <row r="1591" customHeight="1" spans="2:41">
      <c r="B1591" s="1" t="str">
        <f>Viaturas!A10</f>
        <v>Aratiba</v>
      </c>
      <c r="AO1591" s="1" t="str">
        <f>Viaturas!F10</f>
        <v>AUTO BOMBA TANQUE 4500L MERCEDES LK 1314</v>
      </c>
    </row>
    <row r="1592" customHeight="1" spans="2:41">
      <c r="B1592" s="1" t="str">
        <f>Viaturas!A11</f>
        <v>Aratiba</v>
      </c>
      <c r="AO1592" s="1" t="str">
        <f>Viaturas!F11</f>
        <v>AMBULÂNCIA RESGATE FIAT DUCATO MULTI</v>
      </c>
    </row>
    <row r="1593" customHeight="1" spans="2:41">
      <c r="B1593" s="1" t="str">
        <f>Viaturas!A12</f>
        <v>Arroio do Meio</v>
      </c>
      <c r="AO1593" s="1">
        <f>Viaturas!F12</f>
        <v>0</v>
      </c>
    </row>
    <row r="1594" customHeight="1" spans="2:41">
      <c r="B1594" s="1" t="str">
        <f>Viaturas!A13</f>
        <v>Arroio do Sal</v>
      </c>
      <c r="AO1594" s="1" t="str">
        <f>Viaturas!F13</f>
        <v>M. BENZ/L1516</v>
      </c>
    </row>
    <row r="1595" customHeight="1" spans="2:41">
      <c r="B1595" s="1" t="str">
        <f>Viaturas!A14</f>
        <v>Arroio do Sal</v>
      </c>
      <c r="AO1595" s="1" t="str">
        <f>Viaturas!F14</f>
        <v>FIAT/SIENA FIRE</v>
      </c>
    </row>
    <row r="1596" customHeight="1" spans="2:41">
      <c r="B1596" s="1" t="str">
        <f>Viaturas!A15</f>
        <v>Arroio do Sal</v>
      </c>
      <c r="AO1596" s="1" t="str">
        <f>Viaturas!F15</f>
        <v>I/RENAULT CLIO AUT1016VH</v>
      </c>
    </row>
    <row r="1597" customHeight="1" spans="2:41">
      <c r="B1597" s="1" t="str">
        <f>Viaturas!A16</f>
        <v>Arroio do Sal</v>
      </c>
      <c r="AO1597" s="1" t="str">
        <f>Viaturas!F16</f>
        <v>VW/17.210 MOTOR MWM</v>
      </c>
    </row>
    <row r="1598" customHeight="1" spans="2:41">
      <c r="B1598" s="1" t="str">
        <f>Viaturas!A17</f>
        <v>Arroio Grande</v>
      </c>
      <c r="AO1598" s="1" t="str">
        <f>Viaturas!F17</f>
        <v>M.BENZ/L 1516</v>
      </c>
    </row>
    <row r="1599" customHeight="1" spans="2:41">
      <c r="B1599" s="1" t="str">
        <f>Viaturas!A18</f>
        <v>Arroio Grande</v>
      </c>
      <c r="AO1599" s="1" t="str">
        <f>Viaturas!F18</f>
        <v>Caminhão Mercedes, modelo 1113</v>
      </c>
    </row>
    <row r="1600" customHeight="1" spans="2:41">
      <c r="B1600" s="1" t="str">
        <f>Viaturas!A19</f>
        <v>Áurea</v>
      </c>
      <c r="AO1600" s="1">
        <f>Viaturas!F19</f>
        <v>0</v>
      </c>
    </row>
    <row r="1601" customHeight="1" spans="2:41">
      <c r="B1601" s="1" t="str">
        <f>Viaturas!A20</f>
        <v>Balneário Pinhal</v>
      </c>
      <c r="AO1601" s="1" t="str">
        <f>Viaturas!F20</f>
        <v>Auto Bomba Tanque (M.BENZ/L 1620)</v>
      </c>
    </row>
    <row r="1602" customHeight="1" spans="2:41">
      <c r="B1602" s="1" t="str">
        <f>Viaturas!A21</f>
        <v>Balneário Pinhal</v>
      </c>
      <c r="AO1602" s="1" t="str">
        <f>Viaturas!F21</f>
        <v>VOLKSWAGEN</v>
      </c>
    </row>
    <row r="1603" customHeight="1" spans="2:41">
      <c r="B1603" s="1" t="str">
        <f>Viaturas!A22</f>
        <v>Balneário Pinhal</v>
      </c>
      <c r="AO1603" s="1" t="str">
        <f>Viaturas!F22</f>
        <v>Auto Resgate (FIAT/DUCATO MC COMATRA)</v>
      </c>
    </row>
    <row r="1604" customHeight="1" spans="2:41">
      <c r="B1604" s="1" t="str">
        <f>Viaturas!A23</f>
        <v>Balneário Pinhal</v>
      </c>
      <c r="AO1604" s="1" t="str">
        <f>Viaturas!F23</f>
        <v>Auto Resgate (RENAULT/MASTER ALTECHAMB)</v>
      </c>
    </row>
    <row r="1605" customHeight="1" spans="2:41">
      <c r="B1605" s="1" t="str">
        <f>Viaturas!A24</f>
        <v>Balneário Pinhal</v>
      </c>
      <c r="AO1605" s="1" t="str">
        <f>Viaturas!F24</f>
        <v>Auto Transporte de Material (MERCEDEZ BENZ 1620 )</v>
      </c>
    </row>
    <row r="1606" customHeight="1" spans="2:41">
      <c r="B1606" s="1" t="str">
        <f>Viaturas!A25</f>
        <v>Balneário Pinhal</v>
      </c>
      <c r="AO1606" s="1" t="str">
        <f>Viaturas!F25</f>
        <v>Fiat Ducato Cargo Furgão de carga</v>
      </c>
    </row>
    <row r="1607" customHeight="1" spans="2:41">
      <c r="B1607" s="1" t="str">
        <f>Viaturas!A26</f>
        <v>Balneário Pinhal</v>
      </c>
      <c r="AO1607" s="1" t="str">
        <f>Viaturas!F26</f>
        <v>Reboque de Transporte de Material</v>
      </c>
    </row>
    <row r="1608" customHeight="1" spans="2:41">
      <c r="B1608" s="1" t="str">
        <f>Viaturas!A27</f>
        <v>Barão de Cotegipe</v>
      </c>
      <c r="AO1608" s="1" t="str">
        <f>Viaturas!F27</f>
        <v>M. BENS L 608D</v>
      </c>
    </row>
    <row r="1609" customHeight="1" spans="2:41">
      <c r="B1609" s="1" t="str">
        <f>Viaturas!A28</f>
        <v>Barão de Cotegipe</v>
      </c>
      <c r="AO1609" s="1" t="str">
        <f>Viaturas!F28</f>
        <v>ABT  01 capacidade 5000 litros completo VW/15.180</v>
      </c>
    </row>
    <row r="1610" customHeight="1" spans="2:41">
      <c r="B1610" s="1" t="str">
        <f>Viaturas!A29</f>
        <v>Barão de Cotegipe</v>
      </c>
      <c r="AO1610" s="1" t="str">
        <f>Viaturas!F29</f>
        <v>S10</v>
      </c>
    </row>
    <row r="1611" customHeight="1" spans="2:41">
      <c r="B1611" s="1" t="str">
        <f>Viaturas!A30</f>
        <v>Barros Cassal</v>
      </c>
      <c r="AO1611" s="1">
        <f>Viaturas!F30</f>
        <v>0</v>
      </c>
    </row>
    <row r="1612" customHeight="1" spans="2:41">
      <c r="B1612" s="1" t="str">
        <f>Viaturas!A31</f>
        <v>Cacequi</v>
      </c>
      <c r="AO1612" s="1" t="str">
        <f>Viaturas!F31</f>
        <v>Fiat Uno</v>
      </c>
    </row>
    <row r="1613" customHeight="1" spans="2:41">
      <c r="B1613" s="1" t="str">
        <f>Viaturas!A32</f>
        <v>Cacequi</v>
      </c>
      <c r="AO1613" s="1" t="str">
        <f>Viaturas!F32</f>
        <v>Mercedes Benz/L 1516</v>
      </c>
    </row>
    <row r="1614" customHeight="1" spans="2:41">
      <c r="B1614" s="1" t="str">
        <f>Viaturas!A33</f>
        <v>Cambará do Sul</v>
      </c>
      <c r="AO1614" s="1">
        <f>Viaturas!F33</f>
        <v>0</v>
      </c>
    </row>
    <row r="1615" customHeight="1" spans="2:41">
      <c r="B1615" s="1" t="str">
        <f>Viaturas!A34</f>
        <v>Campos Borges</v>
      </c>
      <c r="AO1615" s="1" t="str">
        <f>Viaturas!F34</f>
        <v>CAMINHÃO M. BENZ L 1518</v>
      </c>
    </row>
    <row r="1616" customHeight="1" spans="2:41">
      <c r="B1616" s="1" t="str">
        <f>Viaturas!A35</f>
        <v>Casca</v>
      </c>
      <c r="AO1616" s="1">
        <f>Viaturas!F35</f>
        <v>0</v>
      </c>
    </row>
    <row r="1617" customHeight="1" spans="2:41">
      <c r="B1617" s="1" t="str">
        <f>Viaturas!A36</f>
        <v>Cerro Largo</v>
      </c>
      <c r="AO1617" s="1" t="str">
        <f>Viaturas!F36</f>
        <v>PICK UP L200</v>
      </c>
    </row>
    <row r="1618" customHeight="1" spans="2:41">
      <c r="B1618" s="1" t="str">
        <f>Viaturas!A37</f>
        <v>Cerro Largo</v>
      </c>
      <c r="AO1618" s="1" t="str">
        <f>Viaturas!F37</f>
        <v>Caminhão Tanque M. Benz/L</v>
      </c>
    </row>
    <row r="1619" customHeight="1" spans="2:41">
      <c r="B1619" s="1" t="str">
        <f>Viaturas!A38</f>
        <v>Cerro Largo</v>
      </c>
      <c r="AO1619" s="1" t="str">
        <f>Viaturas!F38</f>
        <v>Veículo Leve Renault Logan</v>
      </c>
    </row>
    <row r="1620" customHeight="1" spans="2:41">
      <c r="B1620" s="1" t="str">
        <f>Viaturas!A39</f>
        <v>Chiapetta</v>
      </c>
      <c r="AO1620" s="1" t="str">
        <f>Viaturas!F39</f>
        <v>JBW8D81</v>
      </c>
    </row>
    <row r="1621" customHeight="1" spans="2:41">
      <c r="B1621" s="1" t="str">
        <f>Viaturas!A40</f>
        <v>Constantina</v>
      </c>
      <c r="AO1621" s="1">
        <f>Viaturas!F40</f>
        <v>0</v>
      </c>
    </row>
    <row r="1622" customHeight="1" spans="2:41">
      <c r="B1622" s="1" t="str">
        <f>Viaturas!A41</f>
        <v>Faxinalzinho</v>
      </c>
      <c r="AO1622" s="1" t="str">
        <f>Viaturas!F41</f>
        <v>Caminhão Tanque FORD/CARGO 1514</v>
      </c>
    </row>
    <row r="1623" customHeight="1" spans="2:41">
      <c r="B1623" s="1" t="str">
        <f>Viaturas!A42</f>
        <v>Feliz</v>
      </c>
      <c r="AO1623" s="1">
        <f>Viaturas!F42</f>
        <v>0</v>
      </c>
    </row>
    <row r="1624" customHeight="1" spans="2:41">
      <c r="B1624" s="1" t="str">
        <f>Viaturas!A43</f>
        <v>Gaurama</v>
      </c>
      <c r="AO1624" s="1" t="str">
        <f>Viaturas!F43</f>
        <v>Auto Bomba tanque 7000 lts Dodge D600</v>
      </c>
    </row>
    <row r="1625" customHeight="1" spans="2:41">
      <c r="B1625" s="1" t="str">
        <f>Viaturas!A44</f>
        <v>Gaurama</v>
      </c>
      <c r="AO1625" s="1" t="str">
        <f>Viaturas!F44</f>
        <v>Auto Bomba tanque 5000 lts MB 1316</v>
      </c>
    </row>
    <row r="1626" customHeight="1" spans="2:41">
      <c r="B1626" s="1" t="str">
        <f>Viaturas!A45</f>
        <v>Gaurama</v>
      </c>
      <c r="AO1626" s="1" t="str">
        <f>Viaturas!F45</f>
        <v>Veículo VAN Kia Besta</v>
      </c>
    </row>
    <row r="1627" customHeight="1" spans="2:41">
      <c r="B1627" s="1" t="str">
        <f>Viaturas!A46</f>
        <v>Gaurama</v>
      </c>
      <c r="AO1627" s="1" t="str">
        <f>Viaturas!F46</f>
        <v>Ambulancia Resgate MB Sprinter</v>
      </c>
    </row>
    <row r="1628" customHeight="1" spans="2:41">
      <c r="B1628" s="1" t="str">
        <f>Viaturas!A47</f>
        <v>Jacutinga</v>
      </c>
      <c r="AO1628" s="1" t="str">
        <f>Viaturas!F47</f>
        <v>Caminhão Tanque 2076 M. BENZ 1118</v>
      </c>
    </row>
    <row r="1629" customHeight="1" spans="2:41">
      <c r="B1629" s="1" t="str">
        <f>Viaturas!A48</f>
        <v>Jacutinga</v>
      </c>
      <c r="AO1629" s="1" t="str">
        <f>Viaturas!F48</f>
        <v>FIAT DUCATO</v>
      </c>
    </row>
    <row r="1630" customHeight="1" spans="2:41">
      <c r="B1630" s="1" t="str">
        <f>Viaturas!A49</f>
        <v>Jacutinga</v>
      </c>
      <c r="AO1630" s="1" t="str">
        <f>Viaturas!F49</f>
        <v>AMBULÂNCIA  Peugeot/Boxer</v>
      </c>
    </row>
    <row r="1631" customHeight="1" spans="2:41">
      <c r="B1631" s="1" t="str">
        <f>Viaturas!A50</f>
        <v>Jacutinga</v>
      </c>
      <c r="AO1631" s="1" t="str">
        <f>Viaturas!F50</f>
        <v>AMBULÂNCIA  VW Kombi</v>
      </c>
    </row>
    <row r="1632" customHeight="1" spans="2:41">
      <c r="B1632" s="1" t="str">
        <f>Viaturas!A51</f>
        <v>Maratá</v>
      </c>
      <c r="AO1632" s="1" t="str">
        <f>Viaturas!F51</f>
        <v>Volkswagem 4 mil litros</v>
      </c>
    </row>
    <row r="1633" customHeight="1" spans="2:41">
      <c r="B1633" s="1" t="str">
        <f>Viaturas!A52</f>
        <v>Maratá</v>
      </c>
      <c r="AO1633" s="1" t="str">
        <f>Viaturas!F52</f>
        <v>M.BENZ/L 1113</v>
      </c>
    </row>
    <row r="1634" customHeight="1" spans="2:41">
      <c r="B1634" s="1" t="str">
        <f>Viaturas!A53</f>
        <v>Maratá</v>
      </c>
      <c r="AO1634" s="1" t="str">
        <f>Viaturas!F53</f>
        <v>CAMIONETA GM</v>
      </c>
    </row>
    <row r="1635" customHeight="1" spans="2:41">
      <c r="B1635" s="1" t="str">
        <f>Viaturas!A54</f>
        <v>Maratá</v>
      </c>
      <c r="AO1635" s="1" t="str">
        <f>Viaturas!F54</f>
        <v>Mercedes</v>
      </c>
    </row>
    <row r="1636" customHeight="1" spans="2:41">
      <c r="B1636" s="1" t="str">
        <f>Viaturas!A55</f>
        <v>Montauri</v>
      </c>
      <c r="AO1636" s="1">
        <f>Viaturas!F55</f>
        <v>0</v>
      </c>
    </row>
    <row r="1637" customHeight="1" spans="2:41">
      <c r="B1637" s="1" t="str">
        <f>Viaturas!A56</f>
        <v>Muitos Capões</v>
      </c>
      <c r="AO1637" s="1">
        <f>Viaturas!F56</f>
        <v>0</v>
      </c>
    </row>
    <row r="1638" customHeight="1" spans="2:41">
      <c r="B1638" s="1" t="str">
        <f>Viaturas!A57</f>
        <v>Não-Me-Toque</v>
      </c>
      <c r="AO1638" s="1" t="str">
        <f>Viaturas!F57</f>
        <v>Auto Bomba tanque 8000 lts FORD/CARGO 1723</v>
      </c>
    </row>
    <row r="1639" customHeight="1" spans="2:41">
      <c r="B1639" s="1" t="str">
        <f>Viaturas!A58</f>
        <v>Quinze de Novembro</v>
      </c>
      <c r="AO1639" s="1" t="str">
        <f>Viaturas!F58</f>
        <v> IVECO Euro - Cargo 170E22</v>
      </c>
    </row>
    <row r="1640" customHeight="1" spans="2:41">
      <c r="B1640" s="1" t="str">
        <f>Viaturas!A59</f>
        <v>Salto do Jacuí</v>
      </c>
      <c r="AO1640" s="1" t="str">
        <f>Viaturas!F59</f>
        <v>Mercedes Bens 1516</v>
      </c>
    </row>
    <row r="1641" customHeight="1" spans="2:41">
      <c r="B1641" s="1" t="str">
        <f>Viaturas!A60</f>
        <v>Sananduva</v>
      </c>
      <c r="AO1641" s="1" t="str">
        <f>Viaturas!F60</f>
        <v>JBM2D32</v>
      </c>
    </row>
    <row r="1642" customHeight="1" spans="2:41">
      <c r="B1642" s="1" t="str">
        <f>Viaturas!A61</f>
        <v>Sananduva</v>
      </c>
      <c r="AO1642" s="1" t="str">
        <f>Viaturas!F61</f>
        <v>ABT Mercedes Atego 1725</v>
      </c>
    </row>
    <row r="1643" customHeight="1" spans="2:41">
      <c r="B1643" s="1" t="str">
        <f>Viaturas!A62</f>
        <v>Sananduva</v>
      </c>
      <c r="AO1643" s="1" t="str">
        <f>Viaturas!F62</f>
        <v>ABT Mercedes Atego 2528</v>
      </c>
    </row>
    <row r="1644" customHeight="1" spans="2:41">
      <c r="B1644" s="1" t="str">
        <f>Viaturas!A63</f>
        <v>Sananduva</v>
      </c>
      <c r="AO1644" s="1" t="str">
        <f>Viaturas!F63</f>
        <v>Camionete S10 resgate</v>
      </c>
    </row>
    <row r="1645" customHeight="1" spans="2:41">
      <c r="B1645" s="1" t="str">
        <f>Viaturas!A64</f>
        <v>Sananduva</v>
      </c>
      <c r="AO1645" s="1" t="str">
        <f>Viaturas!F64</f>
        <v>Ambulância Trafic</v>
      </c>
    </row>
    <row r="1646" customHeight="1" spans="2:41">
      <c r="B1646" s="1" t="str">
        <f>Viaturas!A65</f>
        <v>Sananduva</v>
      </c>
      <c r="AO1646" s="1" t="str">
        <f>Viaturas!F65</f>
        <v>Gol</v>
      </c>
    </row>
    <row r="1647" customHeight="1" spans="2:41">
      <c r="B1647" s="1" t="str">
        <f>Viaturas!A66</f>
        <v>Santa Bárbara do Sul</v>
      </c>
      <c r="AO1647" s="1">
        <f>Viaturas!F66</f>
        <v>0</v>
      </c>
    </row>
    <row r="1648" customHeight="1" spans="2:41">
      <c r="B1648" s="1" t="str">
        <f>Viaturas!A67</f>
        <v>Santo Augusto</v>
      </c>
      <c r="AO1648" s="1" t="str">
        <f>Viaturas!F67</f>
        <v>M. BENZ/L1516</v>
      </c>
    </row>
    <row r="1649" customHeight="1" spans="2:41">
      <c r="B1649" s="1" t="str">
        <f>Viaturas!A68</f>
        <v>Santo Cristo</v>
      </c>
      <c r="AO1649" s="1" t="str">
        <f>Viaturas!F68</f>
        <v>JBM0319</v>
      </c>
    </row>
    <row r="1650" customHeight="1" spans="2:41">
      <c r="B1650" s="1" t="str">
        <f>Viaturas!A69</f>
        <v>Santo Cristo</v>
      </c>
      <c r="AO1650" s="1" t="str">
        <f>Viaturas!F69</f>
        <v>M.BENS/L1113</v>
      </c>
    </row>
    <row r="1651" customHeight="1" spans="2:41">
      <c r="B1651" s="1" t="str">
        <f>Viaturas!A70</f>
        <v>Santo Cristo</v>
      </c>
      <c r="AO1651" s="1" t="str">
        <f>Viaturas!F70</f>
        <v>CHEVROLET/S10</v>
      </c>
    </row>
    <row r="1652" customHeight="1" spans="2:41">
      <c r="B1652" s="1" t="str">
        <f>Viaturas!A71</f>
        <v>Santo Cristo</v>
      </c>
      <c r="AO1652" s="1" t="str">
        <f>Viaturas!F71</f>
        <v>Caminhão Ford Cargo 1317 E</v>
      </c>
    </row>
    <row r="1653" customHeight="1" spans="2:41">
      <c r="B1653" s="1" t="str">
        <f>Viaturas!A72</f>
        <v>Santo Cristo</v>
      </c>
      <c r="AO1653" s="1" t="str">
        <f>Viaturas!F72</f>
        <v>F-1000 Ford SR Country</v>
      </c>
    </row>
    <row r="1654" customHeight="1" spans="2:41">
      <c r="B1654" s="1" t="str">
        <f>Viaturas!A73</f>
        <v>Santo Cristo</v>
      </c>
      <c r="AO1654" s="1" t="str">
        <f>Viaturas!F73</f>
        <v>Celta 1.0L LS</v>
      </c>
    </row>
    <row r="1655" customHeight="1" spans="2:41">
      <c r="B1655" s="1" t="str">
        <f>Viaturas!A74</f>
        <v>Santo Cristo</v>
      </c>
      <c r="AO1655" s="1" t="str">
        <f>Viaturas!F74</f>
        <v>GM S10 2.8 S</v>
      </c>
    </row>
    <row r="1656" customHeight="1" spans="2:41">
      <c r="B1656" s="1" t="str">
        <f>Viaturas!A75</f>
        <v>Santo Expedito do Sul</v>
      </c>
      <c r="AO1656" s="1" t="str">
        <f>Viaturas!F75</f>
        <v>VW KOMBI</v>
      </c>
    </row>
    <row r="1657" customHeight="1" spans="2:41">
      <c r="B1657" s="1" t="str">
        <f>Viaturas!A76</f>
        <v>Santo Expedito do Sul</v>
      </c>
      <c r="AO1657" s="1" t="str">
        <f>Viaturas!F76</f>
        <v>Celta</v>
      </c>
    </row>
    <row r="1658" customHeight="1" spans="2:41">
      <c r="B1658" s="1" t="str">
        <f>Viaturas!A77</f>
        <v>São João da Urtiga</v>
      </c>
      <c r="AO1658" s="1" t="str">
        <f>Viaturas!F77</f>
        <v>Mercedes Benz</v>
      </c>
    </row>
    <row r="1659" customHeight="1" spans="2:41">
      <c r="B1659" s="1" t="str">
        <f>Viaturas!A78</f>
        <v>São João da Urtiga</v>
      </c>
      <c r="AO1659" s="1" t="str">
        <f>Viaturas!F78</f>
        <v>Ambulância</v>
      </c>
    </row>
    <row r="1660" customHeight="1" spans="2:41">
      <c r="B1660" s="1" t="str">
        <f>Viaturas!A79</f>
        <v>São João da Urtiga</v>
      </c>
      <c r="AO1660" s="1" t="str">
        <f>Viaturas!F79</f>
        <v>Doblo</v>
      </c>
    </row>
    <row r="1661" customHeight="1" spans="2:41">
      <c r="B1661" s="1" t="str">
        <f>Viaturas!A80</f>
        <v>São João da Urtiga</v>
      </c>
      <c r="AO1661" s="1" t="str">
        <f>Viaturas!F80</f>
        <v>Doblo</v>
      </c>
    </row>
    <row r="1662" customHeight="1" spans="2:41">
      <c r="B1662" s="1" t="str">
        <f>Viaturas!A81</f>
        <v>São João da Urtiga</v>
      </c>
      <c r="AO1662" s="1" t="str">
        <f>Viaturas!F81</f>
        <v>Fiat Uno</v>
      </c>
    </row>
    <row r="1663" customHeight="1" spans="2:41">
      <c r="B1663" s="1" t="str">
        <f>Viaturas!A82</f>
        <v>São Martinho da Serra</v>
      </c>
      <c r="AO1663" s="1" t="str">
        <f>Viaturas!F82</f>
        <v>ABT VW 8-150</v>
      </c>
    </row>
    <row r="1664" customHeight="1" spans="2:41">
      <c r="B1664" s="1" t="str">
        <f>Viaturas!A83</f>
        <v>Serafina Corrêa</v>
      </c>
      <c r="AO1664" s="1" t="str">
        <f>Viaturas!F83</f>
        <v>IVECO 160E21</v>
      </c>
    </row>
    <row r="1665" customHeight="1" spans="2:41">
      <c r="B1665" s="1" t="str">
        <f>Viaturas!A84</f>
        <v>Serafina Corrêa</v>
      </c>
      <c r="AO1665" s="1" t="str">
        <f>Viaturas!F84</f>
        <v>MERCEDES 1114</v>
      </c>
    </row>
    <row r="1666" customHeight="1" spans="2:41">
      <c r="B1666" s="1" t="str">
        <f>Viaturas!A85</f>
        <v>Serafina Corrêa</v>
      </c>
      <c r="AO1666" s="1" t="str">
        <f>Viaturas!F85</f>
        <v>FIAT DUCATO MULTI</v>
      </c>
    </row>
    <row r="1667" customHeight="1" spans="2:41">
      <c r="B1667" s="1" t="str">
        <f>Viaturas!A86</f>
        <v>Serafina Corrêa</v>
      </c>
      <c r="AO1667" s="1" t="str">
        <f>Viaturas!F86</f>
        <v>RENAULT MASTER</v>
      </c>
    </row>
    <row r="1668" customHeight="1" spans="2:41">
      <c r="B1668" s="1" t="str">
        <f>Viaturas!A87</f>
        <v>Serafina Corrêa</v>
      </c>
      <c r="AO1668" s="1" t="str">
        <f>Viaturas!F87</f>
        <v>PALIO WEEKEND</v>
      </c>
    </row>
    <row r="1669" customHeight="1" spans="2:41">
      <c r="B1669" s="1" t="str">
        <f>Viaturas!A88</f>
        <v>Serafina Corrêa</v>
      </c>
      <c r="AO1669" s="1" t="str">
        <f>Viaturas!F88</f>
        <v>FIAT DOBLO</v>
      </c>
    </row>
    <row r="1670" customHeight="1" spans="2:41">
      <c r="B1670" s="1" t="str">
        <f>Viaturas!A89</f>
        <v>Viadutos</v>
      </c>
      <c r="AO1670" s="1" t="str">
        <f>Viaturas!F89</f>
        <v>M.BENZ</v>
      </c>
    </row>
    <row r="1671" customHeight="1" spans="2:41">
      <c r="B1671" s="1" t="str">
        <f>Viaturas!A90</f>
        <v>Viadutos</v>
      </c>
      <c r="AO1671" s="1" t="str">
        <f>Viaturas!F90</f>
        <v>Furgão Kangoo</v>
      </c>
    </row>
    <row r="1672" customHeight="1" spans="2:41">
      <c r="B1672" s="1">
        <f>Viaturas!A91</f>
        <v>0</v>
      </c>
      <c r="AO1672" s="1">
        <f>Viaturas!F91</f>
        <v>0</v>
      </c>
    </row>
    <row r="1673" customHeight="1" spans="2:41">
      <c r="B1673" s="1">
        <f>Viaturas!A92</f>
        <v>0</v>
      </c>
      <c r="AO1673" s="1">
        <f>Viaturas!F92</f>
        <v>0</v>
      </c>
    </row>
    <row r="1674" customHeight="1" spans="2:41">
      <c r="B1674" s="1">
        <f>Viaturas!A93</f>
        <v>0</v>
      </c>
      <c r="AO1674" s="1">
        <f>Viaturas!F93</f>
        <v>0</v>
      </c>
    </row>
    <row r="1675" customHeight="1" spans="2:41">
      <c r="B1675" s="1">
        <f>Viaturas!A94</f>
        <v>0</v>
      </c>
      <c r="AO1675" s="1">
        <f>Viaturas!F94</f>
        <v>0</v>
      </c>
    </row>
    <row r="1676" customHeight="1" spans="2:41">
      <c r="B1676" s="1">
        <f>Viaturas!A95</f>
        <v>0</v>
      </c>
      <c r="AO1676" s="1">
        <f>Viaturas!F95</f>
        <v>0</v>
      </c>
    </row>
    <row r="1677" customHeight="1" spans="2:41">
      <c r="B1677" s="1">
        <f>Viaturas!A96</f>
        <v>0</v>
      </c>
      <c r="AO1677" s="1">
        <f>Viaturas!F96</f>
        <v>0</v>
      </c>
    </row>
    <row r="1678" customHeight="1" spans="2:41">
      <c r="B1678" s="1">
        <f>Viaturas!A97</f>
        <v>0</v>
      </c>
      <c r="AO1678" s="1">
        <f>Viaturas!F97</f>
        <v>0</v>
      </c>
    </row>
    <row r="1679" customHeight="1" spans="2:41">
      <c r="B1679" s="1">
        <f>Viaturas!A98</f>
        <v>0</v>
      </c>
      <c r="AO1679" s="1">
        <f>Viaturas!F98</f>
        <v>0</v>
      </c>
    </row>
    <row r="1680" customHeight="1" spans="2:41">
      <c r="B1680" s="1">
        <f>Viaturas!A99</f>
        <v>0</v>
      </c>
      <c r="AO1680" s="1">
        <f>Viaturas!F99</f>
        <v>0</v>
      </c>
    </row>
    <row r="1681" customHeight="1" spans="2:41">
      <c r="B1681" s="1">
        <f>Viaturas!A100</f>
        <v>0</v>
      </c>
      <c r="AO1681" s="1">
        <f>Viaturas!F100</f>
        <v>0</v>
      </c>
    </row>
    <row r="1682" customHeight="1" spans="2:41">
      <c r="B1682" s="1">
        <f>Viaturas!A101</f>
        <v>0</v>
      </c>
      <c r="AO1682" s="1">
        <f>Viaturas!F101</f>
        <v>0</v>
      </c>
    </row>
    <row r="1683" customHeight="1" spans="2:41">
      <c r="B1683" s="1">
        <f>Viaturas!A102</f>
        <v>0</v>
      </c>
      <c r="AO1683" s="1">
        <f>Viaturas!F102</f>
        <v>0</v>
      </c>
    </row>
    <row r="1684" customHeight="1" spans="2:41">
      <c r="B1684" s="1">
        <f>Viaturas!A103</f>
        <v>0</v>
      </c>
      <c r="AO1684" s="1">
        <f>Viaturas!F103</f>
        <v>0</v>
      </c>
    </row>
    <row r="1685" customHeight="1" spans="2:41">
      <c r="B1685" s="1">
        <f>Viaturas!A104</f>
        <v>0</v>
      </c>
      <c r="AO1685" s="1">
        <f>Viaturas!F104</f>
        <v>0</v>
      </c>
    </row>
    <row r="1686" customHeight="1" spans="2:41">
      <c r="B1686" s="1">
        <f>Viaturas!A105</f>
        <v>0</v>
      </c>
      <c r="AO1686" s="1">
        <f>Viaturas!F105</f>
        <v>0</v>
      </c>
    </row>
    <row r="1687" customHeight="1" spans="2:41">
      <c r="B1687" s="1">
        <f>Viaturas!A106</f>
        <v>0</v>
      </c>
      <c r="AO1687" s="1">
        <f>Viaturas!F106</f>
        <v>0</v>
      </c>
    </row>
    <row r="1688" customHeight="1" spans="2:41">
      <c r="B1688" s="1">
        <f>Viaturas!A107</f>
        <v>0</v>
      </c>
      <c r="AO1688" s="1">
        <f>Viaturas!F107</f>
        <v>0</v>
      </c>
    </row>
    <row r="1689" customHeight="1" spans="2:41">
      <c r="B1689" s="1">
        <f>Viaturas!A108</f>
        <v>0</v>
      </c>
      <c r="AO1689" s="1">
        <f>Viaturas!F108</f>
        <v>0</v>
      </c>
    </row>
    <row r="1690" customHeight="1" spans="2:41">
      <c r="B1690" s="1">
        <f>Viaturas!A109</f>
        <v>0</v>
      </c>
      <c r="AO1690" s="1">
        <f>Viaturas!F109</f>
        <v>0</v>
      </c>
    </row>
    <row r="1691" customHeight="1" spans="2:41">
      <c r="B1691" s="1">
        <f>Viaturas!A110</f>
        <v>0</v>
      </c>
      <c r="AO1691" s="1">
        <f>Viaturas!F110</f>
        <v>0</v>
      </c>
    </row>
    <row r="1692" customHeight="1" spans="2:41">
      <c r="B1692" s="1">
        <f>Viaturas!A111</f>
        <v>0</v>
      </c>
      <c r="AO1692" s="1">
        <f>Viaturas!F111</f>
        <v>0</v>
      </c>
    </row>
    <row r="1693" customHeight="1" spans="2:41">
      <c r="B1693" s="1">
        <f>Viaturas!A112</f>
        <v>0</v>
      </c>
      <c r="AO1693" s="1">
        <f>Viaturas!F112</f>
        <v>0</v>
      </c>
    </row>
    <row r="1694" customHeight="1" spans="2:41">
      <c r="B1694" s="1">
        <f>Viaturas!A113</f>
        <v>0</v>
      </c>
      <c r="AO1694" s="1">
        <f>Viaturas!F113</f>
        <v>0</v>
      </c>
    </row>
    <row r="1695" customHeight="1" spans="2:41">
      <c r="B1695" s="1">
        <f>Viaturas!A114</f>
        <v>0</v>
      </c>
      <c r="AO1695" s="1">
        <f>Viaturas!F114</f>
        <v>0</v>
      </c>
    </row>
    <row r="1700" customHeight="1" spans="2:42">
      <c r="B1700" s="1" t="str">
        <f>Embarcações!A2</f>
        <v>Arroio Grande</v>
      </c>
      <c r="AP1700" s="1" t="str">
        <f>Embarcações!F2</f>
        <v>Barca Aluminio capacidade até 08 pessoas sem motor</v>
      </c>
    </row>
    <row r="1701" customHeight="1" spans="2:42">
      <c r="B1701" s="1" t="str">
        <f>Embarcações!A3</f>
        <v>Arroio do Sal</v>
      </c>
      <c r="AP1701" s="1" t="str">
        <f>Embarcações!F3</f>
        <v>BARCO DE ALUMINIO 5 LUGARES/SEM MOTOR</v>
      </c>
    </row>
    <row r="1702" customHeight="1" spans="2:42">
      <c r="B1702" s="1" t="str">
        <f>Embarcações!A4</f>
        <v>Balneário Pinhal</v>
      </c>
      <c r="AP1702" s="1" t="str">
        <f>Embarcações!F4</f>
        <v>Embarcação de Alumínio 4,2m motor de popa 15HP</v>
      </c>
    </row>
    <row r="1703" customHeight="1" spans="2:42">
      <c r="B1703" s="1" t="str">
        <f>Embarcações!A5</f>
        <v>Serafina Corrêa</v>
      </c>
      <c r="AP1703" s="1" t="str">
        <f>Embarcações!F5</f>
        <v>BARCO DE RESGATE AQT001 Aluminio SEMI CHATO 5,90M</v>
      </c>
    </row>
    <row r="1704" customHeight="1" spans="2:42">
      <c r="B1704" s="1" t="str">
        <f>Embarcações!A6</f>
        <v>Aratiba</v>
      </c>
      <c r="AP1704" s="1" t="str">
        <f>Embarcações!F6</f>
        <v>BARCO ALUMÍNIO 6M MERCURY 15HP</v>
      </c>
    </row>
    <row r="1705" customHeight="1" spans="2:42">
      <c r="B1705" s="1">
        <f>Embarcações!A7</f>
        <v>0</v>
      </c>
      <c r="AP1705" s="1">
        <f>Embarcações!F7</f>
        <v>0</v>
      </c>
    </row>
    <row r="1706" customHeight="1" spans="2:42">
      <c r="B1706" s="1">
        <f>Embarcações!A8</f>
        <v>0</v>
      </c>
      <c r="AP1706" s="1">
        <f>Embarcações!F8</f>
        <v>0</v>
      </c>
    </row>
    <row r="1707" customHeight="1" spans="2:42">
      <c r="B1707" s="1">
        <f>Embarcações!A9</f>
        <v>0</v>
      </c>
      <c r="AP1707" s="1">
        <f>Embarcações!F9</f>
        <v>0</v>
      </c>
    </row>
    <row r="1708" customHeight="1" spans="2:42">
      <c r="B1708" s="1">
        <f>Embarcações!A10</f>
        <v>0</v>
      </c>
      <c r="AP1708" s="1">
        <f>Embarcações!F10</f>
        <v>0</v>
      </c>
    </row>
    <row r="1709" customHeight="1" spans="2:42">
      <c r="B1709" s="1">
        <f>Embarcações!A11</f>
        <v>0</v>
      </c>
      <c r="AP1709" s="1">
        <f>Embarcações!F11</f>
        <v>0</v>
      </c>
    </row>
    <row r="1710" customHeight="1" spans="2:42">
      <c r="B1710" s="1">
        <f>Embarcações!A12</f>
        <v>0</v>
      </c>
      <c r="AP1710" s="1">
        <f>Embarcações!F12</f>
        <v>0</v>
      </c>
    </row>
    <row r="1711" customHeight="1" spans="2:42">
      <c r="B1711" s="1">
        <f>Embarcações!A13</f>
        <v>0</v>
      </c>
      <c r="AP1711" s="1">
        <f>Embarcações!F13</f>
        <v>0</v>
      </c>
    </row>
    <row r="1712" customHeight="1" spans="2:42">
      <c r="B1712" s="1">
        <f>Embarcações!A14</f>
        <v>0</v>
      </c>
      <c r="AP1712" s="1">
        <f>Embarcações!F14</f>
        <v>0</v>
      </c>
    </row>
    <row r="1713" customHeight="1" spans="2:42">
      <c r="B1713" s="1">
        <f>Embarcações!A15</f>
        <v>0</v>
      </c>
      <c r="AP1713" s="1">
        <f>Embarcações!F15</f>
        <v>0</v>
      </c>
    </row>
    <row r="1714" customHeight="1" spans="2:42">
      <c r="B1714" s="1">
        <f>Embarcações!A16</f>
        <v>0</v>
      </c>
      <c r="AP1714" s="1">
        <f>Embarcações!F16</f>
        <v>0</v>
      </c>
    </row>
    <row r="1715" customHeight="1" spans="2:42">
      <c r="B1715" s="1">
        <f>Embarcações!A17</f>
        <v>0</v>
      </c>
      <c r="AP1715" s="1">
        <f>Embarcações!F17</f>
        <v>0</v>
      </c>
    </row>
    <row r="1716" customHeight="1" spans="2:42">
      <c r="B1716" s="1">
        <f>Embarcações!A18</f>
        <v>0</v>
      </c>
      <c r="AP1716" s="1">
        <f>Embarcações!F18</f>
        <v>0</v>
      </c>
    </row>
    <row r="1717" customHeight="1" spans="2:42">
      <c r="B1717" s="1">
        <f>Embarcações!A19</f>
        <v>0</v>
      </c>
      <c r="AP1717" s="1">
        <f>Embarcações!F19</f>
        <v>0</v>
      </c>
    </row>
  </sheetData>
  <hyperlinks>
    <hyperlink ref="R22" r:id="rId1" display="=SEERRO(__xludf.DUMMYFUNCTION(&quot;&quot;&quot;COMPUTED_VALUE&quot;&quot;&quot;);&quot;totynho78@hotmail.com&quot;)"/>
    <hyperlink ref="R29" r:id="rId2" display="=SEERRO(__xludf.DUMMYFUNCTION(&quot;&quot;&quot;COMPUTED_VALUE&quot;&quot;&quot;);&quot;diegobombeiro@gmail.com&quot;)"/>
    <hyperlink ref="R31" r:id="rId3" display="=SEERRO(__xludf.DUMMYFUNCTION(&quot;&quot;&quot;COMPUTED_VALUE&quot;&quot;&quot;);&quot;dgoncalvesbc61@gmail.com&quot;)"/>
    <hyperlink ref="R46" r:id="rId4" display="=SEERRO(__xludf.DUMMYFUNCTION(&quot;&quot;&quot;COMPUTED_VALUE&quot;&quot;&quot;);&quot;emerson.schutt@gmail.com&quot;)"/>
    <hyperlink ref="R62" r:id="rId5" display="=SEERRO(__xludf.DUMMYFUNCTION(&quot;&quot;&quot;COMPUTED_VALUE&quot;&quot;&quot;);&quot;gr057083@gmail.com&quot;)"/>
    <hyperlink ref="R85" r:id="rId6" display="=SEERRO(__xludf.DUMMYFUNCTION(&quot;&quot;&quot;COMPUTED_VALUE&quot;&quot;&quot;);&quot;leonardoreusd@gmail.com&quot;)"/>
    <hyperlink ref="R91" r:id="rId7" display="=SEERRO(__xludf.DUMMYFUNCTION(&quot;&quot;&quot;COMPUTED_VALUE&quot;&quot;&quot;);&quot;felipe.azevedo.tk@gmail.com&quot;)"/>
    <hyperlink ref="R118" r:id="rId8" display="=SEERRO(__xludf.DUMMYFUNCTION(&quot;&quot;&quot;COMPUTED_VALUE&quot;&quot;&quot;);&quot;sergiosclh@gmail.com&quot;)"/>
    <hyperlink ref="R124" r:id="rId9" display="=SEERRO(__xludf.DUMMYFUNCTION(&quot;&quot;&quot;COMPUTED_VALUE&quot;&quot;&quot;);&quot;uilrobson193@gmail.com&quot;)"/>
    <hyperlink ref="R130" r:id="rId10" display="=SEERRO(__xludf.DUMMYFUNCTION(&quot;&quot;&quot;COMPUTED_VALUE&quot;&quot;&quot;);&quot;valmirbombeiro46@gmail.com&quot;)"/>
    <hyperlink ref="R136" r:id="rId11" display="=SEERRO(__xludf.DUMMYFUNCTION(&quot;&quot;&quot;COMPUTED_VALUE&quot;&quot;&quot;);&quot;william_natanael23@yahoo.com.br&quot;)"/>
    <hyperlink ref="R291" r:id="rId12" display="=SEERRO(__xludf.DUMMYFUNCTION(&quot;&quot;&quot;COMPUTED_VALUE&quot;&quot;&quot;);&quot;dieniferoliveira194@gmail.com&quot;)"/>
    <hyperlink ref="R294" r:id="rId13" display="=SEERRO(__xludf.DUMMYFUNCTION(&quot;&quot;&quot;COMPUTED_VALUE&quot;&quot;&quot;);&quot;douglas.pinter@hotmail.com&quot;)"/>
    <hyperlink ref="R299" r:id="rId14" display="=SEERRO(__xludf.DUMMYFUNCTION(&quot;&quot;&quot;COMPUTED_VALUE&quot;&quot;&quot;);&quot;elenisecabral@hotmail.com&quot;)"/>
    <hyperlink ref="R300" r:id="rId15" display="=SEERRO(__xludf.DUMMYFUNCTION(&quot;&quot;&quot;COMPUTED_VALUE&quot;&quot;&quot;);&quot;elonirro@gmail.com&quot;)"/>
    <hyperlink ref="R312" r:id="rId16" display="=SEERRO(__xludf.DUMMYFUNCTION(&quot;&quot;&quot;COMPUTED_VALUE&quot;&quot;&quot;);&quot;fernandorubeiro1987@gmail.com&quot;)"/>
    <hyperlink ref="R330" r:id="rId17" display="=SEERRO(__xludf.DUMMYFUNCTION(&quot;&quot;&quot;COMPUTED_VALUE&quot;&quot;&quot;);&quot;jefersoncosta802@gmail.com&quot;)"/>
    <hyperlink ref="R350" r:id="rId18" display="=SEERRO(__xludf.DUMMYFUNCTION(&quot;&quot;&quot;COMPUTED_VALUE&quot;&quot;&quot;);&quot;maypetry18@gmail.com&quot;)"/>
    <hyperlink ref="R352" r:id="rId19" display="=SEERRO(__xludf.DUMMYFUNCTION(&quot;&quot;&quot;COMPUTED_VALUE&quot;&quot;&quot;);&quot;marielimelo2019@gmail.com&quot;)"/>
    <hyperlink ref="R370" r:id="rId20" display="=SEERRO(__xludf.DUMMYFUNCTION(&quot;&quot;&quot;COMPUTED_VALUE&quot;&quot;&quot;);&quot;rdn.cst@gmail.com&quot;)"/>
    <hyperlink ref="R371" r:id="rId21" display="=SEERRO(__xludf.DUMMYFUNCTION(&quot;&quot;&quot;COMPUTED_VALUE&quot;&quot;&quot;);&quot;sindovalpereira1976@gmail.com&quot;)"/>
    <hyperlink ref="R372" r:id="rId22" display="=SEERRO(__xludf.DUMMYFUNCTION(&quot;&quot;&quot;COMPUTED_VALUE&quot;&quot;&quot;);&quot;sirlanegodinho29@hotmail.com&quot;)"/>
    <hyperlink ref="R382" r:id="rId23" display="=SEERRO(__xludf.DUMMYFUNCTION(&quot;&quot;&quot;COMPUTED_VALUE&quot;&quot;&quot;);&quot;aguinaldothomas762@gmail.com&quot;)"/>
    <hyperlink ref="R890" r:id="rId24" display="=SEERRO(__xludf.DUMMYFUNCTION(&quot;&quot;&quot;COMPUTED_VALUE&quot;&quot;&quot;);&quot;brunnobrasil6@gmail.com&quot;)"/>
    <hyperlink ref="R900" r:id="rId25" display="=SEERRO(__xludf.DUMMYFUNCTION(&quot;&quot;&quot;COMPUTED_VALUE&quot;&quot;&quot;);&quot;felipecarneiro193@gmail.com&quot;)"/>
    <hyperlink ref="R901" r:id="rId26" display="=SEERRO(__xludf.DUMMYFUNCTION(&quot;&quot;&quot;COMPUTED_VALUE&quot;&quot;&quot;);&quot;giancarlogreiner388@gmail.com&quot;)"/>
    <hyperlink ref="R911" r:id="rId27" display="=SEERRO(__xludf.DUMMYFUNCTION(&quot;&quot;&quot;COMPUTED_VALUE&quot;&quot;&quot;);&quot;gabriel.escouto59@gmail.com&quot;)"/>
    <hyperlink ref="R918" r:id="rId28" display="=SEERRO(__xludf.DUMMYFUNCTION(&quot;&quot;&quot;COMPUTED_VALUE&quot;&quot;&quot;);&quot;robsonordoqui@gmail.com&quot;)"/>
    <hyperlink ref="R923" r:id="rId29" display="=SEERRO(__xludf.DUMMYFUNCTION(&quot;&quot;&quot;COMPUTED_VALUE&quot;&quot;&quot;);&quot;roger_malta@hotmail.com&quot;)"/>
    <hyperlink ref="R926" r:id="rId30" display="=SEERRO(__xludf.DUMMYFUNCTION(&quot;&quot;&quot;COMPUTED_VALUE&quot;&quot;&quot;);&quot;nogueraian@gmail.com&quot;)"/>
    <hyperlink ref="R929" r:id="rId9" display="=SEERRO(__xludf.DUMMYFUNCTION(&quot;&quot;&quot;COMPUTED_VALUE&quot;&quot;&quot;);&quot;uilrobson193@gmail.com&quot;)"/>
    <hyperlink ref="R1065" r:id="rId31" display="=SEERRO(__xludf.DUMMYFUNCTION(&quot;&quot;&quot;COMPUTED_VALUE&quot;&quot;&quot;);&quot;evellyn-ndsmorais@educar.rs.gov.br&quot;)"/>
    <hyperlink ref="R1070" r:id="rId32" display="=SEERRO(__xludf.DUMMYFUNCTION(&quot;&quot;&quot;COMPUTED_VALUE&quot;&quot;&quot;);&quot;silva.giovane@hotmail.com&quot;)"/>
    <hyperlink ref="R1082" r:id="rId33" display="=SEERRO(__xludf.DUMMYFUNCTION(&quot;&quot;&quot;COMPUTED_VALUE&quot;&quot;&quot;);&quot;jucimarabarretopedroso819@gmail.com&quot;)"/>
    <hyperlink ref="R1085" r:id="rId34" display="=SEERRO(__xludf.DUMMYFUNCTION(&quot;&quot;&quot;COMPUTED_VALUE&quot;&quot;&quot;);&quot;leandrosilva2695@gmail.com&quot;)"/>
  </hyperlinks>
  <printOptions horizontalCentered="1" gridLines="1"/>
  <pageMargins left="0.7" right="0.7" top="0.75" bottom="0.75" header="0" footer="0"/>
  <pageSetup paperSize="9" fitToHeight="0" pageOrder="overThenDown" orientation="landscape" cellComments="atEnd"/>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39"/>
  <sheetViews>
    <sheetView workbookViewId="0">
      <pane ySplit="1" topLeftCell="A2" activePane="bottomLeft" state="frozen"/>
      <selection/>
      <selection pane="bottomLeft" activeCell="B3" sqref="B3"/>
    </sheetView>
  </sheetViews>
  <sheetFormatPr defaultColWidth="14.4380952380952" defaultRowHeight="15" customHeight="1"/>
  <cols>
    <col min="1" max="1" width="11.3333333333333" customWidth="1"/>
    <col min="2" max="2" width="14.3333333333333" customWidth="1"/>
    <col min="3" max="3" width="11.4380952380952" customWidth="1"/>
    <col min="4" max="4" width="36.552380952381" customWidth="1"/>
    <col min="5" max="5" width="30.1047619047619" customWidth="1"/>
    <col min="6" max="6" width="20.6666666666667" customWidth="1"/>
    <col min="7" max="7" width="11.6666666666667" customWidth="1"/>
    <col min="8" max="8" width="91.552380952381" customWidth="1"/>
    <col min="9" max="9" width="227.104761904762" customWidth="1"/>
    <col min="10" max="10" width="22.552380952381" customWidth="1"/>
    <col min="11" max="11" width="30.4380952380952" customWidth="1"/>
    <col min="12" max="12" width="16.1047619047619" customWidth="1"/>
    <col min="13" max="13" width="26.6666666666667" customWidth="1"/>
    <col min="14" max="14" width="30.8857142857143" customWidth="1"/>
    <col min="15" max="15" width="9.43809523809524" customWidth="1"/>
    <col min="16" max="16" width="7.88571428571429" customWidth="1"/>
    <col min="17" max="17" width="22.552380952381" customWidth="1"/>
    <col min="18" max="18" width="34.1047619047619" customWidth="1"/>
    <col min="19" max="19" width="13.6666666666667" customWidth="1"/>
    <col min="20" max="20" width="17.3333333333333" customWidth="1"/>
    <col min="21" max="21" width="32.8857142857143" customWidth="1"/>
    <col min="22" max="22" width="29.552380952381" customWidth="1"/>
    <col min="23" max="23" width="35.552380952381" customWidth="1"/>
    <col min="24" max="24" width="19" customWidth="1"/>
    <col min="25" max="25" width="17.4380952380952" customWidth="1"/>
    <col min="26" max="26" width="15.6666666666667" customWidth="1"/>
    <col min="27" max="27" width="36.3333333333333" customWidth="1"/>
    <col min="28" max="28" width="19.6666666666667" customWidth="1"/>
    <col min="29" max="29" width="37.552380952381" customWidth="1"/>
    <col min="30" max="30" width="37.4380952380952" customWidth="1"/>
    <col min="31" max="31" width="23.4380952380952" customWidth="1"/>
    <col min="32" max="32" width="25" customWidth="1"/>
    <col min="33" max="33" width="21.552380952381" customWidth="1"/>
    <col min="34" max="34" width="18.6666666666667" customWidth="1"/>
    <col min="35" max="35" width="24.6666666666667" customWidth="1"/>
    <col min="36" max="36" width="17.1047619047619" customWidth="1"/>
    <col min="37" max="37" width="19.552380952381" customWidth="1"/>
    <col min="38" max="38" width="32.4380952380952" customWidth="1"/>
    <col min="39" max="39" width="25.8857142857143" customWidth="1"/>
    <col min="40" max="40" width="20" customWidth="1"/>
  </cols>
  <sheetData>
    <row r="1" ht="25.5" spans="1:40">
      <c r="A1" s="2" t="s">
        <v>410</v>
      </c>
      <c r="B1" s="3" t="s">
        <v>898</v>
      </c>
      <c r="C1" s="69" t="s">
        <v>899</v>
      </c>
      <c r="D1" s="3" t="s">
        <v>900</v>
      </c>
      <c r="E1" s="5" t="s">
        <v>901</v>
      </c>
      <c r="F1" s="3" t="s">
        <v>902</v>
      </c>
      <c r="G1" s="3" t="s">
        <v>1</v>
      </c>
      <c r="H1" s="3" t="s">
        <v>903</v>
      </c>
      <c r="I1" s="3" t="s">
        <v>904</v>
      </c>
      <c r="J1" s="81" t="s">
        <v>905</v>
      </c>
      <c r="K1" s="81" t="s">
        <v>906</v>
      </c>
      <c r="L1" s="82" t="s">
        <v>907</v>
      </c>
      <c r="M1" s="82" t="s">
        <v>908</v>
      </c>
      <c r="N1" s="82" t="s">
        <v>909</v>
      </c>
      <c r="O1" s="82" t="s">
        <v>910</v>
      </c>
      <c r="P1" s="82" t="s">
        <v>911</v>
      </c>
      <c r="Q1" s="82" t="s">
        <v>912</v>
      </c>
      <c r="R1" s="82" t="s">
        <v>913</v>
      </c>
      <c r="S1" s="82" t="s">
        <v>914</v>
      </c>
      <c r="T1" s="82" t="s">
        <v>915</v>
      </c>
      <c r="U1" s="82" t="s">
        <v>916</v>
      </c>
      <c r="V1" s="82" t="s">
        <v>917</v>
      </c>
      <c r="W1" s="82" t="s">
        <v>918</v>
      </c>
      <c r="X1" s="82" t="s">
        <v>919</v>
      </c>
      <c r="Y1" s="82" t="s">
        <v>920</v>
      </c>
      <c r="Z1" s="82" t="s">
        <v>921</v>
      </c>
      <c r="AA1" s="82" t="s">
        <v>922</v>
      </c>
      <c r="AB1" s="82" t="s">
        <v>923</v>
      </c>
      <c r="AC1" s="82" t="s">
        <v>924</v>
      </c>
      <c r="AD1" s="82" t="s">
        <v>925</v>
      </c>
      <c r="AE1" s="82" t="s">
        <v>926</v>
      </c>
      <c r="AF1" s="82" t="s">
        <v>927</v>
      </c>
      <c r="AG1" s="82" t="s">
        <v>928</v>
      </c>
      <c r="AH1" s="82" t="s">
        <v>929</v>
      </c>
      <c r="AI1" s="82" t="s">
        <v>930</v>
      </c>
      <c r="AJ1" s="82" t="s">
        <v>931</v>
      </c>
      <c r="AK1" s="82" t="s">
        <v>932</v>
      </c>
      <c r="AL1" s="82" t="s">
        <v>933</v>
      </c>
      <c r="AM1" s="82" t="s">
        <v>934</v>
      </c>
      <c r="AN1" s="82" t="s">
        <v>935</v>
      </c>
    </row>
    <row r="2" spans="1:40">
      <c r="A2" s="6" t="s">
        <v>936</v>
      </c>
      <c r="B2" s="46" t="s">
        <v>624</v>
      </c>
      <c r="C2" s="4" t="s">
        <v>937</v>
      </c>
      <c r="D2" s="9" t="s">
        <v>144</v>
      </c>
      <c r="E2" s="29" t="s">
        <v>491</v>
      </c>
      <c r="F2" s="6" t="s">
        <v>938</v>
      </c>
      <c r="G2" s="6" t="s">
        <v>145</v>
      </c>
      <c r="H2" s="47" t="s">
        <v>939</v>
      </c>
      <c r="I2" s="47" t="s">
        <v>940</v>
      </c>
      <c r="J2" s="7" t="s">
        <v>941</v>
      </c>
      <c r="K2" s="7" t="s">
        <v>942</v>
      </c>
      <c r="L2" s="7" t="s">
        <v>943</v>
      </c>
      <c r="M2" s="7" t="s">
        <v>944</v>
      </c>
      <c r="N2" s="51">
        <v>28309</v>
      </c>
      <c r="O2" s="7" t="s">
        <v>945</v>
      </c>
      <c r="P2" s="7" t="s">
        <v>946</v>
      </c>
      <c r="Q2" s="7" t="s">
        <v>947</v>
      </c>
      <c r="R2" s="7" t="s">
        <v>948</v>
      </c>
      <c r="S2" s="7" t="s">
        <v>949</v>
      </c>
      <c r="T2" s="7" t="s">
        <v>950</v>
      </c>
      <c r="U2" s="7"/>
      <c r="V2" s="7" t="s">
        <v>951</v>
      </c>
      <c r="W2" s="7" t="s">
        <v>952</v>
      </c>
      <c r="X2" s="7" t="s">
        <v>953</v>
      </c>
      <c r="Y2" s="7" t="s">
        <v>624</v>
      </c>
      <c r="Z2" s="7" t="s">
        <v>954</v>
      </c>
      <c r="AA2" s="7" t="s">
        <v>955</v>
      </c>
      <c r="AB2" s="7" t="s">
        <v>956</v>
      </c>
      <c r="AC2" s="7" t="s">
        <v>406</v>
      </c>
      <c r="AD2" s="7" t="s">
        <v>406</v>
      </c>
      <c r="AE2" s="7" t="s">
        <v>406</v>
      </c>
      <c r="AF2" s="7" t="s">
        <v>406</v>
      </c>
      <c r="AG2" s="7" t="s">
        <v>406</v>
      </c>
      <c r="AH2" s="59">
        <v>41</v>
      </c>
      <c r="AI2" s="59">
        <v>41</v>
      </c>
      <c r="AJ2" s="59">
        <v>35</v>
      </c>
      <c r="AK2" s="59">
        <v>41</v>
      </c>
      <c r="AL2" s="7" t="s">
        <v>406</v>
      </c>
      <c r="AM2" s="7" t="s">
        <v>406</v>
      </c>
      <c r="AN2" s="7" t="s">
        <v>406</v>
      </c>
    </row>
    <row r="3" spans="1:40">
      <c r="A3" s="6" t="s">
        <v>936</v>
      </c>
      <c r="B3" s="46" t="s">
        <v>506</v>
      </c>
      <c r="C3" s="4" t="s">
        <v>957</v>
      </c>
      <c r="D3" s="9" t="s">
        <v>958</v>
      </c>
      <c r="E3" s="29" t="s">
        <v>490</v>
      </c>
      <c r="F3" s="29" t="s">
        <v>959</v>
      </c>
      <c r="G3" s="6">
        <v>5117135185</v>
      </c>
      <c r="H3" s="7" t="s">
        <v>960</v>
      </c>
      <c r="I3" s="47" t="s">
        <v>961</v>
      </c>
      <c r="J3" s="7" t="s">
        <v>941</v>
      </c>
      <c r="K3" s="7" t="s">
        <v>942</v>
      </c>
      <c r="L3" s="7" t="s">
        <v>943</v>
      </c>
      <c r="M3" s="7" t="s">
        <v>962</v>
      </c>
      <c r="N3" s="55">
        <v>35777</v>
      </c>
      <c r="O3" s="7" t="s">
        <v>945</v>
      </c>
      <c r="P3" s="7" t="s">
        <v>946</v>
      </c>
      <c r="Q3" s="7" t="s">
        <v>963</v>
      </c>
      <c r="R3" s="7" t="s">
        <v>964</v>
      </c>
      <c r="S3" s="59">
        <v>80</v>
      </c>
      <c r="T3" s="7" t="s">
        <v>965</v>
      </c>
      <c r="U3" s="7"/>
      <c r="V3" s="7">
        <v>51995651175</v>
      </c>
      <c r="W3" s="7">
        <v>51995651175</v>
      </c>
      <c r="X3" s="7" t="s">
        <v>953</v>
      </c>
      <c r="Y3" s="7" t="s">
        <v>966</v>
      </c>
      <c r="Z3" s="7" t="s">
        <v>967</v>
      </c>
      <c r="AA3" s="7" t="s">
        <v>968</v>
      </c>
      <c r="AB3" s="7" t="s">
        <v>969</v>
      </c>
      <c r="AC3" s="7" t="s">
        <v>406</v>
      </c>
      <c r="AD3" s="7" t="s">
        <v>406</v>
      </c>
      <c r="AE3" s="7" t="s">
        <v>406</v>
      </c>
      <c r="AF3" s="7" t="s">
        <v>406</v>
      </c>
      <c r="AG3" s="7" t="s">
        <v>396</v>
      </c>
      <c r="AH3" s="59">
        <v>42</v>
      </c>
      <c r="AI3" s="59">
        <v>42</v>
      </c>
      <c r="AJ3" s="59">
        <v>42</v>
      </c>
      <c r="AK3" s="59">
        <v>42</v>
      </c>
      <c r="AL3" s="7" t="s">
        <v>396</v>
      </c>
      <c r="AM3" s="7" t="s">
        <v>396</v>
      </c>
      <c r="AN3" s="7" t="s">
        <v>406</v>
      </c>
    </row>
    <row r="4" spans="1:40">
      <c r="A4" s="6" t="s">
        <v>936</v>
      </c>
      <c r="B4" s="46" t="s">
        <v>647</v>
      </c>
      <c r="C4" s="4" t="s">
        <v>937</v>
      </c>
      <c r="D4" s="9" t="s">
        <v>970</v>
      </c>
      <c r="E4" s="29" t="s">
        <v>971</v>
      </c>
      <c r="F4" s="6" t="s">
        <v>972</v>
      </c>
      <c r="G4" s="6">
        <v>1106707761</v>
      </c>
      <c r="H4" s="7" t="s">
        <v>973</v>
      </c>
      <c r="I4" s="47" t="s">
        <v>974</v>
      </c>
      <c r="J4" s="7" t="s">
        <v>942</v>
      </c>
      <c r="K4" s="7" t="s">
        <v>941</v>
      </c>
      <c r="L4" s="7" t="s">
        <v>975</v>
      </c>
      <c r="M4" s="7" t="s">
        <v>976</v>
      </c>
      <c r="N4" s="51">
        <v>33434</v>
      </c>
      <c r="O4" s="7" t="s">
        <v>945</v>
      </c>
      <c r="P4" s="7" t="s">
        <v>946</v>
      </c>
      <c r="Q4" s="7" t="s">
        <v>963</v>
      </c>
      <c r="R4" s="7" t="s">
        <v>977</v>
      </c>
      <c r="S4" s="59">
        <v>96</v>
      </c>
      <c r="T4" s="7" t="s">
        <v>965</v>
      </c>
      <c r="U4" s="7"/>
      <c r="V4" s="7" t="s">
        <v>978</v>
      </c>
      <c r="W4" s="7"/>
      <c r="X4" s="7" t="s">
        <v>953</v>
      </c>
      <c r="Y4" s="7" t="s">
        <v>647</v>
      </c>
      <c r="Z4" s="7" t="s">
        <v>979</v>
      </c>
      <c r="AA4" s="7" t="s">
        <v>980</v>
      </c>
      <c r="AB4" s="7" t="s">
        <v>981</v>
      </c>
      <c r="AC4" s="7" t="s">
        <v>406</v>
      </c>
      <c r="AD4" s="7" t="s">
        <v>398</v>
      </c>
      <c r="AE4" s="7" t="s">
        <v>406</v>
      </c>
      <c r="AF4" s="7" t="s">
        <v>398</v>
      </c>
      <c r="AG4" s="7" t="s">
        <v>398</v>
      </c>
      <c r="AH4" s="59">
        <v>42</v>
      </c>
      <c r="AI4" s="59">
        <v>42</v>
      </c>
      <c r="AJ4" s="59">
        <v>42</v>
      </c>
      <c r="AK4" s="59">
        <v>43</v>
      </c>
      <c r="AL4" s="7" t="s">
        <v>398</v>
      </c>
      <c r="AM4" s="7" t="s">
        <v>398</v>
      </c>
      <c r="AN4" s="7" t="s">
        <v>406</v>
      </c>
    </row>
    <row r="5" spans="1:40">
      <c r="A5" s="7"/>
      <c r="B5" s="47"/>
      <c r="C5" s="8"/>
      <c r="D5" s="9" t="s">
        <v>147</v>
      </c>
      <c r="E5" s="29" t="s">
        <v>491</v>
      </c>
      <c r="F5" s="6" t="s">
        <v>982</v>
      </c>
      <c r="G5" s="7"/>
      <c r="H5" s="47"/>
      <c r="I5" s="47"/>
      <c r="J5" s="7"/>
      <c r="K5" s="7"/>
      <c r="L5" s="7"/>
      <c r="M5" s="7"/>
      <c r="N5" s="15"/>
      <c r="O5" s="7"/>
      <c r="P5" s="7"/>
      <c r="Q5" s="7"/>
      <c r="R5" s="7"/>
      <c r="S5" s="7"/>
      <c r="T5" s="7"/>
      <c r="U5" s="7"/>
      <c r="V5" s="7"/>
      <c r="W5" s="7"/>
      <c r="X5" s="7"/>
      <c r="Y5" s="7"/>
      <c r="Z5" s="7"/>
      <c r="AA5" s="7"/>
      <c r="AB5" s="7"/>
      <c r="AC5" s="7"/>
      <c r="AD5" s="7"/>
      <c r="AE5" s="7"/>
      <c r="AF5" s="7"/>
      <c r="AG5" s="7"/>
      <c r="AH5" s="7"/>
      <c r="AI5" s="7"/>
      <c r="AJ5" s="7"/>
      <c r="AK5" s="7"/>
      <c r="AL5" s="7"/>
      <c r="AM5" s="7"/>
      <c r="AN5" s="7"/>
    </row>
    <row r="6" spans="1:40">
      <c r="A6" s="6" t="s">
        <v>936</v>
      </c>
      <c r="B6" s="6" t="s">
        <v>659</v>
      </c>
      <c r="C6" s="4" t="s">
        <v>937</v>
      </c>
      <c r="D6" s="9" t="s">
        <v>983</v>
      </c>
      <c r="E6" s="29" t="s">
        <v>971</v>
      </c>
      <c r="F6" s="6" t="s">
        <v>984</v>
      </c>
      <c r="G6" s="6">
        <v>1085322525</v>
      </c>
      <c r="H6" s="7" t="s">
        <v>985</v>
      </c>
      <c r="I6" s="7" t="s">
        <v>986</v>
      </c>
      <c r="J6" s="7" t="s">
        <v>941</v>
      </c>
      <c r="K6" s="7" t="s">
        <v>941</v>
      </c>
      <c r="L6" s="7" t="s">
        <v>975</v>
      </c>
      <c r="M6" s="7" t="s">
        <v>987</v>
      </c>
      <c r="N6" s="51">
        <v>33184</v>
      </c>
      <c r="O6" s="7" t="s">
        <v>945</v>
      </c>
      <c r="P6" s="7" t="s">
        <v>946</v>
      </c>
      <c r="Q6" s="7" t="s">
        <v>963</v>
      </c>
      <c r="R6" s="7"/>
      <c r="S6" s="59">
        <v>81</v>
      </c>
      <c r="T6" s="7" t="s">
        <v>965</v>
      </c>
      <c r="U6" s="7"/>
      <c r="V6" s="59">
        <v>51995227886</v>
      </c>
      <c r="W6" s="59">
        <v>51996149193</v>
      </c>
      <c r="X6" s="7" t="s">
        <v>953</v>
      </c>
      <c r="Y6" s="7" t="s">
        <v>624</v>
      </c>
      <c r="Z6" s="7">
        <v>93900000</v>
      </c>
      <c r="AA6" s="7" t="s">
        <v>988</v>
      </c>
      <c r="AB6" s="7" t="s">
        <v>989</v>
      </c>
      <c r="AC6" s="7" t="s">
        <v>406</v>
      </c>
      <c r="AD6" s="7" t="s">
        <v>406</v>
      </c>
      <c r="AE6" s="7" t="s">
        <v>398</v>
      </c>
      <c r="AF6" s="7" t="s">
        <v>406</v>
      </c>
      <c r="AG6" s="7" t="s">
        <v>406</v>
      </c>
      <c r="AH6" s="59">
        <v>41</v>
      </c>
      <c r="AI6" s="59">
        <v>41</v>
      </c>
      <c r="AJ6" s="59">
        <v>41</v>
      </c>
      <c r="AK6" s="59">
        <v>41</v>
      </c>
      <c r="AL6" s="7" t="s">
        <v>406</v>
      </c>
      <c r="AM6" s="7" t="s">
        <v>406</v>
      </c>
      <c r="AN6" s="7" t="s">
        <v>406</v>
      </c>
    </row>
    <row r="7" spans="1:40">
      <c r="A7" s="6" t="s">
        <v>936</v>
      </c>
      <c r="B7" s="6" t="s">
        <v>506</v>
      </c>
      <c r="C7" s="4" t="s">
        <v>957</v>
      </c>
      <c r="D7" s="9" t="s">
        <v>990</v>
      </c>
      <c r="E7" s="29" t="s">
        <v>490</v>
      </c>
      <c r="F7" s="6" t="s">
        <v>991</v>
      </c>
      <c r="G7" s="6">
        <v>1116126366</v>
      </c>
      <c r="H7" s="7" t="s">
        <v>985</v>
      </c>
      <c r="I7" s="7" t="s">
        <v>992</v>
      </c>
      <c r="J7" s="7" t="s">
        <v>941</v>
      </c>
      <c r="K7" s="7" t="s">
        <v>942</v>
      </c>
      <c r="L7" s="7" t="s">
        <v>943</v>
      </c>
      <c r="M7" s="7" t="s">
        <v>993</v>
      </c>
      <c r="N7" s="51">
        <v>37279</v>
      </c>
      <c r="O7" s="7" t="s">
        <v>945</v>
      </c>
      <c r="P7" s="7" t="s">
        <v>946</v>
      </c>
      <c r="Q7" s="7" t="s">
        <v>947</v>
      </c>
      <c r="R7" s="7" t="s">
        <v>994</v>
      </c>
      <c r="S7" s="59">
        <v>88</v>
      </c>
      <c r="T7" s="7" t="s">
        <v>965</v>
      </c>
      <c r="U7" s="7"/>
      <c r="V7" s="7">
        <v>51996521054</v>
      </c>
      <c r="W7" s="7">
        <v>51996521054</v>
      </c>
      <c r="X7" s="7" t="s">
        <v>953</v>
      </c>
      <c r="Y7" s="7" t="s">
        <v>508</v>
      </c>
      <c r="Z7" s="59">
        <v>93822082</v>
      </c>
      <c r="AA7" s="7" t="s">
        <v>995</v>
      </c>
      <c r="AB7" s="7" t="s">
        <v>996</v>
      </c>
      <c r="AC7" s="7" t="s">
        <v>398</v>
      </c>
      <c r="AD7" s="7" t="s">
        <v>398</v>
      </c>
      <c r="AE7" s="7" t="s">
        <v>398</v>
      </c>
      <c r="AF7" s="7" t="s">
        <v>398</v>
      </c>
      <c r="AG7" s="7" t="s">
        <v>398</v>
      </c>
      <c r="AH7" s="59">
        <v>42</v>
      </c>
      <c r="AI7" s="59">
        <v>42</v>
      </c>
      <c r="AJ7" s="59">
        <v>42</v>
      </c>
      <c r="AK7" s="59">
        <v>42</v>
      </c>
      <c r="AL7" s="7" t="s">
        <v>398</v>
      </c>
      <c r="AM7" s="7" t="s">
        <v>406</v>
      </c>
      <c r="AN7" s="7" t="s">
        <v>406</v>
      </c>
    </row>
    <row r="8" spans="1:40">
      <c r="A8" s="6" t="s">
        <v>936</v>
      </c>
      <c r="B8" s="6" t="s">
        <v>506</v>
      </c>
      <c r="C8" s="4" t="s">
        <v>957</v>
      </c>
      <c r="D8" s="9" t="s">
        <v>997</v>
      </c>
      <c r="E8" s="29" t="s">
        <v>971</v>
      </c>
      <c r="F8" s="6" t="s">
        <v>998</v>
      </c>
      <c r="G8" s="6">
        <v>4100796871</v>
      </c>
      <c r="H8" s="7" t="s">
        <v>999</v>
      </c>
      <c r="I8" s="47" t="s">
        <v>1000</v>
      </c>
      <c r="J8" s="7" t="s">
        <v>942</v>
      </c>
      <c r="K8" s="7" t="s">
        <v>942</v>
      </c>
      <c r="L8" s="7" t="s">
        <v>943</v>
      </c>
      <c r="M8" s="7" t="s">
        <v>1001</v>
      </c>
      <c r="N8" s="51">
        <v>35002</v>
      </c>
      <c r="O8" s="7" t="s">
        <v>945</v>
      </c>
      <c r="P8" s="7" t="s">
        <v>946</v>
      </c>
      <c r="Q8" s="7" t="s">
        <v>963</v>
      </c>
      <c r="R8" s="7" t="s">
        <v>1002</v>
      </c>
      <c r="S8" s="59">
        <v>78</v>
      </c>
      <c r="T8" s="7" t="s">
        <v>965</v>
      </c>
      <c r="U8" s="7"/>
      <c r="V8" s="7">
        <v>51999290047</v>
      </c>
      <c r="W8" s="7">
        <v>51999290047</v>
      </c>
      <c r="X8" s="7" t="s">
        <v>1003</v>
      </c>
      <c r="Y8" s="7" t="s">
        <v>508</v>
      </c>
      <c r="Z8" s="59">
        <v>93821062</v>
      </c>
      <c r="AA8" s="7" t="s">
        <v>1004</v>
      </c>
      <c r="AB8" s="7" t="s">
        <v>1005</v>
      </c>
      <c r="AC8" s="7" t="s">
        <v>406</v>
      </c>
      <c r="AD8" s="7" t="s">
        <v>406</v>
      </c>
      <c r="AE8" s="7" t="s">
        <v>406</v>
      </c>
      <c r="AF8" s="7" t="s">
        <v>406</v>
      </c>
      <c r="AG8" s="7" t="s">
        <v>406</v>
      </c>
      <c r="AH8" s="59">
        <v>41</v>
      </c>
      <c r="AI8" s="59">
        <v>41</v>
      </c>
      <c r="AJ8" s="59">
        <v>41</v>
      </c>
      <c r="AK8" s="59">
        <v>41</v>
      </c>
      <c r="AL8" s="7" t="s">
        <v>406</v>
      </c>
      <c r="AM8" s="7" t="s">
        <v>406</v>
      </c>
      <c r="AN8" s="7" t="s">
        <v>406</v>
      </c>
    </row>
    <row r="9" spans="1:40">
      <c r="A9" s="6" t="s">
        <v>936</v>
      </c>
      <c r="B9" s="46" t="s">
        <v>506</v>
      </c>
      <c r="C9" s="4" t="s">
        <v>957</v>
      </c>
      <c r="D9" s="9" t="s">
        <v>1006</v>
      </c>
      <c r="E9" s="29" t="s">
        <v>490</v>
      </c>
      <c r="F9" s="6" t="s">
        <v>1007</v>
      </c>
      <c r="G9" s="6">
        <v>1104030075</v>
      </c>
      <c r="H9" s="7" t="s">
        <v>960</v>
      </c>
      <c r="I9" s="47" t="s">
        <v>1008</v>
      </c>
      <c r="J9" s="7" t="s">
        <v>941</v>
      </c>
      <c r="K9" s="7" t="s">
        <v>942</v>
      </c>
      <c r="L9" s="7" t="s">
        <v>975</v>
      </c>
      <c r="M9" s="7" t="s">
        <v>1009</v>
      </c>
      <c r="N9" s="55">
        <v>34619</v>
      </c>
      <c r="O9" s="7" t="s">
        <v>945</v>
      </c>
      <c r="P9" s="7" t="s">
        <v>946</v>
      </c>
      <c r="Q9" s="7" t="s">
        <v>963</v>
      </c>
      <c r="R9" s="7" t="s">
        <v>1010</v>
      </c>
      <c r="S9" s="59">
        <v>102</v>
      </c>
      <c r="T9" s="7" t="s">
        <v>1011</v>
      </c>
      <c r="U9" s="7"/>
      <c r="V9" s="7">
        <v>51997039784</v>
      </c>
      <c r="W9" s="7">
        <v>51997039784</v>
      </c>
      <c r="X9" s="7" t="s">
        <v>953</v>
      </c>
      <c r="Y9" s="7" t="s">
        <v>506</v>
      </c>
      <c r="Z9" s="7" t="s">
        <v>1012</v>
      </c>
      <c r="AA9" s="7" t="s">
        <v>1013</v>
      </c>
      <c r="AB9" s="7" t="s">
        <v>1014</v>
      </c>
      <c r="AC9" s="7" t="s">
        <v>398</v>
      </c>
      <c r="AD9" s="7" t="s">
        <v>398</v>
      </c>
      <c r="AE9" s="7" t="s">
        <v>398</v>
      </c>
      <c r="AF9" s="7" t="s">
        <v>398</v>
      </c>
      <c r="AG9" s="7" t="s">
        <v>398</v>
      </c>
      <c r="AH9" s="59">
        <v>43</v>
      </c>
      <c r="AI9" s="59">
        <v>43</v>
      </c>
      <c r="AJ9" s="59">
        <v>43</v>
      </c>
      <c r="AK9" s="59">
        <v>43</v>
      </c>
      <c r="AL9" s="7" t="s">
        <v>398</v>
      </c>
      <c r="AM9" s="7" t="s">
        <v>398</v>
      </c>
      <c r="AN9" s="7" t="s">
        <v>398</v>
      </c>
    </row>
    <row r="10" spans="1:40">
      <c r="A10" s="6" t="s">
        <v>936</v>
      </c>
      <c r="B10" s="6" t="s">
        <v>647</v>
      </c>
      <c r="C10" s="4" t="s">
        <v>937</v>
      </c>
      <c r="D10" s="9" t="s">
        <v>1015</v>
      </c>
      <c r="E10" s="29" t="s">
        <v>971</v>
      </c>
      <c r="F10" s="6" t="s">
        <v>1016</v>
      </c>
      <c r="G10" s="6">
        <v>7069071591</v>
      </c>
      <c r="H10" s="7" t="s">
        <v>985</v>
      </c>
      <c r="I10" s="7" t="s">
        <v>986</v>
      </c>
      <c r="J10" s="7" t="s">
        <v>941</v>
      </c>
      <c r="K10" s="7" t="s">
        <v>941</v>
      </c>
      <c r="L10" s="7" t="s">
        <v>975</v>
      </c>
      <c r="M10" s="7" t="s">
        <v>1017</v>
      </c>
      <c r="N10" s="51">
        <v>29629</v>
      </c>
      <c r="O10" s="7" t="s">
        <v>945</v>
      </c>
      <c r="P10" s="7" t="s">
        <v>946</v>
      </c>
      <c r="Q10" s="7" t="s">
        <v>963</v>
      </c>
      <c r="R10" s="7" t="s">
        <v>1018</v>
      </c>
      <c r="S10" s="59">
        <v>80</v>
      </c>
      <c r="T10" s="7" t="s">
        <v>965</v>
      </c>
      <c r="U10" s="7"/>
      <c r="V10" s="47" t="s">
        <v>1019</v>
      </c>
      <c r="W10" s="7"/>
      <c r="X10" s="7" t="s">
        <v>953</v>
      </c>
      <c r="Y10" s="7" t="s">
        <v>647</v>
      </c>
      <c r="Z10" s="7" t="s">
        <v>979</v>
      </c>
      <c r="AA10" s="7" t="s">
        <v>1020</v>
      </c>
      <c r="AB10" s="7" t="s">
        <v>1021</v>
      </c>
      <c r="AC10" s="7" t="s">
        <v>406</v>
      </c>
      <c r="AD10" s="7" t="s">
        <v>406</v>
      </c>
      <c r="AE10" s="7" t="s">
        <v>406</v>
      </c>
      <c r="AF10" s="7" t="s">
        <v>406</v>
      </c>
      <c r="AG10" s="7" t="s">
        <v>406</v>
      </c>
      <c r="AH10" s="59">
        <v>40</v>
      </c>
      <c r="AI10" s="59">
        <v>40</v>
      </c>
      <c r="AJ10" s="59">
        <v>40</v>
      </c>
      <c r="AK10" s="59">
        <v>40</v>
      </c>
      <c r="AL10" s="7" t="s">
        <v>406</v>
      </c>
      <c r="AM10" s="7" t="s">
        <v>406</v>
      </c>
      <c r="AN10" s="7" t="s">
        <v>406</v>
      </c>
    </row>
    <row r="11" spans="1:40">
      <c r="A11" s="6" t="s">
        <v>936</v>
      </c>
      <c r="B11" s="46" t="s">
        <v>506</v>
      </c>
      <c r="C11" s="4" t="s">
        <v>957</v>
      </c>
      <c r="D11" s="9" t="s">
        <v>1022</v>
      </c>
      <c r="E11" s="29" t="s">
        <v>492</v>
      </c>
      <c r="F11" s="29" t="s">
        <v>1023</v>
      </c>
      <c r="G11" s="6">
        <v>5095092531</v>
      </c>
      <c r="H11" s="7" t="s">
        <v>1024</v>
      </c>
      <c r="I11" s="47" t="s">
        <v>1025</v>
      </c>
      <c r="J11" s="7" t="s">
        <v>941</v>
      </c>
      <c r="K11" s="7" t="s">
        <v>942</v>
      </c>
      <c r="L11" s="7" t="s">
        <v>1026</v>
      </c>
      <c r="M11" s="7" t="s">
        <v>1027</v>
      </c>
      <c r="N11" s="51">
        <v>31841</v>
      </c>
      <c r="O11" s="7" t="s">
        <v>1028</v>
      </c>
      <c r="P11" s="7" t="s">
        <v>946</v>
      </c>
      <c r="Q11" s="7" t="s">
        <v>963</v>
      </c>
      <c r="R11" s="7" t="s">
        <v>1029</v>
      </c>
      <c r="S11" s="59">
        <v>83</v>
      </c>
      <c r="T11" s="7" t="s">
        <v>1030</v>
      </c>
      <c r="U11" s="7"/>
      <c r="V11" s="7">
        <v>51999221037</v>
      </c>
      <c r="W11" s="7">
        <v>51999221037</v>
      </c>
      <c r="X11" s="7" t="s">
        <v>953</v>
      </c>
      <c r="Y11" s="7" t="s">
        <v>508</v>
      </c>
      <c r="Z11" s="7"/>
      <c r="AA11" s="7" t="s">
        <v>1031</v>
      </c>
      <c r="AB11" s="7" t="s">
        <v>1032</v>
      </c>
      <c r="AC11" s="7" t="s">
        <v>406</v>
      </c>
      <c r="AD11" s="7" t="s">
        <v>406</v>
      </c>
      <c r="AE11" s="7" t="s">
        <v>406</v>
      </c>
      <c r="AF11" s="7" t="s">
        <v>406</v>
      </c>
      <c r="AG11" s="7" t="s">
        <v>406</v>
      </c>
      <c r="AH11" s="59">
        <v>37</v>
      </c>
      <c r="AI11" s="59">
        <v>37</v>
      </c>
      <c r="AJ11" s="59">
        <v>37</v>
      </c>
      <c r="AK11" s="59">
        <v>37</v>
      </c>
      <c r="AL11" s="7" t="s">
        <v>406</v>
      </c>
      <c r="AM11" s="7" t="s">
        <v>406</v>
      </c>
      <c r="AN11" s="7" t="s">
        <v>406</v>
      </c>
    </row>
    <row r="12" spans="1:40">
      <c r="A12" s="6" t="s">
        <v>936</v>
      </c>
      <c r="B12" s="47"/>
      <c r="C12" s="8"/>
      <c r="D12" s="9" t="s">
        <v>150</v>
      </c>
      <c r="E12" s="29" t="s">
        <v>491</v>
      </c>
      <c r="F12" s="6" t="s">
        <v>1033</v>
      </c>
      <c r="G12" s="7"/>
      <c r="H12" s="47"/>
      <c r="I12" s="47"/>
      <c r="J12" s="7"/>
      <c r="K12" s="7"/>
      <c r="L12" s="7"/>
      <c r="M12" s="7"/>
      <c r="N12" s="15"/>
      <c r="O12" s="7"/>
      <c r="P12" s="7"/>
      <c r="Q12" s="7"/>
      <c r="R12" s="7"/>
      <c r="S12" s="7"/>
      <c r="T12" s="7"/>
      <c r="U12" s="7"/>
      <c r="V12" s="7"/>
      <c r="W12" s="7"/>
      <c r="X12" s="7"/>
      <c r="Y12" s="7"/>
      <c r="Z12" s="7"/>
      <c r="AA12" s="7"/>
      <c r="AB12" s="7"/>
      <c r="AC12" s="7"/>
      <c r="AD12" s="7"/>
      <c r="AE12" s="7"/>
      <c r="AF12" s="7"/>
      <c r="AG12" s="7"/>
      <c r="AH12" s="7"/>
      <c r="AI12" s="7"/>
      <c r="AJ12" s="7"/>
      <c r="AK12" s="7"/>
      <c r="AL12" s="7"/>
      <c r="AM12" s="7"/>
      <c r="AN12" s="7"/>
    </row>
    <row r="13" spans="1:40">
      <c r="A13" s="7" t="s">
        <v>1034</v>
      </c>
      <c r="B13" s="7" t="s">
        <v>1035</v>
      </c>
      <c r="C13" s="78" t="s">
        <v>937</v>
      </c>
      <c r="D13" s="9" t="s">
        <v>1036</v>
      </c>
      <c r="E13" s="29" t="s">
        <v>971</v>
      </c>
      <c r="F13" s="6" t="s">
        <v>1037</v>
      </c>
      <c r="G13" s="7">
        <v>9106040646</v>
      </c>
      <c r="H13" s="7" t="s">
        <v>1038</v>
      </c>
      <c r="I13" s="7" t="s">
        <v>1039</v>
      </c>
      <c r="J13" s="7" t="s">
        <v>942</v>
      </c>
      <c r="K13" s="7" t="s">
        <v>941</v>
      </c>
      <c r="L13" s="7" t="s">
        <v>943</v>
      </c>
      <c r="M13" s="7" t="s">
        <v>1040</v>
      </c>
      <c r="N13" s="15">
        <v>38041</v>
      </c>
      <c r="O13" s="7" t="s">
        <v>1028</v>
      </c>
      <c r="P13" s="7" t="s">
        <v>1041</v>
      </c>
      <c r="Q13" s="7" t="s">
        <v>963</v>
      </c>
      <c r="R13" s="7" t="s">
        <v>1042</v>
      </c>
      <c r="S13" s="7" t="s">
        <v>1043</v>
      </c>
      <c r="T13" s="7" t="s">
        <v>1044</v>
      </c>
      <c r="U13" s="7"/>
      <c r="V13" s="7" t="s">
        <v>1045</v>
      </c>
      <c r="W13" s="7" t="s">
        <v>1046</v>
      </c>
      <c r="X13" s="7" t="s">
        <v>953</v>
      </c>
      <c r="Y13" s="7" t="s">
        <v>966</v>
      </c>
      <c r="Z13" s="7" t="s">
        <v>1047</v>
      </c>
      <c r="AA13" s="7" t="s">
        <v>1048</v>
      </c>
      <c r="AB13" s="7" t="s">
        <v>1049</v>
      </c>
      <c r="AC13" s="7" t="s">
        <v>395</v>
      </c>
      <c r="AD13" s="7" t="s">
        <v>395</v>
      </c>
      <c r="AE13" s="7" t="s">
        <v>395</v>
      </c>
      <c r="AF13" s="7" t="s">
        <v>395</v>
      </c>
      <c r="AG13" s="7" t="s">
        <v>395</v>
      </c>
      <c r="AH13" s="7">
        <v>37</v>
      </c>
      <c r="AI13" s="7">
        <v>37</v>
      </c>
      <c r="AJ13" s="7">
        <v>37</v>
      </c>
      <c r="AK13" s="7">
        <v>37</v>
      </c>
      <c r="AL13" s="7" t="s">
        <v>395</v>
      </c>
      <c r="AM13" s="7" t="s">
        <v>395</v>
      </c>
      <c r="AN13" s="7" t="s">
        <v>395</v>
      </c>
    </row>
    <row r="14" spans="1:40">
      <c r="A14" s="6" t="s">
        <v>936</v>
      </c>
      <c r="B14" s="46" t="s">
        <v>506</v>
      </c>
      <c r="C14" s="4" t="s">
        <v>957</v>
      </c>
      <c r="D14" s="9" t="s">
        <v>1050</v>
      </c>
      <c r="E14" s="29" t="s">
        <v>490</v>
      </c>
      <c r="F14" s="6" t="s">
        <v>1051</v>
      </c>
      <c r="G14" s="6">
        <v>4120931086</v>
      </c>
      <c r="H14" s="7" t="s">
        <v>1024</v>
      </c>
      <c r="I14" s="47" t="s">
        <v>1052</v>
      </c>
      <c r="J14" s="7" t="s">
        <v>941</v>
      </c>
      <c r="K14" s="7" t="s">
        <v>942</v>
      </c>
      <c r="L14" s="7" t="s">
        <v>943</v>
      </c>
      <c r="M14" s="7" t="s">
        <v>1053</v>
      </c>
      <c r="N14" s="51">
        <v>36246</v>
      </c>
      <c r="O14" s="7" t="s">
        <v>1028</v>
      </c>
      <c r="P14" s="7" t="s">
        <v>946</v>
      </c>
      <c r="Q14" s="7" t="s">
        <v>1054</v>
      </c>
      <c r="R14" s="36" t="s">
        <v>1055</v>
      </c>
      <c r="S14" s="59">
        <v>61</v>
      </c>
      <c r="T14" s="7" t="s">
        <v>1044</v>
      </c>
      <c r="U14" s="7"/>
      <c r="V14" s="7">
        <v>51997090396</v>
      </c>
      <c r="W14" s="7">
        <v>51997090396</v>
      </c>
      <c r="X14" s="7" t="s">
        <v>953</v>
      </c>
      <c r="Y14" s="7" t="s">
        <v>966</v>
      </c>
      <c r="Z14" s="59">
        <v>93544370</v>
      </c>
      <c r="AA14" s="7" t="s">
        <v>1056</v>
      </c>
      <c r="AB14" s="7" t="s">
        <v>1057</v>
      </c>
      <c r="AC14" s="7" t="s">
        <v>396</v>
      </c>
      <c r="AD14" s="7" t="s">
        <v>396</v>
      </c>
      <c r="AE14" s="7" t="s">
        <v>396</v>
      </c>
      <c r="AF14" s="7" t="s">
        <v>396</v>
      </c>
      <c r="AG14" s="7" t="s">
        <v>396</v>
      </c>
      <c r="AH14" s="59">
        <v>37</v>
      </c>
      <c r="AI14" s="59">
        <v>37</v>
      </c>
      <c r="AJ14" s="59">
        <v>37</v>
      </c>
      <c r="AK14" s="59">
        <v>37</v>
      </c>
      <c r="AL14" s="7" t="s">
        <v>396</v>
      </c>
      <c r="AM14" s="7" t="s">
        <v>395</v>
      </c>
      <c r="AN14" s="7" t="s">
        <v>396</v>
      </c>
    </row>
    <row r="15" spans="1:40">
      <c r="A15" s="6" t="s">
        <v>936</v>
      </c>
      <c r="B15" s="6" t="s">
        <v>624</v>
      </c>
      <c r="C15" s="4" t="s">
        <v>937</v>
      </c>
      <c r="D15" s="9" t="s">
        <v>1058</v>
      </c>
      <c r="E15" s="29" t="s">
        <v>971</v>
      </c>
      <c r="F15" s="6" t="s">
        <v>1059</v>
      </c>
      <c r="G15" s="6">
        <v>7068533764</v>
      </c>
      <c r="H15" s="7" t="s">
        <v>985</v>
      </c>
      <c r="I15" s="7" t="s">
        <v>940</v>
      </c>
      <c r="J15" s="7" t="s">
        <v>941</v>
      </c>
      <c r="K15" s="7" t="s">
        <v>941</v>
      </c>
      <c r="L15" s="7"/>
      <c r="M15" s="7" t="s">
        <v>1060</v>
      </c>
      <c r="N15" s="51">
        <v>27638</v>
      </c>
      <c r="O15" s="7" t="s">
        <v>945</v>
      </c>
      <c r="P15" s="7" t="s">
        <v>946</v>
      </c>
      <c r="Q15" s="7" t="s">
        <v>963</v>
      </c>
      <c r="R15" s="7" t="s">
        <v>1061</v>
      </c>
      <c r="S15" s="7" t="s">
        <v>1062</v>
      </c>
      <c r="T15" s="7" t="s">
        <v>1030</v>
      </c>
      <c r="U15" s="7">
        <v>5135633163</v>
      </c>
      <c r="V15" s="7" t="s">
        <v>1063</v>
      </c>
      <c r="W15" s="7"/>
      <c r="X15" s="7" t="s">
        <v>953</v>
      </c>
      <c r="Y15" s="7" t="s">
        <v>624</v>
      </c>
      <c r="Z15" s="7" t="s">
        <v>954</v>
      </c>
      <c r="AA15" s="7" t="s">
        <v>1064</v>
      </c>
      <c r="AB15" s="7" t="s">
        <v>956</v>
      </c>
      <c r="AC15" s="7" t="s">
        <v>396</v>
      </c>
      <c r="AD15" s="7" t="s">
        <v>396</v>
      </c>
      <c r="AE15" s="7" t="s">
        <v>396</v>
      </c>
      <c r="AF15" s="7" t="s">
        <v>396</v>
      </c>
      <c r="AG15" s="7" t="s">
        <v>396</v>
      </c>
      <c r="AH15" s="59">
        <v>42</v>
      </c>
      <c r="AI15" s="59">
        <v>42</v>
      </c>
      <c r="AJ15" s="59">
        <v>42</v>
      </c>
      <c r="AK15" s="59">
        <v>42</v>
      </c>
      <c r="AL15" s="7" t="s">
        <v>396</v>
      </c>
      <c r="AM15" s="7" t="s">
        <v>396</v>
      </c>
      <c r="AN15" s="7" t="s">
        <v>396</v>
      </c>
    </row>
    <row r="16" spans="1:40">
      <c r="A16" s="6" t="s">
        <v>936</v>
      </c>
      <c r="B16" s="6" t="s">
        <v>659</v>
      </c>
      <c r="C16" s="4" t="s">
        <v>937</v>
      </c>
      <c r="D16" s="9" t="s">
        <v>1065</v>
      </c>
      <c r="E16" s="29" t="s">
        <v>971</v>
      </c>
      <c r="F16" s="6" t="s">
        <v>1066</v>
      </c>
      <c r="G16" s="6">
        <v>4127531632</v>
      </c>
      <c r="H16" s="7" t="s">
        <v>985</v>
      </c>
      <c r="I16" s="7" t="s">
        <v>1067</v>
      </c>
      <c r="J16" s="7" t="s">
        <v>942</v>
      </c>
      <c r="K16" s="7" t="s">
        <v>941</v>
      </c>
      <c r="L16" s="7" t="s">
        <v>1068</v>
      </c>
      <c r="M16" s="7" t="s">
        <v>1069</v>
      </c>
      <c r="N16" s="15"/>
      <c r="O16" s="7" t="s">
        <v>945</v>
      </c>
      <c r="P16" s="7" t="s">
        <v>946</v>
      </c>
      <c r="Q16" s="7" t="s">
        <v>947</v>
      </c>
      <c r="R16" s="7" t="s">
        <v>1070</v>
      </c>
      <c r="S16" s="59">
        <v>78</v>
      </c>
      <c r="T16" s="7" t="s">
        <v>965</v>
      </c>
      <c r="U16" s="7"/>
      <c r="V16" s="7" t="s">
        <v>1071</v>
      </c>
      <c r="W16" s="7" t="s">
        <v>1072</v>
      </c>
      <c r="X16" s="7" t="s">
        <v>953</v>
      </c>
      <c r="Y16" s="7" t="s">
        <v>659</v>
      </c>
      <c r="Z16" s="7">
        <v>93610750</v>
      </c>
      <c r="AA16" s="7" t="s">
        <v>1073</v>
      </c>
      <c r="AB16" s="7" t="s">
        <v>1074</v>
      </c>
      <c r="AC16" s="7" t="s">
        <v>406</v>
      </c>
      <c r="AD16" s="7" t="s">
        <v>406</v>
      </c>
      <c r="AE16" s="7" t="s">
        <v>406</v>
      </c>
      <c r="AF16" s="7" t="s">
        <v>406</v>
      </c>
      <c r="AG16" s="7" t="s">
        <v>406</v>
      </c>
      <c r="AH16" s="59">
        <v>41</v>
      </c>
      <c r="AI16" s="59">
        <v>41</v>
      </c>
      <c r="AJ16" s="59">
        <v>41</v>
      </c>
      <c r="AK16" s="59">
        <v>41</v>
      </c>
      <c r="AL16" s="7" t="s">
        <v>406</v>
      </c>
      <c r="AM16" s="7" t="s">
        <v>406</v>
      </c>
      <c r="AN16" s="7" t="s">
        <v>406</v>
      </c>
    </row>
    <row r="17" spans="1:40">
      <c r="A17" s="6" t="s">
        <v>936</v>
      </c>
      <c r="B17" s="46" t="s">
        <v>1075</v>
      </c>
      <c r="C17" s="4" t="s">
        <v>937</v>
      </c>
      <c r="D17" s="9" t="s">
        <v>1076</v>
      </c>
      <c r="E17" s="29" t="s">
        <v>492</v>
      </c>
      <c r="F17" s="6" t="s">
        <v>1077</v>
      </c>
      <c r="G17" s="6">
        <v>1118712387</v>
      </c>
      <c r="H17" s="47" t="s">
        <v>1078</v>
      </c>
      <c r="I17" s="47" t="s">
        <v>1079</v>
      </c>
      <c r="J17" s="7" t="s">
        <v>941</v>
      </c>
      <c r="K17" s="7" t="s">
        <v>942</v>
      </c>
      <c r="L17" s="7" t="s">
        <v>1080</v>
      </c>
      <c r="M17" s="7" t="s">
        <v>1081</v>
      </c>
      <c r="N17" s="51">
        <v>38337</v>
      </c>
      <c r="O17" s="7" t="s">
        <v>1028</v>
      </c>
      <c r="P17" s="7" t="s">
        <v>946</v>
      </c>
      <c r="Q17" s="7" t="s">
        <v>963</v>
      </c>
      <c r="R17" s="7" t="s">
        <v>1082</v>
      </c>
      <c r="S17" s="59">
        <v>65</v>
      </c>
      <c r="T17" s="7" t="s">
        <v>1030</v>
      </c>
      <c r="U17" s="7"/>
      <c r="V17" s="7" t="s">
        <v>1083</v>
      </c>
      <c r="W17" s="7"/>
      <c r="X17" s="7" t="s">
        <v>953</v>
      </c>
      <c r="Y17" s="7" t="s">
        <v>624</v>
      </c>
      <c r="Z17" s="7" t="s">
        <v>1084</v>
      </c>
      <c r="AA17" s="7" t="s">
        <v>1085</v>
      </c>
      <c r="AB17" s="7" t="s">
        <v>1086</v>
      </c>
      <c r="AC17" s="7" t="s">
        <v>395</v>
      </c>
      <c r="AD17" s="7" t="s">
        <v>395</v>
      </c>
      <c r="AE17" s="7" t="s">
        <v>395</v>
      </c>
      <c r="AF17" s="7" t="s">
        <v>395</v>
      </c>
      <c r="AG17" s="7" t="s">
        <v>396</v>
      </c>
      <c r="AH17" s="59">
        <v>37</v>
      </c>
      <c r="AI17" s="59">
        <v>37</v>
      </c>
      <c r="AJ17" s="59">
        <v>37</v>
      </c>
      <c r="AK17" s="59">
        <v>37</v>
      </c>
      <c r="AL17" s="7" t="s">
        <v>396</v>
      </c>
      <c r="AM17" s="7" t="s">
        <v>396</v>
      </c>
      <c r="AN17" s="7" t="s">
        <v>396</v>
      </c>
    </row>
    <row r="18" spans="1:40">
      <c r="A18" s="6" t="s">
        <v>936</v>
      </c>
      <c r="B18" s="46"/>
      <c r="C18" s="4"/>
      <c r="D18" s="9" t="s">
        <v>153</v>
      </c>
      <c r="E18" s="29" t="s">
        <v>491</v>
      </c>
      <c r="F18" s="6" t="s">
        <v>1087</v>
      </c>
      <c r="G18" s="6"/>
      <c r="H18" s="47"/>
      <c r="I18" s="47"/>
      <c r="J18" s="7"/>
      <c r="K18" s="7"/>
      <c r="L18" s="7"/>
      <c r="M18" s="7"/>
      <c r="N18" s="55"/>
      <c r="O18" s="7"/>
      <c r="P18" s="7"/>
      <c r="Q18" s="7"/>
      <c r="R18" s="7"/>
      <c r="S18" s="7"/>
      <c r="T18" s="7"/>
      <c r="U18" s="7"/>
      <c r="V18" s="7"/>
      <c r="W18" s="7"/>
      <c r="X18" s="7"/>
      <c r="Y18" s="7"/>
      <c r="Z18" s="7"/>
      <c r="AA18" s="7"/>
      <c r="AB18" s="7"/>
      <c r="AC18" s="7"/>
      <c r="AD18" s="7"/>
      <c r="AE18" s="7"/>
      <c r="AF18" s="7"/>
      <c r="AG18" s="7"/>
      <c r="AH18" s="59"/>
      <c r="AI18" s="59"/>
      <c r="AJ18" s="59"/>
      <c r="AK18" s="59"/>
      <c r="AL18" s="7"/>
      <c r="AM18" s="7"/>
      <c r="AN18" s="7"/>
    </row>
    <row r="19" spans="1:40">
      <c r="A19" s="6" t="s">
        <v>936</v>
      </c>
      <c r="B19" s="46" t="s">
        <v>624</v>
      </c>
      <c r="C19" s="4" t="s">
        <v>937</v>
      </c>
      <c r="D19" s="9" t="s">
        <v>1088</v>
      </c>
      <c r="E19" s="29" t="s">
        <v>490</v>
      </c>
      <c r="F19" s="6" t="s">
        <v>1089</v>
      </c>
      <c r="G19" s="6">
        <v>1104136963</v>
      </c>
      <c r="H19" s="47" t="s">
        <v>985</v>
      </c>
      <c r="I19" s="47" t="s">
        <v>1090</v>
      </c>
      <c r="J19" s="7" t="s">
        <v>941</v>
      </c>
      <c r="K19" s="7" t="s">
        <v>942</v>
      </c>
      <c r="L19" s="7" t="s">
        <v>943</v>
      </c>
      <c r="M19" s="7" t="s">
        <v>1091</v>
      </c>
      <c r="N19" s="55">
        <v>35393</v>
      </c>
      <c r="O19" s="7" t="s">
        <v>945</v>
      </c>
      <c r="P19" s="7" t="s">
        <v>946</v>
      </c>
      <c r="Q19" s="7" t="s">
        <v>947</v>
      </c>
      <c r="R19" s="7" t="s">
        <v>1092</v>
      </c>
      <c r="S19" s="7" t="s">
        <v>1093</v>
      </c>
      <c r="T19" s="7" t="s">
        <v>950</v>
      </c>
      <c r="U19" s="7" t="s">
        <v>1094</v>
      </c>
      <c r="V19" s="7" t="s">
        <v>1095</v>
      </c>
      <c r="W19" s="7" t="s">
        <v>1096</v>
      </c>
      <c r="X19" s="7" t="s">
        <v>953</v>
      </c>
      <c r="Y19" s="7" t="s">
        <v>647</v>
      </c>
      <c r="Z19" s="7" t="s">
        <v>979</v>
      </c>
      <c r="AA19" s="7" t="s">
        <v>1097</v>
      </c>
      <c r="AB19" s="7" t="s">
        <v>1098</v>
      </c>
      <c r="AC19" s="7" t="s">
        <v>406</v>
      </c>
      <c r="AD19" s="7" t="s">
        <v>406</v>
      </c>
      <c r="AE19" s="7" t="s">
        <v>406</v>
      </c>
      <c r="AF19" s="7" t="s">
        <v>406</v>
      </c>
      <c r="AG19" s="7" t="s">
        <v>406</v>
      </c>
      <c r="AH19" s="59">
        <v>42</v>
      </c>
      <c r="AI19" s="59">
        <v>42</v>
      </c>
      <c r="AJ19" s="59">
        <v>42</v>
      </c>
      <c r="AK19" s="59">
        <v>42</v>
      </c>
      <c r="AL19" s="7" t="s">
        <v>406</v>
      </c>
      <c r="AM19" s="7" t="s">
        <v>406</v>
      </c>
      <c r="AN19" s="7" t="s">
        <v>406</v>
      </c>
    </row>
    <row r="20" spans="1:40">
      <c r="A20" s="6" t="s">
        <v>936</v>
      </c>
      <c r="B20" s="6" t="s">
        <v>660</v>
      </c>
      <c r="C20" s="4" t="s">
        <v>937</v>
      </c>
      <c r="D20" s="9" t="s">
        <v>1099</v>
      </c>
      <c r="E20" s="29" t="s">
        <v>971</v>
      </c>
      <c r="F20" s="6" t="s">
        <v>1100</v>
      </c>
      <c r="G20" s="6">
        <v>2109577011</v>
      </c>
      <c r="H20" s="7" t="s">
        <v>985</v>
      </c>
      <c r="I20" s="7" t="s">
        <v>1101</v>
      </c>
      <c r="J20" s="7" t="s">
        <v>942</v>
      </c>
      <c r="K20" s="7" t="s">
        <v>942</v>
      </c>
      <c r="L20" s="7" t="s">
        <v>1102</v>
      </c>
      <c r="M20" s="7" t="s">
        <v>1103</v>
      </c>
      <c r="N20" s="83">
        <v>35532</v>
      </c>
      <c r="O20" s="7" t="s">
        <v>1028</v>
      </c>
      <c r="P20" s="7" t="s">
        <v>1104</v>
      </c>
      <c r="Q20" s="7"/>
      <c r="R20" s="7" t="s">
        <v>1105</v>
      </c>
      <c r="S20" s="59">
        <v>60</v>
      </c>
      <c r="T20" s="7" t="s">
        <v>1044</v>
      </c>
      <c r="U20" s="7"/>
      <c r="V20" s="7" t="s">
        <v>1106</v>
      </c>
      <c r="W20" s="7" t="s">
        <v>1107</v>
      </c>
      <c r="X20" s="7" t="s">
        <v>953</v>
      </c>
      <c r="Y20" s="7" t="s">
        <v>656</v>
      </c>
      <c r="Z20" s="9" t="s">
        <v>1108</v>
      </c>
      <c r="AA20" s="7" t="s">
        <v>1109</v>
      </c>
      <c r="AB20" s="7" t="s">
        <v>1110</v>
      </c>
      <c r="AC20" s="7" t="s">
        <v>406</v>
      </c>
      <c r="AD20" s="7" t="s">
        <v>406</v>
      </c>
      <c r="AE20" s="7" t="s">
        <v>396</v>
      </c>
      <c r="AF20" s="7" t="s">
        <v>396</v>
      </c>
      <c r="AG20" s="7" t="s">
        <v>396</v>
      </c>
      <c r="AH20" s="59">
        <v>35</v>
      </c>
      <c r="AI20" s="59">
        <v>35</v>
      </c>
      <c r="AJ20" s="59">
        <v>35</v>
      </c>
      <c r="AK20" s="59">
        <v>35</v>
      </c>
      <c r="AL20" s="7" t="s">
        <v>396</v>
      </c>
      <c r="AM20" s="7" t="s">
        <v>395</v>
      </c>
      <c r="AN20" s="7" t="s">
        <v>396</v>
      </c>
    </row>
    <row r="21" spans="1:40">
      <c r="A21" s="6" t="s">
        <v>936</v>
      </c>
      <c r="B21" s="6" t="s">
        <v>554</v>
      </c>
      <c r="C21" s="4" t="s">
        <v>937</v>
      </c>
      <c r="D21" s="9" t="s">
        <v>1111</v>
      </c>
      <c r="E21" s="29" t="s">
        <v>971</v>
      </c>
      <c r="F21" s="6" t="s">
        <v>1112</v>
      </c>
      <c r="G21" s="6">
        <v>1100313939</v>
      </c>
      <c r="H21" s="7" t="s">
        <v>939</v>
      </c>
      <c r="I21" s="7" t="s">
        <v>940</v>
      </c>
      <c r="J21" s="7" t="s">
        <v>941</v>
      </c>
      <c r="K21" s="7" t="s">
        <v>942</v>
      </c>
      <c r="L21" s="7" t="s">
        <v>943</v>
      </c>
      <c r="M21" s="7" t="s">
        <v>1113</v>
      </c>
      <c r="N21" s="51">
        <v>31580</v>
      </c>
      <c r="O21" s="7" t="s">
        <v>945</v>
      </c>
      <c r="P21" s="7" t="s">
        <v>946</v>
      </c>
      <c r="Q21" s="7" t="s">
        <v>963</v>
      </c>
      <c r="R21" s="7" t="s">
        <v>1114</v>
      </c>
      <c r="S21" s="59">
        <v>75</v>
      </c>
      <c r="T21" s="7" t="s">
        <v>1011</v>
      </c>
      <c r="U21" s="7" t="s">
        <v>942</v>
      </c>
      <c r="V21" s="7" t="s">
        <v>1115</v>
      </c>
      <c r="W21" s="7" t="s">
        <v>1116</v>
      </c>
      <c r="X21" s="7" t="s">
        <v>953</v>
      </c>
      <c r="Y21" s="7" t="s">
        <v>554</v>
      </c>
      <c r="Z21" s="7" t="s">
        <v>1117</v>
      </c>
      <c r="AA21" s="7" t="s">
        <v>1118</v>
      </c>
      <c r="AB21" s="7" t="s">
        <v>1119</v>
      </c>
      <c r="AC21" s="7" t="s">
        <v>396</v>
      </c>
      <c r="AD21" s="7" t="s">
        <v>406</v>
      </c>
      <c r="AE21" s="7" t="s">
        <v>406</v>
      </c>
      <c r="AF21" s="7" t="s">
        <v>406</v>
      </c>
      <c r="AG21" s="7" t="s">
        <v>396</v>
      </c>
      <c r="AH21" s="59">
        <v>42</v>
      </c>
      <c r="AI21" s="59">
        <v>42</v>
      </c>
      <c r="AJ21" s="59">
        <v>42</v>
      </c>
      <c r="AK21" s="59">
        <v>42</v>
      </c>
      <c r="AL21" s="7" t="s">
        <v>396</v>
      </c>
      <c r="AM21" s="7" t="s">
        <v>396</v>
      </c>
      <c r="AN21" s="7" t="s">
        <v>406</v>
      </c>
    </row>
    <row r="22" spans="1:40">
      <c r="A22" s="6" t="s">
        <v>936</v>
      </c>
      <c r="B22" s="46" t="s">
        <v>1120</v>
      </c>
      <c r="C22" s="4" t="s">
        <v>957</v>
      </c>
      <c r="D22" s="9" t="s">
        <v>1111</v>
      </c>
      <c r="E22" s="29" t="s">
        <v>971</v>
      </c>
      <c r="F22" s="6" t="s">
        <v>1121</v>
      </c>
      <c r="G22" s="6">
        <v>1100313939</v>
      </c>
      <c r="H22" s="7" t="s">
        <v>1122</v>
      </c>
      <c r="I22" s="7" t="s">
        <v>1123</v>
      </c>
      <c r="J22" s="7" t="s">
        <v>941</v>
      </c>
      <c r="K22" s="7" t="s">
        <v>942</v>
      </c>
      <c r="L22" s="7" t="s">
        <v>943</v>
      </c>
      <c r="M22" s="7" t="s">
        <v>1113</v>
      </c>
      <c r="N22" s="51">
        <v>31580</v>
      </c>
      <c r="O22" s="7" t="s">
        <v>945</v>
      </c>
      <c r="P22" s="7" t="s">
        <v>946</v>
      </c>
      <c r="Q22" s="7" t="s">
        <v>963</v>
      </c>
      <c r="R22" s="75" t="s">
        <v>1114</v>
      </c>
      <c r="S22" s="59">
        <v>75</v>
      </c>
      <c r="T22" s="6" t="s">
        <v>1011</v>
      </c>
      <c r="U22" s="7"/>
      <c r="V22" s="7" t="s">
        <v>1124</v>
      </c>
      <c r="W22" s="7" t="s">
        <v>1125</v>
      </c>
      <c r="X22" s="7" t="s">
        <v>953</v>
      </c>
      <c r="Y22" s="7" t="s">
        <v>1126</v>
      </c>
      <c r="Z22" s="7">
        <v>92532000</v>
      </c>
      <c r="AA22" s="7" t="s">
        <v>1127</v>
      </c>
      <c r="AB22" s="7" t="s">
        <v>1119</v>
      </c>
      <c r="AC22" s="7" t="s">
        <v>396</v>
      </c>
      <c r="AD22" s="7" t="s">
        <v>406</v>
      </c>
      <c r="AE22" s="7" t="s">
        <v>406</v>
      </c>
      <c r="AF22" s="7" t="s">
        <v>406</v>
      </c>
      <c r="AG22" s="7" t="s">
        <v>396</v>
      </c>
      <c r="AH22" s="59">
        <v>42</v>
      </c>
      <c r="AI22" s="59">
        <v>42</v>
      </c>
      <c r="AJ22" s="59">
        <v>42</v>
      </c>
      <c r="AK22" s="59">
        <v>42</v>
      </c>
      <c r="AL22" s="7" t="s">
        <v>396</v>
      </c>
      <c r="AM22" s="7" t="s">
        <v>396</v>
      </c>
      <c r="AN22" s="7" t="s">
        <v>1128</v>
      </c>
    </row>
    <row r="23" spans="1:40">
      <c r="A23" s="6" t="s">
        <v>936</v>
      </c>
      <c r="B23" s="46" t="s">
        <v>506</v>
      </c>
      <c r="C23" s="4" t="s">
        <v>957</v>
      </c>
      <c r="D23" s="62" t="s">
        <v>1129</v>
      </c>
      <c r="E23" s="29" t="s">
        <v>490</v>
      </c>
      <c r="F23" s="46" t="s">
        <v>1130</v>
      </c>
      <c r="G23" s="46">
        <v>3083238561</v>
      </c>
      <c r="H23" s="47" t="s">
        <v>1131</v>
      </c>
      <c r="I23" s="47" t="s">
        <v>1132</v>
      </c>
      <c r="J23" s="7" t="s">
        <v>941</v>
      </c>
      <c r="K23" s="7" t="s">
        <v>942</v>
      </c>
      <c r="L23" s="7" t="s">
        <v>975</v>
      </c>
      <c r="M23" s="7" t="s">
        <v>1133</v>
      </c>
      <c r="N23" s="51">
        <v>32190</v>
      </c>
      <c r="O23" s="7" t="s">
        <v>945</v>
      </c>
      <c r="P23" s="7" t="s">
        <v>946</v>
      </c>
      <c r="Q23" s="7" t="s">
        <v>963</v>
      </c>
      <c r="R23" s="7" t="s">
        <v>1134</v>
      </c>
      <c r="S23" s="59">
        <v>95</v>
      </c>
      <c r="T23" s="7" t="s">
        <v>950</v>
      </c>
      <c r="U23" s="7"/>
      <c r="V23" s="7">
        <v>51997106400</v>
      </c>
      <c r="W23" s="7">
        <v>57997106400</v>
      </c>
      <c r="X23" s="7" t="s">
        <v>953</v>
      </c>
      <c r="Y23" s="7" t="s">
        <v>660</v>
      </c>
      <c r="Z23" s="7" t="s">
        <v>1135</v>
      </c>
      <c r="AA23" s="7" t="s">
        <v>1136</v>
      </c>
      <c r="AB23" s="7" t="s">
        <v>1137</v>
      </c>
      <c r="AC23" s="7" t="s">
        <v>398</v>
      </c>
      <c r="AD23" s="7" t="s">
        <v>406</v>
      </c>
      <c r="AE23" s="7" t="s">
        <v>406</v>
      </c>
      <c r="AF23" s="7" t="s">
        <v>398</v>
      </c>
      <c r="AG23" s="7" t="s">
        <v>398</v>
      </c>
      <c r="AH23" s="59">
        <v>42</v>
      </c>
      <c r="AI23" s="59">
        <v>42</v>
      </c>
      <c r="AJ23" s="59">
        <v>42</v>
      </c>
      <c r="AK23" s="59">
        <v>42</v>
      </c>
      <c r="AL23" s="7" t="s">
        <v>398</v>
      </c>
      <c r="AM23" s="7" t="s">
        <v>406</v>
      </c>
      <c r="AN23" s="7" t="s">
        <v>406</v>
      </c>
    </row>
    <row r="24" spans="1:40">
      <c r="A24" s="6" t="s">
        <v>936</v>
      </c>
      <c r="B24" s="46" t="s">
        <v>506</v>
      </c>
      <c r="C24" s="4" t="s">
        <v>957</v>
      </c>
      <c r="D24" s="9" t="s">
        <v>1138</v>
      </c>
      <c r="E24" s="29" t="s">
        <v>492</v>
      </c>
      <c r="F24" s="6" t="s">
        <v>1139</v>
      </c>
      <c r="G24" s="6">
        <v>7052412165</v>
      </c>
      <c r="H24" s="47" t="s">
        <v>985</v>
      </c>
      <c r="I24" s="7" t="s">
        <v>1140</v>
      </c>
      <c r="J24" s="7" t="s">
        <v>941</v>
      </c>
      <c r="K24" s="7" t="s">
        <v>942</v>
      </c>
      <c r="L24" s="7" t="s">
        <v>975</v>
      </c>
      <c r="M24" s="7" t="s">
        <v>1141</v>
      </c>
      <c r="N24" s="51">
        <v>28634</v>
      </c>
      <c r="O24" s="7" t="s">
        <v>945</v>
      </c>
      <c r="P24" s="7" t="s">
        <v>1104</v>
      </c>
      <c r="Q24" s="7" t="s">
        <v>963</v>
      </c>
      <c r="R24" s="7" t="s">
        <v>1142</v>
      </c>
      <c r="S24" s="59">
        <v>95</v>
      </c>
      <c r="T24" s="7" t="s">
        <v>950</v>
      </c>
      <c r="U24" s="7" t="s">
        <v>1143</v>
      </c>
      <c r="V24" s="7">
        <v>51999561369</v>
      </c>
      <c r="W24" s="7">
        <v>51993736246</v>
      </c>
      <c r="X24" s="7" t="s">
        <v>953</v>
      </c>
      <c r="Y24" s="7" t="s">
        <v>966</v>
      </c>
      <c r="Z24" s="59">
        <v>93415390</v>
      </c>
      <c r="AA24" s="7" t="s">
        <v>1144</v>
      </c>
      <c r="AB24" s="7" t="s">
        <v>1145</v>
      </c>
      <c r="AC24" s="7" t="s">
        <v>406</v>
      </c>
      <c r="AD24" s="7" t="s">
        <v>398</v>
      </c>
      <c r="AE24" s="7" t="s">
        <v>398</v>
      </c>
      <c r="AF24" s="7" t="s">
        <v>398</v>
      </c>
      <c r="AG24" s="7" t="s">
        <v>406</v>
      </c>
      <c r="AH24" s="59">
        <v>42</v>
      </c>
      <c r="AI24" s="59">
        <v>42</v>
      </c>
      <c r="AJ24" s="59">
        <v>42</v>
      </c>
      <c r="AK24" s="59">
        <v>42</v>
      </c>
      <c r="AL24" s="7" t="s">
        <v>398</v>
      </c>
      <c r="AM24" s="7" t="s">
        <v>406</v>
      </c>
      <c r="AN24" s="7" t="s">
        <v>406</v>
      </c>
    </row>
    <row r="25" spans="1:40">
      <c r="A25" s="7"/>
      <c r="B25" s="47"/>
      <c r="C25" s="8"/>
      <c r="D25" s="9" t="s">
        <v>1146</v>
      </c>
      <c r="E25" s="29" t="s">
        <v>490</v>
      </c>
      <c r="F25" s="6" t="s">
        <v>1147</v>
      </c>
      <c r="G25" s="7"/>
      <c r="H25" s="47"/>
      <c r="I25" s="47"/>
      <c r="J25" s="7"/>
      <c r="K25" s="7"/>
      <c r="L25" s="7"/>
      <c r="M25" s="7"/>
      <c r="N25" s="15"/>
      <c r="O25" s="7"/>
      <c r="P25" s="7"/>
      <c r="Q25" s="7"/>
      <c r="R25" s="7"/>
      <c r="S25" s="7"/>
      <c r="T25" s="7"/>
      <c r="U25" s="7"/>
      <c r="V25" s="7"/>
      <c r="W25" s="7"/>
      <c r="X25" s="7"/>
      <c r="Y25" s="7"/>
      <c r="Z25" s="7"/>
      <c r="AA25" s="7"/>
      <c r="AB25" s="7"/>
      <c r="AC25" s="7"/>
      <c r="AD25" s="7"/>
      <c r="AE25" s="7"/>
      <c r="AF25" s="7"/>
      <c r="AG25" s="7"/>
      <c r="AH25" s="7"/>
      <c r="AI25" s="7"/>
      <c r="AJ25" s="7"/>
      <c r="AK25" s="7"/>
      <c r="AL25" s="7"/>
      <c r="AM25" s="7"/>
      <c r="AN25" s="7"/>
    </row>
    <row r="26" spans="1:40">
      <c r="A26" s="6" t="s">
        <v>936</v>
      </c>
      <c r="B26" s="6" t="s">
        <v>659</v>
      </c>
      <c r="C26" s="4" t="s">
        <v>937</v>
      </c>
      <c r="D26" s="9" t="s">
        <v>1148</v>
      </c>
      <c r="E26" s="29" t="s">
        <v>971</v>
      </c>
      <c r="F26" s="6" t="s">
        <v>1149</v>
      </c>
      <c r="G26" s="6">
        <v>7094501421</v>
      </c>
      <c r="H26" s="7" t="s">
        <v>985</v>
      </c>
      <c r="I26" s="7" t="s">
        <v>1150</v>
      </c>
      <c r="J26" s="7" t="s">
        <v>941</v>
      </c>
      <c r="K26" s="7" t="s">
        <v>942</v>
      </c>
      <c r="L26" s="7" t="s">
        <v>943</v>
      </c>
      <c r="M26" s="7" t="s">
        <v>1151</v>
      </c>
      <c r="N26" s="51">
        <v>33638</v>
      </c>
      <c r="O26" s="7" t="s">
        <v>945</v>
      </c>
      <c r="P26" s="7" t="s">
        <v>946</v>
      </c>
      <c r="Q26" s="7" t="s">
        <v>963</v>
      </c>
      <c r="R26" s="7" t="s">
        <v>1152</v>
      </c>
      <c r="S26" s="7" t="s">
        <v>1153</v>
      </c>
      <c r="T26" s="7" t="s">
        <v>1154</v>
      </c>
      <c r="U26" s="7"/>
      <c r="V26" s="7" t="s">
        <v>1155</v>
      </c>
      <c r="W26" s="7"/>
      <c r="X26" s="7" t="s">
        <v>953</v>
      </c>
      <c r="Y26" s="7" t="s">
        <v>966</v>
      </c>
      <c r="Z26" s="7" t="s">
        <v>1156</v>
      </c>
      <c r="AA26" s="7" t="s">
        <v>1157</v>
      </c>
      <c r="AB26" s="7" t="s">
        <v>1158</v>
      </c>
      <c r="AC26" s="7" t="s">
        <v>398</v>
      </c>
      <c r="AD26" s="7" t="s">
        <v>398</v>
      </c>
      <c r="AE26" s="7" t="s">
        <v>398</v>
      </c>
      <c r="AF26" s="7" t="s">
        <v>398</v>
      </c>
      <c r="AG26" s="7" t="s">
        <v>406</v>
      </c>
      <c r="AH26" s="59">
        <v>46</v>
      </c>
      <c r="AI26" s="59">
        <v>44</v>
      </c>
      <c r="AJ26" s="59">
        <v>45</v>
      </c>
      <c r="AK26" s="59">
        <v>44</v>
      </c>
      <c r="AL26" s="7" t="s">
        <v>398</v>
      </c>
      <c r="AM26" s="7" t="s">
        <v>398</v>
      </c>
      <c r="AN26" s="7" t="s">
        <v>398</v>
      </c>
    </row>
    <row r="27" spans="1:40">
      <c r="A27" s="6" t="s">
        <v>936</v>
      </c>
      <c r="B27" s="6" t="s">
        <v>966</v>
      </c>
      <c r="C27" s="4" t="s">
        <v>937</v>
      </c>
      <c r="D27" s="9" t="s">
        <v>55</v>
      </c>
      <c r="E27" s="29" t="s">
        <v>971</v>
      </c>
      <c r="F27" s="6" t="s">
        <v>1159</v>
      </c>
      <c r="G27" s="6">
        <v>1123535005</v>
      </c>
      <c r="H27" s="7" t="s">
        <v>939</v>
      </c>
      <c r="I27" s="7" t="s">
        <v>1160</v>
      </c>
      <c r="J27" s="7" t="s">
        <v>941</v>
      </c>
      <c r="K27" s="7" t="s">
        <v>941</v>
      </c>
      <c r="L27" s="7"/>
      <c r="M27" s="7" t="s">
        <v>1161</v>
      </c>
      <c r="N27" s="55">
        <v>36144</v>
      </c>
      <c r="O27" s="7" t="s">
        <v>945</v>
      </c>
      <c r="P27" s="7" t="s">
        <v>946</v>
      </c>
      <c r="Q27" s="7" t="s">
        <v>963</v>
      </c>
      <c r="R27" s="7" t="s">
        <v>1162</v>
      </c>
      <c r="S27" s="59">
        <v>85</v>
      </c>
      <c r="T27" s="7" t="s">
        <v>950</v>
      </c>
      <c r="U27" s="7"/>
      <c r="V27" s="7" t="s">
        <v>1163</v>
      </c>
      <c r="W27" s="7" t="s">
        <v>1164</v>
      </c>
      <c r="X27" s="7" t="s">
        <v>953</v>
      </c>
      <c r="Y27" s="7" t="s">
        <v>966</v>
      </c>
      <c r="Z27" s="7" t="s">
        <v>1165</v>
      </c>
      <c r="AA27" s="7" t="s">
        <v>1166</v>
      </c>
      <c r="AB27" s="7" t="s">
        <v>1167</v>
      </c>
      <c r="AC27" s="7" t="s">
        <v>406</v>
      </c>
      <c r="AD27" s="7" t="s">
        <v>406</v>
      </c>
      <c r="AE27" s="7" t="s">
        <v>396</v>
      </c>
      <c r="AF27" s="7" t="s">
        <v>396</v>
      </c>
      <c r="AG27" s="7" t="s">
        <v>406</v>
      </c>
      <c r="AH27" s="59">
        <v>42</v>
      </c>
      <c r="AI27" s="59">
        <v>42</v>
      </c>
      <c r="AJ27" s="59">
        <v>43</v>
      </c>
      <c r="AK27" s="59">
        <v>43</v>
      </c>
      <c r="AL27" s="7" t="s">
        <v>406</v>
      </c>
      <c r="AM27" s="7" t="s">
        <v>396</v>
      </c>
      <c r="AN27" s="7" t="s">
        <v>396</v>
      </c>
    </row>
    <row r="28" spans="1:40">
      <c r="A28" s="6" t="s">
        <v>936</v>
      </c>
      <c r="B28" s="6" t="s">
        <v>554</v>
      </c>
      <c r="C28" s="4" t="s">
        <v>937</v>
      </c>
      <c r="D28" s="9" t="s">
        <v>1168</v>
      </c>
      <c r="E28" s="29" t="s">
        <v>971</v>
      </c>
      <c r="F28" s="6" t="s">
        <v>1169</v>
      </c>
      <c r="G28" s="6">
        <v>8067026446</v>
      </c>
      <c r="H28" s="7" t="s">
        <v>1170</v>
      </c>
      <c r="I28" s="7" t="s">
        <v>1171</v>
      </c>
      <c r="J28" s="7" t="s">
        <v>941</v>
      </c>
      <c r="K28" s="7" t="s">
        <v>942</v>
      </c>
      <c r="L28" s="7" t="s">
        <v>943</v>
      </c>
      <c r="M28" s="7" t="s">
        <v>1172</v>
      </c>
      <c r="N28" s="55">
        <v>32071</v>
      </c>
      <c r="O28" s="7" t="s">
        <v>945</v>
      </c>
      <c r="P28" s="7" t="s">
        <v>946</v>
      </c>
      <c r="Q28" s="7" t="s">
        <v>963</v>
      </c>
      <c r="R28" s="7" t="s">
        <v>1173</v>
      </c>
      <c r="S28" s="59">
        <v>115</v>
      </c>
      <c r="T28" s="7" t="s">
        <v>950</v>
      </c>
      <c r="U28" s="7" t="s">
        <v>942</v>
      </c>
      <c r="V28" s="7" t="s">
        <v>1174</v>
      </c>
      <c r="W28" s="7" t="s">
        <v>1175</v>
      </c>
      <c r="X28" s="7" t="s">
        <v>953</v>
      </c>
      <c r="Y28" s="7" t="s">
        <v>508</v>
      </c>
      <c r="Z28" s="7" t="s">
        <v>1176</v>
      </c>
      <c r="AA28" s="7" t="s">
        <v>1177</v>
      </c>
      <c r="AB28" s="7" t="s">
        <v>1178</v>
      </c>
      <c r="AC28" s="7" t="s">
        <v>398</v>
      </c>
      <c r="AD28" s="7" t="s">
        <v>398</v>
      </c>
      <c r="AE28" s="7" t="s">
        <v>398</v>
      </c>
      <c r="AF28" s="7" t="s">
        <v>398</v>
      </c>
      <c r="AG28" s="7" t="s">
        <v>398</v>
      </c>
      <c r="AH28" s="59">
        <v>42</v>
      </c>
      <c r="AI28" s="59">
        <v>42</v>
      </c>
      <c r="AJ28" s="59">
        <v>42</v>
      </c>
      <c r="AK28" s="59">
        <v>42</v>
      </c>
      <c r="AL28" s="7" t="s">
        <v>398</v>
      </c>
      <c r="AM28" s="7" t="s">
        <v>398</v>
      </c>
      <c r="AN28" s="7" t="s">
        <v>398</v>
      </c>
    </row>
    <row r="29" spans="1:40">
      <c r="A29" s="6" t="s">
        <v>936</v>
      </c>
      <c r="B29" s="46" t="s">
        <v>1120</v>
      </c>
      <c r="C29" s="4" t="s">
        <v>957</v>
      </c>
      <c r="D29" s="9" t="s">
        <v>1168</v>
      </c>
      <c r="E29" s="29" t="s">
        <v>971</v>
      </c>
      <c r="F29" s="6" t="s">
        <v>1169</v>
      </c>
      <c r="G29" s="6">
        <v>8067026446</v>
      </c>
      <c r="H29" s="7" t="s">
        <v>985</v>
      </c>
      <c r="I29" s="7" t="s">
        <v>1179</v>
      </c>
      <c r="J29" s="7" t="s">
        <v>941</v>
      </c>
      <c r="K29" s="7" t="s">
        <v>942</v>
      </c>
      <c r="L29" s="7" t="s">
        <v>943</v>
      </c>
      <c r="M29" s="7" t="s">
        <v>1172</v>
      </c>
      <c r="N29" s="51">
        <v>32071</v>
      </c>
      <c r="O29" s="7" t="s">
        <v>945</v>
      </c>
      <c r="P29" s="7" t="s">
        <v>946</v>
      </c>
      <c r="Q29" s="7" t="s">
        <v>963</v>
      </c>
      <c r="R29" s="75" t="s">
        <v>1173</v>
      </c>
      <c r="S29" s="59">
        <v>115</v>
      </c>
      <c r="T29" s="6" t="s">
        <v>950</v>
      </c>
      <c r="U29" s="7"/>
      <c r="V29" s="7" t="s">
        <v>1180</v>
      </c>
      <c r="W29" s="7" t="s">
        <v>1181</v>
      </c>
      <c r="X29" s="7" t="s">
        <v>953</v>
      </c>
      <c r="Y29" s="7" t="s">
        <v>1182</v>
      </c>
      <c r="Z29" s="7">
        <v>93800192</v>
      </c>
      <c r="AA29" s="7" t="s">
        <v>1183</v>
      </c>
      <c r="AB29" s="7" t="s">
        <v>1178</v>
      </c>
      <c r="AC29" s="7" t="s">
        <v>398</v>
      </c>
      <c r="AD29" s="7" t="s">
        <v>398</v>
      </c>
      <c r="AE29" s="7" t="s">
        <v>398</v>
      </c>
      <c r="AF29" s="7" t="s">
        <v>398</v>
      </c>
      <c r="AG29" s="7" t="s">
        <v>398</v>
      </c>
      <c r="AH29" s="59">
        <v>42</v>
      </c>
      <c r="AI29" s="59">
        <v>42</v>
      </c>
      <c r="AJ29" s="59">
        <v>42</v>
      </c>
      <c r="AK29" s="59">
        <v>42</v>
      </c>
      <c r="AL29" s="7" t="s">
        <v>398</v>
      </c>
      <c r="AM29" s="7" t="s">
        <v>398</v>
      </c>
      <c r="AN29" s="7" t="s">
        <v>398</v>
      </c>
    </row>
    <row r="30" spans="1:40">
      <c r="A30" s="6" t="s">
        <v>936</v>
      </c>
      <c r="B30" s="6" t="s">
        <v>506</v>
      </c>
      <c r="C30" s="4" t="s">
        <v>957</v>
      </c>
      <c r="D30" s="9" t="s">
        <v>1184</v>
      </c>
      <c r="E30" s="29" t="s">
        <v>490</v>
      </c>
      <c r="F30" s="6" t="s">
        <v>1185</v>
      </c>
      <c r="G30" s="6">
        <v>8100145674</v>
      </c>
      <c r="H30" s="7" t="s">
        <v>1186</v>
      </c>
      <c r="I30" s="7" t="s">
        <v>1187</v>
      </c>
      <c r="J30" s="7" t="s">
        <v>941</v>
      </c>
      <c r="K30" s="7" t="s">
        <v>942</v>
      </c>
      <c r="L30" s="7" t="s">
        <v>975</v>
      </c>
      <c r="M30" s="7" t="s">
        <v>1188</v>
      </c>
      <c r="N30" s="55">
        <v>34267</v>
      </c>
      <c r="O30" s="7" t="s">
        <v>945</v>
      </c>
      <c r="P30" s="7" t="s">
        <v>1104</v>
      </c>
      <c r="Q30" s="7" t="s">
        <v>963</v>
      </c>
      <c r="R30" s="7" t="s">
        <v>1189</v>
      </c>
      <c r="S30" s="59">
        <v>73</v>
      </c>
      <c r="T30" s="7" t="s">
        <v>1011</v>
      </c>
      <c r="U30" s="7"/>
      <c r="V30" s="7">
        <v>51998963271</v>
      </c>
      <c r="W30" s="7">
        <v>51998963271</v>
      </c>
      <c r="X30" s="7" t="s">
        <v>953</v>
      </c>
      <c r="Y30" s="7" t="s">
        <v>659</v>
      </c>
      <c r="Z30" s="7" t="s">
        <v>1190</v>
      </c>
      <c r="AA30" s="7" t="s">
        <v>1191</v>
      </c>
      <c r="AB30" s="7" t="s">
        <v>1192</v>
      </c>
      <c r="AC30" s="7" t="s">
        <v>406</v>
      </c>
      <c r="AD30" s="7" t="s">
        <v>406</v>
      </c>
      <c r="AE30" s="7" t="s">
        <v>406</v>
      </c>
      <c r="AF30" s="7" t="s">
        <v>406</v>
      </c>
      <c r="AG30" s="7" t="s">
        <v>406</v>
      </c>
      <c r="AH30" s="59">
        <v>41</v>
      </c>
      <c r="AI30" s="59">
        <v>41</v>
      </c>
      <c r="AJ30" s="59">
        <v>41</v>
      </c>
      <c r="AK30" s="59">
        <v>41</v>
      </c>
      <c r="AL30" s="7" t="s">
        <v>406</v>
      </c>
      <c r="AM30" s="7" t="s">
        <v>406</v>
      </c>
      <c r="AN30" s="7" t="s">
        <v>406</v>
      </c>
    </row>
    <row r="31" spans="1:40">
      <c r="A31" s="6" t="s">
        <v>936</v>
      </c>
      <c r="B31" s="46" t="s">
        <v>1120</v>
      </c>
      <c r="C31" s="4" t="s">
        <v>957</v>
      </c>
      <c r="D31" s="9" t="s">
        <v>1193</v>
      </c>
      <c r="E31" s="29" t="s">
        <v>971</v>
      </c>
      <c r="F31" s="6" t="s">
        <v>1194</v>
      </c>
      <c r="G31" s="6">
        <v>1093238994</v>
      </c>
      <c r="H31" s="7" t="s">
        <v>985</v>
      </c>
      <c r="I31" s="7" t="s">
        <v>1195</v>
      </c>
      <c r="J31" s="7" t="s">
        <v>942</v>
      </c>
      <c r="K31" s="7" t="s">
        <v>942</v>
      </c>
      <c r="L31" s="7" t="s">
        <v>1068</v>
      </c>
      <c r="M31" s="7" t="s">
        <v>1196</v>
      </c>
      <c r="N31" s="51">
        <v>32701</v>
      </c>
      <c r="O31" s="7" t="s">
        <v>945</v>
      </c>
      <c r="P31" s="7" t="s">
        <v>1041</v>
      </c>
      <c r="Q31" s="7" t="s">
        <v>963</v>
      </c>
      <c r="R31" s="75" t="s">
        <v>1197</v>
      </c>
      <c r="S31" s="59">
        <v>92</v>
      </c>
      <c r="T31" s="6" t="s">
        <v>1011</v>
      </c>
      <c r="U31" s="7"/>
      <c r="V31" s="7" t="s">
        <v>1198</v>
      </c>
      <c r="W31" s="7" t="s">
        <v>1199</v>
      </c>
      <c r="X31" s="7" t="s">
        <v>953</v>
      </c>
      <c r="Y31" s="7" t="s">
        <v>1200</v>
      </c>
      <c r="Z31" s="7">
        <v>92330370</v>
      </c>
      <c r="AA31" s="7" t="s">
        <v>1201</v>
      </c>
      <c r="AB31" s="7" t="s">
        <v>1202</v>
      </c>
      <c r="AC31" s="7" t="s">
        <v>406</v>
      </c>
      <c r="AD31" s="7" t="s">
        <v>396</v>
      </c>
      <c r="AE31" s="7" t="s">
        <v>396</v>
      </c>
      <c r="AF31" s="7" t="s">
        <v>396</v>
      </c>
      <c r="AG31" s="7" t="s">
        <v>396</v>
      </c>
      <c r="AH31" s="59">
        <v>40</v>
      </c>
      <c r="AI31" s="59">
        <v>40</v>
      </c>
      <c r="AJ31" s="59">
        <v>40</v>
      </c>
      <c r="AK31" s="59">
        <v>40</v>
      </c>
      <c r="AL31" s="7" t="s">
        <v>396</v>
      </c>
      <c r="AM31" s="7" t="s">
        <v>396</v>
      </c>
      <c r="AN31" s="7" t="s">
        <v>1128</v>
      </c>
    </row>
    <row r="32" spans="1:40">
      <c r="A32" s="6" t="s">
        <v>936</v>
      </c>
      <c r="B32" s="46" t="s">
        <v>506</v>
      </c>
      <c r="C32" s="4" t="s">
        <v>957</v>
      </c>
      <c r="D32" s="9" t="s">
        <v>1203</v>
      </c>
      <c r="E32" s="29" t="s">
        <v>971</v>
      </c>
      <c r="F32" s="6" t="s">
        <v>1204</v>
      </c>
      <c r="G32" s="6">
        <v>1114677287</v>
      </c>
      <c r="H32" s="7" t="s">
        <v>985</v>
      </c>
      <c r="I32" s="47" t="s">
        <v>1205</v>
      </c>
      <c r="J32" s="7" t="s">
        <v>942</v>
      </c>
      <c r="K32" s="7" t="s">
        <v>942</v>
      </c>
      <c r="L32" s="7" t="s">
        <v>975</v>
      </c>
      <c r="M32" s="7" t="s">
        <v>1206</v>
      </c>
      <c r="N32" s="55">
        <v>35031</v>
      </c>
      <c r="O32" s="7" t="s">
        <v>1028</v>
      </c>
      <c r="P32" s="7" t="s">
        <v>1041</v>
      </c>
      <c r="Q32" s="7" t="s">
        <v>947</v>
      </c>
      <c r="R32" s="7" t="s">
        <v>1207</v>
      </c>
      <c r="S32" s="59">
        <v>65</v>
      </c>
      <c r="T32" s="7" t="s">
        <v>1208</v>
      </c>
      <c r="U32" s="7"/>
      <c r="V32" s="7">
        <v>51995095297</v>
      </c>
      <c r="W32" s="7">
        <v>51995095297</v>
      </c>
      <c r="X32" s="7" t="s">
        <v>953</v>
      </c>
      <c r="Y32" s="7" t="s">
        <v>506</v>
      </c>
      <c r="Z32" s="7" t="s">
        <v>1012</v>
      </c>
      <c r="AA32" s="7" t="s">
        <v>1209</v>
      </c>
      <c r="AB32" s="7" t="s">
        <v>1014</v>
      </c>
      <c r="AC32" s="7" t="s">
        <v>396</v>
      </c>
      <c r="AD32" s="7" t="s">
        <v>396</v>
      </c>
      <c r="AE32" s="7" t="s">
        <v>396</v>
      </c>
      <c r="AF32" s="7" t="s">
        <v>396</v>
      </c>
      <c r="AG32" s="7" t="s">
        <v>396</v>
      </c>
      <c r="AH32" s="59">
        <v>35</v>
      </c>
      <c r="AI32" s="59">
        <v>35</v>
      </c>
      <c r="AJ32" s="59">
        <v>35</v>
      </c>
      <c r="AK32" s="59">
        <v>35</v>
      </c>
      <c r="AL32" s="7" t="s">
        <v>396</v>
      </c>
      <c r="AM32" s="7" t="s">
        <v>396</v>
      </c>
      <c r="AN32" s="7" t="s">
        <v>396</v>
      </c>
    </row>
    <row r="33" spans="1:40">
      <c r="A33" s="6" t="s">
        <v>936</v>
      </c>
      <c r="B33" s="6" t="s">
        <v>1210</v>
      </c>
      <c r="C33" s="4" t="s">
        <v>937</v>
      </c>
      <c r="D33" s="9" t="s">
        <v>57</v>
      </c>
      <c r="E33" s="29" t="s">
        <v>971</v>
      </c>
      <c r="F33" s="6" t="s">
        <v>1211</v>
      </c>
      <c r="G33" s="6">
        <v>8075556103</v>
      </c>
      <c r="H33" s="7" t="s">
        <v>939</v>
      </c>
      <c r="I33" s="47" t="s">
        <v>986</v>
      </c>
      <c r="J33" s="7" t="s">
        <v>942</v>
      </c>
      <c r="K33" s="7" t="s">
        <v>942</v>
      </c>
      <c r="L33" s="7" t="s">
        <v>975</v>
      </c>
      <c r="M33" s="7" t="s">
        <v>1212</v>
      </c>
      <c r="N33" s="51">
        <v>29437</v>
      </c>
      <c r="O33" s="7" t="s">
        <v>945</v>
      </c>
      <c r="P33" s="7" t="s">
        <v>946</v>
      </c>
      <c r="Q33" s="7" t="s">
        <v>947</v>
      </c>
      <c r="R33" s="7" t="s">
        <v>1213</v>
      </c>
      <c r="S33" s="59">
        <v>105</v>
      </c>
      <c r="T33" s="7" t="s">
        <v>1011</v>
      </c>
      <c r="U33" s="7"/>
      <c r="V33" s="7">
        <v>51991913242</v>
      </c>
      <c r="W33" s="7"/>
      <c r="X33" s="7" t="s">
        <v>953</v>
      </c>
      <c r="Y33" s="7" t="s">
        <v>602</v>
      </c>
      <c r="Z33" s="7">
        <v>92990000</v>
      </c>
      <c r="AA33" s="7" t="s">
        <v>1214</v>
      </c>
      <c r="AB33" s="7"/>
      <c r="AC33" s="7" t="s">
        <v>399</v>
      </c>
      <c r="AD33" s="7" t="s">
        <v>398</v>
      </c>
      <c r="AE33" s="7" t="s">
        <v>398</v>
      </c>
      <c r="AF33" s="7" t="s">
        <v>398</v>
      </c>
      <c r="AG33" s="7" t="s">
        <v>398</v>
      </c>
      <c r="AH33" s="59">
        <v>43</v>
      </c>
      <c r="AI33" s="59">
        <v>43</v>
      </c>
      <c r="AJ33" s="59">
        <v>43</v>
      </c>
      <c r="AK33" s="59">
        <v>43</v>
      </c>
      <c r="AL33" s="7" t="s">
        <v>398</v>
      </c>
      <c r="AM33" s="7" t="s">
        <v>398</v>
      </c>
      <c r="AN33" s="7" t="s">
        <v>406</v>
      </c>
    </row>
    <row r="34" spans="1:40">
      <c r="A34" s="6" t="s">
        <v>936</v>
      </c>
      <c r="B34" s="6" t="s">
        <v>656</v>
      </c>
      <c r="C34" s="4" t="s">
        <v>937</v>
      </c>
      <c r="D34" s="9" t="s">
        <v>1215</v>
      </c>
      <c r="E34" s="29" t="s">
        <v>971</v>
      </c>
      <c r="F34" s="6" t="s">
        <v>1216</v>
      </c>
      <c r="G34" s="6">
        <v>2067082591</v>
      </c>
      <c r="H34" s="7" t="s">
        <v>939</v>
      </c>
      <c r="I34" s="7" t="s">
        <v>940</v>
      </c>
      <c r="J34" s="7" t="s">
        <v>941</v>
      </c>
      <c r="K34" s="7" t="s">
        <v>941</v>
      </c>
      <c r="L34" s="7" t="s">
        <v>975</v>
      </c>
      <c r="M34" s="7" t="s">
        <v>1217</v>
      </c>
      <c r="N34" s="55">
        <v>28848</v>
      </c>
      <c r="O34" s="7" t="s">
        <v>945</v>
      </c>
      <c r="P34" s="7" t="s">
        <v>1104</v>
      </c>
      <c r="Q34" s="7" t="s">
        <v>963</v>
      </c>
      <c r="R34" s="7" t="s">
        <v>1218</v>
      </c>
      <c r="S34" s="59">
        <v>82</v>
      </c>
      <c r="T34" s="7" t="s">
        <v>1044</v>
      </c>
      <c r="U34" s="7"/>
      <c r="V34" s="7" t="s">
        <v>1219</v>
      </c>
      <c r="W34" s="7" t="s">
        <v>1220</v>
      </c>
      <c r="X34" s="7" t="s">
        <v>953</v>
      </c>
      <c r="Y34" s="7" t="s">
        <v>656</v>
      </c>
      <c r="Z34" s="7" t="s">
        <v>1108</v>
      </c>
      <c r="AA34" s="7" t="s">
        <v>1221</v>
      </c>
      <c r="AB34" s="7" t="s">
        <v>1222</v>
      </c>
      <c r="AC34" s="7" t="s">
        <v>406</v>
      </c>
      <c r="AD34" s="7" t="s">
        <v>406</v>
      </c>
      <c r="AE34" s="7" t="s">
        <v>406</v>
      </c>
      <c r="AF34" s="7" t="s">
        <v>406</v>
      </c>
      <c r="AG34" s="7" t="s">
        <v>406</v>
      </c>
      <c r="AH34" s="59">
        <v>38</v>
      </c>
      <c r="AI34" s="59">
        <v>38</v>
      </c>
      <c r="AJ34" s="59">
        <v>38</v>
      </c>
      <c r="AK34" s="87">
        <v>38</v>
      </c>
      <c r="AL34" s="7" t="s">
        <v>406</v>
      </c>
      <c r="AM34" s="7" t="s">
        <v>406</v>
      </c>
      <c r="AN34" s="7" t="s">
        <v>396</v>
      </c>
    </row>
    <row r="35" spans="1:40">
      <c r="A35" s="6" t="s">
        <v>936</v>
      </c>
      <c r="B35" s="46" t="s">
        <v>506</v>
      </c>
      <c r="C35" s="4" t="s">
        <v>957</v>
      </c>
      <c r="D35" s="9" t="s">
        <v>1223</v>
      </c>
      <c r="E35" s="29" t="s">
        <v>490</v>
      </c>
      <c r="F35" s="29" t="s">
        <v>1224</v>
      </c>
      <c r="G35" s="6">
        <v>6067004728</v>
      </c>
      <c r="H35" s="7" t="s">
        <v>960</v>
      </c>
      <c r="I35" s="47" t="s">
        <v>1225</v>
      </c>
      <c r="J35" s="7" t="s">
        <v>941</v>
      </c>
      <c r="K35" s="7" t="s">
        <v>942</v>
      </c>
      <c r="L35" s="7" t="s">
        <v>943</v>
      </c>
      <c r="M35" s="7" t="s">
        <v>1226</v>
      </c>
      <c r="N35" s="51">
        <v>31415</v>
      </c>
      <c r="O35" s="7" t="s">
        <v>945</v>
      </c>
      <c r="P35" s="7" t="s">
        <v>946</v>
      </c>
      <c r="Q35" s="7" t="s">
        <v>1227</v>
      </c>
      <c r="R35" s="7" t="s">
        <v>1228</v>
      </c>
      <c r="S35" s="59">
        <v>96</v>
      </c>
      <c r="T35" s="7" t="s">
        <v>1011</v>
      </c>
      <c r="U35" s="7"/>
      <c r="V35" s="7">
        <v>51985531809</v>
      </c>
      <c r="W35" s="7">
        <v>51985531809</v>
      </c>
      <c r="X35" s="7" t="s">
        <v>953</v>
      </c>
      <c r="Y35" s="7" t="s">
        <v>966</v>
      </c>
      <c r="Z35" s="7" t="s">
        <v>1229</v>
      </c>
      <c r="AA35" s="7" t="s">
        <v>1230</v>
      </c>
      <c r="AB35" s="7" t="s">
        <v>1057</v>
      </c>
      <c r="AC35" s="7" t="s">
        <v>406</v>
      </c>
      <c r="AD35" s="7" t="s">
        <v>406</v>
      </c>
      <c r="AE35" s="7" t="s">
        <v>406</v>
      </c>
      <c r="AF35" s="7" t="s">
        <v>406</v>
      </c>
      <c r="AG35" s="7" t="s">
        <v>406</v>
      </c>
      <c r="AH35" s="59">
        <v>42</v>
      </c>
      <c r="AI35" s="59">
        <v>42</v>
      </c>
      <c r="AJ35" s="59">
        <v>42</v>
      </c>
      <c r="AK35" s="59">
        <v>42</v>
      </c>
      <c r="AL35" s="7" t="s">
        <v>398</v>
      </c>
      <c r="AM35" s="7" t="s">
        <v>406</v>
      </c>
      <c r="AN35" s="7" t="s">
        <v>406</v>
      </c>
    </row>
    <row r="36" spans="1:40">
      <c r="A36" s="6" t="s">
        <v>936</v>
      </c>
      <c r="B36" s="6" t="s">
        <v>656</v>
      </c>
      <c r="C36" s="4" t="s">
        <v>937</v>
      </c>
      <c r="D36" s="9" t="s">
        <v>59</v>
      </c>
      <c r="E36" s="29" t="s">
        <v>490</v>
      </c>
      <c r="F36" s="6" t="s">
        <v>1231</v>
      </c>
      <c r="G36" s="6">
        <v>1067025815</v>
      </c>
      <c r="H36" s="7" t="s">
        <v>939</v>
      </c>
      <c r="I36" s="7" t="s">
        <v>940</v>
      </c>
      <c r="J36" s="7" t="s">
        <v>941</v>
      </c>
      <c r="K36" s="7" t="s">
        <v>941</v>
      </c>
      <c r="L36" s="7" t="s">
        <v>975</v>
      </c>
      <c r="M36" s="7" t="s">
        <v>1232</v>
      </c>
      <c r="N36" s="51">
        <v>31204</v>
      </c>
      <c r="O36" s="7" t="s">
        <v>945</v>
      </c>
      <c r="P36" s="7" t="s">
        <v>946</v>
      </c>
      <c r="Q36" s="7" t="s">
        <v>1227</v>
      </c>
      <c r="R36" s="7" t="s">
        <v>1233</v>
      </c>
      <c r="S36" s="59">
        <v>126</v>
      </c>
      <c r="T36" s="7" t="s">
        <v>965</v>
      </c>
      <c r="U36" s="7" t="s">
        <v>1234</v>
      </c>
      <c r="V36" s="7" t="s">
        <v>1235</v>
      </c>
      <c r="W36" s="7" t="s">
        <v>1236</v>
      </c>
      <c r="X36" s="7" t="s">
        <v>953</v>
      </c>
      <c r="Y36" s="7" t="s">
        <v>627</v>
      </c>
      <c r="Z36" s="7" t="s">
        <v>1237</v>
      </c>
      <c r="AA36" s="7" t="s">
        <v>1238</v>
      </c>
      <c r="AB36" s="7" t="s">
        <v>1239</v>
      </c>
      <c r="AC36" s="7" t="s">
        <v>399</v>
      </c>
      <c r="AD36" s="7" t="s">
        <v>399</v>
      </c>
      <c r="AE36" s="7" t="s">
        <v>399</v>
      </c>
      <c r="AF36" s="7" t="s">
        <v>399</v>
      </c>
      <c r="AG36" s="7" t="s">
        <v>399</v>
      </c>
      <c r="AH36" s="59">
        <v>42</v>
      </c>
      <c r="AI36" s="59">
        <v>42</v>
      </c>
      <c r="AJ36" s="59">
        <v>42</v>
      </c>
      <c r="AK36" s="59">
        <v>42</v>
      </c>
      <c r="AL36" s="7" t="s">
        <v>399</v>
      </c>
      <c r="AM36" s="7" t="s">
        <v>399</v>
      </c>
      <c r="AN36" s="7" t="s">
        <v>396</v>
      </c>
    </row>
    <row r="37" spans="1:40">
      <c r="A37" s="7"/>
      <c r="B37" s="47"/>
      <c r="C37" s="8"/>
      <c r="D37" s="9" t="s">
        <v>1240</v>
      </c>
      <c r="E37" s="29" t="s">
        <v>490</v>
      </c>
      <c r="F37" s="6" t="s">
        <v>1241</v>
      </c>
      <c r="G37" s="7"/>
      <c r="H37" s="47"/>
      <c r="I37" s="47"/>
      <c r="J37" s="7"/>
      <c r="K37" s="7"/>
      <c r="L37" s="7"/>
      <c r="M37" s="7"/>
      <c r="N37" s="15"/>
      <c r="O37" s="7"/>
      <c r="P37" s="7"/>
      <c r="Q37" s="7"/>
      <c r="R37" s="7"/>
      <c r="S37" s="7"/>
      <c r="T37" s="7"/>
      <c r="U37" s="7"/>
      <c r="V37" s="7"/>
      <c r="W37" s="7"/>
      <c r="X37" s="7"/>
      <c r="Y37" s="7"/>
      <c r="Z37" s="7"/>
      <c r="AA37" s="7"/>
      <c r="AB37" s="7"/>
      <c r="AC37" s="7"/>
      <c r="AD37" s="7"/>
      <c r="AE37" s="7"/>
      <c r="AF37" s="7"/>
      <c r="AG37" s="7"/>
      <c r="AH37" s="7"/>
      <c r="AI37" s="7"/>
      <c r="AJ37" s="7"/>
      <c r="AK37" s="7"/>
      <c r="AL37" s="7"/>
      <c r="AM37" s="7"/>
      <c r="AN37" s="7"/>
    </row>
    <row r="38" ht="15.75" customHeight="1" spans="1:40">
      <c r="A38" s="6" t="s">
        <v>936</v>
      </c>
      <c r="B38" s="6" t="s">
        <v>656</v>
      </c>
      <c r="C38" s="4" t="s">
        <v>937</v>
      </c>
      <c r="D38" s="9" t="s">
        <v>1242</v>
      </c>
      <c r="E38" s="29" t="s">
        <v>971</v>
      </c>
      <c r="F38" s="6" t="s">
        <v>1243</v>
      </c>
      <c r="G38" s="6">
        <v>8081251657</v>
      </c>
      <c r="H38" s="7" t="s">
        <v>939</v>
      </c>
      <c r="I38" s="7" t="s">
        <v>940</v>
      </c>
      <c r="J38" s="7" t="s">
        <v>942</v>
      </c>
      <c r="K38" s="7" t="s">
        <v>942</v>
      </c>
      <c r="L38" s="7" t="s">
        <v>975</v>
      </c>
      <c r="M38" s="7" t="s">
        <v>1244</v>
      </c>
      <c r="N38" s="55">
        <v>30672</v>
      </c>
      <c r="O38" s="7" t="s">
        <v>945</v>
      </c>
      <c r="P38" s="7" t="s">
        <v>946</v>
      </c>
      <c r="Q38" s="7" t="s">
        <v>1245</v>
      </c>
      <c r="R38" s="7" t="s">
        <v>1246</v>
      </c>
      <c r="S38" s="59">
        <v>87</v>
      </c>
      <c r="T38" s="7" t="s">
        <v>1011</v>
      </c>
      <c r="U38" s="7"/>
      <c r="V38" s="7" t="s">
        <v>1247</v>
      </c>
      <c r="W38" s="7" t="s">
        <v>1247</v>
      </c>
      <c r="X38" s="7" t="s">
        <v>953</v>
      </c>
      <c r="Y38" s="7" t="s">
        <v>966</v>
      </c>
      <c r="Z38" s="7" t="s">
        <v>1248</v>
      </c>
      <c r="AA38" s="7" t="s">
        <v>1249</v>
      </c>
      <c r="AB38" s="7" t="s">
        <v>1250</v>
      </c>
      <c r="AC38" s="7" t="s">
        <v>406</v>
      </c>
      <c r="AD38" s="7" t="s">
        <v>406</v>
      </c>
      <c r="AE38" s="7" t="s">
        <v>406</v>
      </c>
      <c r="AF38" s="7" t="s">
        <v>406</v>
      </c>
      <c r="AG38" s="7" t="s">
        <v>406</v>
      </c>
      <c r="AH38" s="59">
        <v>39</v>
      </c>
      <c r="AI38" s="59">
        <v>39</v>
      </c>
      <c r="AJ38" s="59">
        <v>39</v>
      </c>
      <c r="AK38" s="87">
        <v>39</v>
      </c>
      <c r="AL38" s="7" t="s">
        <v>406</v>
      </c>
      <c r="AM38" s="7" t="s">
        <v>406</v>
      </c>
      <c r="AN38" s="7" t="s">
        <v>406</v>
      </c>
    </row>
    <row r="39" ht="15.75" customHeight="1" spans="1:40">
      <c r="A39" s="47"/>
      <c r="B39" s="47"/>
      <c r="C39" s="8"/>
      <c r="D39" s="9" t="s">
        <v>1251</v>
      </c>
      <c r="E39" s="29" t="s">
        <v>490</v>
      </c>
      <c r="F39" s="6" t="s">
        <v>1252</v>
      </c>
      <c r="G39" s="7"/>
      <c r="H39" s="47"/>
      <c r="I39" s="47"/>
      <c r="J39" s="7"/>
      <c r="K39" s="7"/>
      <c r="L39" s="7"/>
      <c r="M39" s="7"/>
      <c r="N39" s="15"/>
      <c r="O39" s="7"/>
      <c r="P39" s="7"/>
      <c r="Q39" s="7"/>
      <c r="R39" s="7"/>
      <c r="S39" s="7"/>
      <c r="T39" s="7"/>
      <c r="U39" s="7"/>
      <c r="V39" s="7"/>
      <c r="W39" s="7"/>
      <c r="X39" s="7"/>
      <c r="Y39" s="7"/>
      <c r="Z39" s="7"/>
      <c r="AA39" s="7"/>
      <c r="AB39" s="7"/>
      <c r="AC39" s="7"/>
      <c r="AD39" s="7"/>
      <c r="AE39" s="7"/>
      <c r="AF39" s="7"/>
      <c r="AG39" s="7"/>
      <c r="AH39" s="7"/>
      <c r="AI39" s="7"/>
      <c r="AJ39" s="7"/>
      <c r="AK39" s="7"/>
      <c r="AL39" s="7"/>
      <c r="AM39" s="7"/>
      <c r="AN39" s="7"/>
    </row>
    <row r="40" ht="15.75" customHeight="1" spans="1:40">
      <c r="A40" s="6" t="s">
        <v>936</v>
      </c>
      <c r="B40" s="46" t="s">
        <v>506</v>
      </c>
      <c r="C40" s="4" t="s">
        <v>957</v>
      </c>
      <c r="D40" s="9" t="s">
        <v>1253</v>
      </c>
      <c r="E40" s="29" t="s">
        <v>971</v>
      </c>
      <c r="F40" s="6" t="s">
        <v>1254</v>
      </c>
      <c r="G40" s="6">
        <v>2140663507</v>
      </c>
      <c r="H40" s="7" t="s">
        <v>985</v>
      </c>
      <c r="I40" s="47" t="s">
        <v>1255</v>
      </c>
      <c r="J40" s="7" t="s">
        <v>941</v>
      </c>
      <c r="K40" s="7" t="s">
        <v>942</v>
      </c>
      <c r="L40" s="7" t="s">
        <v>943</v>
      </c>
      <c r="M40" s="7" t="s">
        <v>1256</v>
      </c>
      <c r="N40" s="55">
        <v>34888</v>
      </c>
      <c r="O40" s="7" t="s">
        <v>1028</v>
      </c>
      <c r="P40" s="7" t="s">
        <v>1257</v>
      </c>
      <c r="Q40" s="7" t="s">
        <v>947</v>
      </c>
      <c r="R40" s="7" t="s">
        <v>1258</v>
      </c>
      <c r="S40" s="59">
        <v>65</v>
      </c>
      <c r="T40" s="7" t="s">
        <v>1030</v>
      </c>
      <c r="U40" s="7"/>
      <c r="V40" s="7">
        <v>51989166674</v>
      </c>
      <c r="W40" s="7">
        <v>51989166674</v>
      </c>
      <c r="X40" s="7" t="s">
        <v>953</v>
      </c>
      <c r="Y40" s="7" t="s">
        <v>660</v>
      </c>
      <c r="Z40" s="59">
        <v>95630000</v>
      </c>
      <c r="AA40" s="7" t="s">
        <v>1259</v>
      </c>
      <c r="AB40" s="7" t="s">
        <v>1260</v>
      </c>
      <c r="AC40" s="7" t="s">
        <v>396</v>
      </c>
      <c r="AD40" s="7" t="s">
        <v>396</v>
      </c>
      <c r="AE40" s="7" t="s">
        <v>396</v>
      </c>
      <c r="AF40" s="7" t="s">
        <v>396</v>
      </c>
      <c r="AG40" s="7" t="s">
        <v>396</v>
      </c>
      <c r="AH40" s="59">
        <v>39</v>
      </c>
      <c r="AI40" s="59">
        <v>39</v>
      </c>
      <c r="AJ40" s="59">
        <v>39</v>
      </c>
      <c r="AK40" s="59">
        <v>39</v>
      </c>
      <c r="AL40" s="7" t="s">
        <v>396</v>
      </c>
      <c r="AM40" s="7" t="s">
        <v>396</v>
      </c>
      <c r="AN40" s="7" t="s">
        <v>396</v>
      </c>
    </row>
    <row r="41" ht="15.75" customHeight="1" spans="1:40">
      <c r="A41" s="6" t="s">
        <v>936</v>
      </c>
      <c r="B41" s="6" t="s">
        <v>659</v>
      </c>
      <c r="C41" s="4" t="s">
        <v>937</v>
      </c>
      <c r="D41" s="9" t="s">
        <v>1261</v>
      </c>
      <c r="E41" s="29" t="s">
        <v>971</v>
      </c>
      <c r="F41" s="6" t="s">
        <v>1262</v>
      </c>
      <c r="G41" s="6">
        <v>2687649</v>
      </c>
      <c r="H41" s="7" t="s">
        <v>985</v>
      </c>
      <c r="I41" s="7" t="s">
        <v>940</v>
      </c>
      <c r="J41" s="7" t="s">
        <v>942</v>
      </c>
      <c r="K41" s="7" t="s">
        <v>941</v>
      </c>
      <c r="L41" s="7" t="s">
        <v>1080</v>
      </c>
      <c r="M41" s="7" t="s">
        <v>1263</v>
      </c>
      <c r="N41" s="51">
        <v>30053</v>
      </c>
      <c r="O41" s="7" t="s">
        <v>945</v>
      </c>
      <c r="P41" s="7" t="s">
        <v>946</v>
      </c>
      <c r="Q41" s="7" t="s">
        <v>963</v>
      </c>
      <c r="R41" s="7" t="s">
        <v>1264</v>
      </c>
      <c r="S41" s="7" t="s">
        <v>1265</v>
      </c>
      <c r="T41" s="7" t="s">
        <v>1044</v>
      </c>
      <c r="U41" s="7"/>
      <c r="V41" s="7" t="s">
        <v>1266</v>
      </c>
      <c r="W41" s="7"/>
      <c r="X41" s="7" t="s">
        <v>1267</v>
      </c>
      <c r="Y41" s="7" t="s">
        <v>659</v>
      </c>
      <c r="Z41" s="7"/>
      <c r="AA41" s="7" t="s">
        <v>1268</v>
      </c>
      <c r="AB41" s="7" t="s">
        <v>1269</v>
      </c>
      <c r="AC41" s="7" t="s">
        <v>396</v>
      </c>
      <c r="AD41" s="7" t="s">
        <v>396</v>
      </c>
      <c r="AE41" s="7" t="s">
        <v>396</v>
      </c>
      <c r="AF41" s="7" t="s">
        <v>396</v>
      </c>
      <c r="AG41" s="7" t="s">
        <v>396</v>
      </c>
      <c r="AH41" s="59">
        <v>40</v>
      </c>
      <c r="AI41" s="59">
        <v>40</v>
      </c>
      <c r="AJ41" s="59">
        <v>40</v>
      </c>
      <c r="AK41" s="59">
        <v>40</v>
      </c>
      <c r="AL41" s="7" t="s">
        <v>396</v>
      </c>
      <c r="AM41" s="7" t="s">
        <v>396</v>
      </c>
      <c r="AN41" s="7" t="s">
        <v>396</v>
      </c>
    </row>
    <row r="42" ht="15.75" customHeight="1" spans="1:40">
      <c r="A42" s="6" t="s">
        <v>936</v>
      </c>
      <c r="B42" s="6" t="s">
        <v>660</v>
      </c>
      <c r="C42" s="4" t="s">
        <v>937</v>
      </c>
      <c r="D42" s="9" t="s">
        <v>157</v>
      </c>
      <c r="E42" s="29" t="s">
        <v>491</v>
      </c>
      <c r="F42" s="6" t="s">
        <v>1270</v>
      </c>
      <c r="G42" s="6">
        <v>1133162592</v>
      </c>
      <c r="H42" s="7" t="s">
        <v>985</v>
      </c>
      <c r="I42" s="7" t="s">
        <v>1271</v>
      </c>
      <c r="J42" s="7" t="s">
        <v>942</v>
      </c>
      <c r="K42" s="7" t="s">
        <v>942</v>
      </c>
      <c r="L42" s="7" t="s">
        <v>1080</v>
      </c>
      <c r="M42" s="7" t="s">
        <v>1272</v>
      </c>
      <c r="N42" s="51">
        <v>37572</v>
      </c>
      <c r="O42" s="7" t="s">
        <v>1028</v>
      </c>
      <c r="P42" s="7" t="s">
        <v>946</v>
      </c>
      <c r="Q42" s="7" t="s">
        <v>947</v>
      </c>
      <c r="R42" s="7" t="s">
        <v>1273</v>
      </c>
      <c r="S42" s="59">
        <v>60</v>
      </c>
      <c r="T42" s="7" t="s">
        <v>1030</v>
      </c>
      <c r="U42" s="7"/>
      <c r="V42" s="7" t="s">
        <v>1274</v>
      </c>
      <c r="W42" s="7" t="s">
        <v>1275</v>
      </c>
      <c r="X42" s="7" t="s">
        <v>953</v>
      </c>
      <c r="Y42" s="7" t="s">
        <v>660</v>
      </c>
      <c r="Z42" s="7" t="s">
        <v>1135</v>
      </c>
      <c r="AA42" s="7" t="s">
        <v>1276</v>
      </c>
      <c r="AB42" s="7" t="s">
        <v>1277</v>
      </c>
      <c r="AC42" s="7" t="s">
        <v>396</v>
      </c>
      <c r="AD42" s="7" t="s">
        <v>396</v>
      </c>
      <c r="AE42" s="7" t="s">
        <v>395</v>
      </c>
      <c r="AF42" s="7" t="s">
        <v>395</v>
      </c>
      <c r="AG42" s="7" t="s">
        <v>396</v>
      </c>
      <c r="AH42" s="59">
        <v>38</v>
      </c>
      <c r="AI42" s="59">
        <v>38</v>
      </c>
      <c r="AJ42" s="59">
        <v>38</v>
      </c>
      <c r="AK42" s="59">
        <v>38</v>
      </c>
      <c r="AL42" s="7" t="s">
        <v>396</v>
      </c>
      <c r="AM42" s="7" t="s">
        <v>395</v>
      </c>
      <c r="AN42" s="7" t="s">
        <v>395</v>
      </c>
    </row>
    <row r="43" ht="15.75" customHeight="1" spans="1:40">
      <c r="A43" s="6" t="s">
        <v>936</v>
      </c>
      <c r="B43" s="6" t="s">
        <v>966</v>
      </c>
      <c r="C43" s="4" t="s">
        <v>937</v>
      </c>
      <c r="D43" s="9" t="s">
        <v>159</v>
      </c>
      <c r="E43" s="29" t="s">
        <v>490</v>
      </c>
      <c r="F43" s="6" t="s">
        <v>1278</v>
      </c>
      <c r="G43" s="6">
        <v>3110664863</v>
      </c>
      <c r="H43" s="7" t="s">
        <v>1279</v>
      </c>
      <c r="I43" s="7" t="s">
        <v>1280</v>
      </c>
      <c r="J43" s="7" t="s">
        <v>941</v>
      </c>
      <c r="K43" s="7" t="s">
        <v>941</v>
      </c>
      <c r="L43" s="7" t="s">
        <v>943</v>
      </c>
      <c r="M43" s="7" t="s">
        <v>1281</v>
      </c>
      <c r="N43" s="51">
        <v>34038</v>
      </c>
      <c r="O43" s="7" t="s">
        <v>945</v>
      </c>
      <c r="P43" s="7" t="s">
        <v>946</v>
      </c>
      <c r="Q43" s="7" t="s">
        <v>1245</v>
      </c>
      <c r="R43" s="7" t="s">
        <v>1282</v>
      </c>
      <c r="S43" s="59">
        <v>82</v>
      </c>
      <c r="T43" s="7" t="s">
        <v>1044</v>
      </c>
      <c r="U43" s="7"/>
      <c r="V43" s="7" t="s">
        <v>1283</v>
      </c>
      <c r="W43" s="7" t="s">
        <v>1283</v>
      </c>
      <c r="X43" s="7" t="s">
        <v>953</v>
      </c>
      <c r="Y43" s="7" t="s">
        <v>966</v>
      </c>
      <c r="Z43" s="7" t="s">
        <v>1284</v>
      </c>
      <c r="AA43" s="7" t="s">
        <v>1285</v>
      </c>
      <c r="AB43" s="7" t="s">
        <v>1286</v>
      </c>
      <c r="AC43" s="7" t="s">
        <v>396</v>
      </c>
      <c r="AD43" s="7" t="s">
        <v>396</v>
      </c>
      <c r="AE43" s="7" t="s">
        <v>396</v>
      </c>
      <c r="AF43" s="7" t="s">
        <v>396</v>
      </c>
      <c r="AG43" s="7" t="s">
        <v>396</v>
      </c>
      <c r="AH43" s="59">
        <v>41</v>
      </c>
      <c r="AI43" s="59">
        <v>41</v>
      </c>
      <c r="AJ43" s="59">
        <v>41</v>
      </c>
      <c r="AK43" s="59">
        <v>41</v>
      </c>
      <c r="AL43" s="7" t="s">
        <v>396</v>
      </c>
      <c r="AM43" s="7" t="s">
        <v>396</v>
      </c>
      <c r="AN43" s="7" t="s">
        <v>396</v>
      </c>
    </row>
    <row r="44" ht="15.75" customHeight="1" spans="1:40">
      <c r="A44" s="6" t="s">
        <v>936</v>
      </c>
      <c r="B44" s="46" t="s">
        <v>506</v>
      </c>
      <c r="C44" s="4" t="s">
        <v>957</v>
      </c>
      <c r="D44" s="9" t="s">
        <v>1287</v>
      </c>
      <c r="E44" s="29" t="s">
        <v>971</v>
      </c>
      <c r="F44" s="6" t="s">
        <v>1288</v>
      </c>
      <c r="G44" s="6">
        <v>6096756538</v>
      </c>
      <c r="H44" s="7" t="s">
        <v>960</v>
      </c>
      <c r="I44" s="47" t="s">
        <v>1289</v>
      </c>
      <c r="J44" s="7" t="s">
        <v>942</v>
      </c>
      <c r="K44" s="7" t="s">
        <v>942</v>
      </c>
      <c r="L44" s="7"/>
      <c r="M44" s="7" t="s">
        <v>1290</v>
      </c>
      <c r="N44" s="51">
        <v>32327</v>
      </c>
      <c r="O44" s="7" t="s">
        <v>945</v>
      </c>
      <c r="P44" s="7" t="s">
        <v>1041</v>
      </c>
      <c r="Q44" s="7" t="s">
        <v>963</v>
      </c>
      <c r="R44" s="7" t="s">
        <v>1291</v>
      </c>
      <c r="S44" s="59">
        <v>82</v>
      </c>
      <c r="T44" s="7" t="s">
        <v>1044</v>
      </c>
      <c r="U44" s="7"/>
      <c r="V44" s="7">
        <v>51980189316</v>
      </c>
      <c r="W44" s="7">
        <v>51980189316</v>
      </c>
      <c r="X44" s="7" t="s">
        <v>953</v>
      </c>
      <c r="Y44" s="7" t="s">
        <v>506</v>
      </c>
      <c r="Z44" s="7" t="s">
        <v>1292</v>
      </c>
      <c r="AA44" s="7" t="s">
        <v>1293</v>
      </c>
      <c r="AB44" s="7" t="s">
        <v>1014</v>
      </c>
      <c r="AC44" s="7" t="s">
        <v>396</v>
      </c>
      <c r="AD44" s="7" t="s">
        <v>396</v>
      </c>
      <c r="AE44" s="7" t="s">
        <v>406</v>
      </c>
      <c r="AF44" s="7" t="s">
        <v>406</v>
      </c>
      <c r="AG44" s="7" t="s">
        <v>406</v>
      </c>
      <c r="AH44" s="59">
        <v>40</v>
      </c>
      <c r="AI44" s="59">
        <v>40</v>
      </c>
      <c r="AJ44" s="59">
        <v>40</v>
      </c>
      <c r="AK44" s="59">
        <v>40</v>
      </c>
      <c r="AL44" s="7" t="s">
        <v>406</v>
      </c>
      <c r="AM44" s="7" t="s">
        <v>396</v>
      </c>
      <c r="AN44" s="7" t="s">
        <v>396</v>
      </c>
    </row>
    <row r="45" ht="15.75" customHeight="1" spans="1:40">
      <c r="A45" s="6" t="s">
        <v>936</v>
      </c>
      <c r="B45" s="6" t="s">
        <v>660</v>
      </c>
      <c r="C45" s="4" t="s">
        <v>937</v>
      </c>
      <c r="D45" s="9" t="s">
        <v>1294</v>
      </c>
      <c r="E45" s="29" t="s">
        <v>971</v>
      </c>
      <c r="F45" s="6" t="s">
        <v>1295</v>
      </c>
      <c r="G45" s="6">
        <v>9058645467</v>
      </c>
      <c r="H45" s="7" t="s">
        <v>1296</v>
      </c>
      <c r="I45" s="7" t="s">
        <v>1297</v>
      </c>
      <c r="J45" s="7" t="s">
        <v>942</v>
      </c>
      <c r="K45" s="7" t="s">
        <v>941</v>
      </c>
      <c r="L45" s="7" t="s">
        <v>1068</v>
      </c>
      <c r="M45" s="7" t="s">
        <v>1298</v>
      </c>
      <c r="N45" s="51">
        <v>27910</v>
      </c>
      <c r="O45" s="7" t="s">
        <v>945</v>
      </c>
      <c r="P45" s="7" t="s">
        <v>1041</v>
      </c>
      <c r="Q45" s="7" t="s">
        <v>963</v>
      </c>
      <c r="R45" s="7" t="s">
        <v>1299</v>
      </c>
      <c r="S45" s="59">
        <v>98</v>
      </c>
      <c r="T45" s="7" t="s">
        <v>1030</v>
      </c>
      <c r="U45" s="7"/>
      <c r="V45" s="7" t="s">
        <v>1300</v>
      </c>
      <c r="W45" s="7" t="s">
        <v>1300</v>
      </c>
      <c r="X45" s="7" t="s">
        <v>953</v>
      </c>
      <c r="Y45" s="7" t="s">
        <v>660</v>
      </c>
      <c r="Z45" s="7">
        <v>9563000</v>
      </c>
      <c r="AA45" s="7" t="s">
        <v>1301</v>
      </c>
      <c r="AB45" s="7" t="s">
        <v>1302</v>
      </c>
      <c r="AC45" s="7" t="s">
        <v>398</v>
      </c>
      <c r="AD45" s="7" t="s">
        <v>398</v>
      </c>
      <c r="AE45" s="7" t="s">
        <v>398</v>
      </c>
      <c r="AF45" s="7" t="s">
        <v>398</v>
      </c>
      <c r="AG45" s="7" t="s">
        <v>398</v>
      </c>
      <c r="AH45" s="59">
        <v>42</v>
      </c>
      <c r="AI45" s="59">
        <v>41</v>
      </c>
      <c r="AJ45" s="59">
        <v>42</v>
      </c>
      <c r="AK45" s="59">
        <v>41</v>
      </c>
      <c r="AL45" s="7" t="s">
        <v>406</v>
      </c>
      <c r="AM45" s="7" t="s">
        <v>406</v>
      </c>
      <c r="AN45" s="7" t="s">
        <v>406</v>
      </c>
    </row>
    <row r="46" ht="15.75" customHeight="1" spans="1:40">
      <c r="A46" s="6" t="s">
        <v>936</v>
      </c>
      <c r="B46" s="46" t="s">
        <v>1120</v>
      </c>
      <c r="C46" s="4" t="s">
        <v>957</v>
      </c>
      <c r="D46" s="9" t="s">
        <v>1303</v>
      </c>
      <c r="E46" s="29" t="s">
        <v>971</v>
      </c>
      <c r="F46" s="6" t="s">
        <v>1304</v>
      </c>
      <c r="G46" s="6">
        <v>3059128821</v>
      </c>
      <c r="H46" s="7" t="s">
        <v>985</v>
      </c>
      <c r="I46" s="7" t="s">
        <v>1195</v>
      </c>
      <c r="J46" s="7" t="s">
        <v>941</v>
      </c>
      <c r="K46" s="7" t="s">
        <v>942</v>
      </c>
      <c r="L46" s="7" t="s">
        <v>1068</v>
      </c>
      <c r="M46" s="7" t="s">
        <v>1305</v>
      </c>
      <c r="N46" s="51">
        <v>27246</v>
      </c>
      <c r="O46" s="7" t="s">
        <v>945</v>
      </c>
      <c r="P46" s="7" t="s">
        <v>946</v>
      </c>
      <c r="Q46" s="7" t="s">
        <v>963</v>
      </c>
      <c r="R46" s="75" t="s">
        <v>1306</v>
      </c>
      <c r="S46" s="59">
        <v>80</v>
      </c>
      <c r="T46" s="6" t="s">
        <v>1030</v>
      </c>
      <c r="U46" s="7"/>
      <c r="V46" s="7" t="s">
        <v>1307</v>
      </c>
      <c r="W46" s="7" t="s">
        <v>1308</v>
      </c>
      <c r="X46" s="7" t="s">
        <v>953</v>
      </c>
      <c r="Y46" s="7" t="s">
        <v>1309</v>
      </c>
      <c r="Z46" s="7">
        <v>92222440</v>
      </c>
      <c r="AA46" s="7" t="s">
        <v>1310</v>
      </c>
      <c r="AB46" s="7" t="s">
        <v>1311</v>
      </c>
      <c r="AC46" s="7" t="s">
        <v>406</v>
      </c>
      <c r="AD46" s="7" t="s">
        <v>406</v>
      </c>
      <c r="AE46" s="7" t="s">
        <v>406</v>
      </c>
      <c r="AF46" s="7" t="s">
        <v>406</v>
      </c>
      <c r="AG46" s="7" t="s">
        <v>406</v>
      </c>
      <c r="AH46" s="59">
        <v>40</v>
      </c>
      <c r="AI46" s="59">
        <v>40</v>
      </c>
      <c r="AJ46" s="59">
        <v>40</v>
      </c>
      <c r="AK46" s="59">
        <v>40</v>
      </c>
      <c r="AL46" s="7" t="s">
        <v>406</v>
      </c>
      <c r="AM46" s="7" t="s">
        <v>406</v>
      </c>
      <c r="AN46" s="7" t="s">
        <v>1128</v>
      </c>
    </row>
    <row r="47" ht="15.75" customHeight="1" spans="1:40">
      <c r="A47" s="6" t="s">
        <v>936</v>
      </c>
      <c r="B47" s="6" t="s">
        <v>656</v>
      </c>
      <c r="C47" s="4" t="s">
        <v>937</v>
      </c>
      <c r="D47" s="9" t="s">
        <v>1312</v>
      </c>
      <c r="E47" s="29" t="s">
        <v>971</v>
      </c>
      <c r="F47" s="6" t="s">
        <v>1313</v>
      </c>
      <c r="G47" s="6">
        <v>1059570661</v>
      </c>
      <c r="H47" s="7" t="s">
        <v>939</v>
      </c>
      <c r="I47" s="7" t="s">
        <v>940</v>
      </c>
      <c r="J47" s="7" t="s">
        <v>941</v>
      </c>
      <c r="K47" s="7" t="s">
        <v>941</v>
      </c>
      <c r="L47" s="7" t="s">
        <v>975</v>
      </c>
      <c r="M47" s="7" t="s">
        <v>1314</v>
      </c>
      <c r="N47" s="51">
        <v>27413</v>
      </c>
      <c r="O47" s="7" t="s">
        <v>945</v>
      </c>
      <c r="P47" s="7" t="s">
        <v>946</v>
      </c>
      <c r="Q47" s="7" t="s">
        <v>963</v>
      </c>
      <c r="R47" s="7" t="s">
        <v>1315</v>
      </c>
      <c r="S47" s="59">
        <v>98</v>
      </c>
      <c r="T47" s="7" t="s">
        <v>1011</v>
      </c>
      <c r="U47" s="7"/>
      <c r="V47" s="7" t="s">
        <v>1316</v>
      </c>
      <c r="W47" s="7"/>
      <c r="X47" s="7" t="s">
        <v>953</v>
      </c>
      <c r="Y47" s="7" t="s">
        <v>966</v>
      </c>
      <c r="Z47" s="7" t="s">
        <v>1317</v>
      </c>
      <c r="AA47" s="7" t="s">
        <v>1318</v>
      </c>
      <c r="AB47" s="7" t="s">
        <v>1319</v>
      </c>
      <c r="AC47" s="7" t="s">
        <v>406</v>
      </c>
      <c r="AD47" s="7" t="s">
        <v>406</v>
      </c>
      <c r="AE47" s="7" t="s">
        <v>406</v>
      </c>
      <c r="AF47" s="7" t="s">
        <v>406</v>
      </c>
      <c r="AG47" s="7" t="s">
        <v>406</v>
      </c>
      <c r="AH47" s="59">
        <v>41</v>
      </c>
      <c r="AI47" s="59">
        <v>41</v>
      </c>
      <c r="AJ47" s="59">
        <v>41</v>
      </c>
      <c r="AK47" s="59">
        <v>41</v>
      </c>
      <c r="AL47" s="7" t="s">
        <v>406</v>
      </c>
      <c r="AM47" s="7" t="s">
        <v>406</v>
      </c>
      <c r="AN47" s="7" t="s">
        <v>396</v>
      </c>
    </row>
    <row r="48" ht="15.75" customHeight="1" spans="1:40">
      <c r="A48" s="7" t="s">
        <v>1320</v>
      </c>
      <c r="B48" s="7" t="s">
        <v>659</v>
      </c>
      <c r="C48" s="79" t="s">
        <v>1321</v>
      </c>
      <c r="D48" s="9" t="s">
        <v>1322</v>
      </c>
      <c r="E48" s="29" t="s">
        <v>971</v>
      </c>
      <c r="F48" s="6" t="s">
        <v>1323</v>
      </c>
      <c r="G48" s="80">
        <v>5094379244</v>
      </c>
      <c r="H48" s="7" t="s">
        <v>985</v>
      </c>
      <c r="I48" s="7" t="s">
        <v>1324</v>
      </c>
      <c r="J48" s="7" t="s">
        <v>1325</v>
      </c>
      <c r="K48" s="7" t="s">
        <v>941</v>
      </c>
      <c r="L48" s="7" t="s">
        <v>943</v>
      </c>
      <c r="M48" s="7" t="s">
        <v>1326</v>
      </c>
      <c r="N48" s="15">
        <v>31027</v>
      </c>
      <c r="O48" s="7" t="s">
        <v>945</v>
      </c>
      <c r="P48" s="7" t="s">
        <v>946</v>
      </c>
      <c r="Q48" s="7" t="s">
        <v>963</v>
      </c>
      <c r="R48" s="7" t="s">
        <v>1327</v>
      </c>
      <c r="S48" s="7" t="s">
        <v>1328</v>
      </c>
      <c r="T48" s="7" t="s">
        <v>1011</v>
      </c>
      <c r="U48" s="7"/>
      <c r="V48" s="7">
        <v>51996984981</v>
      </c>
      <c r="W48" s="7" t="s">
        <v>1329</v>
      </c>
      <c r="X48" s="7" t="s">
        <v>953</v>
      </c>
      <c r="Y48" s="7" t="s">
        <v>966</v>
      </c>
      <c r="Z48" s="7">
        <v>93548420</v>
      </c>
      <c r="AA48" s="7" t="s">
        <v>1330</v>
      </c>
      <c r="AB48" s="7" t="s">
        <v>1331</v>
      </c>
      <c r="AC48" s="7" t="s">
        <v>398</v>
      </c>
      <c r="AD48" s="7" t="s">
        <v>399</v>
      </c>
      <c r="AE48" s="7" t="s">
        <v>399</v>
      </c>
      <c r="AF48" s="7" t="s">
        <v>399</v>
      </c>
      <c r="AG48" s="7" t="s">
        <v>399</v>
      </c>
      <c r="AH48" s="7">
        <v>41</v>
      </c>
      <c r="AI48" s="7">
        <v>41</v>
      </c>
      <c r="AJ48" s="7">
        <v>41</v>
      </c>
      <c r="AK48" s="7">
        <v>41</v>
      </c>
      <c r="AL48" s="7" t="s">
        <v>399</v>
      </c>
      <c r="AM48" s="7" t="s">
        <v>399</v>
      </c>
      <c r="AN48" s="7" t="s">
        <v>398</v>
      </c>
    </row>
    <row r="49" ht="15.75" customHeight="1" spans="1:40">
      <c r="A49" s="6" t="s">
        <v>936</v>
      </c>
      <c r="B49" s="6" t="s">
        <v>595</v>
      </c>
      <c r="C49" s="4" t="s">
        <v>937</v>
      </c>
      <c r="D49" s="9" t="s">
        <v>161</v>
      </c>
      <c r="E49" s="29" t="s">
        <v>490</v>
      </c>
      <c r="F49" s="6" t="s">
        <v>1332</v>
      </c>
      <c r="G49" s="6">
        <v>7092719389</v>
      </c>
      <c r="H49" s="7" t="s">
        <v>939</v>
      </c>
      <c r="I49" s="7" t="s">
        <v>940</v>
      </c>
      <c r="J49" s="7" t="s">
        <v>941</v>
      </c>
      <c r="K49" s="7" t="s">
        <v>942</v>
      </c>
      <c r="L49" s="7" t="s">
        <v>943</v>
      </c>
      <c r="M49" s="7" t="s">
        <v>1333</v>
      </c>
      <c r="N49" s="51">
        <v>28865</v>
      </c>
      <c r="O49" s="7" t="s">
        <v>945</v>
      </c>
      <c r="P49" s="7" t="s">
        <v>946</v>
      </c>
      <c r="Q49" s="7" t="s">
        <v>963</v>
      </c>
      <c r="R49" s="7" t="s">
        <v>1334</v>
      </c>
      <c r="S49" s="59">
        <v>94</v>
      </c>
      <c r="T49" s="7" t="s">
        <v>965</v>
      </c>
      <c r="U49" s="7"/>
      <c r="V49" s="7" t="s">
        <v>1335</v>
      </c>
      <c r="W49" s="7"/>
      <c r="X49" s="7" t="s">
        <v>953</v>
      </c>
      <c r="Y49" s="7" t="s">
        <v>595</v>
      </c>
      <c r="Z49" s="7" t="s">
        <v>1336</v>
      </c>
      <c r="AA49" s="7" t="s">
        <v>1337</v>
      </c>
      <c r="AB49" s="7" t="s">
        <v>1338</v>
      </c>
      <c r="AC49" s="7" t="s">
        <v>398</v>
      </c>
      <c r="AD49" s="7" t="s">
        <v>398</v>
      </c>
      <c r="AE49" s="7" t="s">
        <v>398</v>
      </c>
      <c r="AF49" s="7" t="s">
        <v>398</v>
      </c>
      <c r="AG49" s="7" t="s">
        <v>398</v>
      </c>
      <c r="AH49" s="59">
        <v>42</v>
      </c>
      <c r="AI49" s="59">
        <v>42</v>
      </c>
      <c r="AJ49" s="59">
        <v>42</v>
      </c>
      <c r="AK49" s="59">
        <v>42</v>
      </c>
      <c r="AL49" s="7" t="s">
        <v>398</v>
      </c>
      <c r="AM49" s="7" t="s">
        <v>398</v>
      </c>
      <c r="AN49" s="7" t="s">
        <v>398</v>
      </c>
    </row>
    <row r="50" ht="15.75" customHeight="1" spans="1:40">
      <c r="A50" s="6" t="s">
        <v>936</v>
      </c>
      <c r="B50" s="6" t="s">
        <v>966</v>
      </c>
      <c r="C50" s="4" t="s">
        <v>937</v>
      </c>
      <c r="D50" s="9" t="s">
        <v>163</v>
      </c>
      <c r="E50" s="29" t="s">
        <v>491</v>
      </c>
      <c r="F50" s="6" t="s">
        <v>1339</v>
      </c>
      <c r="G50" s="6">
        <v>3051177041</v>
      </c>
      <c r="H50" s="7" t="s">
        <v>939</v>
      </c>
      <c r="I50" s="7" t="s">
        <v>940</v>
      </c>
      <c r="J50" s="7" t="s">
        <v>941</v>
      </c>
      <c r="K50" s="7" t="s">
        <v>941</v>
      </c>
      <c r="L50" s="7" t="s">
        <v>943</v>
      </c>
      <c r="M50" s="7" t="s">
        <v>1340</v>
      </c>
      <c r="N50" s="51">
        <v>26157</v>
      </c>
      <c r="O50" s="7" t="s">
        <v>945</v>
      </c>
      <c r="P50" s="7" t="s">
        <v>946</v>
      </c>
      <c r="Q50" s="7" t="s">
        <v>1245</v>
      </c>
      <c r="R50" s="7" t="s">
        <v>1341</v>
      </c>
      <c r="S50" s="59">
        <v>80</v>
      </c>
      <c r="T50" s="7" t="s">
        <v>1011</v>
      </c>
      <c r="U50" s="7"/>
      <c r="V50" s="7" t="s">
        <v>1342</v>
      </c>
      <c r="W50" s="84" t="s">
        <v>1343</v>
      </c>
      <c r="X50" s="7" t="s">
        <v>953</v>
      </c>
      <c r="Y50" s="7" t="s">
        <v>627</v>
      </c>
      <c r="Z50" s="7" t="s">
        <v>1237</v>
      </c>
      <c r="AA50" s="7" t="s">
        <v>1344</v>
      </c>
      <c r="AB50" s="7" t="s">
        <v>1239</v>
      </c>
      <c r="AC50" s="7" t="s">
        <v>406</v>
      </c>
      <c r="AD50" s="7" t="s">
        <v>406</v>
      </c>
      <c r="AE50" s="7" t="s">
        <v>396</v>
      </c>
      <c r="AF50" s="7" t="s">
        <v>406</v>
      </c>
      <c r="AG50" s="7" t="s">
        <v>406</v>
      </c>
      <c r="AH50" s="59">
        <v>41</v>
      </c>
      <c r="AI50" s="59">
        <v>41</v>
      </c>
      <c r="AJ50" s="59">
        <v>41</v>
      </c>
      <c r="AK50" s="59">
        <v>41</v>
      </c>
      <c r="AL50" s="7" t="s">
        <v>406</v>
      </c>
      <c r="AM50" s="7" t="s">
        <v>396</v>
      </c>
      <c r="AN50" s="7" t="s">
        <v>396</v>
      </c>
    </row>
    <row r="51" ht="15.75" customHeight="1" spans="1:40">
      <c r="A51" s="6" t="s">
        <v>936</v>
      </c>
      <c r="B51" s="47"/>
      <c r="C51" s="8"/>
      <c r="D51" s="9" t="s">
        <v>165</v>
      </c>
      <c r="E51" s="29" t="s">
        <v>491</v>
      </c>
      <c r="F51" s="6" t="s">
        <v>1345</v>
      </c>
      <c r="G51" s="7"/>
      <c r="H51" s="47"/>
      <c r="I51" s="47"/>
      <c r="J51" s="7"/>
      <c r="K51" s="7"/>
      <c r="L51" s="7"/>
      <c r="M51" s="7"/>
      <c r="N51" s="15"/>
      <c r="O51" s="7"/>
      <c r="P51" s="7"/>
      <c r="Q51" s="7"/>
      <c r="R51" s="7"/>
      <c r="S51" s="7"/>
      <c r="T51" s="7"/>
      <c r="U51" s="7"/>
      <c r="V51" s="7"/>
      <c r="W51" s="7"/>
      <c r="X51" s="7"/>
      <c r="Y51" s="7"/>
      <c r="Z51" s="7"/>
      <c r="AA51" s="7"/>
      <c r="AB51" s="7"/>
      <c r="AC51" s="7"/>
      <c r="AD51" s="7"/>
      <c r="AE51" s="7"/>
      <c r="AF51" s="7"/>
      <c r="AG51" s="7"/>
      <c r="AH51" s="7"/>
      <c r="AI51" s="7"/>
      <c r="AJ51" s="7"/>
      <c r="AK51" s="7"/>
      <c r="AL51" s="7"/>
      <c r="AM51" s="7"/>
      <c r="AN51" s="7"/>
    </row>
    <row r="52" ht="15.75" customHeight="1" spans="1:40">
      <c r="A52" s="46" t="s">
        <v>936</v>
      </c>
      <c r="B52" s="46" t="s">
        <v>1346</v>
      </c>
      <c r="C52" s="4" t="s">
        <v>937</v>
      </c>
      <c r="D52" s="9" t="s">
        <v>1347</v>
      </c>
      <c r="E52" s="29" t="s">
        <v>492</v>
      </c>
      <c r="F52" s="6" t="s">
        <v>1348</v>
      </c>
      <c r="G52" s="6">
        <v>1085327672</v>
      </c>
      <c r="H52" s="47" t="s">
        <v>1078</v>
      </c>
      <c r="I52" s="47" t="s">
        <v>1349</v>
      </c>
      <c r="J52" s="7" t="s">
        <v>941</v>
      </c>
      <c r="K52" s="7" t="s">
        <v>942</v>
      </c>
      <c r="L52" s="7" t="s">
        <v>975</v>
      </c>
      <c r="M52" s="7" t="s">
        <v>1350</v>
      </c>
      <c r="N52" s="51">
        <v>31846</v>
      </c>
      <c r="O52" s="7" t="s">
        <v>945</v>
      </c>
      <c r="P52" s="7" t="s">
        <v>1351</v>
      </c>
      <c r="Q52" s="7" t="s">
        <v>1054</v>
      </c>
      <c r="R52" s="7" t="s">
        <v>1352</v>
      </c>
      <c r="S52" s="59">
        <v>83</v>
      </c>
      <c r="T52" s="7"/>
      <c r="U52" s="7"/>
      <c r="V52" s="59">
        <v>51980885493</v>
      </c>
      <c r="W52" s="7"/>
      <c r="X52" s="7" t="s">
        <v>953</v>
      </c>
      <c r="Y52" s="7" t="s">
        <v>1353</v>
      </c>
      <c r="Z52" s="59">
        <v>9399000</v>
      </c>
      <c r="AA52" s="7" t="s">
        <v>1354</v>
      </c>
      <c r="AB52" s="7" t="s">
        <v>1355</v>
      </c>
      <c r="AC52" s="7" t="s">
        <v>406</v>
      </c>
      <c r="AD52" s="7" t="s">
        <v>406</v>
      </c>
      <c r="AE52" s="7" t="s">
        <v>406</v>
      </c>
      <c r="AF52" s="7" t="s">
        <v>406</v>
      </c>
      <c r="AG52" s="7" t="s">
        <v>406</v>
      </c>
      <c r="AH52" s="59">
        <v>41</v>
      </c>
      <c r="AI52" s="59">
        <v>41</v>
      </c>
      <c r="AJ52" s="59">
        <v>41</v>
      </c>
      <c r="AK52" s="59">
        <v>41</v>
      </c>
      <c r="AL52" s="7" t="s">
        <v>406</v>
      </c>
      <c r="AM52" s="7" t="s">
        <v>406</v>
      </c>
      <c r="AN52" s="7"/>
    </row>
    <row r="53" ht="15.75" customHeight="1" spans="1:40">
      <c r="A53" s="6" t="s">
        <v>936</v>
      </c>
      <c r="B53" s="46" t="s">
        <v>506</v>
      </c>
      <c r="C53" s="4" t="s">
        <v>957</v>
      </c>
      <c r="D53" s="9" t="s">
        <v>1356</v>
      </c>
      <c r="E53" s="29" t="s">
        <v>490</v>
      </c>
      <c r="F53" s="6" t="s">
        <v>1357</v>
      </c>
      <c r="G53" s="6">
        <v>3073793411</v>
      </c>
      <c r="H53" s="7" t="s">
        <v>960</v>
      </c>
      <c r="I53" s="47" t="s">
        <v>1358</v>
      </c>
      <c r="J53" s="7" t="s">
        <v>941</v>
      </c>
      <c r="K53" s="7" t="s">
        <v>942</v>
      </c>
      <c r="L53" s="7" t="s">
        <v>975</v>
      </c>
      <c r="M53" s="7" t="s">
        <v>1359</v>
      </c>
      <c r="N53" s="55">
        <v>29585</v>
      </c>
      <c r="O53" s="7" t="s">
        <v>945</v>
      </c>
      <c r="P53" s="7" t="s">
        <v>1041</v>
      </c>
      <c r="Q53" s="7" t="s">
        <v>963</v>
      </c>
      <c r="R53" s="7" t="s">
        <v>1360</v>
      </c>
      <c r="S53" s="59">
        <v>105</v>
      </c>
      <c r="T53" s="7" t="s">
        <v>965</v>
      </c>
      <c r="U53" s="7"/>
      <c r="V53" s="7">
        <v>51995424200</v>
      </c>
      <c r="W53" s="7">
        <v>51995424200</v>
      </c>
      <c r="X53" s="7" t="s">
        <v>953</v>
      </c>
      <c r="Y53" s="7" t="s">
        <v>615</v>
      </c>
      <c r="Z53" s="7" t="s">
        <v>1361</v>
      </c>
      <c r="AA53" s="7" t="s">
        <v>1362</v>
      </c>
      <c r="AB53" s="7" t="s">
        <v>1363</v>
      </c>
      <c r="AC53" s="7" t="s">
        <v>398</v>
      </c>
      <c r="AD53" s="7" t="s">
        <v>406</v>
      </c>
      <c r="AE53" s="7" t="s">
        <v>398</v>
      </c>
      <c r="AF53" s="7" t="s">
        <v>398</v>
      </c>
      <c r="AG53" s="7" t="s">
        <v>398</v>
      </c>
      <c r="AH53" s="59">
        <v>41</v>
      </c>
      <c r="AI53" s="59">
        <v>41</v>
      </c>
      <c r="AJ53" s="59">
        <v>41</v>
      </c>
      <c r="AK53" s="59">
        <v>41</v>
      </c>
      <c r="AL53" s="7" t="s">
        <v>398</v>
      </c>
      <c r="AM53" s="7" t="s">
        <v>398</v>
      </c>
      <c r="AN53" s="7" t="s">
        <v>398</v>
      </c>
    </row>
    <row r="54" ht="15.75" customHeight="1" spans="1:40">
      <c r="A54" s="6" t="s">
        <v>936</v>
      </c>
      <c r="B54" s="46" t="s">
        <v>506</v>
      </c>
      <c r="C54" s="4" t="s">
        <v>957</v>
      </c>
      <c r="D54" s="9" t="s">
        <v>1364</v>
      </c>
      <c r="E54" s="29" t="s">
        <v>971</v>
      </c>
      <c r="F54" s="6" t="s">
        <v>1365</v>
      </c>
      <c r="G54" s="6">
        <v>1066919695</v>
      </c>
      <c r="H54" s="7" t="s">
        <v>985</v>
      </c>
      <c r="I54" s="47" t="s">
        <v>1366</v>
      </c>
      <c r="J54" s="7" t="s">
        <v>942</v>
      </c>
      <c r="K54" s="7" t="s">
        <v>942</v>
      </c>
      <c r="L54" s="7" t="s">
        <v>1102</v>
      </c>
      <c r="M54" s="7" t="s">
        <v>1367</v>
      </c>
      <c r="N54" s="51">
        <v>32791</v>
      </c>
      <c r="O54" s="7" t="s">
        <v>1028</v>
      </c>
      <c r="P54" s="7" t="s">
        <v>946</v>
      </c>
      <c r="Q54" s="7" t="s">
        <v>1245</v>
      </c>
      <c r="R54" s="7" t="s">
        <v>1368</v>
      </c>
      <c r="S54" s="59">
        <v>56</v>
      </c>
      <c r="T54" s="7" t="s">
        <v>1369</v>
      </c>
      <c r="U54" s="7"/>
      <c r="V54" s="7">
        <v>51996158617</v>
      </c>
      <c r="W54" s="7">
        <v>51996158617</v>
      </c>
      <c r="X54" s="7" t="s">
        <v>953</v>
      </c>
      <c r="Y54" s="7" t="s">
        <v>656</v>
      </c>
      <c r="Z54" s="7" t="s">
        <v>1108</v>
      </c>
      <c r="AA54" s="7" t="s">
        <v>1370</v>
      </c>
      <c r="AB54" s="7" t="s">
        <v>1371</v>
      </c>
      <c r="AC54" s="7" t="s">
        <v>395</v>
      </c>
      <c r="AD54" s="7" t="s">
        <v>395</v>
      </c>
      <c r="AE54" s="7" t="s">
        <v>395</v>
      </c>
      <c r="AF54" s="7" t="s">
        <v>395</v>
      </c>
      <c r="AG54" s="7" t="s">
        <v>396</v>
      </c>
      <c r="AH54" s="59">
        <v>34</v>
      </c>
      <c r="AI54" s="59">
        <v>34</v>
      </c>
      <c r="AJ54" s="59">
        <v>34</v>
      </c>
      <c r="AK54" s="59">
        <v>34</v>
      </c>
      <c r="AL54" s="7" t="s">
        <v>395</v>
      </c>
      <c r="AM54" s="7" t="s">
        <v>395</v>
      </c>
      <c r="AN54" s="7" t="s">
        <v>395</v>
      </c>
    </row>
    <row r="55" ht="15.75" customHeight="1" spans="1:40">
      <c r="A55" s="6" t="s">
        <v>936</v>
      </c>
      <c r="B55" s="46" t="s">
        <v>1120</v>
      </c>
      <c r="C55" s="4" t="s">
        <v>957</v>
      </c>
      <c r="D55" s="9" t="s">
        <v>1372</v>
      </c>
      <c r="E55" s="29" t="s">
        <v>971</v>
      </c>
      <c r="F55" s="6" t="s">
        <v>1373</v>
      </c>
      <c r="G55" s="6">
        <v>4089624292</v>
      </c>
      <c r="H55" s="7" t="s">
        <v>1122</v>
      </c>
      <c r="I55" s="7" t="s">
        <v>1374</v>
      </c>
      <c r="J55" s="7" t="s">
        <v>1375</v>
      </c>
      <c r="K55" s="7" t="s">
        <v>941</v>
      </c>
      <c r="L55" s="7" t="s">
        <v>975</v>
      </c>
      <c r="M55" s="7" t="s">
        <v>1376</v>
      </c>
      <c r="N55" s="51">
        <v>32695</v>
      </c>
      <c r="O55" s="7" t="s">
        <v>945</v>
      </c>
      <c r="P55" s="7" t="s">
        <v>946</v>
      </c>
      <c r="Q55" s="7" t="s">
        <v>963</v>
      </c>
      <c r="R55" s="75" t="s">
        <v>1377</v>
      </c>
      <c r="S55" s="59">
        <v>80</v>
      </c>
      <c r="T55" s="6" t="s">
        <v>1044</v>
      </c>
      <c r="U55" s="7"/>
      <c r="V55" s="7" t="s">
        <v>1378</v>
      </c>
      <c r="W55" s="7" t="s">
        <v>1379</v>
      </c>
      <c r="X55" s="7" t="s">
        <v>953</v>
      </c>
      <c r="Y55" s="7" t="s">
        <v>966</v>
      </c>
      <c r="Z55" s="7">
        <v>935443600</v>
      </c>
      <c r="AA55" s="7" t="s">
        <v>1380</v>
      </c>
      <c r="AB55" s="7" t="s">
        <v>1319</v>
      </c>
      <c r="AC55" s="7" t="s">
        <v>406</v>
      </c>
      <c r="AD55" s="7" t="s">
        <v>406</v>
      </c>
      <c r="AE55" s="7" t="s">
        <v>406</v>
      </c>
      <c r="AF55" s="7" t="s">
        <v>406</v>
      </c>
      <c r="AG55" s="7" t="s">
        <v>406</v>
      </c>
      <c r="AH55" s="59">
        <v>39</v>
      </c>
      <c r="AI55" s="59">
        <v>39</v>
      </c>
      <c r="AJ55" s="59">
        <v>39</v>
      </c>
      <c r="AK55" s="59">
        <v>39</v>
      </c>
      <c r="AL55" s="7" t="s">
        <v>406</v>
      </c>
      <c r="AM55" s="7" t="s">
        <v>406</v>
      </c>
      <c r="AN55" s="7" t="s">
        <v>406</v>
      </c>
    </row>
    <row r="56" ht="15.75" customHeight="1" spans="1:40">
      <c r="A56" s="6" t="s">
        <v>936</v>
      </c>
      <c r="B56" s="6" t="s">
        <v>656</v>
      </c>
      <c r="C56" s="4" t="s">
        <v>937</v>
      </c>
      <c r="D56" s="9" t="s">
        <v>1381</v>
      </c>
      <c r="E56" s="29" t="s">
        <v>971</v>
      </c>
      <c r="F56" s="6" t="s">
        <v>1382</v>
      </c>
      <c r="G56" s="6">
        <v>7123045581</v>
      </c>
      <c r="H56" s="7" t="s">
        <v>939</v>
      </c>
      <c r="I56" s="7" t="s">
        <v>940</v>
      </c>
      <c r="J56" s="7" t="s">
        <v>942</v>
      </c>
      <c r="K56" s="7" t="s">
        <v>942</v>
      </c>
      <c r="L56" s="7" t="s">
        <v>943</v>
      </c>
      <c r="M56" s="7" t="s">
        <v>1383</v>
      </c>
      <c r="N56" s="51">
        <v>35203</v>
      </c>
      <c r="O56" s="7" t="s">
        <v>945</v>
      </c>
      <c r="P56" s="7" t="s">
        <v>946</v>
      </c>
      <c r="Q56" s="7" t="s">
        <v>963</v>
      </c>
      <c r="R56" s="7" t="s">
        <v>1384</v>
      </c>
      <c r="S56" s="59">
        <v>83</v>
      </c>
      <c r="T56" s="7" t="s">
        <v>1011</v>
      </c>
      <c r="U56" s="7"/>
      <c r="V56" s="7" t="s">
        <v>1385</v>
      </c>
      <c r="W56" s="7" t="s">
        <v>1385</v>
      </c>
      <c r="X56" s="7" t="s">
        <v>953</v>
      </c>
      <c r="Y56" s="7" t="s">
        <v>966</v>
      </c>
      <c r="Z56" s="7" t="s">
        <v>1386</v>
      </c>
      <c r="AA56" s="7" t="s">
        <v>1387</v>
      </c>
      <c r="AB56" s="7" t="s">
        <v>1388</v>
      </c>
      <c r="AC56" s="7" t="s">
        <v>406</v>
      </c>
      <c r="AD56" s="7" t="s">
        <v>406</v>
      </c>
      <c r="AE56" s="7" t="s">
        <v>406</v>
      </c>
      <c r="AF56" s="7" t="s">
        <v>406</v>
      </c>
      <c r="AG56" s="7" t="s">
        <v>406</v>
      </c>
      <c r="AH56" s="59">
        <v>39</v>
      </c>
      <c r="AI56" s="59">
        <v>39</v>
      </c>
      <c r="AJ56" s="59">
        <v>39</v>
      </c>
      <c r="AK56" s="59">
        <v>39</v>
      </c>
      <c r="AL56" s="7" t="s">
        <v>406</v>
      </c>
      <c r="AM56" s="7" t="s">
        <v>406</v>
      </c>
      <c r="AN56" s="7" t="s">
        <v>406</v>
      </c>
    </row>
    <row r="57" ht="15.75" customHeight="1" spans="1:40">
      <c r="A57" s="6" t="s">
        <v>936</v>
      </c>
      <c r="B57" s="6" t="s">
        <v>595</v>
      </c>
      <c r="C57" s="4" t="s">
        <v>937</v>
      </c>
      <c r="D57" s="9" t="s">
        <v>167</v>
      </c>
      <c r="E57" s="29" t="s">
        <v>491</v>
      </c>
      <c r="F57" s="6" t="s">
        <v>1389</v>
      </c>
      <c r="G57" s="6">
        <v>1100481066</v>
      </c>
      <c r="H57" s="7" t="s">
        <v>939</v>
      </c>
      <c r="I57" s="7" t="s">
        <v>1390</v>
      </c>
      <c r="J57" s="7" t="s">
        <v>941</v>
      </c>
      <c r="K57" s="7" t="s">
        <v>942</v>
      </c>
      <c r="L57" s="7" t="s">
        <v>943</v>
      </c>
      <c r="M57" s="7" t="s">
        <v>1391</v>
      </c>
      <c r="N57" s="51">
        <v>36369</v>
      </c>
      <c r="O57" s="7" t="s">
        <v>945</v>
      </c>
      <c r="P57" s="7" t="s">
        <v>946</v>
      </c>
      <c r="Q57" s="7" t="s">
        <v>963</v>
      </c>
      <c r="R57" s="7" t="s">
        <v>1392</v>
      </c>
      <c r="S57" s="59">
        <v>84</v>
      </c>
      <c r="T57" s="7" t="s">
        <v>1011</v>
      </c>
      <c r="U57" s="7"/>
      <c r="V57" s="7" t="s">
        <v>1393</v>
      </c>
      <c r="W57" s="7"/>
      <c r="X57" s="7" t="s">
        <v>953</v>
      </c>
      <c r="Y57" s="7" t="s">
        <v>595</v>
      </c>
      <c r="Z57" s="7" t="s">
        <v>1336</v>
      </c>
      <c r="AA57" s="7" t="s">
        <v>1394</v>
      </c>
      <c r="AB57" s="7" t="s">
        <v>1395</v>
      </c>
      <c r="AC57" s="7" t="s">
        <v>406</v>
      </c>
      <c r="AD57" s="7" t="s">
        <v>406</v>
      </c>
      <c r="AE57" s="7" t="s">
        <v>406</v>
      </c>
      <c r="AF57" s="7" t="s">
        <v>406</v>
      </c>
      <c r="AG57" s="7" t="s">
        <v>406</v>
      </c>
      <c r="AH57" s="59">
        <v>42</v>
      </c>
      <c r="AI57" s="59">
        <v>42</v>
      </c>
      <c r="AJ57" s="59">
        <v>42</v>
      </c>
      <c r="AK57" s="59">
        <v>42</v>
      </c>
      <c r="AL57" s="7" t="s">
        <v>406</v>
      </c>
      <c r="AM57" s="7" t="s">
        <v>406</v>
      </c>
      <c r="AN57" s="7" t="s">
        <v>406</v>
      </c>
    </row>
    <row r="58" ht="15.75" customHeight="1" spans="1:40">
      <c r="A58" s="46" t="s">
        <v>936</v>
      </c>
      <c r="B58" s="46" t="s">
        <v>1075</v>
      </c>
      <c r="C58" s="4" t="s">
        <v>937</v>
      </c>
      <c r="D58" s="9" t="s">
        <v>1396</v>
      </c>
      <c r="E58" s="29" t="s">
        <v>492</v>
      </c>
      <c r="F58" s="6" t="s">
        <v>1397</v>
      </c>
      <c r="G58" s="6">
        <v>1121537482</v>
      </c>
      <c r="H58" s="47" t="s">
        <v>1398</v>
      </c>
      <c r="I58" s="47" t="s">
        <v>1399</v>
      </c>
      <c r="J58" s="63" t="s">
        <v>941</v>
      </c>
      <c r="K58" s="7" t="s">
        <v>942</v>
      </c>
      <c r="L58" s="7" t="s">
        <v>975</v>
      </c>
      <c r="M58" s="7" t="s">
        <v>1400</v>
      </c>
      <c r="N58" s="51">
        <v>38238</v>
      </c>
      <c r="O58" s="7" t="s">
        <v>1028</v>
      </c>
      <c r="P58" s="7" t="s">
        <v>946</v>
      </c>
      <c r="Q58" s="7" t="s">
        <v>947</v>
      </c>
      <c r="R58" s="7" t="s">
        <v>1401</v>
      </c>
      <c r="S58" s="59">
        <v>60</v>
      </c>
      <c r="T58" s="7" t="s">
        <v>1030</v>
      </c>
      <c r="U58" s="7"/>
      <c r="V58" s="59">
        <v>51997038290</v>
      </c>
      <c r="W58" s="59">
        <v>51997038290</v>
      </c>
      <c r="X58" s="7" t="s">
        <v>953</v>
      </c>
      <c r="Y58" s="7" t="s">
        <v>624</v>
      </c>
      <c r="Z58" s="59">
        <v>93900000</v>
      </c>
      <c r="AA58" s="7" t="s">
        <v>1402</v>
      </c>
      <c r="AB58" s="7" t="s">
        <v>1403</v>
      </c>
      <c r="AC58" s="7" t="s">
        <v>395</v>
      </c>
      <c r="AD58" s="7" t="s">
        <v>395</v>
      </c>
      <c r="AE58" s="7" t="s">
        <v>395</v>
      </c>
      <c r="AF58" s="7" t="s">
        <v>395</v>
      </c>
      <c r="AG58" s="7" t="s">
        <v>396</v>
      </c>
      <c r="AH58" s="59">
        <v>38</v>
      </c>
      <c r="AI58" s="59">
        <v>38</v>
      </c>
      <c r="AJ58" s="59">
        <v>38</v>
      </c>
      <c r="AK58" s="59">
        <v>38</v>
      </c>
      <c r="AL58" s="7" t="s">
        <v>396</v>
      </c>
      <c r="AM58" s="7" t="s">
        <v>396</v>
      </c>
      <c r="AN58" s="7" t="s">
        <v>396</v>
      </c>
    </row>
    <row r="59" ht="15.75" customHeight="1" spans="1:40">
      <c r="A59" s="6" t="s">
        <v>936</v>
      </c>
      <c r="B59" s="46" t="s">
        <v>506</v>
      </c>
      <c r="C59" s="4" t="s">
        <v>957</v>
      </c>
      <c r="D59" s="9" t="s">
        <v>1404</v>
      </c>
      <c r="E59" s="29" t="s">
        <v>490</v>
      </c>
      <c r="F59" s="6" t="s">
        <v>1405</v>
      </c>
      <c r="G59" s="6">
        <v>6089658519</v>
      </c>
      <c r="H59" s="7" t="s">
        <v>985</v>
      </c>
      <c r="I59" s="7" t="s">
        <v>1406</v>
      </c>
      <c r="J59" s="7" t="s">
        <v>941</v>
      </c>
      <c r="K59" s="7" t="s">
        <v>942</v>
      </c>
      <c r="L59" s="7" t="s">
        <v>943</v>
      </c>
      <c r="M59" s="7" t="s">
        <v>1407</v>
      </c>
      <c r="N59" s="51">
        <v>27932</v>
      </c>
      <c r="O59" s="7" t="s">
        <v>1028</v>
      </c>
      <c r="P59" s="7" t="s">
        <v>946</v>
      </c>
      <c r="Q59" s="7" t="s">
        <v>963</v>
      </c>
      <c r="R59" s="7" t="s">
        <v>1408</v>
      </c>
      <c r="S59" s="59">
        <v>55</v>
      </c>
      <c r="T59" s="7" t="s">
        <v>1208</v>
      </c>
      <c r="U59" s="7"/>
      <c r="V59" s="7">
        <v>51992806388</v>
      </c>
      <c r="W59" s="7">
        <v>51992806388</v>
      </c>
      <c r="X59" s="7" t="s">
        <v>953</v>
      </c>
      <c r="Y59" s="7" t="s">
        <v>1409</v>
      </c>
      <c r="Z59" s="59">
        <v>94960864</v>
      </c>
      <c r="AA59" s="7" t="s">
        <v>1410</v>
      </c>
      <c r="AB59" s="7" t="s">
        <v>1411</v>
      </c>
      <c r="AC59" s="7" t="s">
        <v>395</v>
      </c>
      <c r="AD59" s="7" t="s">
        <v>395</v>
      </c>
      <c r="AE59" s="7" t="s">
        <v>395</v>
      </c>
      <c r="AF59" s="7" t="s">
        <v>395</v>
      </c>
      <c r="AG59" s="7" t="s">
        <v>395</v>
      </c>
      <c r="AH59" s="59">
        <v>36</v>
      </c>
      <c r="AI59" s="59">
        <v>36</v>
      </c>
      <c r="AJ59" s="59">
        <v>36</v>
      </c>
      <c r="AK59" s="59">
        <v>36</v>
      </c>
      <c r="AL59" s="7" t="s">
        <v>395</v>
      </c>
      <c r="AM59" s="7" t="s">
        <v>395</v>
      </c>
      <c r="AN59" s="7" t="s">
        <v>395</v>
      </c>
    </row>
    <row r="60" ht="15.75" customHeight="1" spans="1:40">
      <c r="A60" s="6" t="s">
        <v>936</v>
      </c>
      <c r="B60" s="6" t="s">
        <v>660</v>
      </c>
      <c r="C60" s="4" t="s">
        <v>937</v>
      </c>
      <c r="D60" s="9" t="s">
        <v>1412</v>
      </c>
      <c r="E60" s="29" t="s">
        <v>490</v>
      </c>
      <c r="F60" s="6" t="s">
        <v>1413</v>
      </c>
      <c r="G60" s="6">
        <v>3109414577</v>
      </c>
      <c r="H60" s="7" t="s">
        <v>985</v>
      </c>
      <c r="I60" s="7" t="s">
        <v>940</v>
      </c>
      <c r="J60" s="7" t="s">
        <v>942</v>
      </c>
      <c r="K60" s="7" t="s">
        <v>942</v>
      </c>
      <c r="L60" s="7" t="s">
        <v>975</v>
      </c>
      <c r="M60" s="7" t="s">
        <v>1414</v>
      </c>
      <c r="N60" s="51">
        <v>34359</v>
      </c>
      <c r="O60" s="7" t="s">
        <v>945</v>
      </c>
      <c r="P60" s="7" t="s">
        <v>946</v>
      </c>
      <c r="Q60" s="7" t="s">
        <v>963</v>
      </c>
      <c r="R60" s="85" t="s">
        <v>1415</v>
      </c>
      <c r="S60" s="59">
        <v>103</v>
      </c>
      <c r="T60" s="7" t="s">
        <v>950</v>
      </c>
      <c r="U60" s="7"/>
      <c r="V60" s="7" t="s">
        <v>1416</v>
      </c>
      <c r="W60" s="7" t="s">
        <v>1416</v>
      </c>
      <c r="X60" s="7" t="s">
        <v>953</v>
      </c>
      <c r="Y60" s="7" t="s">
        <v>660</v>
      </c>
      <c r="Z60" s="7" t="s">
        <v>1135</v>
      </c>
      <c r="AA60" s="7" t="s">
        <v>1417</v>
      </c>
      <c r="AB60" s="7" t="s">
        <v>1418</v>
      </c>
      <c r="AC60" s="7" t="s">
        <v>406</v>
      </c>
      <c r="AD60" s="7" t="s">
        <v>406</v>
      </c>
      <c r="AE60" s="7" t="s">
        <v>406</v>
      </c>
      <c r="AF60" s="7" t="s">
        <v>406</v>
      </c>
      <c r="AG60" s="7" t="s">
        <v>406</v>
      </c>
      <c r="AH60" s="59">
        <v>43</v>
      </c>
      <c r="AI60" s="59">
        <v>43</v>
      </c>
      <c r="AJ60" s="59">
        <v>43</v>
      </c>
      <c r="AK60" s="59">
        <v>43</v>
      </c>
      <c r="AL60" s="7" t="s">
        <v>406</v>
      </c>
      <c r="AM60" s="7" t="s">
        <v>406</v>
      </c>
      <c r="AN60" s="7" t="s">
        <v>406</v>
      </c>
    </row>
    <row r="61" ht="15.75" customHeight="1" spans="1:40">
      <c r="A61" s="6" t="s">
        <v>936</v>
      </c>
      <c r="B61" s="46" t="s">
        <v>647</v>
      </c>
      <c r="C61" s="4" t="s">
        <v>937</v>
      </c>
      <c r="D61" s="9" t="s">
        <v>169</v>
      </c>
      <c r="E61" s="29" t="s">
        <v>490</v>
      </c>
      <c r="F61" s="6" t="s">
        <v>1419</v>
      </c>
      <c r="G61" s="6">
        <v>6078444194</v>
      </c>
      <c r="H61" s="7" t="s">
        <v>985</v>
      </c>
      <c r="I61" s="47" t="s">
        <v>940</v>
      </c>
      <c r="J61" s="7" t="s">
        <v>941</v>
      </c>
      <c r="K61" s="7" t="s">
        <v>941</v>
      </c>
      <c r="L61" s="7" t="s">
        <v>975</v>
      </c>
      <c r="M61" s="7" t="s">
        <v>1420</v>
      </c>
      <c r="N61" s="55">
        <v>32459</v>
      </c>
      <c r="O61" s="7" t="s">
        <v>945</v>
      </c>
      <c r="P61" s="7" t="s">
        <v>946</v>
      </c>
      <c r="Q61" s="7" t="s">
        <v>963</v>
      </c>
      <c r="R61" s="7" t="s">
        <v>1421</v>
      </c>
      <c r="S61" s="59">
        <v>92</v>
      </c>
      <c r="T61" s="7" t="s">
        <v>1011</v>
      </c>
      <c r="U61" s="7"/>
      <c r="V61" s="7" t="s">
        <v>1422</v>
      </c>
      <c r="W61" s="7"/>
      <c r="X61" s="7" t="s">
        <v>953</v>
      </c>
      <c r="Y61" s="7" t="s">
        <v>647</v>
      </c>
      <c r="Z61" s="7" t="s">
        <v>979</v>
      </c>
      <c r="AA61" s="7" t="s">
        <v>1423</v>
      </c>
      <c r="AB61" s="7" t="s">
        <v>1074</v>
      </c>
      <c r="AC61" s="7" t="s">
        <v>406</v>
      </c>
      <c r="AD61" s="7" t="s">
        <v>406</v>
      </c>
      <c r="AE61" s="7" t="s">
        <v>406</v>
      </c>
      <c r="AF61" s="7" t="s">
        <v>406</v>
      </c>
      <c r="AG61" s="7" t="s">
        <v>406</v>
      </c>
      <c r="AH61" s="59">
        <v>43</v>
      </c>
      <c r="AI61" s="59">
        <v>43</v>
      </c>
      <c r="AJ61" s="59">
        <v>43</v>
      </c>
      <c r="AK61" s="59">
        <v>43</v>
      </c>
      <c r="AL61" s="7" t="s">
        <v>406</v>
      </c>
      <c r="AM61" s="7" t="s">
        <v>406</v>
      </c>
      <c r="AN61" s="7" t="s">
        <v>406</v>
      </c>
    </row>
    <row r="62" ht="15.75" customHeight="1" spans="1:40">
      <c r="A62" s="6" t="s">
        <v>936</v>
      </c>
      <c r="B62" s="46" t="s">
        <v>1120</v>
      </c>
      <c r="C62" s="4" t="s">
        <v>957</v>
      </c>
      <c r="D62" s="9" t="s">
        <v>1424</v>
      </c>
      <c r="E62" s="29" t="s">
        <v>971</v>
      </c>
      <c r="F62" s="6" t="s">
        <v>1425</v>
      </c>
      <c r="G62" s="6">
        <v>9111659927</v>
      </c>
      <c r="H62" s="7" t="s">
        <v>1122</v>
      </c>
      <c r="I62" s="7" t="s">
        <v>1123</v>
      </c>
      <c r="J62" s="7" t="s">
        <v>942</v>
      </c>
      <c r="K62" s="7" t="s">
        <v>942</v>
      </c>
      <c r="L62" s="7" t="s">
        <v>975</v>
      </c>
      <c r="M62" s="7" t="s">
        <v>1391</v>
      </c>
      <c r="N62" s="51">
        <v>34885</v>
      </c>
      <c r="O62" s="7" t="s">
        <v>945</v>
      </c>
      <c r="P62" s="7" t="s">
        <v>1041</v>
      </c>
      <c r="Q62" s="7" t="s">
        <v>963</v>
      </c>
      <c r="R62" s="75" t="s">
        <v>1426</v>
      </c>
      <c r="S62" s="59">
        <v>70</v>
      </c>
      <c r="T62" s="6" t="s">
        <v>1011</v>
      </c>
      <c r="U62" s="7"/>
      <c r="V62" s="7" t="s">
        <v>1427</v>
      </c>
      <c r="W62" s="7" t="s">
        <v>1428</v>
      </c>
      <c r="X62" s="7" t="s">
        <v>953</v>
      </c>
      <c r="Y62" s="86" t="s">
        <v>1429</v>
      </c>
      <c r="Z62" s="7">
        <v>93900000</v>
      </c>
      <c r="AA62" s="7" t="s">
        <v>1430</v>
      </c>
      <c r="AB62" s="7" t="s">
        <v>1431</v>
      </c>
      <c r="AC62" s="7" t="s">
        <v>395</v>
      </c>
      <c r="AD62" s="7" t="s">
        <v>396</v>
      </c>
      <c r="AE62" s="7" t="s">
        <v>395</v>
      </c>
      <c r="AF62" s="7" t="s">
        <v>395</v>
      </c>
      <c r="AG62" s="7" t="s">
        <v>395</v>
      </c>
      <c r="AH62" s="59">
        <v>39</v>
      </c>
      <c r="AI62" s="59">
        <v>39</v>
      </c>
      <c r="AJ62" s="59">
        <v>39</v>
      </c>
      <c r="AK62" s="59">
        <v>39</v>
      </c>
      <c r="AL62" s="7" t="s">
        <v>396</v>
      </c>
      <c r="AM62" s="7" t="s">
        <v>396</v>
      </c>
      <c r="AN62" s="7" t="s">
        <v>1128</v>
      </c>
    </row>
    <row r="63" ht="15.75" customHeight="1" spans="1:40">
      <c r="A63" s="6" t="s">
        <v>936</v>
      </c>
      <c r="B63" s="6" t="s">
        <v>647</v>
      </c>
      <c r="C63" s="4" t="s">
        <v>937</v>
      </c>
      <c r="D63" s="9" t="s">
        <v>1432</v>
      </c>
      <c r="E63" s="29" t="s">
        <v>971</v>
      </c>
      <c r="F63" s="6" t="s">
        <v>1433</v>
      </c>
      <c r="G63" s="6">
        <v>4114878277</v>
      </c>
      <c r="H63" s="7" t="s">
        <v>985</v>
      </c>
      <c r="I63" s="7" t="s">
        <v>986</v>
      </c>
      <c r="J63" s="7" t="s">
        <v>941</v>
      </c>
      <c r="K63" s="7" t="s">
        <v>941</v>
      </c>
      <c r="L63" s="7" t="s">
        <v>1102</v>
      </c>
      <c r="M63" s="7" t="s">
        <v>1434</v>
      </c>
      <c r="N63" s="51">
        <v>35134</v>
      </c>
      <c r="O63" s="7" t="s">
        <v>945</v>
      </c>
      <c r="P63" s="7" t="s">
        <v>946</v>
      </c>
      <c r="Q63" s="7" t="s">
        <v>963</v>
      </c>
      <c r="R63" s="7" t="s">
        <v>1435</v>
      </c>
      <c r="S63" s="59">
        <v>120</v>
      </c>
      <c r="T63" s="7" t="s">
        <v>950</v>
      </c>
      <c r="U63" s="7"/>
      <c r="V63" s="7" t="s">
        <v>1436</v>
      </c>
      <c r="W63" s="7"/>
      <c r="X63" s="7" t="s">
        <v>953</v>
      </c>
      <c r="Y63" s="7" t="s">
        <v>647</v>
      </c>
      <c r="Z63" s="7" t="s">
        <v>979</v>
      </c>
      <c r="AA63" s="7" t="s">
        <v>1437</v>
      </c>
      <c r="AB63" s="7" t="s">
        <v>1086</v>
      </c>
      <c r="AC63" s="7" t="s">
        <v>398</v>
      </c>
      <c r="AD63" s="7" t="s">
        <v>398</v>
      </c>
      <c r="AE63" s="7" t="s">
        <v>398</v>
      </c>
      <c r="AF63" s="7" t="s">
        <v>399</v>
      </c>
      <c r="AG63" s="7" t="s">
        <v>398</v>
      </c>
      <c r="AH63" s="59">
        <v>42</v>
      </c>
      <c r="AI63" s="59">
        <v>42</v>
      </c>
      <c r="AJ63" s="59">
        <v>42</v>
      </c>
      <c r="AK63" s="59">
        <v>42</v>
      </c>
      <c r="AL63" s="7" t="s">
        <v>398</v>
      </c>
      <c r="AM63" s="7" t="s">
        <v>398</v>
      </c>
      <c r="AN63" s="7" t="s">
        <v>398</v>
      </c>
    </row>
    <row r="64" ht="15.75" customHeight="1" spans="1:40">
      <c r="A64" s="6" t="s">
        <v>936</v>
      </c>
      <c r="B64" s="46" t="s">
        <v>506</v>
      </c>
      <c r="C64" s="4" t="s">
        <v>957</v>
      </c>
      <c r="D64" s="9" t="s">
        <v>1438</v>
      </c>
      <c r="E64" s="29" t="s">
        <v>490</v>
      </c>
      <c r="F64" s="6" t="s">
        <v>1439</v>
      </c>
      <c r="G64" s="6">
        <v>5087870746</v>
      </c>
      <c r="H64" s="7" t="s">
        <v>960</v>
      </c>
      <c r="I64" s="47" t="s">
        <v>1440</v>
      </c>
      <c r="J64" s="7" t="s">
        <v>941</v>
      </c>
      <c r="K64" s="7" t="s">
        <v>942</v>
      </c>
      <c r="L64" s="7" t="s">
        <v>975</v>
      </c>
      <c r="M64" s="7" t="s">
        <v>1441</v>
      </c>
      <c r="N64" s="51">
        <v>34821</v>
      </c>
      <c r="O64" s="7" t="s">
        <v>945</v>
      </c>
      <c r="P64" s="7" t="s">
        <v>1257</v>
      </c>
      <c r="Q64" s="7" t="s">
        <v>963</v>
      </c>
      <c r="R64" s="7" t="s">
        <v>1442</v>
      </c>
      <c r="S64" s="59">
        <v>76</v>
      </c>
      <c r="T64" s="7" t="s">
        <v>1030</v>
      </c>
      <c r="U64" s="7"/>
      <c r="V64" s="7">
        <v>51993301582</v>
      </c>
      <c r="W64" s="7">
        <v>519932301582</v>
      </c>
      <c r="X64" s="7" t="s">
        <v>953</v>
      </c>
      <c r="Y64" s="7" t="s">
        <v>615</v>
      </c>
      <c r="Z64" s="7" t="s">
        <v>1361</v>
      </c>
      <c r="AA64" s="7" t="s">
        <v>1443</v>
      </c>
      <c r="AB64" s="7" t="s">
        <v>1444</v>
      </c>
      <c r="AC64" s="7" t="s">
        <v>406</v>
      </c>
      <c r="AD64" s="7" t="s">
        <v>396</v>
      </c>
      <c r="AE64" s="7" t="s">
        <v>406</v>
      </c>
      <c r="AF64" s="7" t="s">
        <v>406</v>
      </c>
      <c r="AG64" s="7" t="s">
        <v>396</v>
      </c>
      <c r="AH64" s="59">
        <v>40</v>
      </c>
      <c r="AI64" s="59">
        <v>40</v>
      </c>
      <c r="AJ64" s="59">
        <v>40</v>
      </c>
      <c r="AK64" s="59">
        <v>40</v>
      </c>
      <c r="AL64" s="7" t="s">
        <v>406</v>
      </c>
      <c r="AM64" s="7" t="s">
        <v>406</v>
      </c>
      <c r="AN64" s="7" t="s">
        <v>396</v>
      </c>
    </row>
    <row r="65" ht="15.75" customHeight="1" spans="1:40">
      <c r="A65" s="6" t="s">
        <v>936</v>
      </c>
      <c r="B65" s="6" t="s">
        <v>659</v>
      </c>
      <c r="C65" s="4" t="s">
        <v>937</v>
      </c>
      <c r="D65" s="9" t="s">
        <v>1445</v>
      </c>
      <c r="E65" s="29" t="s">
        <v>490</v>
      </c>
      <c r="F65" s="6" t="s">
        <v>1446</v>
      </c>
      <c r="G65" s="6">
        <v>3102922436</v>
      </c>
      <c r="H65" s="7" t="s">
        <v>985</v>
      </c>
      <c r="I65" s="7" t="s">
        <v>986</v>
      </c>
      <c r="J65" s="7" t="s">
        <v>941</v>
      </c>
      <c r="K65" s="7" t="s">
        <v>941</v>
      </c>
      <c r="L65" s="7" t="s">
        <v>943</v>
      </c>
      <c r="M65" s="7" t="s">
        <v>1447</v>
      </c>
      <c r="N65" s="51">
        <v>33813</v>
      </c>
      <c r="O65" s="7" t="s">
        <v>945</v>
      </c>
      <c r="P65" s="7" t="s">
        <v>946</v>
      </c>
      <c r="Q65" s="7" t="s">
        <v>963</v>
      </c>
      <c r="R65" s="7" t="s">
        <v>1448</v>
      </c>
      <c r="S65" s="7" t="s">
        <v>1449</v>
      </c>
      <c r="T65" s="7" t="s">
        <v>965</v>
      </c>
      <c r="U65" s="7"/>
      <c r="V65" s="7" t="s">
        <v>1450</v>
      </c>
      <c r="W65" s="7" t="s">
        <v>1451</v>
      </c>
      <c r="X65" s="7" t="s">
        <v>953</v>
      </c>
      <c r="Y65" s="7" t="s">
        <v>659</v>
      </c>
      <c r="Z65" s="7">
        <v>93608860</v>
      </c>
      <c r="AA65" s="7" t="s">
        <v>1452</v>
      </c>
      <c r="AB65" s="7" t="s">
        <v>1453</v>
      </c>
      <c r="AC65" s="7" t="s">
        <v>398</v>
      </c>
      <c r="AD65" s="7" t="s">
        <v>398</v>
      </c>
      <c r="AE65" s="7" t="s">
        <v>398</v>
      </c>
      <c r="AF65" s="7" t="s">
        <v>398</v>
      </c>
      <c r="AG65" s="7" t="s">
        <v>398</v>
      </c>
      <c r="AH65" s="59">
        <v>42</v>
      </c>
      <c r="AI65" s="59">
        <v>42</v>
      </c>
      <c r="AJ65" s="59">
        <v>42</v>
      </c>
      <c r="AK65" s="59">
        <v>42</v>
      </c>
      <c r="AL65" s="7" t="s">
        <v>398</v>
      </c>
      <c r="AM65" s="7" t="s">
        <v>398</v>
      </c>
      <c r="AN65" s="7" t="s">
        <v>406</v>
      </c>
    </row>
    <row r="66" ht="15.75" customHeight="1" spans="1:40">
      <c r="A66" s="6" t="s">
        <v>936</v>
      </c>
      <c r="B66" s="46" t="s">
        <v>508</v>
      </c>
      <c r="C66" s="4" t="s">
        <v>937</v>
      </c>
      <c r="D66" s="9" t="s">
        <v>1445</v>
      </c>
      <c r="E66" s="29" t="s">
        <v>971</v>
      </c>
      <c r="F66" s="6" t="s">
        <v>1454</v>
      </c>
      <c r="G66" s="6">
        <v>8084871394</v>
      </c>
      <c r="H66" s="47" t="s">
        <v>985</v>
      </c>
      <c r="I66" s="47" t="s">
        <v>1455</v>
      </c>
      <c r="J66" s="7" t="s">
        <v>941</v>
      </c>
      <c r="K66" s="7" t="s">
        <v>941</v>
      </c>
      <c r="L66" s="7" t="s">
        <v>943</v>
      </c>
      <c r="M66" s="7" t="s">
        <v>1456</v>
      </c>
      <c r="N66" s="51">
        <v>30757</v>
      </c>
      <c r="O66" s="7" t="s">
        <v>945</v>
      </c>
      <c r="P66" s="7" t="s">
        <v>946</v>
      </c>
      <c r="Q66" s="7" t="s">
        <v>963</v>
      </c>
      <c r="R66" s="7" t="s">
        <v>1457</v>
      </c>
      <c r="S66" s="59">
        <v>88</v>
      </c>
      <c r="T66" s="7" t="s">
        <v>965</v>
      </c>
      <c r="U66" s="7"/>
      <c r="V66" s="7">
        <v>51996112703</v>
      </c>
      <c r="W66" s="7" t="s">
        <v>1458</v>
      </c>
      <c r="X66" s="7" t="s">
        <v>953</v>
      </c>
      <c r="Y66" s="7" t="s">
        <v>508</v>
      </c>
      <c r="Z66" s="7">
        <v>93819248</v>
      </c>
      <c r="AA66" s="7" t="s">
        <v>1459</v>
      </c>
      <c r="AB66" s="7" t="s">
        <v>1460</v>
      </c>
      <c r="AC66" s="7" t="s">
        <v>406</v>
      </c>
      <c r="AD66" s="7" t="s">
        <v>406</v>
      </c>
      <c r="AE66" s="7" t="s">
        <v>406</v>
      </c>
      <c r="AF66" s="7" t="s">
        <v>406</v>
      </c>
      <c r="AG66" s="7" t="s">
        <v>406</v>
      </c>
      <c r="AH66" s="59">
        <v>40</v>
      </c>
      <c r="AI66" s="59">
        <v>40</v>
      </c>
      <c r="AJ66" s="59">
        <v>40</v>
      </c>
      <c r="AK66" s="59">
        <v>40</v>
      </c>
      <c r="AL66" s="7" t="s">
        <v>406</v>
      </c>
      <c r="AM66" s="7" t="s">
        <v>406</v>
      </c>
      <c r="AN66" s="7" t="s">
        <v>406</v>
      </c>
    </row>
    <row r="67" ht="15.75" customHeight="1" spans="1:40">
      <c r="A67" s="47"/>
      <c r="B67" s="47"/>
      <c r="C67" s="8"/>
      <c r="D67" s="9" t="s">
        <v>1461</v>
      </c>
      <c r="E67" s="29" t="s">
        <v>490</v>
      </c>
      <c r="F67" s="6" t="s">
        <v>1462</v>
      </c>
      <c r="G67" s="7"/>
      <c r="H67" s="47"/>
      <c r="I67" s="47"/>
      <c r="J67" s="7"/>
      <c r="K67" s="7"/>
      <c r="L67" s="7"/>
      <c r="M67" s="7"/>
      <c r="N67" s="15"/>
      <c r="O67" s="7"/>
      <c r="P67" s="7"/>
      <c r="Q67" s="7"/>
      <c r="R67" s="7"/>
      <c r="S67" s="7"/>
      <c r="T67" s="7"/>
      <c r="U67" s="7"/>
      <c r="V67" s="7"/>
      <c r="W67" s="7"/>
      <c r="X67" s="7"/>
      <c r="Y67" s="7"/>
      <c r="Z67" s="7"/>
      <c r="AA67" s="7"/>
      <c r="AB67" s="7"/>
      <c r="AC67" s="7"/>
      <c r="AD67" s="7"/>
      <c r="AE67" s="7"/>
      <c r="AF67" s="7"/>
      <c r="AG67" s="7"/>
      <c r="AH67" s="7"/>
      <c r="AI67" s="7"/>
      <c r="AJ67" s="7"/>
      <c r="AK67" s="7"/>
      <c r="AL67" s="7"/>
      <c r="AM67" s="7"/>
      <c r="AN67" s="7"/>
    </row>
    <row r="68" ht="15.75" customHeight="1" spans="1:40">
      <c r="A68" s="6" t="s">
        <v>936</v>
      </c>
      <c r="B68" s="46" t="s">
        <v>624</v>
      </c>
      <c r="C68" s="4" t="s">
        <v>937</v>
      </c>
      <c r="D68" s="9" t="s">
        <v>171</v>
      </c>
      <c r="E68" s="29" t="s">
        <v>491</v>
      </c>
      <c r="F68" s="6" t="s">
        <v>1463</v>
      </c>
      <c r="G68" s="6">
        <v>1061944706</v>
      </c>
      <c r="H68" s="47" t="s">
        <v>939</v>
      </c>
      <c r="I68" s="47" t="s">
        <v>1464</v>
      </c>
      <c r="J68" s="7" t="s">
        <v>941</v>
      </c>
      <c r="K68" s="7" t="s">
        <v>942</v>
      </c>
      <c r="L68" s="7" t="s">
        <v>943</v>
      </c>
      <c r="M68" s="7" t="s">
        <v>1465</v>
      </c>
      <c r="N68" s="51">
        <v>29454</v>
      </c>
      <c r="O68" s="7" t="s">
        <v>945</v>
      </c>
      <c r="P68" s="7" t="s">
        <v>946</v>
      </c>
      <c r="Q68" s="7" t="s">
        <v>963</v>
      </c>
      <c r="R68" s="7" t="s">
        <v>1466</v>
      </c>
      <c r="S68" s="7" t="s">
        <v>1467</v>
      </c>
      <c r="T68" s="7" t="s">
        <v>965</v>
      </c>
      <c r="U68" s="7"/>
      <c r="V68" s="7" t="s">
        <v>1468</v>
      </c>
      <c r="W68" s="7"/>
      <c r="X68" s="7" t="s">
        <v>953</v>
      </c>
      <c r="Y68" s="7" t="s">
        <v>624</v>
      </c>
      <c r="Z68" s="7" t="s">
        <v>954</v>
      </c>
      <c r="AA68" s="7" t="s">
        <v>1469</v>
      </c>
      <c r="AB68" s="7" t="s">
        <v>989</v>
      </c>
      <c r="AC68" s="7" t="s">
        <v>398</v>
      </c>
      <c r="AD68" s="7" t="s">
        <v>398</v>
      </c>
      <c r="AE68" s="7" t="s">
        <v>398</v>
      </c>
      <c r="AF68" s="7" t="s">
        <v>398</v>
      </c>
      <c r="AG68" s="7" t="s">
        <v>398</v>
      </c>
      <c r="AH68" s="59">
        <v>42</v>
      </c>
      <c r="AI68" s="59">
        <v>42</v>
      </c>
      <c r="AJ68" s="59">
        <v>42</v>
      </c>
      <c r="AK68" s="59">
        <v>42</v>
      </c>
      <c r="AL68" s="7" t="s">
        <v>398</v>
      </c>
      <c r="AM68" s="7" t="s">
        <v>398</v>
      </c>
      <c r="AN68" s="7" t="s">
        <v>398</v>
      </c>
    </row>
    <row r="69" ht="15.75" customHeight="1" spans="1:40">
      <c r="A69" s="6" t="s">
        <v>936</v>
      </c>
      <c r="B69" s="46" t="s">
        <v>506</v>
      </c>
      <c r="C69" s="4" t="s">
        <v>957</v>
      </c>
      <c r="D69" s="9" t="s">
        <v>1470</v>
      </c>
      <c r="E69" s="29" t="s">
        <v>490</v>
      </c>
      <c r="F69" s="6" t="s">
        <v>1471</v>
      </c>
      <c r="G69" s="6">
        <v>2086078901</v>
      </c>
      <c r="H69" s="7" t="s">
        <v>1472</v>
      </c>
      <c r="I69" s="47" t="s">
        <v>1473</v>
      </c>
      <c r="J69" s="7" t="s">
        <v>941</v>
      </c>
      <c r="K69" s="7" t="s">
        <v>942</v>
      </c>
      <c r="L69" s="7" t="s">
        <v>975</v>
      </c>
      <c r="M69" s="7" t="s">
        <v>1474</v>
      </c>
      <c r="N69" s="51">
        <v>31137</v>
      </c>
      <c r="O69" s="7" t="s">
        <v>945</v>
      </c>
      <c r="P69" s="7" t="s">
        <v>1257</v>
      </c>
      <c r="Q69" s="7" t="s">
        <v>947</v>
      </c>
      <c r="R69" s="7" t="s">
        <v>1475</v>
      </c>
      <c r="S69" s="59">
        <v>90</v>
      </c>
      <c r="T69" s="7" t="s">
        <v>965</v>
      </c>
      <c r="U69" s="7"/>
      <c r="V69" s="7">
        <v>51995140919</v>
      </c>
      <c r="W69" s="7">
        <v>51995140919</v>
      </c>
      <c r="X69" s="7" t="s">
        <v>953</v>
      </c>
      <c r="Y69" s="7" t="s">
        <v>506</v>
      </c>
      <c r="Z69" s="7" t="s">
        <v>1012</v>
      </c>
      <c r="AA69" s="7" t="s">
        <v>1476</v>
      </c>
      <c r="AB69" s="7" t="s">
        <v>1477</v>
      </c>
      <c r="AC69" s="7" t="s">
        <v>406</v>
      </c>
      <c r="AD69" s="7" t="s">
        <v>406</v>
      </c>
      <c r="AE69" s="7" t="s">
        <v>406</v>
      </c>
      <c r="AF69" s="7" t="s">
        <v>406</v>
      </c>
      <c r="AG69" s="7" t="s">
        <v>406</v>
      </c>
      <c r="AH69" s="59">
        <v>42</v>
      </c>
      <c r="AI69" s="59">
        <v>42</v>
      </c>
      <c r="AJ69" s="59">
        <v>42</v>
      </c>
      <c r="AK69" s="59">
        <v>42</v>
      </c>
      <c r="AL69" s="7" t="s">
        <v>406</v>
      </c>
      <c r="AM69" s="7" t="s">
        <v>406</v>
      </c>
      <c r="AN69" s="7" t="s">
        <v>406</v>
      </c>
    </row>
    <row r="70" ht="15.75" customHeight="1" spans="1:40">
      <c r="A70" s="6" t="s">
        <v>936</v>
      </c>
      <c r="B70" s="6" t="s">
        <v>966</v>
      </c>
      <c r="C70" s="4" t="s">
        <v>937</v>
      </c>
      <c r="D70" s="9" t="s">
        <v>1478</v>
      </c>
      <c r="E70" s="29" t="s">
        <v>971</v>
      </c>
      <c r="F70" s="6" t="s">
        <v>1479</v>
      </c>
      <c r="G70" s="6">
        <v>9081245889</v>
      </c>
      <c r="H70" s="7" t="s">
        <v>939</v>
      </c>
      <c r="I70" s="7" t="s">
        <v>940</v>
      </c>
      <c r="J70" s="7" t="s">
        <v>942</v>
      </c>
      <c r="K70" s="7" t="s">
        <v>941</v>
      </c>
      <c r="L70" s="7" t="s">
        <v>975</v>
      </c>
      <c r="M70" s="7" t="s">
        <v>1480</v>
      </c>
      <c r="N70" s="51">
        <v>35105</v>
      </c>
      <c r="O70" s="7" t="s">
        <v>1028</v>
      </c>
      <c r="P70" s="7" t="s">
        <v>946</v>
      </c>
      <c r="Q70" s="7" t="s">
        <v>963</v>
      </c>
      <c r="R70" s="7" t="s">
        <v>1481</v>
      </c>
      <c r="S70" s="59">
        <v>90</v>
      </c>
      <c r="T70" s="7" t="s">
        <v>965</v>
      </c>
      <c r="U70" s="7"/>
      <c r="V70" s="7" t="s">
        <v>1482</v>
      </c>
      <c r="W70" s="7" t="s">
        <v>1483</v>
      </c>
      <c r="X70" s="7" t="s">
        <v>953</v>
      </c>
      <c r="Y70" s="7" t="s">
        <v>1484</v>
      </c>
      <c r="Z70" s="7" t="s">
        <v>1485</v>
      </c>
      <c r="AA70" s="7" t="s">
        <v>1486</v>
      </c>
      <c r="AB70" s="7" t="s">
        <v>1487</v>
      </c>
      <c r="AC70" s="7" t="s">
        <v>398</v>
      </c>
      <c r="AD70" s="7" t="s">
        <v>398</v>
      </c>
      <c r="AE70" s="7" t="s">
        <v>396</v>
      </c>
      <c r="AF70" s="7" t="s">
        <v>406</v>
      </c>
      <c r="AG70" s="7" t="s">
        <v>398</v>
      </c>
      <c r="AH70" s="59">
        <v>37</v>
      </c>
      <c r="AI70" s="59">
        <v>37</v>
      </c>
      <c r="AJ70" s="59">
        <v>37</v>
      </c>
      <c r="AK70" s="59">
        <v>37</v>
      </c>
      <c r="AL70" s="7" t="s">
        <v>406</v>
      </c>
      <c r="AM70" s="7" t="s">
        <v>396</v>
      </c>
      <c r="AN70" s="7" t="s">
        <v>396</v>
      </c>
    </row>
    <row r="71" ht="15.75" customHeight="1" spans="1:40">
      <c r="A71" s="6" t="s">
        <v>936</v>
      </c>
      <c r="B71" s="6" t="s">
        <v>659</v>
      </c>
      <c r="C71" s="4" t="s">
        <v>937</v>
      </c>
      <c r="D71" s="9" t="s">
        <v>1488</v>
      </c>
      <c r="E71" s="29" t="s">
        <v>490</v>
      </c>
      <c r="F71" s="6" t="s">
        <v>1489</v>
      </c>
      <c r="G71" s="6">
        <v>8098764718</v>
      </c>
      <c r="H71" s="7" t="s">
        <v>985</v>
      </c>
      <c r="I71" s="7" t="s">
        <v>1490</v>
      </c>
      <c r="J71" s="7" t="s">
        <v>941</v>
      </c>
      <c r="K71" s="7" t="s">
        <v>941</v>
      </c>
      <c r="L71" s="7" t="s">
        <v>1026</v>
      </c>
      <c r="M71" s="7" t="s">
        <v>1491</v>
      </c>
      <c r="N71" s="51">
        <v>33477</v>
      </c>
      <c r="O71" s="7" t="s">
        <v>1028</v>
      </c>
      <c r="P71" s="7" t="s">
        <v>946</v>
      </c>
      <c r="Q71" s="7" t="s">
        <v>947</v>
      </c>
      <c r="R71" s="7" t="s">
        <v>1492</v>
      </c>
      <c r="S71" s="7" t="s">
        <v>1153</v>
      </c>
      <c r="T71" s="7" t="s">
        <v>1011</v>
      </c>
      <c r="U71" s="7"/>
      <c r="V71" s="7" t="s">
        <v>1493</v>
      </c>
      <c r="W71" s="7">
        <v>51981016962</v>
      </c>
      <c r="X71" s="7" t="s">
        <v>953</v>
      </c>
      <c r="Y71" s="7" t="s">
        <v>647</v>
      </c>
      <c r="Z71" s="7" t="s">
        <v>979</v>
      </c>
      <c r="AA71" s="7" t="s">
        <v>1494</v>
      </c>
      <c r="AB71" s="7" t="s">
        <v>1074</v>
      </c>
      <c r="AC71" s="7" t="s">
        <v>398</v>
      </c>
      <c r="AD71" s="7" t="s">
        <v>398</v>
      </c>
      <c r="AE71" s="7" t="s">
        <v>398</v>
      </c>
      <c r="AF71" s="7" t="s">
        <v>406</v>
      </c>
      <c r="AG71" s="7" t="s">
        <v>399</v>
      </c>
      <c r="AH71" s="59">
        <v>36</v>
      </c>
      <c r="AI71" s="59">
        <v>36</v>
      </c>
      <c r="AJ71" s="59">
        <v>37</v>
      </c>
      <c r="AK71" s="59">
        <v>37</v>
      </c>
      <c r="AL71" s="7" t="s">
        <v>398</v>
      </c>
      <c r="AM71" s="7" t="s">
        <v>399</v>
      </c>
      <c r="AN71" s="7" t="s">
        <v>398</v>
      </c>
    </row>
    <row r="72" ht="15.75" customHeight="1" spans="1:40">
      <c r="A72" s="47"/>
      <c r="B72" s="47"/>
      <c r="C72" s="8"/>
      <c r="D72" s="9" t="s">
        <v>1495</v>
      </c>
      <c r="E72" s="29" t="s">
        <v>490</v>
      </c>
      <c r="F72" s="6" t="s">
        <v>1496</v>
      </c>
      <c r="G72" s="7"/>
      <c r="H72" s="47"/>
      <c r="I72" s="47"/>
      <c r="J72" s="7"/>
      <c r="K72" s="7"/>
      <c r="L72" s="7"/>
      <c r="M72" s="7"/>
      <c r="N72" s="15"/>
      <c r="O72" s="7"/>
      <c r="P72" s="7"/>
      <c r="Q72" s="7"/>
      <c r="R72" s="7"/>
      <c r="S72" s="7"/>
      <c r="T72" s="7"/>
      <c r="U72" s="7"/>
      <c r="V72" s="7"/>
      <c r="W72" s="7"/>
      <c r="X72" s="7"/>
      <c r="Y72" s="7"/>
      <c r="Z72" s="7"/>
      <c r="AA72" s="7"/>
      <c r="AB72" s="7"/>
      <c r="AC72" s="7"/>
      <c r="AD72" s="7"/>
      <c r="AE72" s="7"/>
      <c r="AF72" s="7"/>
      <c r="AG72" s="7"/>
      <c r="AH72" s="7"/>
      <c r="AI72" s="7"/>
      <c r="AJ72" s="7"/>
      <c r="AK72" s="7"/>
      <c r="AL72" s="7"/>
      <c r="AM72" s="7"/>
      <c r="AN72" s="7"/>
    </row>
    <row r="73" ht="15.75" customHeight="1" spans="1:40">
      <c r="A73" s="6" t="s">
        <v>936</v>
      </c>
      <c r="B73" s="46" t="s">
        <v>506</v>
      </c>
      <c r="C73" s="4" t="s">
        <v>957</v>
      </c>
      <c r="D73" s="9" t="s">
        <v>1497</v>
      </c>
      <c r="E73" s="29" t="s">
        <v>492</v>
      </c>
      <c r="F73" s="6" t="s">
        <v>1498</v>
      </c>
      <c r="G73" s="6">
        <v>8077788753</v>
      </c>
      <c r="H73" s="7" t="s">
        <v>1499</v>
      </c>
      <c r="I73" s="7" t="s">
        <v>1500</v>
      </c>
      <c r="J73" s="7" t="s">
        <v>941</v>
      </c>
      <c r="K73" s="7" t="s">
        <v>942</v>
      </c>
      <c r="L73" s="7" t="s">
        <v>975</v>
      </c>
      <c r="M73" s="7" t="s">
        <v>1501</v>
      </c>
      <c r="N73" s="51">
        <v>31229</v>
      </c>
      <c r="O73" s="7" t="s">
        <v>945</v>
      </c>
      <c r="P73" s="7" t="s">
        <v>946</v>
      </c>
      <c r="Q73" s="7" t="s">
        <v>1054</v>
      </c>
      <c r="R73" s="7" t="s">
        <v>1502</v>
      </c>
      <c r="S73" s="59">
        <v>110</v>
      </c>
      <c r="T73" s="7" t="s">
        <v>1503</v>
      </c>
      <c r="U73" s="7"/>
      <c r="V73" s="7">
        <v>54996544529</v>
      </c>
      <c r="W73" s="7">
        <v>54996544529</v>
      </c>
      <c r="X73" s="7" t="s">
        <v>953</v>
      </c>
      <c r="Y73" s="7" t="s">
        <v>533</v>
      </c>
      <c r="Z73" s="59">
        <v>95686544</v>
      </c>
      <c r="AA73" s="7" t="s">
        <v>1504</v>
      </c>
      <c r="AB73" s="7" t="s">
        <v>1505</v>
      </c>
      <c r="AC73" s="7" t="s">
        <v>398</v>
      </c>
      <c r="AD73" s="7" t="s">
        <v>398</v>
      </c>
      <c r="AE73" s="7" t="s">
        <v>398</v>
      </c>
      <c r="AF73" s="7" t="s">
        <v>398</v>
      </c>
      <c r="AG73" s="7" t="s">
        <v>398</v>
      </c>
      <c r="AH73" s="59">
        <v>44</v>
      </c>
      <c r="AI73" s="59">
        <v>44</v>
      </c>
      <c r="AJ73" s="59">
        <v>44</v>
      </c>
      <c r="AK73" s="59">
        <v>44</v>
      </c>
      <c r="AL73" s="7" t="s">
        <v>398</v>
      </c>
      <c r="AM73" s="7" t="s">
        <v>398</v>
      </c>
      <c r="AN73" s="7" t="s">
        <v>398</v>
      </c>
    </row>
    <row r="74" ht="15.75" customHeight="1" spans="1:40">
      <c r="A74" s="6" t="s">
        <v>936</v>
      </c>
      <c r="B74" s="6" t="s">
        <v>624</v>
      </c>
      <c r="C74" s="4" t="s">
        <v>937</v>
      </c>
      <c r="D74" s="9" t="s">
        <v>1506</v>
      </c>
      <c r="E74" s="29" t="s">
        <v>490</v>
      </c>
      <c r="F74" s="6" t="s">
        <v>1507</v>
      </c>
      <c r="G74" s="6">
        <v>9072971451</v>
      </c>
      <c r="H74" s="7" t="s">
        <v>985</v>
      </c>
      <c r="I74" s="7" t="s">
        <v>940</v>
      </c>
      <c r="J74" s="7" t="s">
        <v>941</v>
      </c>
      <c r="K74" s="7" t="s">
        <v>941</v>
      </c>
      <c r="L74" s="7" t="s">
        <v>943</v>
      </c>
      <c r="M74" s="7" t="s">
        <v>1508</v>
      </c>
      <c r="N74" s="51">
        <v>25727</v>
      </c>
      <c r="O74" s="7" t="s">
        <v>945</v>
      </c>
      <c r="P74" s="7" t="s">
        <v>946</v>
      </c>
      <c r="Q74" s="7" t="s">
        <v>963</v>
      </c>
      <c r="R74" s="7" t="s">
        <v>1509</v>
      </c>
      <c r="S74" s="7" t="s">
        <v>1510</v>
      </c>
      <c r="T74" s="7" t="s">
        <v>965</v>
      </c>
      <c r="U74" s="7" t="s">
        <v>1511</v>
      </c>
      <c r="V74" s="7" t="s">
        <v>1512</v>
      </c>
      <c r="W74" s="7" t="s">
        <v>1513</v>
      </c>
      <c r="X74" s="7" t="s">
        <v>953</v>
      </c>
      <c r="Y74" s="7" t="s">
        <v>624</v>
      </c>
      <c r="Z74" s="7" t="s">
        <v>954</v>
      </c>
      <c r="AA74" s="7" t="s">
        <v>1514</v>
      </c>
      <c r="AB74" s="7" t="s">
        <v>1515</v>
      </c>
      <c r="AC74" s="7" t="s">
        <v>406</v>
      </c>
      <c r="AD74" s="7" t="s">
        <v>398</v>
      </c>
      <c r="AE74" s="7" t="s">
        <v>398</v>
      </c>
      <c r="AF74" s="7" t="s">
        <v>406</v>
      </c>
      <c r="AG74" s="7" t="s">
        <v>406</v>
      </c>
      <c r="AH74" s="59">
        <v>40</v>
      </c>
      <c r="AI74" s="59">
        <v>39</v>
      </c>
      <c r="AJ74" s="59">
        <v>39</v>
      </c>
      <c r="AK74" s="59">
        <v>39</v>
      </c>
      <c r="AL74" s="7" t="s">
        <v>406</v>
      </c>
      <c r="AM74" s="7" t="s">
        <v>398</v>
      </c>
      <c r="AN74" s="7" t="s">
        <v>406</v>
      </c>
    </row>
    <row r="75" ht="15.75" customHeight="1" spans="1:40">
      <c r="A75" s="6" t="s">
        <v>936</v>
      </c>
      <c r="B75" s="6" t="s">
        <v>966</v>
      </c>
      <c r="C75" s="4" t="s">
        <v>937</v>
      </c>
      <c r="D75" s="9" t="s">
        <v>173</v>
      </c>
      <c r="E75" s="29" t="s">
        <v>491</v>
      </c>
      <c r="F75" s="6" t="s">
        <v>1516</v>
      </c>
      <c r="G75" s="6">
        <v>1082542885</v>
      </c>
      <c r="H75" s="7" t="s">
        <v>939</v>
      </c>
      <c r="I75" s="7" t="s">
        <v>1517</v>
      </c>
      <c r="J75" s="7" t="s">
        <v>941</v>
      </c>
      <c r="K75" s="7" t="s">
        <v>942</v>
      </c>
      <c r="L75" s="7" t="s">
        <v>975</v>
      </c>
      <c r="M75" s="7" t="s">
        <v>1518</v>
      </c>
      <c r="N75" s="51">
        <v>30376</v>
      </c>
      <c r="O75" s="7" t="s">
        <v>945</v>
      </c>
      <c r="P75" s="7" t="s">
        <v>946</v>
      </c>
      <c r="Q75" s="7" t="s">
        <v>1245</v>
      </c>
      <c r="R75" s="7" t="s">
        <v>1519</v>
      </c>
      <c r="S75" s="59">
        <v>84</v>
      </c>
      <c r="T75" s="7" t="s">
        <v>1011</v>
      </c>
      <c r="U75" s="7"/>
      <c r="V75" s="7" t="s">
        <v>1520</v>
      </c>
      <c r="W75" s="7" t="s">
        <v>1521</v>
      </c>
      <c r="X75" s="7" t="s">
        <v>953</v>
      </c>
      <c r="Y75" s="7" t="s">
        <v>656</v>
      </c>
      <c r="Z75" s="7" t="s">
        <v>1108</v>
      </c>
      <c r="AA75" s="7" t="s">
        <v>1522</v>
      </c>
      <c r="AB75" s="7" t="s">
        <v>1523</v>
      </c>
      <c r="AC75" s="7" t="s">
        <v>396</v>
      </c>
      <c r="AD75" s="7" t="s">
        <v>396</v>
      </c>
      <c r="AE75" s="7" t="s">
        <v>396</v>
      </c>
      <c r="AF75" s="7" t="s">
        <v>396</v>
      </c>
      <c r="AG75" s="7" t="s">
        <v>396</v>
      </c>
      <c r="AH75" s="59">
        <v>39</v>
      </c>
      <c r="AI75" s="59">
        <v>39</v>
      </c>
      <c r="AJ75" s="59">
        <v>39</v>
      </c>
      <c r="AK75" s="59">
        <v>39</v>
      </c>
      <c r="AL75" s="7" t="s">
        <v>396</v>
      </c>
      <c r="AM75" s="7" t="s">
        <v>396</v>
      </c>
      <c r="AN75" s="7" t="s">
        <v>396</v>
      </c>
    </row>
    <row r="76" ht="15.75" customHeight="1" spans="1:40">
      <c r="A76" s="6" t="s">
        <v>936</v>
      </c>
      <c r="B76" s="6" t="s">
        <v>659</v>
      </c>
      <c r="C76" s="4" t="s">
        <v>937</v>
      </c>
      <c r="D76" s="9" t="s">
        <v>1524</v>
      </c>
      <c r="E76" s="29" t="s">
        <v>971</v>
      </c>
      <c r="F76" s="6" t="s">
        <v>1525</v>
      </c>
      <c r="G76" s="6">
        <v>2121482182</v>
      </c>
      <c r="H76" s="7" t="s">
        <v>985</v>
      </c>
      <c r="I76" s="7" t="s">
        <v>1526</v>
      </c>
      <c r="J76" s="7" t="s">
        <v>941</v>
      </c>
      <c r="K76" s="7" t="s">
        <v>941</v>
      </c>
      <c r="L76" s="7" t="s">
        <v>943</v>
      </c>
      <c r="M76" s="7" t="s">
        <v>1527</v>
      </c>
      <c r="N76" s="51">
        <v>36344</v>
      </c>
      <c r="O76" s="7" t="s">
        <v>945</v>
      </c>
      <c r="P76" s="7" t="s">
        <v>946</v>
      </c>
      <c r="Q76" s="7" t="s">
        <v>963</v>
      </c>
      <c r="R76" s="7" t="s">
        <v>1528</v>
      </c>
      <c r="S76" s="7" t="s">
        <v>1062</v>
      </c>
      <c r="T76" s="7" t="s">
        <v>950</v>
      </c>
      <c r="U76" s="7">
        <v>51992986502</v>
      </c>
      <c r="V76" s="7">
        <v>51992159216</v>
      </c>
      <c r="W76" s="7">
        <v>51991627181</v>
      </c>
      <c r="X76" s="7" t="s">
        <v>953</v>
      </c>
      <c r="Y76" s="7" t="s">
        <v>659</v>
      </c>
      <c r="Z76" s="7" t="s">
        <v>1529</v>
      </c>
      <c r="AA76" s="7" t="s">
        <v>1530</v>
      </c>
      <c r="AB76" s="7" t="s">
        <v>1531</v>
      </c>
      <c r="AC76" s="7" t="s">
        <v>406</v>
      </c>
      <c r="AD76" s="7" t="s">
        <v>406</v>
      </c>
      <c r="AE76" s="7" t="s">
        <v>406</v>
      </c>
      <c r="AF76" s="7" t="s">
        <v>396</v>
      </c>
      <c r="AG76" s="7" t="s">
        <v>406</v>
      </c>
      <c r="AH76" s="59">
        <v>41</v>
      </c>
      <c r="AI76" s="59">
        <v>41</v>
      </c>
      <c r="AJ76" s="59">
        <v>41</v>
      </c>
      <c r="AK76" s="59">
        <v>41</v>
      </c>
      <c r="AL76" s="7" t="s">
        <v>406</v>
      </c>
      <c r="AM76" s="7" t="s">
        <v>406</v>
      </c>
      <c r="AN76" s="7" t="s">
        <v>406</v>
      </c>
    </row>
    <row r="77" ht="15.75" customHeight="1" spans="1:40">
      <c r="A77" s="6" t="s">
        <v>936</v>
      </c>
      <c r="B77" s="6" t="s">
        <v>966</v>
      </c>
      <c r="C77" s="4" t="s">
        <v>937</v>
      </c>
      <c r="D77" s="9" t="s">
        <v>1532</v>
      </c>
      <c r="E77" s="29" t="s">
        <v>971</v>
      </c>
      <c r="F77" s="6" t="s">
        <v>1533</v>
      </c>
      <c r="G77" s="6">
        <v>9100512061</v>
      </c>
      <c r="H77" s="7" t="s">
        <v>939</v>
      </c>
      <c r="I77" s="7" t="s">
        <v>1534</v>
      </c>
      <c r="J77" s="7" t="s">
        <v>941</v>
      </c>
      <c r="K77" s="7" t="s">
        <v>941</v>
      </c>
      <c r="L77" s="7" t="s">
        <v>943</v>
      </c>
      <c r="M77" s="7" t="s">
        <v>1535</v>
      </c>
      <c r="N77" s="51">
        <v>33911</v>
      </c>
      <c r="O77" s="7" t="s">
        <v>945</v>
      </c>
      <c r="P77" s="7" t="s">
        <v>946</v>
      </c>
      <c r="Q77" s="7" t="s">
        <v>1245</v>
      </c>
      <c r="R77" s="7" t="s">
        <v>1536</v>
      </c>
      <c r="S77" s="59">
        <v>90</v>
      </c>
      <c r="T77" s="7" t="s">
        <v>965</v>
      </c>
      <c r="U77" s="7"/>
      <c r="V77" s="7" t="s">
        <v>1537</v>
      </c>
      <c r="W77" s="7" t="s">
        <v>1538</v>
      </c>
      <c r="X77" s="7" t="s">
        <v>953</v>
      </c>
      <c r="Y77" s="7" t="s">
        <v>656</v>
      </c>
      <c r="Z77" s="7" t="s">
        <v>1108</v>
      </c>
      <c r="AA77" s="7" t="s">
        <v>1539</v>
      </c>
      <c r="AB77" s="7" t="s">
        <v>1523</v>
      </c>
      <c r="AC77" s="7" t="s">
        <v>406</v>
      </c>
      <c r="AD77" s="7" t="s">
        <v>406</v>
      </c>
      <c r="AE77" s="7" t="s">
        <v>406</v>
      </c>
      <c r="AF77" s="7" t="s">
        <v>406</v>
      </c>
      <c r="AG77" s="7" t="s">
        <v>398</v>
      </c>
      <c r="AH77" s="59">
        <v>42</v>
      </c>
      <c r="AI77" s="59">
        <v>42</v>
      </c>
      <c r="AJ77" s="59">
        <v>42</v>
      </c>
      <c r="AK77" s="59">
        <v>42</v>
      </c>
      <c r="AL77" s="7" t="s">
        <v>406</v>
      </c>
      <c r="AM77" s="7" t="s">
        <v>406</v>
      </c>
      <c r="AN77" s="7" t="s">
        <v>396</v>
      </c>
    </row>
    <row r="78" ht="15.75" customHeight="1" spans="1:40">
      <c r="A78" s="6" t="s">
        <v>936</v>
      </c>
      <c r="B78" s="6" t="s">
        <v>660</v>
      </c>
      <c r="C78" s="4" t="s">
        <v>937</v>
      </c>
      <c r="D78" s="9" t="s">
        <v>1540</v>
      </c>
      <c r="E78" s="29" t="s">
        <v>490</v>
      </c>
      <c r="F78" s="6" t="s">
        <v>1541</v>
      </c>
      <c r="G78" s="6">
        <v>2109021507</v>
      </c>
      <c r="H78" s="7" t="s">
        <v>985</v>
      </c>
      <c r="I78" s="7" t="s">
        <v>1542</v>
      </c>
      <c r="J78" s="7" t="s">
        <v>942</v>
      </c>
      <c r="K78" s="7" t="s">
        <v>942</v>
      </c>
      <c r="L78" s="7" t="s">
        <v>1026</v>
      </c>
      <c r="M78" s="7" t="s">
        <v>1543</v>
      </c>
      <c r="N78" s="55">
        <v>32350</v>
      </c>
      <c r="O78" s="7" t="s">
        <v>945</v>
      </c>
      <c r="P78" s="7" t="s">
        <v>946</v>
      </c>
      <c r="Q78" s="7" t="s">
        <v>963</v>
      </c>
      <c r="R78" s="7" t="s">
        <v>1544</v>
      </c>
      <c r="S78" s="59">
        <v>85</v>
      </c>
      <c r="T78" s="7" t="s">
        <v>1011</v>
      </c>
      <c r="U78" s="7"/>
      <c r="V78" s="7" t="s">
        <v>1545</v>
      </c>
      <c r="W78" s="7" t="s">
        <v>1546</v>
      </c>
      <c r="X78" s="7" t="s">
        <v>953</v>
      </c>
      <c r="Y78" s="7" t="s">
        <v>660</v>
      </c>
      <c r="Z78" s="7" t="s">
        <v>1135</v>
      </c>
      <c r="AA78" s="7" t="s">
        <v>1547</v>
      </c>
      <c r="AB78" s="7" t="s">
        <v>1548</v>
      </c>
      <c r="AC78" s="7" t="s">
        <v>406</v>
      </c>
      <c r="AD78" s="7" t="s">
        <v>406</v>
      </c>
      <c r="AE78" s="7" t="s">
        <v>406</v>
      </c>
      <c r="AF78" s="7" t="s">
        <v>406</v>
      </c>
      <c r="AG78" s="7" t="s">
        <v>406</v>
      </c>
      <c r="AH78" s="59">
        <v>40</v>
      </c>
      <c r="AI78" s="59">
        <v>40</v>
      </c>
      <c r="AJ78" s="59">
        <v>40</v>
      </c>
      <c r="AK78" s="59">
        <v>40</v>
      </c>
      <c r="AL78" s="7" t="s">
        <v>396</v>
      </c>
      <c r="AM78" s="7" t="s">
        <v>396</v>
      </c>
      <c r="AN78" s="7" t="s">
        <v>406</v>
      </c>
    </row>
    <row r="79" ht="15.75" customHeight="1" spans="1:40">
      <c r="A79" s="47"/>
      <c r="B79" s="47"/>
      <c r="C79" s="8"/>
      <c r="D79" s="88" t="s">
        <v>1549</v>
      </c>
      <c r="E79" s="29" t="s">
        <v>490</v>
      </c>
      <c r="F79" s="89" t="s">
        <v>1550</v>
      </c>
      <c r="G79" s="86"/>
      <c r="H79" s="90"/>
      <c r="I79" s="90"/>
      <c r="J79" s="86"/>
      <c r="K79" s="86"/>
      <c r="L79" s="86"/>
      <c r="M79" s="86"/>
      <c r="N79" s="99"/>
      <c r="O79" s="86"/>
      <c r="P79" s="86"/>
      <c r="Q79" s="86"/>
      <c r="R79" s="86"/>
      <c r="S79" s="86"/>
      <c r="T79" s="109"/>
      <c r="U79" s="86"/>
      <c r="V79" s="86"/>
      <c r="W79" s="86"/>
      <c r="X79" s="7"/>
      <c r="Y79" s="86"/>
      <c r="Z79" s="86"/>
      <c r="AA79" s="86"/>
      <c r="AB79" s="86"/>
      <c r="AC79" s="86"/>
      <c r="AD79" s="86"/>
      <c r="AE79" s="86"/>
      <c r="AF79" s="86"/>
      <c r="AG79" s="86"/>
      <c r="AH79" s="86"/>
      <c r="AI79" s="86"/>
      <c r="AJ79" s="86"/>
      <c r="AK79" s="86"/>
      <c r="AL79" s="86"/>
      <c r="AM79" s="86"/>
      <c r="AN79" s="86"/>
    </row>
    <row r="80" ht="15.75" customHeight="1" spans="1:40">
      <c r="A80" s="6" t="s">
        <v>936</v>
      </c>
      <c r="B80" s="46" t="s">
        <v>506</v>
      </c>
      <c r="C80" s="4" t="s">
        <v>957</v>
      </c>
      <c r="D80" s="88" t="s">
        <v>1551</v>
      </c>
      <c r="E80" s="29" t="s">
        <v>490</v>
      </c>
      <c r="F80" s="89" t="s">
        <v>1552</v>
      </c>
      <c r="G80" s="89">
        <v>1091939338</v>
      </c>
      <c r="H80" s="86" t="s">
        <v>960</v>
      </c>
      <c r="I80" s="90" t="s">
        <v>1553</v>
      </c>
      <c r="J80" s="86" t="s">
        <v>941</v>
      </c>
      <c r="K80" s="7" t="s">
        <v>942</v>
      </c>
      <c r="L80" s="86" t="s">
        <v>943</v>
      </c>
      <c r="M80" s="86" t="s">
        <v>1554</v>
      </c>
      <c r="N80" s="100">
        <v>31147</v>
      </c>
      <c r="O80" s="86" t="s">
        <v>945</v>
      </c>
      <c r="P80" s="86" t="s">
        <v>946</v>
      </c>
      <c r="Q80" s="86" t="s">
        <v>963</v>
      </c>
      <c r="R80" s="86" t="s">
        <v>1555</v>
      </c>
      <c r="S80" s="110">
        <v>90</v>
      </c>
      <c r="T80" s="109" t="s">
        <v>1030</v>
      </c>
      <c r="U80" s="86"/>
      <c r="V80" s="86">
        <v>51999909393</v>
      </c>
      <c r="W80" s="86">
        <v>51999909393</v>
      </c>
      <c r="X80" s="86" t="s">
        <v>953</v>
      </c>
      <c r="Y80" s="86" t="s">
        <v>966</v>
      </c>
      <c r="Z80" s="86" t="s">
        <v>1556</v>
      </c>
      <c r="AA80" s="86" t="s">
        <v>1557</v>
      </c>
      <c r="AB80" s="86" t="s">
        <v>969</v>
      </c>
      <c r="AC80" s="86" t="s">
        <v>396</v>
      </c>
      <c r="AD80" s="86" t="s">
        <v>406</v>
      </c>
      <c r="AE80" s="86" t="s">
        <v>406</v>
      </c>
      <c r="AF80" s="86" t="s">
        <v>406</v>
      </c>
      <c r="AG80" s="86" t="s">
        <v>396</v>
      </c>
      <c r="AH80" s="110">
        <v>41</v>
      </c>
      <c r="AI80" s="110">
        <v>41</v>
      </c>
      <c r="AJ80" s="110">
        <v>41</v>
      </c>
      <c r="AK80" s="110">
        <v>41</v>
      </c>
      <c r="AL80" s="86" t="s">
        <v>406</v>
      </c>
      <c r="AM80" s="86" t="s">
        <v>406</v>
      </c>
      <c r="AN80" s="86" t="s">
        <v>406</v>
      </c>
    </row>
    <row r="81" ht="15.75" customHeight="1" spans="1:40">
      <c r="A81" s="6" t="s">
        <v>936</v>
      </c>
      <c r="B81" s="6" t="s">
        <v>660</v>
      </c>
      <c r="C81" s="4" t="s">
        <v>937</v>
      </c>
      <c r="D81" s="88" t="s">
        <v>1558</v>
      </c>
      <c r="E81" s="29" t="s">
        <v>490</v>
      </c>
      <c r="F81" s="89" t="s">
        <v>1559</v>
      </c>
      <c r="G81" s="89">
        <v>6087261993</v>
      </c>
      <c r="H81" s="86" t="s">
        <v>985</v>
      </c>
      <c r="I81" s="86" t="s">
        <v>1560</v>
      </c>
      <c r="J81" s="86" t="s">
        <v>941</v>
      </c>
      <c r="K81" s="7" t="s">
        <v>942</v>
      </c>
      <c r="L81" s="86" t="s">
        <v>943</v>
      </c>
      <c r="M81" s="86" t="s">
        <v>1561</v>
      </c>
      <c r="N81" s="100">
        <v>30773</v>
      </c>
      <c r="O81" s="86" t="s">
        <v>1028</v>
      </c>
      <c r="P81" s="86" t="s">
        <v>946</v>
      </c>
      <c r="Q81" s="86" t="s">
        <v>947</v>
      </c>
      <c r="R81" s="86" t="s">
        <v>1562</v>
      </c>
      <c r="S81" s="110">
        <v>66</v>
      </c>
      <c r="T81" s="109" t="s">
        <v>1044</v>
      </c>
      <c r="U81" s="86" t="s">
        <v>1511</v>
      </c>
      <c r="V81" s="86" t="s">
        <v>1563</v>
      </c>
      <c r="W81" s="86" t="s">
        <v>1564</v>
      </c>
      <c r="X81" s="7" t="s">
        <v>953</v>
      </c>
      <c r="Y81" s="86" t="s">
        <v>660</v>
      </c>
      <c r="Z81" s="86" t="s">
        <v>1135</v>
      </c>
      <c r="AA81" s="86" t="s">
        <v>1565</v>
      </c>
      <c r="AB81" s="86" t="s">
        <v>1548</v>
      </c>
      <c r="AC81" s="86" t="s">
        <v>396</v>
      </c>
      <c r="AD81" s="86" t="s">
        <v>396</v>
      </c>
      <c r="AE81" s="86" t="s">
        <v>396</v>
      </c>
      <c r="AF81" s="86" t="s">
        <v>396</v>
      </c>
      <c r="AG81" s="86" t="s">
        <v>396</v>
      </c>
      <c r="AH81" s="110">
        <v>38</v>
      </c>
      <c r="AI81" s="110">
        <v>38</v>
      </c>
      <c r="AJ81" s="110">
        <v>38</v>
      </c>
      <c r="AK81" s="110">
        <v>38</v>
      </c>
      <c r="AL81" s="86" t="s">
        <v>396</v>
      </c>
      <c r="AM81" s="86" t="s">
        <v>396</v>
      </c>
      <c r="AN81" s="86" t="s">
        <v>395</v>
      </c>
    </row>
    <row r="82" ht="15.75" customHeight="1" spans="1:40">
      <c r="A82" s="6" t="s">
        <v>936</v>
      </c>
      <c r="B82" s="6" t="s">
        <v>647</v>
      </c>
      <c r="C82" s="4" t="s">
        <v>937</v>
      </c>
      <c r="D82" s="88" t="s">
        <v>1566</v>
      </c>
      <c r="E82" s="29" t="s">
        <v>971</v>
      </c>
      <c r="F82" s="89" t="s">
        <v>1567</v>
      </c>
      <c r="G82" s="89">
        <v>2085319891</v>
      </c>
      <c r="H82" s="86" t="s">
        <v>985</v>
      </c>
      <c r="I82" s="86" t="s">
        <v>940</v>
      </c>
      <c r="J82" s="86" t="s">
        <v>941</v>
      </c>
      <c r="K82" s="7" t="s">
        <v>941</v>
      </c>
      <c r="L82" s="86" t="s">
        <v>975</v>
      </c>
      <c r="M82" s="86" t="s">
        <v>1568</v>
      </c>
      <c r="N82" s="100">
        <v>30456</v>
      </c>
      <c r="O82" s="86" t="s">
        <v>945</v>
      </c>
      <c r="P82" s="86" t="s">
        <v>1041</v>
      </c>
      <c r="Q82" s="86" t="s">
        <v>963</v>
      </c>
      <c r="R82" s="86" t="s">
        <v>1569</v>
      </c>
      <c r="S82" s="86"/>
      <c r="T82" s="109" t="s">
        <v>1044</v>
      </c>
      <c r="U82" s="86"/>
      <c r="V82" s="86" t="s">
        <v>1570</v>
      </c>
      <c r="W82" s="86"/>
      <c r="X82" s="7" t="s">
        <v>953</v>
      </c>
      <c r="Y82" s="86" t="s">
        <v>647</v>
      </c>
      <c r="Z82" s="86" t="s">
        <v>979</v>
      </c>
      <c r="AA82" s="86" t="s">
        <v>1571</v>
      </c>
      <c r="AB82" s="86" t="s">
        <v>1032</v>
      </c>
      <c r="AC82" s="86" t="s">
        <v>406</v>
      </c>
      <c r="AD82" s="86" t="s">
        <v>406</v>
      </c>
      <c r="AE82" s="86" t="s">
        <v>406</v>
      </c>
      <c r="AF82" s="86" t="s">
        <v>406</v>
      </c>
      <c r="AG82" s="86" t="s">
        <v>406</v>
      </c>
      <c r="AH82" s="110">
        <v>38</v>
      </c>
      <c r="AI82" s="110">
        <v>38</v>
      </c>
      <c r="AJ82" s="110">
        <v>38</v>
      </c>
      <c r="AK82" s="110">
        <v>38</v>
      </c>
      <c r="AL82" s="86" t="s">
        <v>406</v>
      </c>
      <c r="AM82" s="86" t="s">
        <v>406</v>
      </c>
      <c r="AN82" s="86" t="s">
        <v>406</v>
      </c>
    </row>
    <row r="83" ht="15.75" customHeight="1" spans="1:40">
      <c r="A83" s="6" t="s">
        <v>936</v>
      </c>
      <c r="B83" s="46" t="s">
        <v>506</v>
      </c>
      <c r="C83" s="4" t="s">
        <v>957</v>
      </c>
      <c r="D83" s="88" t="s">
        <v>1572</v>
      </c>
      <c r="E83" s="29" t="s">
        <v>971</v>
      </c>
      <c r="F83" s="89" t="s">
        <v>1573</v>
      </c>
      <c r="G83" s="89">
        <v>2101357412</v>
      </c>
      <c r="H83" s="86" t="s">
        <v>985</v>
      </c>
      <c r="I83" s="101" t="s">
        <v>1574</v>
      </c>
      <c r="J83" s="86" t="s">
        <v>942</v>
      </c>
      <c r="K83" s="86" t="s">
        <v>942</v>
      </c>
      <c r="L83" s="86" t="s">
        <v>975</v>
      </c>
      <c r="M83" s="86" t="s">
        <v>1575</v>
      </c>
      <c r="N83" s="100">
        <v>32922</v>
      </c>
      <c r="O83" s="86" t="s">
        <v>1028</v>
      </c>
      <c r="P83" s="86" t="s">
        <v>946</v>
      </c>
      <c r="Q83" s="86" t="s">
        <v>963</v>
      </c>
      <c r="R83" s="86" t="s">
        <v>1576</v>
      </c>
      <c r="S83" s="110">
        <v>74</v>
      </c>
      <c r="T83" s="109" t="s">
        <v>950</v>
      </c>
      <c r="U83" s="86"/>
      <c r="V83" s="86">
        <v>51994508731</v>
      </c>
      <c r="W83" s="86">
        <v>51994508731</v>
      </c>
      <c r="X83" s="7" t="s">
        <v>953</v>
      </c>
      <c r="Y83" s="86" t="s">
        <v>506</v>
      </c>
      <c r="Z83" s="86" t="s">
        <v>1012</v>
      </c>
      <c r="AA83" s="86" t="s">
        <v>1577</v>
      </c>
      <c r="AB83" s="86" t="s">
        <v>1578</v>
      </c>
      <c r="AC83" s="86" t="s">
        <v>396</v>
      </c>
      <c r="AD83" s="86" t="s">
        <v>406</v>
      </c>
      <c r="AE83" s="86" t="s">
        <v>406</v>
      </c>
      <c r="AF83" s="86" t="s">
        <v>406</v>
      </c>
      <c r="AG83" s="86" t="s">
        <v>406</v>
      </c>
      <c r="AH83" s="110">
        <v>42</v>
      </c>
      <c r="AI83" s="110">
        <v>42</v>
      </c>
      <c r="AJ83" s="110">
        <v>42</v>
      </c>
      <c r="AK83" s="110">
        <v>42</v>
      </c>
      <c r="AL83" s="86" t="s">
        <v>406</v>
      </c>
      <c r="AM83" s="86" t="s">
        <v>396</v>
      </c>
      <c r="AN83" s="86" t="s">
        <v>396</v>
      </c>
    </row>
    <row r="84" ht="15.75" customHeight="1" spans="1:40">
      <c r="A84" s="47"/>
      <c r="B84" s="47"/>
      <c r="C84" s="8"/>
      <c r="D84" s="88" t="s">
        <v>1579</v>
      </c>
      <c r="E84" s="29" t="s">
        <v>490</v>
      </c>
      <c r="F84" s="89" t="s">
        <v>1580</v>
      </c>
      <c r="G84" s="86"/>
      <c r="H84" s="90"/>
      <c r="I84" s="90"/>
      <c r="J84" s="86"/>
      <c r="K84" s="86"/>
      <c r="L84" s="86"/>
      <c r="M84" s="86"/>
      <c r="N84" s="99"/>
      <c r="O84" s="86"/>
      <c r="P84" s="86"/>
      <c r="Q84" s="86"/>
      <c r="R84" s="86"/>
      <c r="S84" s="86"/>
      <c r="T84" s="109"/>
      <c r="U84" s="86"/>
      <c r="V84" s="86"/>
      <c r="W84" s="86"/>
      <c r="X84" s="7"/>
      <c r="Y84" s="86"/>
      <c r="Z84" s="86"/>
      <c r="AA84" s="86"/>
      <c r="AB84" s="86"/>
      <c r="AC84" s="86"/>
      <c r="AD84" s="86"/>
      <c r="AE84" s="86"/>
      <c r="AF84" s="86"/>
      <c r="AG84" s="86"/>
      <c r="AH84" s="86"/>
      <c r="AI84" s="86"/>
      <c r="AJ84" s="86"/>
      <c r="AK84" s="86"/>
      <c r="AL84" s="86"/>
      <c r="AM84" s="86"/>
      <c r="AN84" s="86"/>
    </row>
    <row r="85" ht="15.75" customHeight="1" spans="1:40">
      <c r="A85" s="6" t="s">
        <v>936</v>
      </c>
      <c r="B85" s="46" t="s">
        <v>1581</v>
      </c>
      <c r="C85" s="4" t="s">
        <v>937</v>
      </c>
      <c r="D85" s="9" t="s">
        <v>1582</v>
      </c>
      <c r="E85" s="29" t="s">
        <v>971</v>
      </c>
      <c r="F85" s="6" t="s">
        <v>1583</v>
      </c>
      <c r="G85" s="91" t="s">
        <v>1584</v>
      </c>
      <c r="H85" s="47" t="s">
        <v>1585</v>
      </c>
      <c r="I85" s="47" t="s">
        <v>1586</v>
      </c>
      <c r="J85" s="7" t="s">
        <v>942</v>
      </c>
      <c r="K85" s="7" t="s">
        <v>942</v>
      </c>
      <c r="L85" s="7" t="s">
        <v>943</v>
      </c>
      <c r="M85" s="7" t="s">
        <v>1587</v>
      </c>
      <c r="N85" s="51">
        <v>30487</v>
      </c>
      <c r="O85" s="7" t="s">
        <v>945</v>
      </c>
      <c r="P85" s="7" t="s">
        <v>946</v>
      </c>
      <c r="Q85" s="7" t="s">
        <v>947</v>
      </c>
      <c r="R85" s="75" t="s">
        <v>1588</v>
      </c>
      <c r="S85" s="59">
        <v>84</v>
      </c>
      <c r="T85" s="7" t="s">
        <v>965</v>
      </c>
      <c r="U85" s="7"/>
      <c r="V85" s="7" t="s">
        <v>1589</v>
      </c>
      <c r="W85" s="7" t="s">
        <v>1590</v>
      </c>
      <c r="X85" s="7" t="s">
        <v>953</v>
      </c>
      <c r="Y85" s="7" t="s">
        <v>1581</v>
      </c>
      <c r="Z85" s="7" t="s">
        <v>1591</v>
      </c>
      <c r="AA85" s="7" t="s">
        <v>1592</v>
      </c>
      <c r="AB85" s="7" t="s">
        <v>1593</v>
      </c>
      <c r="AC85" s="7" t="s">
        <v>406</v>
      </c>
      <c r="AD85" s="7" t="s">
        <v>406</v>
      </c>
      <c r="AE85" s="7" t="s">
        <v>406</v>
      </c>
      <c r="AF85" s="7" t="s">
        <v>406</v>
      </c>
      <c r="AG85" s="7" t="s">
        <v>406</v>
      </c>
      <c r="AH85" s="59">
        <v>41</v>
      </c>
      <c r="AI85" s="59">
        <v>41</v>
      </c>
      <c r="AJ85" s="59">
        <v>41</v>
      </c>
      <c r="AK85" s="59">
        <v>41</v>
      </c>
      <c r="AL85" s="7" t="s">
        <v>406</v>
      </c>
      <c r="AM85" s="7" t="s">
        <v>406</v>
      </c>
      <c r="AN85" s="7" t="s">
        <v>406</v>
      </c>
    </row>
    <row r="86" ht="15.75" customHeight="1" spans="1:40">
      <c r="A86" s="6" t="s">
        <v>936</v>
      </c>
      <c r="B86" s="46" t="s">
        <v>506</v>
      </c>
      <c r="C86" s="4" t="s">
        <v>957</v>
      </c>
      <c r="D86" s="9" t="s">
        <v>1594</v>
      </c>
      <c r="E86" s="29" t="s">
        <v>490</v>
      </c>
      <c r="F86" s="6" t="s">
        <v>1595</v>
      </c>
      <c r="G86" s="6">
        <v>8119195454</v>
      </c>
      <c r="H86" s="7" t="s">
        <v>985</v>
      </c>
      <c r="I86" s="47" t="s">
        <v>1596</v>
      </c>
      <c r="J86" s="7" t="s">
        <v>942</v>
      </c>
      <c r="K86" s="7" t="s">
        <v>942</v>
      </c>
      <c r="L86" s="7" t="s">
        <v>1080</v>
      </c>
      <c r="M86" s="7" t="s">
        <v>1597</v>
      </c>
      <c r="N86" s="55">
        <v>34108</v>
      </c>
      <c r="O86" s="7" t="s">
        <v>945</v>
      </c>
      <c r="P86" s="7" t="s">
        <v>946</v>
      </c>
      <c r="Q86" s="7" t="s">
        <v>963</v>
      </c>
      <c r="R86" s="7" t="s">
        <v>1598</v>
      </c>
      <c r="S86" s="59">
        <v>73</v>
      </c>
      <c r="T86" s="7" t="s">
        <v>1030</v>
      </c>
      <c r="U86" s="7"/>
      <c r="V86" s="7">
        <v>51995817907</v>
      </c>
      <c r="W86" s="7">
        <v>51995817907</v>
      </c>
      <c r="X86" s="7" t="s">
        <v>953</v>
      </c>
      <c r="Y86" s="7" t="s">
        <v>508</v>
      </c>
      <c r="Z86" s="59">
        <v>93806572</v>
      </c>
      <c r="AA86" s="7" t="s">
        <v>1599</v>
      </c>
      <c r="AB86" s="7" t="s">
        <v>1600</v>
      </c>
      <c r="AC86" s="7" t="s">
        <v>396</v>
      </c>
      <c r="AD86" s="7" t="s">
        <v>396</v>
      </c>
      <c r="AE86" s="7" t="s">
        <v>396</v>
      </c>
      <c r="AF86" s="7" t="s">
        <v>396</v>
      </c>
      <c r="AG86" s="7" t="s">
        <v>396</v>
      </c>
      <c r="AH86" s="59">
        <v>42</v>
      </c>
      <c r="AI86" s="59">
        <v>42</v>
      </c>
      <c r="AJ86" s="59">
        <v>42</v>
      </c>
      <c r="AK86" s="59">
        <v>42</v>
      </c>
      <c r="AL86" s="7" t="s">
        <v>396</v>
      </c>
      <c r="AM86" s="7" t="s">
        <v>396</v>
      </c>
      <c r="AN86" s="7" t="s">
        <v>396</v>
      </c>
    </row>
    <row r="87" ht="15.75" customHeight="1" spans="1:40">
      <c r="A87" s="6" t="s">
        <v>936</v>
      </c>
      <c r="B87" s="7" t="s">
        <v>966</v>
      </c>
      <c r="C87" s="4" t="s">
        <v>937</v>
      </c>
      <c r="D87" s="9" t="s">
        <v>1601</v>
      </c>
      <c r="E87" s="29" t="s">
        <v>971</v>
      </c>
      <c r="F87" s="6" t="s">
        <v>1602</v>
      </c>
      <c r="G87" s="59">
        <v>1089619256</v>
      </c>
      <c r="H87" s="7" t="s">
        <v>939</v>
      </c>
      <c r="I87" s="7" t="s">
        <v>940</v>
      </c>
      <c r="J87" s="7" t="s">
        <v>941</v>
      </c>
      <c r="K87" s="7" t="s">
        <v>941</v>
      </c>
      <c r="L87" s="7" t="s">
        <v>1068</v>
      </c>
      <c r="M87" s="7" t="s">
        <v>1603</v>
      </c>
      <c r="N87" s="51">
        <v>31473</v>
      </c>
      <c r="O87" s="7" t="s">
        <v>945</v>
      </c>
      <c r="P87" s="7" t="s">
        <v>946</v>
      </c>
      <c r="Q87" s="7" t="s">
        <v>963</v>
      </c>
      <c r="R87" s="7" t="s">
        <v>1604</v>
      </c>
      <c r="S87" s="59">
        <v>98</v>
      </c>
      <c r="T87" s="59">
        <v>1.85</v>
      </c>
      <c r="U87" s="7"/>
      <c r="V87" s="7" t="s">
        <v>1605</v>
      </c>
      <c r="W87" s="7" t="s">
        <v>1606</v>
      </c>
      <c r="X87" s="7" t="s">
        <v>953</v>
      </c>
      <c r="Y87" s="7" t="s">
        <v>966</v>
      </c>
      <c r="Z87" s="7" t="s">
        <v>1607</v>
      </c>
      <c r="AA87" s="7" t="s">
        <v>1608</v>
      </c>
      <c r="AB87" s="7" t="s">
        <v>1609</v>
      </c>
      <c r="AC87" s="7" t="s">
        <v>406</v>
      </c>
      <c r="AD87" s="7" t="s">
        <v>406</v>
      </c>
      <c r="AE87" s="7" t="s">
        <v>406</v>
      </c>
      <c r="AF87" s="7" t="s">
        <v>406</v>
      </c>
      <c r="AG87" s="7" t="s">
        <v>406</v>
      </c>
      <c r="AH87" s="59">
        <v>44</v>
      </c>
      <c r="AI87" s="59">
        <v>44</v>
      </c>
      <c r="AJ87" s="59">
        <v>44</v>
      </c>
      <c r="AK87" s="59">
        <v>44</v>
      </c>
      <c r="AL87" s="7" t="s">
        <v>406</v>
      </c>
      <c r="AM87" s="7" t="s">
        <v>406</v>
      </c>
      <c r="AN87" s="7" t="s">
        <v>406</v>
      </c>
    </row>
    <row r="88" ht="15.75" customHeight="1" spans="1:40">
      <c r="A88" s="6" t="s">
        <v>936</v>
      </c>
      <c r="B88" s="6" t="s">
        <v>966</v>
      </c>
      <c r="C88" s="4" t="s">
        <v>937</v>
      </c>
      <c r="D88" s="9" t="s">
        <v>1610</v>
      </c>
      <c r="E88" s="29" t="s">
        <v>492</v>
      </c>
      <c r="F88" s="6" t="s">
        <v>1611</v>
      </c>
      <c r="G88" s="6">
        <v>5112576342</v>
      </c>
      <c r="H88" s="7" t="s">
        <v>939</v>
      </c>
      <c r="I88" s="7" t="s">
        <v>940</v>
      </c>
      <c r="J88" s="7" t="s">
        <v>941</v>
      </c>
      <c r="K88" s="7" t="s">
        <v>941</v>
      </c>
      <c r="L88" s="7" t="s">
        <v>943</v>
      </c>
      <c r="M88" s="7" t="s">
        <v>1612</v>
      </c>
      <c r="N88" s="55">
        <v>33525</v>
      </c>
      <c r="O88" s="7" t="s">
        <v>945</v>
      </c>
      <c r="P88" s="7" t="s">
        <v>946</v>
      </c>
      <c r="Q88" s="7" t="s">
        <v>963</v>
      </c>
      <c r="R88" s="102" t="s">
        <v>1613</v>
      </c>
      <c r="S88" s="59">
        <v>100</v>
      </c>
      <c r="T88" s="7" t="s">
        <v>1011</v>
      </c>
      <c r="U88" s="7"/>
      <c r="V88" s="7" t="s">
        <v>1614</v>
      </c>
      <c r="W88" s="7" t="s">
        <v>1614</v>
      </c>
      <c r="X88" s="7" t="s">
        <v>953</v>
      </c>
      <c r="Y88" s="7" t="s">
        <v>966</v>
      </c>
      <c r="Z88" s="7" t="s">
        <v>1615</v>
      </c>
      <c r="AA88" s="7" t="s">
        <v>1616</v>
      </c>
      <c r="AB88" s="7" t="s">
        <v>1617</v>
      </c>
      <c r="AC88" s="7" t="s">
        <v>406</v>
      </c>
      <c r="AD88" s="7" t="s">
        <v>406</v>
      </c>
      <c r="AE88" s="7" t="s">
        <v>406</v>
      </c>
      <c r="AF88" s="7" t="s">
        <v>406</v>
      </c>
      <c r="AG88" s="7" t="s">
        <v>398</v>
      </c>
      <c r="AH88" s="59">
        <v>42</v>
      </c>
      <c r="AI88" s="59">
        <v>42</v>
      </c>
      <c r="AJ88" s="59">
        <v>42</v>
      </c>
      <c r="AK88" s="59">
        <v>42</v>
      </c>
      <c r="AL88" s="7" t="s">
        <v>406</v>
      </c>
      <c r="AM88" s="7" t="s">
        <v>406</v>
      </c>
      <c r="AN88" s="7" t="s">
        <v>396</v>
      </c>
    </row>
    <row r="89" ht="15.75" customHeight="1" spans="1:40">
      <c r="A89" s="6" t="s">
        <v>936</v>
      </c>
      <c r="B89" s="46" t="s">
        <v>624</v>
      </c>
      <c r="C89" s="4" t="s">
        <v>937</v>
      </c>
      <c r="D89" s="9" t="s">
        <v>174</v>
      </c>
      <c r="E89" s="29" t="s">
        <v>491</v>
      </c>
      <c r="F89" s="6" t="s">
        <v>1618</v>
      </c>
      <c r="G89" s="6">
        <v>1085336582</v>
      </c>
      <c r="H89" s="47" t="s">
        <v>939</v>
      </c>
      <c r="I89" s="47" t="s">
        <v>940</v>
      </c>
      <c r="J89" s="7" t="s">
        <v>941</v>
      </c>
      <c r="K89" s="7" t="s">
        <v>942</v>
      </c>
      <c r="L89" s="7" t="s">
        <v>943</v>
      </c>
      <c r="M89" s="7" t="s">
        <v>1619</v>
      </c>
      <c r="N89" s="51">
        <v>29926</v>
      </c>
      <c r="O89" s="7" t="s">
        <v>945</v>
      </c>
      <c r="P89" s="7" t="s">
        <v>946</v>
      </c>
      <c r="Q89" s="7" t="s">
        <v>947</v>
      </c>
      <c r="R89" s="7" t="s">
        <v>1620</v>
      </c>
      <c r="S89" s="7" t="s">
        <v>1621</v>
      </c>
      <c r="T89" s="7" t="s">
        <v>950</v>
      </c>
      <c r="U89" s="7"/>
      <c r="V89" s="7" t="s">
        <v>1622</v>
      </c>
      <c r="W89" s="7" t="s">
        <v>1623</v>
      </c>
      <c r="X89" s="7" t="s">
        <v>953</v>
      </c>
      <c r="Y89" s="7" t="s">
        <v>659</v>
      </c>
      <c r="Z89" s="59">
        <v>93610210</v>
      </c>
      <c r="AA89" s="7"/>
      <c r="AB89" s="7"/>
      <c r="AC89" s="7" t="s">
        <v>406</v>
      </c>
      <c r="AD89" s="7" t="s">
        <v>406</v>
      </c>
      <c r="AE89" s="7" t="s">
        <v>406</v>
      </c>
      <c r="AF89" s="7" t="s">
        <v>406</v>
      </c>
      <c r="AG89" s="7" t="s">
        <v>406</v>
      </c>
      <c r="AH89" s="59">
        <v>40</v>
      </c>
      <c r="AI89" s="59">
        <v>40</v>
      </c>
      <c r="AJ89" s="59">
        <v>40</v>
      </c>
      <c r="AK89" s="59">
        <v>40</v>
      </c>
      <c r="AL89" s="7" t="s">
        <v>406</v>
      </c>
      <c r="AM89" s="7" t="s">
        <v>406</v>
      </c>
      <c r="AN89" s="7" t="s">
        <v>406</v>
      </c>
    </row>
    <row r="90" ht="15.75" customHeight="1" spans="1:40">
      <c r="A90" s="6" t="s">
        <v>936</v>
      </c>
      <c r="B90" s="46" t="s">
        <v>506</v>
      </c>
      <c r="C90" s="4" t="s">
        <v>957</v>
      </c>
      <c r="D90" s="9" t="s">
        <v>1624</v>
      </c>
      <c r="E90" s="29" t="s">
        <v>490</v>
      </c>
      <c r="F90" s="6" t="s">
        <v>1625</v>
      </c>
      <c r="G90" s="6">
        <v>9125940263</v>
      </c>
      <c r="H90" s="7" t="s">
        <v>960</v>
      </c>
      <c r="I90" s="47" t="s">
        <v>1626</v>
      </c>
      <c r="J90" s="7" t="s">
        <v>941</v>
      </c>
      <c r="K90" s="7" t="s">
        <v>942</v>
      </c>
      <c r="L90" s="7" t="s">
        <v>975</v>
      </c>
      <c r="M90" s="7" t="s">
        <v>1627</v>
      </c>
      <c r="N90" s="55">
        <v>36825</v>
      </c>
      <c r="O90" s="7" t="s">
        <v>945</v>
      </c>
      <c r="P90" s="7" t="s">
        <v>1257</v>
      </c>
      <c r="Q90" s="7" t="s">
        <v>963</v>
      </c>
      <c r="R90" s="7" t="s">
        <v>1628</v>
      </c>
      <c r="S90" s="59">
        <v>80</v>
      </c>
      <c r="T90" s="7" t="s">
        <v>1011</v>
      </c>
      <c r="U90" s="7"/>
      <c r="V90" s="7">
        <v>51992203909</v>
      </c>
      <c r="W90" s="7">
        <v>51992203909</v>
      </c>
      <c r="X90" s="7" t="s">
        <v>953</v>
      </c>
      <c r="Y90" s="7" t="s">
        <v>508</v>
      </c>
      <c r="Z90" s="7" t="s">
        <v>1629</v>
      </c>
      <c r="AA90" s="7" t="s">
        <v>1630</v>
      </c>
      <c r="AB90" s="7" t="s">
        <v>1631</v>
      </c>
      <c r="AC90" s="7" t="s">
        <v>406</v>
      </c>
      <c r="AD90" s="7" t="s">
        <v>406</v>
      </c>
      <c r="AE90" s="7" t="s">
        <v>406</v>
      </c>
      <c r="AF90" s="7" t="s">
        <v>406</v>
      </c>
      <c r="AG90" s="7" t="s">
        <v>406</v>
      </c>
      <c r="AH90" s="59">
        <v>42</v>
      </c>
      <c r="AI90" s="59">
        <v>42</v>
      </c>
      <c r="AJ90" s="59">
        <v>42</v>
      </c>
      <c r="AK90" s="59">
        <v>42</v>
      </c>
      <c r="AL90" s="7" t="s">
        <v>396</v>
      </c>
      <c r="AM90" s="7" t="s">
        <v>396</v>
      </c>
      <c r="AN90" s="7" t="s">
        <v>396</v>
      </c>
    </row>
    <row r="91" ht="15.75" customHeight="1" spans="1:40">
      <c r="A91" s="6" t="s">
        <v>936</v>
      </c>
      <c r="B91" s="46" t="s">
        <v>1581</v>
      </c>
      <c r="C91" s="4" t="s">
        <v>937</v>
      </c>
      <c r="D91" s="9" t="s">
        <v>1632</v>
      </c>
      <c r="E91" s="29" t="s">
        <v>971</v>
      </c>
      <c r="F91" s="6" t="s">
        <v>1633</v>
      </c>
      <c r="G91" s="6">
        <v>1106512179</v>
      </c>
      <c r="H91" s="47" t="s">
        <v>1585</v>
      </c>
      <c r="I91" s="47" t="s">
        <v>1634</v>
      </c>
      <c r="J91" s="7" t="s">
        <v>941</v>
      </c>
      <c r="K91" s="7" t="s">
        <v>942</v>
      </c>
      <c r="L91" s="7" t="s">
        <v>1068</v>
      </c>
      <c r="M91" s="7" t="s">
        <v>1635</v>
      </c>
      <c r="N91" s="51">
        <v>34494</v>
      </c>
      <c r="O91" s="7" t="s">
        <v>945</v>
      </c>
      <c r="P91" s="7" t="s">
        <v>946</v>
      </c>
      <c r="Q91" s="7" t="s">
        <v>947</v>
      </c>
      <c r="R91" s="75" t="s">
        <v>1636</v>
      </c>
      <c r="S91" s="59">
        <v>125</v>
      </c>
      <c r="T91" s="7" t="s">
        <v>1154</v>
      </c>
      <c r="U91" s="7"/>
      <c r="V91" s="7" t="s">
        <v>1637</v>
      </c>
      <c r="W91" s="7" t="s">
        <v>1638</v>
      </c>
      <c r="X91" s="7" t="s">
        <v>953</v>
      </c>
      <c r="Y91" s="7" t="s">
        <v>1639</v>
      </c>
      <c r="Z91" s="7" t="s">
        <v>1591</v>
      </c>
      <c r="AA91" s="7" t="s">
        <v>1640</v>
      </c>
      <c r="AB91" s="7" t="s">
        <v>1641</v>
      </c>
      <c r="AC91" s="7" t="s">
        <v>398</v>
      </c>
      <c r="AD91" s="7" t="s">
        <v>399</v>
      </c>
      <c r="AE91" s="7" t="s">
        <v>398</v>
      </c>
      <c r="AF91" s="7" t="s">
        <v>399</v>
      </c>
      <c r="AG91" s="7" t="s">
        <v>399</v>
      </c>
      <c r="AH91" s="59">
        <v>44</v>
      </c>
      <c r="AI91" s="59">
        <v>44</v>
      </c>
      <c r="AJ91" s="59">
        <v>44</v>
      </c>
      <c r="AK91" s="59">
        <v>44</v>
      </c>
      <c r="AL91" s="7" t="s">
        <v>399</v>
      </c>
      <c r="AM91" s="7" t="s">
        <v>399</v>
      </c>
      <c r="AN91" s="7" t="s">
        <v>406</v>
      </c>
    </row>
    <row r="92" ht="15.75" customHeight="1" spans="1:40">
      <c r="A92" s="6" t="s">
        <v>936</v>
      </c>
      <c r="B92" s="46" t="s">
        <v>647</v>
      </c>
      <c r="C92" s="4" t="s">
        <v>937</v>
      </c>
      <c r="D92" s="9" t="s">
        <v>1642</v>
      </c>
      <c r="E92" s="29" t="s">
        <v>490</v>
      </c>
      <c r="F92" s="6" t="s">
        <v>1643</v>
      </c>
      <c r="G92" s="6">
        <v>7134975635</v>
      </c>
      <c r="H92" s="86" t="s">
        <v>985</v>
      </c>
      <c r="I92" s="47" t="s">
        <v>1644</v>
      </c>
      <c r="J92" s="7" t="s">
        <v>941</v>
      </c>
      <c r="K92" s="7" t="s">
        <v>941</v>
      </c>
      <c r="L92" s="7" t="s">
        <v>943</v>
      </c>
      <c r="M92" s="7" t="s">
        <v>1645</v>
      </c>
      <c r="N92" s="55">
        <v>38392</v>
      </c>
      <c r="O92" s="7" t="s">
        <v>945</v>
      </c>
      <c r="P92" s="7" t="s">
        <v>946</v>
      </c>
      <c r="Q92" s="7" t="s">
        <v>963</v>
      </c>
      <c r="R92" s="7" t="s">
        <v>1646</v>
      </c>
      <c r="S92" s="59">
        <v>81</v>
      </c>
      <c r="T92" s="7" t="s">
        <v>965</v>
      </c>
      <c r="U92" s="7"/>
      <c r="V92" s="7" t="s">
        <v>1647</v>
      </c>
      <c r="W92" s="7"/>
      <c r="X92" s="7" t="s">
        <v>953</v>
      </c>
      <c r="Y92" s="7" t="s">
        <v>647</v>
      </c>
      <c r="Z92" s="7" t="s">
        <v>979</v>
      </c>
      <c r="AA92" s="7" t="s">
        <v>1648</v>
      </c>
      <c r="AB92" s="7" t="s">
        <v>1649</v>
      </c>
      <c r="AC92" s="7" t="s">
        <v>396</v>
      </c>
      <c r="AD92" s="7" t="s">
        <v>396</v>
      </c>
      <c r="AE92" s="7" t="s">
        <v>396</v>
      </c>
      <c r="AF92" s="7" t="s">
        <v>406</v>
      </c>
      <c r="AG92" s="7" t="s">
        <v>396</v>
      </c>
      <c r="AH92" s="59">
        <v>41</v>
      </c>
      <c r="AI92" s="59">
        <v>41</v>
      </c>
      <c r="AJ92" s="59">
        <v>41</v>
      </c>
      <c r="AK92" s="59">
        <v>41</v>
      </c>
      <c r="AL92" s="7" t="s">
        <v>396</v>
      </c>
      <c r="AM92" s="7" t="s">
        <v>396</v>
      </c>
      <c r="AN92" s="7" t="s">
        <v>396</v>
      </c>
    </row>
    <row r="93" ht="15.75" customHeight="1" spans="1:40">
      <c r="A93" s="6" t="s">
        <v>936</v>
      </c>
      <c r="B93" s="6" t="s">
        <v>660</v>
      </c>
      <c r="C93" s="4" t="s">
        <v>937</v>
      </c>
      <c r="D93" s="9" t="s">
        <v>1650</v>
      </c>
      <c r="E93" s="29" t="s">
        <v>490</v>
      </c>
      <c r="F93" s="6" t="s">
        <v>1651</v>
      </c>
      <c r="G93" s="6">
        <v>6104073058</v>
      </c>
      <c r="H93" s="7" t="s">
        <v>985</v>
      </c>
      <c r="I93" s="7" t="s">
        <v>1652</v>
      </c>
      <c r="J93" s="7" t="s">
        <v>941</v>
      </c>
      <c r="K93" s="7" t="s">
        <v>941</v>
      </c>
      <c r="L93" s="7" t="s">
        <v>943</v>
      </c>
      <c r="M93" s="7" t="s">
        <v>1653</v>
      </c>
      <c r="N93" s="15"/>
      <c r="O93" s="7"/>
      <c r="P93" s="7" t="s">
        <v>946</v>
      </c>
      <c r="Q93" s="7"/>
      <c r="R93" s="7" t="s">
        <v>1654</v>
      </c>
      <c r="S93" s="59">
        <v>130</v>
      </c>
      <c r="T93" s="7" t="s">
        <v>950</v>
      </c>
      <c r="U93" s="7"/>
      <c r="V93" s="7" t="s">
        <v>1655</v>
      </c>
      <c r="W93" s="7" t="s">
        <v>1656</v>
      </c>
      <c r="X93" s="7" t="s">
        <v>953</v>
      </c>
      <c r="Y93" s="7" t="s">
        <v>660</v>
      </c>
      <c r="Z93" s="7" t="s">
        <v>1135</v>
      </c>
      <c r="AA93" s="7" t="s">
        <v>1657</v>
      </c>
      <c r="AB93" s="7" t="s">
        <v>1658</v>
      </c>
      <c r="AC93" s="7" t="s">
        <v>399</v>
      </c>
      <c r="AD93" s="7" t="s">
        <v>398</v>
      </c>
      <c r="AE93" s="7" t="s">
        <v>398</v>
      </c>
      <c r="AF93" s="7" t="s">
        <v>398</v>
      </c>
      <c r="AG93" s="7" t="s">
        <v>399</v>
      </c>
      <c r="AH93" s="59">
        <v>43</v>
      </c>
      <c r="AI93" s="59">
        <v>43</v>
      </c>
      <c r="AJ93" s="59">
        <v>43</v>
      </c>
      <c r="AK93" s="59">
        <v>43</v>
      </c>
      <c r="AL93" s="7" t="s">
        <v>398</v>
      </c>
      <c r="AM93" s="7" t="s">
        <v>398</v>
      </c>
      <c r="AN93" s="7" t="s">
        <v>398</v>
      </c>
    </row>
    <row r="94" ht="15.75" customHeight="1" spans="1:40">
      <c r="A94" s="6" t="s">
        <v>936</v>
      </c>
      <c r="B94" s="6" t="s">
        <v>656</v>
      </c>
      <c r="C94" s="4" t="s">
        <v>937</v>
      </c>
      <c r="D94" s="9" t="s">
        <v>1659</v>
      </c>
      <c r="E94" s="29" t="s">
        <v>971</v>
      </c>
      <c r="F94" s="6" t="s">
        <v>1660</v>
      </c>
      <c r="G94" s="6">
        <v>1052307319</v>
      </c>
      <c r="H94" s="86" t="s">
        <v>939</v>
      </c>
      <c r="I94" s="7" t="s">
        <v>940</v>
      </c>
      <c r="J94" s="7" t="s">
        <v>941</v>
      </c>
      <c r="K94" s="7" t="s">
        <v>941</v>
      </c>
      <c r="L94" s="7"/>
      <c r="M94" s="7" t="s">
        <v>1661</v>
      </c>
      <c r="N94" s="51">
        <v>27035</v>
      </c>
      <c r="O94" s="7" t="s">
        <v>945</v>
      </c>
      <c r="P94" s="7" t="s">
        <v>946</v>
      </c>
      <c r="Q94" s="7" t="s">
        <v>963</v>
      </c>
      <c r="R94" s="7" t="s">
        <v>1662</v>
      </c>
      <c r="S94" s="59">
        <v>84</v>
      </c>
      <c r="T94" s="7" t="s">
        <v>965</v>
      </c>
      <c r="U94" s="7"/>
      <c r="V94" s="7" t="s">
        <v>1663</v>
      </c>
      <c r="W94" s="7" t="s">
        <v>1663</v>
      </c>
      <c r="X94" s="7" t="s">
        <v>953</v>
      </c>
      <c r="Y94" s="7" t="s">
        <v>656</v>
      </c>
      <c r="Z94" s="7" t="s">
        <v>1108</v>
      </c>
      <c r="AA94" s="7" t="s">
        <v>1664</v>
      </c>
      <c r="AB94" s="7" t="s">
        <v>1086</v>
      </c>
      <c r="AC94" s="7" t="s">
        <v>406</v>
      </c>
      <c r="AD94" s="7" t="s">
        <v>406</v>
      </c>
      <c r="AE94" s="7" t="s">
        <v>406</v>
      </c>
      <c r="AF94" s="7" t="s">
        <v>406</v>
      </c>
      <c r="AG94" s="7" t="s">
        <v>406</v>
      </c>
      <c r="AH94" s="59">
        <v>40</v>
      </c>
      <c r="AI94" s="59">
        <v>40</v>
      </c>
      <c r="AJ94" s="59">
        <v>40</v>
      </c>
      <c r="AK94" s="59">
        <v>40</v>
      </c>
      <c r="AL94" s="7" t="s">
        <v>406</v>
      </c>
      <c r="AM94" s="7" t="s">
        <v>406</v>
      </c>
      <c r="AN94" s="7" t="s">
        <v>406</v>
      </c>
    </row>
    <row r="95" ht="15.75" customHeight="1" spans="1:40">
      <c r="A95" s="6" t="s">
        <v>936</v>
      </c>
      <c r="B95" s="46" t="s">
        <v>1120</v>
      </c>
      <c r="C95" s="4" t="s">
        <v>957</v>
      </c>
      <c r="D95" s="9" t="s">
        <v>1665</v>
      </c>
      <c r="E95" s="29" t="s">
        <v>971</v>
      </c>
      <c r="F95" s="6" t="s">
        <v>1666</v>
      </c>
      <c r="G95" s="6">
        <v>8067126411</v>
      </c>
      <c r="H95" s="7" t="s">
        <v>1122</v>
      </c>
      <c r="I95" s="7" t="s">
        <v>1123</v>
      </c>
      <c r="J95" s="7" t="s">
        <v>941</v>
      </c>
      <c r="K95" s="7" t="s">
        <v>942</v>
      </c>
      <c r="L95" s="7" t="s">
        <v>975</v>
      </c>
      <c r="M95" s="7" t="s">
        <v>1667</v>
      </c>
      <c r="N95" s="51">
        <v>28282</v>
      </c>
      <c r="O95" s="7" t="s">
        <v>945</v>
      </c>
      <c r="P95" s="7" t="s">
        <v>946</v>
      </c>
      <c r="Q95" s="7" t="s">
        <v>1054</v>
      </c>
      <c r="R95" s="7" t="s">
        <v>1668</v>
      </c>
      <c r="S95" s="59">
        <v>77</v>
      </c>
      <c r="T95" s="6" t="s">
        <v>1011</v>
      </c>
      <c r="U95" s="7"/>
      <c r="V95" s="7" t="s">
        <v>1669</v>
      </c>
      <c r="W95" s="7" t="s">
        <v>1670</v>
      </c>
      <c r="X95" s="7" t="s">
        <v>953</v>
      </c>
      <c r="Y95" s="7" t="s">
        <v>656</v>
      </c>
      <c r="Z95" s="7">
        <v>93700000</v>
      </c>
      <c r="AA95" s="7" t="s">
        <v>1671</v>
      </c>
      <c r="AB95" s="7" t="s">
        <v>1672</v>
      </c>
      <c r="AC95" s="7" t="s">
        <v>406</v>
      </c>
      <c r="AD95" s="7" t="s">
        <v>406</v>
      </c>
      <c r="AE95" s="7" t="s">
        <v>406</v>
      </c>
      <c r="AF95" s="7" t="s">
        <v>406</v>
      </c>
      <c r="AG95" s="7" t="s">
        <v>406</v>
      </c>
      <c r="AH95" s="59">
        <v>40</v>
      </c>
      <c r="AI95" s="59">
        <v>40</v>
      </c>
      <c r="AJ95" s="59">
        <v>40</v>
      </c>
      <c r="AK95" s="59">
        <v>40</v>
      </c>
      <c r="AL95" s="7" t="s">
        <v>406</v>
      </c>
      <c r="AM95" s="7" t="s">
        <v>406</v>
      </c>
      <c r="AN95" s="7" t="s">
        <v>406</v>
      </c>
    </row>
    <row r="96" ht="15.75" customHeight="1" spans="1:40">
      <c r="A96" s="6" t="s">
        <v>936</v>
      </c>
      <c r="B96" s="6" t="s">
        <v>660</v>
      </c>
      <c r="C96" s="4" t="s">
        <v>937</v>
      </c>
      <c r="D96" s="9" t="s">
        <v>1673</v>
      </c>
      <c r="E96" s="29" t="s">
        <v>490</v>
      </c>
      <c r="F96" s="92" t="s">
        <v>1674</v>
      </c>
      <c r="G96" s="6">
        <v>1127041406</v>
      </c>
      <c r="H96" s="7" t="s">
        <v>985</v>
      </c>
      <c r="I96" s="7" t="s">
        <v>940</v>
      </c>
      <c r="J96" s="7" t="s">
        <v>1325</v>
      </c>
      <c r="K96" s="7" t="s">
        <v>1675</v>
      </c>
      <c r="L96" s="7" t="s">
        <v>975</v>
      </c>
      <c r="M96" s="7" t="s">
        <v>1676</v>
      </c>
      <c r="N96" s="51">
        <v>35905</v>
      </c>
      <c r="O96" s="7" t="s">
        <v>1028</v>
      </c>
      <c r="P96" s="7" t="s">
        <v>946</v>
      </c>
      <c r="Q96" s="7" t="s">
        <v>963</v>
      </c>
      <c r="R96" s="85" t="s">
        <v>1677</v>
      </c>
      <c r="S96" s="59">
        <v>120</v>
      </c>
      <c r="T96" s="7" t="s">
        <v>1044</v>
      </c>
      <c r="U96" s="7"/>
      <c r="V96" s="7" t="s">
        <v>1678</v>
      </c>
      <c r="W96" s="7" t="s">
        <v>1679</v>
      </c>
      <c r="X96" s="7" t="s">
        <v>953</v>
      </c>
      <c r="Y96" s="7" t="s">
        <v>660</v>
      </c>
      <c r="Z96" s="7" t="s">
        <v>1135</v>
      </c>
      <c r="AA96" s="7" t="s">
        <v>1680</v>
      </c>
      <c r="AB96" s="7" t="s">
        <v>1681</v>
      </c>
      <c r="AC96" s="7" t="s">
        <v>399</v>
      </c>
      <c r="AD96" s="7" t="s">
        <v>399</v>
      </c>
      <c r="AE96" s="7" t="s">
        <v>406</v>
      </c>
      <c r="AF96" s="7" t="s">
        <v>398</v>
      </c>
      <c r="AG96" s="7" t="s">
        <v>399</v>
      </c>
      <c r="AH96" s="59">
        <v>39</v>
      </c>
      <c r="AI96" s="59">
        <v>38</v>
      </c>
      <c r="AJ96" s="59">
        <v>38</v>
      </c>
      <c r="AK96" s="59">
        <v>38</v>
      </c>
      <c r="AL96" s="7" t="s">
        <v>406</v>
      </c>
      <c r="AM96" s="7" t="s">
        <v>398</v>
      </c>
      <c r="AN96" s="7"/>
    </row>
    <row r="97" ht="15.75" customHeight="1" spans="1:40">
      <c r="A97" s="6" t="s">
        <v>936</v>
      </c>
      <c r="B97" s="46" t="s">
        <v>647</v>
      </c>
      <c r="C97" s="4" t="s">
        <v>937</v>
      </c>
      <c r="D97" s="9" t="s">
        <v>69</v>
      </c>
      <c r="E97" s="29" t="s">
        <v>971</v>
      </c>
      <c r="F97" s="6" t="s">
        <v>1682</v>
      </c>
      <c r="G97" s="6">
        <v>4089450953</v>
      </c>
      <c r="H97" s="7" t="s">
        <v>973</v>
      </c>
      <c r="I97" s="47" t="s">
        <v>1683</v>
      </c>
      <c r="J97" s="7" t="s">
        <v>941</v>
      </c>
      <c r="K97" s="7" t="s">
        <v>941</v>
      </c>
      <c r="L97" s="7" t="s">
        <v>943</v>
      </c>
      <c r="M97" s="7" t="s">
        <v>1009</v>
      </c>
      <c r="N97" s="51">
        <v>30808</v>
      </c>
      <c r="O97" s="7" t="s">
        <v>945</v>
      </c>
      <c r="P97" s="7" t="s">
        <v>1104</v>
      </c>
      <c r="Q97" s="7" t="s">
        <v>963</v>
      </c>
      <c r="R97" s="7" t="s">
        <v>1684</v>
      </c>
      <c r="S97" s="59">
        <v>76</v>
      </c>
      <c r="T97" s="7" t="s">
        <v>965</v>
      </c>
      <c r="U97" s="7"/>
      <c r="V97" s="7" t="s">
        <v>1685</v>
      </c>
      <c r="W97" s="7"/>
      <c r="X97" s="7" t="s">
        <v>953</v>
      </c>
      <c r="Y97" s="7" t="s">
        <v>1686</v>
      </c>
      <c r="Z97" s="7" t="s">
        <v>1687</v>
      </c>
      <c r="AA97" s="7" t="s">
        <v>1688</v>
      </c>
      <c r="AB97" s="7" t="s">
        <v>1689</v>
      </c>
      <c r="AC97" s="7" t="s">
        <v>406</v>
      </c>
      <c r="AD97" s="7" t="s">
        <v>406</v>
      </c>
      <c r="AE97" s="7" t="s">
        <v>406</v>
      </c>
      <c r="AF97" s="7" t="s">
        <v>406</v>
      </c>
      <c r="AG97" s="7" t="s">
        <v>406</v>
      </c>
      <c r="AH97" s="59">
        <v>42</v>
      </c>
      <c r="AI97" s="59">
        <v>42</v>
      </c>
      <c r="AJ97" s="59">
        <v>42</v>
      </c>
      <c r="AK97" s="59">
        <v>42</v>
      </c>
      <c r="AL97" s="7" t="s">
        <v>406</v>
      </c>
      <c r="AM97" s="7" t="s">
        <v>406</v>
      </c>
      <c r="AN97" s="7" t="s">
        <v>406</v>
      </c>
    </row>
    <row r="98" ht="15.75" customHeight="1" spans="1:40">
      <c r="A98" s="6" t="s">
        <v>936</v>
      </c>
      <c r="B98" s="6" t="s">
        <v>966</v>
      </c>
      <c r="C98" s="4" t="s">
        <v>937</v>
      </c>
      <c r="D98" s="9" t="s">
        <v>1690</v>
      </c>
      <c r="E98" s="29" t="s">
        <v>971</v>
      </c>
      <c r="F98" s="6" t="s">
        <v>1691</v>
      </c>
      <c r="G98" s="6">
        <v>1075265312</v>
      </c>
      <c r="H98" s="86" t="s">
        <v>1692</v>
      </c>
      <c r="I98" s="86" t="s">
        <v>1693</v>
      </c>
      <c r="J98" s="7" t="s">
        <v>941</v>
      </c>
      <c r="K98" s="7" t="s">
        <v>941</v>
      </c>
      <c r="L98" s="102" t="s">
        <v>975</v>
      </c>
      <c r="M98" s="7" t="s">
        <v>1694</v>
      </c>
      <c r="N98" s="103">
        <v>29732</v>
      </c>
      <c r="O98" s="7" t="s">
        <v>945</v>
      </c>
      <c r="P98" s="7" t="s">
        <v>946</v>
      </c>
      <c r="Q98" s="102" t="s">
        <v>963</v>
      </c>
      <c r="R98" s="102" t="s">
        <v>1695</v>
      </c>
      <c r="S98" s="111">
        <v>78</v>
      </c>
      <c r="T98" s="102" t="s">
        <v>1044</v>
      </c>
      <c r="U98" s="7"/>
      <c r="V98" s="102" t="s">
        <v>1696</v>
      </c>
      <c r="W98" s="102" t="s">
        <v>1697</v>
      </c>
      <c r="X98" s="7" t="s">
        <v>953</v>
      </c>
      <c r="Y98" s="102" t="s">
        <v>1210</v>
      </c>
      <c r="Z98" s="116" t="s">
        <v>1698</v>
      </c>
      <c r="AA98" s="102" t="s">
        <v>1699</v>
      </c>
      <c r="AB98" s="102" t="s">
        <v>1700</v>
      </c>
      <c r="AC98" s="102" t="s">
        <v>398</v>
      </c>
      <c r="AD98" s="102" t="s">
        <v>398</v>
      </c>
      <c r="AE98" s="102" t="s">
        <v>406</v>
      </c>
      <c r="AF98" s="102" t="s">
        <v>406</v>
      </c>
      <c r="AG98" s="102" t="s">
        <v>406</v>
      </c>
      <c r="AH98" s="111">
        <v>39</v>
      </c>
      <c r="AI98" s="111">
        <v>39</v>
      </c>
      <c r="AJ98" s="111">
        <v>39</v>
      </c>
      <c r="AK98" s="111">
        <v>41</v>
      </c>
      <c r="AL98" s="102" t="s">
        <v>406</v>
      </c>
      <c r="AM98" s="117" t="s">
        <v>406</v>
      </c>
      <c r="AN98" s="117" t="s">
        <v>406</v>
      </c>
    </row>
    <row r="99" ht="15.75" customHeight="1" spans="1:40">
      <c r="A99" s="6" t="s">
        <v>936</v>
      </c>
      <c r="B99" s="6" t="s">
        <v>660</v>
      </c>
      <c r="C99" s="4" t="s">
        <v>937</v>
      </c>
      <c r="D99" s="9" t="s">
        <v>71</v>
      </c>
      <c r="E99" s="29" t="s">
        <v>971</v>
      </c>
      <c r="F99" s="6" t="s">
        <v>1701</v>
      </c>
      <c r="G99" s="6">
        <v>8026586704</v>
      </c>
      <c r="H99" s="86" t="s">
        <v>985</v>
      </c>
      <c r="I99" s="86" t="s">
        <v>1702</v>
      </c>
      <c r="J99" s="7" t="s">
        <v>942</v>
      </c>
      <c r="K99" s="7" t="s">
        <v>942</v>
      </c>
      <c r="L99" s="104" t="s">
        <v>943</v>
      </c>
      <c r="M99" s="7" t="s">
        <v>1703</v>
      </c>
      <c r="N99" s="105">
        <v>24599</v>
      </c>
      <c r="O99" s="7" t="s">
        <v>1028</v>
      </c>
      <c r="P99" s="7" t="s">
        <v>1104</v>
      </c>
      <c r="Q99" s="104" t="s">
        <v>1227</v>
      </c>
      <c r="R99" s="104" t="s">
        <v>1704</v>
      </c>
      <c r="S99" s="112">
        <v>65</v>
      </c>
      <c r="T99" s="104" t="s">
        <v>1208</v>
      </c>
      <c r="U99" s="7"/>
      <c r="V99" s="104" t="s">
        <v>1705</v>
      </c>
      <c r="W99" s="104" t="s">
        <v>1705</v>
      </c>
      <c r="X99" s="7" t="s">
        <v>953</v>
      </c>
      <c r="Y99" s="104" t="s">
        <v>660</v>
      </c>
      <c r="Z99" s="104" t="s">
        <v>1135</v>
      </c>
      <c r="AA99" s="104" t="s">
        <v>1706</v>
      </c>
      <c r="AB99" s="104" t="s">
        <v>1302</v>
      </c>
      <c r="AC99" s="104" t="s">
        <v>406</v>
      </c>
      <c r="AD99" s="104" t="s">
        <v>406</v>
      </c>
      <c r="AE99" s="104" t="s">
        <v>406</v>
      </c>
      <c r="AF99" s="104" t="s">
        <v>406</v>
      </c>
      <c r="AG99" s="104" t="s">
        <v>406</v>
      </c>
      <c r="AH99" s="112">
        <v>38</v>
      </c>
      <c r="AI99" s="112">
        <v>38</v>
      </c>
      <c r="AJ99" s="112">
        <v>38</v>
      </c>
      <c r="AK99" s="112">
        <v>38</v>
      </c>
      <c r="AL99" s="104" t="s">
        <v>406</v>
      </c>
      <c r="AM99" s="118" t="s">
        <v>396</v>
      </c>
      <c r="AN99" s="118" t="s">
        <v>396</v>
      </c>
    </row>
    <row r="100" ht="15.75" customHeight="1" spans="1:40">
      <c r="A100" s="6" t="s">
        <v>936</v>
      </c>
      <c r="B100" s="6" t="s">
        <v>660</v>
      </c>
      <c r="C100" s="4" t="s">
        <v>937</v>
      </c>
      <c r="D100" s="9" t="s">
        <v>1707</v>
      </c>
      <c r="E100" s="29" t="s">
        <v>971</v>
      </c>
      <c r="F100" s="6" t="s">
        <v>1708</v>
      </c>
      <c r="G100" s="6">
        <v>1089982993</v>
      </c>
      <c r="H100" s="86" t="s">
        <v>985</v>
      </c>
      <c r="I100" s="86" t="s">
        <v>986</v>
      </c>
      <c r="J100" s="7" t="s">
        <v>942</v>
      </c>
      <c r="K100" s="7" t="s">
        <v>942</v>
      </c>
      <c r="L100" s="104" t="s">
        <v>975</v>
      </c>
      <c r="M100" s="7" t="s">
        <v>1709</v>
      </c>
      <c r="N100" s="105">
        <v>28645</v>
      </c>
      <c r="O100" s="7" t="s">
        <v>1028</v>
      </c>
      <c r="P100" s="7" t="s">
        <v>946</v>
      </c>
      <c r="Q100" s="104" t="s">
        <v>963</v>
      </c>
      <c r="R100" s="104" t="s">
        <v>1710</v>
      </c>
      <c r="S100" s="112">
        <v>79</v>
      </c>
      <c r="T100" s="104" t="s">
        <v>1208</v>
      </c>
      <c r="U100" s="7"/>
      <c r="V100" s="104" t="s">
        <v>1711</v>
      </c>
      <c r="W100" s="104" t="s">
        <v>1712</v>
      </c>
      <c r="X100" s="7" t="s">
        <v>953</v>
      </c>
      <c r="Y100" s="104" t="s">
        <v>660</v>
      </c>
      <c r="Z100" s="104" t="s">
        <v>1135</v>
      </c>
      <c r="AA100" s="104" t="s">
        <v>1713</v>
      </c>
      <c r="AB100" s="104" t="s">
        <v>1714</v>
      </c>
      <c r="AC100" s="104" t="s">
        <v>406</v>
      </c>
      <c r="AD100" s="104" t="s">
        <v>406</v>
      </c>
      <c r="AE100" s="104" t="s">
        <v>396</v>
      </c>
      <c r="AF100" s="104" t="s">
        <v>396</v>
      </c>
      <c r="AG100" s="104" t="s">
        <v>406</v>
      </c>
      <c r="AH100" s="112">
        <v>38</v>
      </c>
      <c r="AI100" s="112">
        <v>38</v>
      </c>
      <c r="AJ100" s="112">
        <v>38</v>
      </c>
      <c r="AK100" s="112">
        <v>38</v>
      </c>
      <c r="AL100" s="104" t="s">
        <v>396</v>
      </c>
      <c r="AM100" s="118" t="s">
        <v>396</v>
      </c>
      <c r="AN100" s="118" t="s">
        <v>396</v>
      </c>
    </row>
    <row r="101" ht="15.75" customHeight="1" spans="1:40">
      <c r="A101" s="46" t="s">
        <v>936</v>
      </c>
      <c r="B101" s="46" t="s">
        <v>1715</v>
      </c>
      <c r="C101" s="4" t="s">
        <v>655</v>
      </c>
      <c r="D101" s="9" t="s">
        <v>1716</v>
      </c>
      <c r="E101" s="29" t="s">
        <v>490</v>
      </c>
      <c r="F101" s="6" t="s">
        <v>1717</v>
      </c>
      <c r="G101" s="6">
        <v>2121552794</v>
      </c>
      <c r="H101" s="90" t="s">
        <v>1398</v>
      </c>
      <c r="I101" s="90" t="s">
        <v>1718</v>
      </c>
      <c r="J101" s="7"/>
      <c r="K101" s="7"/>
      <c r="L101" s="104"/>
      <c r="M101" s="7"/>
      <c r="N101" s="106"/>
      <c r="O101" s="7"/>
      <c r="P101" s="7"/>
      <c r="Q101" s="104"/>
      <c r="R101" s="104"/>
      <c r="S101" s="104"/>
      <c r="T101" s="104"/>
      <c r="U101" s="7"/>
      <c r="V101" s="104"/>
      <c r="W101" s="104"/>
      <c r="X101" s="7"/>
      <c r="Y101" s="104"/>
      <c r="Z101" s="104"/>
      <c r="AA101" s="104"/>
      <c r="AB101" s="104"/>
      <c r="AC101" s="104"/>
      <c r="AD101" s="104"/>
      <c r="AE101" s="104"/>
      <c r="AF101" s="104"/>
      <c r="AG101" s="104"/>
      <c r="AH101" s="104"/>
      <c r="AI101" s="104"/>
      <c r="AJ101" s="104"/>
      <c r="AK101" s="104"/>
      <c r="AL101" s="104"/>
      <c r="AM101" s="118"/>
      <c r="AN101" s="118"/>
    </row>
    <row r="102" ht="15.75" customHeight="1" spans="1:40">
      <c r="A102" s="6" t="s">
        <v>936</v>
      </c>
      <c r="B102" s="6" t="s">
        <v>660</v>
      </c>
      <c r="C102" s="4" t="s">
        <v>937</v>
      </c>
      <c r="D102" s="9" t="s">
        <v>1719</v>
      </c>
      <c r="E102" s="29" t="s">
        <v>971</v>
      </c>
      <c r="F102" s="6" t="s">
        <v>1720</v>
      </c>
      <c r="G102" s="6">
        <v>1044192721</v>
      </c>
      <c r="H102" s="86" t="s">
        <v>1296</v>
      </c>
      <c r="I102" s="86" t="s">
        <v>1721</v>
      </c>
      <c r="J102" s="7" t="s">
        <v>942</v>
      </c>
      <c r="K102" s="7" t="s">
        <v>942</v>
      </c>
      <c r="L102" s="104" t="s">
        <v>943</v>
      </c>
      <c r="M102" s="7" t="s">
        <v>1722</v>
      </c>
      <c r="N102" s="105">
        <v>24494</v>
      </c>
      <c r="O102" s="7" t="s">
        <v>945</v>
      </c>
      <c r="P102" s="104" t="s">
        <v>946</v>
      </c>
      <c r="Q102" s="104" t="s">
        <v>963</v>
      </c>
      <c r="R102" s="104" t="s">
        <v>1723</v>
      </c>
      <c r="S102" s="112">
        <v>98</v>
      </c>
      <c r="T102" s="104" t="s">
        <v>965</v>
      </c>
      <c r="U102" s="7"/>
      <c r="V102" s="104" t="s">
        <v>1724</v>
      </c>
      <c r="W102" s="104" t="s">
        <v>1724</v>
      </c>
      <c r="X102" s="7" t="s">
        <v>953</v>
      </c>
      <c r="Y102" s="104" t="s">
        <v>660</v>
      </c>
      <c r="Z102" s="104">
        <v>95630000</v>
      </c>
      <c r="AA102" s="104" t="s">
        <v>1725</v>
      </c>
      <c r="AB102" s="104" t="s">
        <v>1086</v>
      </c>
      <c r="AC102" s="104" t="s">
        <v>398</v>
      </c>
      <c r="AD102" s="104" t="s">
        <v>398</v>
      </c>
      <c r="AE102" s="104" t="s">
        <v>398</v>
      </c>
      <c r="AF102" s="104" t="s">
        <v>398</v>
      </c>
      <c r="AG102" s="104" t="s">
        <v>398</v>
      </c>
      <c r="AH102" s="112">
        <v>41</v>
      </c>
      <c r="AI102" s="112">
        <v>41</v>
      </c>
      <c r="AJ102" s="112">
        <v>41</v>
      </c>
      <c r="AK102" s="112">
        <v>41</v>
      </c>
      <c r="AL102" s="104" t="s">
        <v>398</v>
      </c>
      <c r="AM102" s="118" t="s">
        <v>398</v>
      </c>
      <c r="AN102" s="118" t="s">
        <v>398</v>
      </c>
    </row>
    <row r="103" ht="15.75" customHeight="1" spans="1:40">
      <c r="A103" s="6" t="s">
        <v>936</v>
      </c>
      <c r="B103" s="46" t="s">
        <v>506</v>
      </c>
      <c r="C103" s="4" t="s">
        <v>957</v>
      </c>
      <c r="D103" s="9" t="s">
        <v>1726</v>
      </c>
      <c r="E103" s="29" t="s">
        <v>490</v>
      </c>
      <c r="F103" s="6" t="s">
        <v>1727</v>
      </c>
      <c r="G103" s="6">
        <v>1103719587</v>
      </c>
      <c r="H103" s="90" t="s">
        <v>985</v>
      </c>
      <c r="I103" s="90" t="s">
        <v>1255</v>
      </c>
      <c r="J103" s="7" t="s">
        <v>941</v>
      </c>
      <c r="K103" s="7" t="s">
        <v>942</v>
      </c>
      <c r="L103" s="104" t="s">
        <v>943</v>
      </c>
      <c r="M103" s="7" t="s">
        <v>1728</v>
      </c>
      <c r="N103" s="107">
        <v>35362</v>
      </c>
      <c r="O103" s="7" t="s">
        <v>1028</v>
      </c>
      <c r="P103" s="7" t="s">
        <v>946</v>
      </c>
      <c r="Q103" s="104" t="s">
        <v>1245</v>
      </c>
      <c r="R103" s="104" t="s">
        <v>1729</v>
      </c>
      <c r="S103" s="112">
        <v>55</v>
      </c>
      <c r="T103" s="104" t="s">
        <v>1369</v>
      </c>
      <c r="U103" s="7"/>
      <c r="V103" s="104">
        <v>51996489321</v>
      </c>
      <c r="W103" s="104">
        <v>51996489321</v>
      </c>
      <c r="X103" s="7" t="s">
        <v>953</v>
      </c>
      <c r="Y103" s="104" t="s">
        <v>966</v>
      </c>
      <c r="Z103" s="112">
        <v>93320244</v>
      </c>
      <c r="AA103" s="104" t="s">
        <v>1730</v>
      </c>
      <c r="AB103" s="104" t="s">
        <v>1631</v>
      </c>
      <c r="AC103" s="104" t="s">
        <v>396</v>
      </c>
      <c r="AD103" s="104" t="s">
        <v>396</v>
      </c>
      <c r="AE103" s="104" t="s">
        <v>396</v>
      </c>
      <c r="AF103" s="104" t="s">
        <v>396</v>
      </c>
      <c r="AG103" s="104" t="s">
        <v>396</v>
      </c>
      <c r="AH103" s="112">
        <v>37</v>
      </c>
      <c r="AI103" s="112">
        <v>37</v>
      </c>
      <c r="AJ103" s="112">
        <v>37</v>
      </c>
      <c r="AK103" s="112">
        <v>37</v>
      </c>
      <c r="AL103" s="104" t="s">
        <v>395</v>
      </c>
      <c r="AM103" s="118" t="s">
        <v>395</v>
      </c>
      <c r="AN103" s="118" t="s">
        <v>396</v>
      </c>
    </row>
    <row r="104" ht="15.75" customHeight="1" spans="1:40">
      <c r="A104" s="6" t="s">
        <v>936</v>
      </c>
      <c r="B104" s="6" t="s">
        <v>660</v>
      </c>
      <c r="C104" s="4" t="s">
        <v>937</v>
      </c>
      <c r="D104" s="9" t="s">
        <v>1731</v>
      </c>
      <c r="E104" s="29" t="s">
        <v>490</v>
      </c>
      <c r="F104" s="92" t="s">
        <v>1732</v>
      </c>
      <c r="G104" s="6">
        <v>1121612178</v>
      </c>
      <c r="H104" s="86" t="s">
        <v>985</v>
      </c>
      <c r="I104" s="86" t="s">
        <v>1733</v>
      </c>
      <c r="J104" s="7" t="s">
        <v>941</v>
      </c>
      <c r="K104" s="7" t="s">
        <v>942</v>
      </c>
      <c r="L104" s="104" t="s">
        <v>1068</v>
      </c>
      <c r="M104" s="7" t="s">
        <v>1734</v>
      </c>
      <c r="N104" s="105">
        <v>37975</v>
      </c>
      <c r="O104" s="7" t="s">
        <v>945</v>
      </c>
      <c r="P104" s="7" t="s">
        <v>946</v>
      </c>
      <c r="Q104" s="104" t="s">
        <v>947</v>
      </c>
      <c r="R104" s="104" t="s">
        <v>1735</v>
      </c>
      <c r="S104" s="112">
        <v>100</v>
      </c>
      <c r="T104" s="104" t="s">
        <v>950</v>
      </c>
      <c r="U104" s="7"/>
      <c r="V104" s="104" t="s">
        <v>1736</v>
      </c>
      <c r="W104" s="104" t="s">
        <v>1737</v>
      </c>
      <c r="X104" s="7" t="s">
        <v>953</v>
      </c>
      <c r="Y104" s="104" t="s">
        <v>660</v>
      </c>
      <c r="Z104" s="104" t="s">
        <v>1135</v>
      </c>
      <c r="AA104" s="104" t="s">
        <v>1738</v>
      </c>
      <c r="AB104" s="104" t="s">
        <v>1739</v>
      </c>
      <c r="AC104" s="104" t="s">
        <v>406</v>
      </c>
      <c r="AD104" s="104" t="s">
        <v>406</v>
      </c>
      <c r="AE104" s="104" t="s">
        <v>406</v>
      </c>
      <c r="AF104" s="104" t="s">
        <v>406</v>
      </c>
      <c r="AG104" s="104" t="s">
        <v>406</v>
      </c>
      <c r="AH104" s="112">
        <v>43</v>
      </c>
      <c r="AI104" s="112">
        <v>42</v>
      </c>
      <c r="AJ104" s="112">
        <v>42</v>
      </c>
      <c r="AK104" s="112">
        <v>42</v>
      </c>
      <c r="AL104" s="104" t="s">
        <v>406</v>
      </c>
      <c r="AM104" s="118" t="s">
        <v>406</v>
      </c>
      <c r="AN104" s="118" t="s">
        <v>406</v>
      </c>
    </row>
    <row r="105" ht="15.75" customHeight="1" spans="1:40">
      <c r="A105" s="6" t="s">
        <v>936</v>
      </c>
      <c r="B105" s="46" t="s">
        <v>506</v>
      </c>
      <c r="C105" s="4" t="s">
        <v>957</v>
      </c>
      <c r="D105" s="62" t="s">
        <v>1740</v>
      </c>
      <c r="E105" s="29" t="s">
        <v>490</v>
      </c>
      <c r="F105" s="46" t="s">
        <v>1741</v>
      </c>
      <c r="G105" s="46">
        <v>4102524636</v>
      </c>
      <c r="H105" s="90" t="s">
        <v>1742</v>
      </c>
      <c r="I105" s="90" t="s">
        <v>1052</v>
      </c>
      <c r="J105" s="7" t="s">
        <v>941</v>
      </c>
      <c r="K105" s="7" t="s">
        <v>942</v>
      </c>
      <c r="L105" s="104" t="s">
        <v>943</v>
      </c>
      <c r="M105" s="7" t="s">
        <v>1743</v>
      </c>
      <c r="N105" s="107">
        <v>31697</v>
      </c>
      <c r="O105" s="7" t="s">
        <v>1028</v>
      </c>
      <c r="P105" s="7" t="s">
        <v>946</v>
      </c>
      <c r="Q105" s="104" t="s">
        <v>947</v>
      </c>
      <c r="R105" s="104" t="s">
        <v>1744</v>
      </c>
      <c r="S105" s="112">
        <v>65</v>
      </c>
      <c r="T105" s="104" t="s">
        <v>1369</v>
      </c>
      <c r="U105" s="7"/>
      <c r="V105" s="104">
        <v>51995869229</v>
      </c>
      <c r="W105" s="104">
        <v>51995869229</v>
      </c>
      <c r="X105" s="7" t="s">
        <v>953</v>
      </c>
      <c r="Y105" s="104" t="s">
        <v>508</v>
      </c>
      <c r="Z105" s="104" t="s">
        <v>1745</v>
      </c>
      <c r="AA105" s="104" t="s">
        <v>1746</v>
      </c>
      <c r="AB105" s="104" t="s">
        <v>1747</v>
      </c>
      <c r="AC105" s="104" t="s">
        <v>396</v>
      </c>
      <c r="AD105" s="104" t="s">
        <v>396</v>
      </c>
      <c r="AE105" s="104" t="s">
        <v>396</v>
      </c>
      <c r="AF105" s="104" t="s">
        <v>396</v>
      </c>
      <c r="AG105" s="104" t="s">
        <v>396</v>
      </c>
      <c r="AH105" s="112">
        <v>36</v>
      </c>
      <c r="AI105" s="112">
        <v>36</v>
      </c>
      <c r="AJ105" s="112">
        <v>36</v>
      </c>
      <c r="AK105" s="112">
        <v>36</v>
      </c>
      <c r="AL105" s="104" t="s">
        <v>396</v>
      </c>
      <c r="AM105" s="118" t="s">
        <v>396</v>
      </c>
      <c r="AN105" s="118" t="s">
        <v>406</v>
      </c>
    </row>
    <row r="106" ht="15.75" customHeight="1" spans="1:40">
      <c r="A106" s="6" t="s">
        <v>936</v>
      </c>
      <c r="B106" s="46" t="s">
        <v>506</v>
      </c>
      <c r="C106" s="4" t="s">
        <v>957</v>
      </c>
      <c r="D106" s="9" t="s">
        <v>1748</v>
      </c>
      <c r="E106" s="29" t="s">
        <v>490</v>
      </c>
      <c r="F106" s="6" t="s">
        <v>1749</v>
      </c>
      <c r="G106" s="6">
        <v>27399699</v>
      </c>
      <c r="H106" s="86" t="s">
        <v>1750</v>
      </c>
      <c r="I106" s="90" t="s">
        <v>1751</v>
      </c>
      <c r="J106" s="7" t="s">
        <v>941</v>
      </c>
      <c r="K106" s="7" t="s">
        <v>942</v>
      </c>
      <c r="L106" s="104" t="s">
        <v>975</v>
      </c>
      <c r="M106" s="7" t="s">
        <v>1752</v>
      </c>
      <c r="N106" s="105">
        <v>35803</v>
      </c>
      <c r="O106" s="7" t="s">
        <v>945</v>
      </c>
      <c r="P106" s="7" t="s">
        <v>1041</v>
      </c>
      <c r="Q106" s="104" t="s">
        <v>963</v>
      </c>
      <c r="R106" s="104" t="s">
        <v>1753</v>
      </c>
      <c r="S106" s="112">
        <v>75</v>
      </c>
      <c r="T106" s="104" t="s">
        <v>1030</v>
      </c>
      <c r="U106" s="7"/>
      <c r="V106" s="104">
        <v>51995581825</v>
      </c>
      <c r="W106" s="104">
        <v>51995581825</v>
      </c>
      <c r="X106" s="7" t="s">
        <v>953</v>
      </c>
      <c r="Y106" s="104" t="s">
        <v>508</v>
      </c>
      <c r="Z106" s="104" t="s">
        <v>1754</v>
      </c>
      <c r="AA106" s="104" t="s">
        <v>1755</v>
      </c>
      <c r="AB106" s="104" t="s">
        <v>1756</v>
      </c>
      <c r="AC106" s="104" t="s">
        <v>396</v>
      </c>
      <c r="AD106" s="104" t="s">
        <v>396</v>
      </c>
      <c r="AE106" s="104" t="s">
        <v>396</v>
      </c>
      <c r="AF106" s="104" t="s">
        <v>396</v>
      </c>
      <c r="AG106" s="104" t="s">
        <v>396</v>
      </c>
      <c r="AH106" s="112">
        <v>40</v>
      </c>
      <c r="AI106" s="112">
        <v>40</v>
      </c>
      <c r="AJ106" s="112">
        <v>40</v>
      </c>
      <c r="AK106" s="112">
        <v>40</v>
      </c>
      <c r="AL106" s="104" t="s">
        <v>406</v>
      </c>
      <c r="AM106" s="118" t="s">
        <v>396</v>
      </c>
      <c r="AN106" s="118" t="s">
        <v>406</v>
      </c>
    </row>
    <row r="107" ht="15.75" customHeight="1" spans="1:40">
      <c r="A107" s="6" t="s">
        <v>936</v>
      </c>
      <c r="B107" s="6" t="s">
        <v>1757</v>
      </c>
      <c r="C107" s="4" t="s">
        <v>937</v>
      </c>
      <c r="D107" s="9" t="s">
        <v>1758</v>
      </c>
      <c r="E107" s="29" t="s">
        <v>971</v>
      </c>
      <c r="F107" s="6" t="s">
        <v>1759</v>
      </c>
      <c r="G107" s="6">
        <v>1106562778</v>
      </c>
      <c r="H107" s="86" t="s">
        <v>1038</v>
      </c>
      <c r="I107" s="86" t="s">
        <v>1760</v>
      </c>
      <c r="J107" s="7" t="s">
        <v>942</v>
      </c>
      <c r="K107" s="7" t="s">
        <v>941</v>
      </c>
      <c r="L107" s="104" t="s">
        <v>975</v>
      </c>
      <c r="M107" s="7" t="s">
        <v>1761</v>
      </c>
      <c r="N107" s="105">
        <v>33678</v>
      </c>
      <c r="O107" s="7" t="s">
        <v>945</v>
      </c>
      <c r="P107" s="7" t="s">
        <v>1041</v>
      </c>
      <c r="Q107" s="104" t="s">
        <v>947</v>
      </c>
      <c r="R107" s="104" t="s">
        <v>1762</v>
      </c>
      <c r="S107" s="104" t="s">
        <v>1467</v>
      </c>
      <c r="T107" s="104" t="s">
        <v>965</v>
      </c>
      <c r="U107" s="7"/>
      <c r="V107" s="104">
        <v>51995665771</v>
      </c>
      <c r="W107" s="104"/>
      <c r="X107" s="7" t="s">
        <v>953</v>
      </c>
      <c r="Y107" s="104" t="s">
        <v>660</v>
      </c>
      <c r="Z107" s="104"/>
      <c r="AA107" s="104" t="s">
        <v>1763</v>
      </c>
      <c r="AB107" s="104" t="s">
        <v>1548</v>
      </c>
      <c r="AC107" s="104" t="s">
        <v>406</v>
      </c>
      <c r="AD107" s="104" t="s">
        <v>406</v>
      </c>
      <c r="AE107" s="104" t="s">
        <v>406</v>
      </c>
      <c r="AF107" s="104" t="s">
        <v>406</v>
      </c>
      <c r="AG107" s="104" t="s">
        <v>406</v>
      </c>
      <c r="AH107" s="112">
        <v>41</v>
      </c>
      <c r="AI107" s="112">
        <v>41</v>
      </c>
      <c r="AJ107" s="112">
        <v>41</v>
      </c>
      <c r="AK107" s="112">
        <v>42</v>
      </c>
      <c r="AL107" s="104" t="s">
        <v>406</v>
      </c>
      <c r="AM107" s="118" t="s">
        <v>406</v>
      </c>
      <c r="AN107" s="118" t="s">
        <v>406</v>
      </c>
    </row>
    <row r="108" ht="15.75" customHeight="1" spans="1:40">
      <c r="A108" s="6" t="s">
        <v>936</v>
      </c>
      <c r="B108" s="6" t="s">
        <v>506</v>
      </c>
      <c r="C108" s="4" t="s">
        <v>957</v>
      </c>
      <c r="D108" s="9" t="s">
        <v>1764</v>
      </c>
      <c r="E108" s="29" t="s">
        <v>490</v>
      </c>
      <c r="F108" s="6" t="s">
        <v>1765</v>
      </c>
      <c r="G108" s="6">
        <v>2110748999</v>
      </c>
      <c r="H108" s="86" t="s">
        <v>1742</v>
      </c>
      <c r="I108" s="90" t="s">
        <v>1052</v>
      </c>
      <c r="J108" s="7" t="s">
        <v>941</v>
      </c>
      <c r="K108" s="7" t="s">
        <v>942</v>
      </c>
      <c r="L108" s="104" t="s">
        <v>975</v>
      </c>
      <c r="M108" s="7" t="s">
        <v>1766</v>
      </c>
      <c r="N108" s="107">
        <v>30979</v>
      </c>
      <c r="O108" s="7" t="s">
        <v>945</v>
      </c>
      <c r="P108" s="7" t="s">
        <v>946</v>
      </c>
      <c r="Q108" s="104" t="s">
        <v>963</v>
      </c>
      <c r="R108" s="104" t="s">
        <v>1767</v>
      </c>
      <c r="S108" s="112">
        <v>130</v>
      </c>
      <c r="T108" s="104" t="s">
        <v>1030</v>
      </c>
      <c r="U108" s="7"/>
      <c r="V108" s="104">
        <v>51996400041</v>
      </c>
      <c r="W108" s="104">
        <v>51996400041</v>
      </c>
      <c r="X108" s="7" t="s">
        <v>953</v>
      </c>
      <c r="Y108" s="104" t="s">
        <v>508</v>
      </c>
      <c r="Z108" s="104" t="s">
        <v>1745</v>
      </c>
      <c r="AA108" s="104" t="s">
        <v>1746</v>
      </c>
      <c r="AB108" s="104" t="s">
        <v>1747</v>
      </c>
      <c r="AC108" s="104" t="s">
        <v>399</v>
      </c>
      <c r="AD108" s="104" t="s">
        <v>399</v>
      </c>
      <c r="AE108" s="104" t="s">
        <v>399</v>
      </c>
      <c r="AF108" s="104" t="s">
        <v>399</v>
      </c>
      <c r="AG108" s="104" t="s">
        <v>399</v>
      </c>
      <c r="AH108" s="112">
        <v>40</v>
      </c>
      <c r="AI108" s="112">
        <v>40</v>
      </c>
      <c r="AJ108" s="112">
        <v>40</v>
      </c>
      <c r="AK108" s="112">
        <v>40</v>
      </c>
      <c r="AL108" s="104" t="s">
        <v>399</v>
      </c>
      <c r="AM108" s="118" t="s">
        <v>399</v>
      </c>
      <c r="AN108" s="118" t="s">
        <v>398</v>
      </c>
    </row>
    <row r="109" ht="15.75" customHeight="1" spans="1:40">
      <c r="A109" s="6" t="s">
        <v>936</v>
      </c>
      <c r="B109" s="46" t="s">
        <v>506</v>
      </c>
      <c r="C109" s="4" t="s">
        <v>957</v>
      </c>
      <c r="D109" s="9" t="s">
        <v>1768</v>
      </c>
      <c r="E109" s="29" t="s">
        <v>490</v>
      </c>
      <c r="F109" s="6" t="s">
        <v>1769</v>
      </c>
      <c r="G109" s="6">
        <v>1054836893</v>
      </c>
      <c r="H109" s="7" t="s">
        <v>960</v>
      </c>
      <c r="I109" s="47" t="s">
        <v>1770</v>
      </c>
      <c r="J109" s="7" t="s">
        <v>941</v>
      </c>
      <c r="K109" s="7" t="s">
        <v>942</v>
      </c>
      <c r="L109" s="7" t="s">
        <v>975</v>
      </c>
      <c r="M109" s="7" t="s">
        <v>1771</v>
      </c>
      <c r="N109" s="51">
        <v>28930</v>
      </c>
      <c r="O109" s="7" t="s">
        <v>945</v>
      </c>
      <c r="P109" s="7" t="s">
        <v>946</v>
      </c>
      <c r="Q109" s="7" t="s">
        <v>963</v>
      </c>
      <c r="R109" s="7" t="s">
        <v>1772</v>
      </c>
      <c r="S109" s="59">
        <v>90</v>
      </c>
      <c r="T109" s="7" t="s">
        <v>965</v>
      </c>
      <c r="U109" s="7"/>
      <c r="V109" s="7">
        <v>51994291022</v>
      </c>
      <c r="W109" s="7">
        <v>51994291022</v>
      </c>
      <c r="X109" s="7" t="s">
        <v>953</v>
      </c>
      <c r="Y109" s="7" t="s">
        <v>1773</v>
      </c>
      <c r="Z109" s="7" t="s">
        <v>1774</v>
      </c>
      <c r="AA109" s="7" t="s">
        <v>1775</v>
      </c>
      <c r="AB109" s="7" t="s">
        <v>1776</v>
      </c>
      <c r="AC109" s="7" t="s">
        <v>396</v>
      </c>
      <c r="AD109" s="7" t="s">
        <v>406</v>
      </c>
      <c r="AE109" s="7" t="s">
        <v>406</v>
      </c>
      <c r="AF109" s="7" t="s">
        <v>406</v>
      </c>
      <c r="AG109" s="7" t="s">
        <v>396</v>
      </c>
      <c r="AH109" s="59">
        <v>41</v>
      </c>
      <c r="AI109" s="59">
        <v>41</v>
      </c>
      <c r="AJ109" s="59">
        <v>41</v>
      </c>
      <c r="AK109" s="59">
        <v>41</v>
      </c>
      <c r="AL109" s="7" t="s">
        <v>396</v>
      </c>
      <c r="AM109" s="7" t="s">
        <v>396</v>
      </c>
      <c r="AN109" s="7" t="s">
        <v>396</v>
      </c>
    </row>
    <row r="110" ht="15.75" customHeight="1" spans="1:40">
      <c r="A110" s="7" t="s">
        <v>1034</v>
      </c>
      <c r="B110" s="7" t="s">
        <v>659</v>
      </c>
      <c r="C110" s="79" t="s">
        <v>937</v>
      </c>
      <c r="D110" s="9" t="s">
        <v>1777</v>
      </c>
      <c r="E110" s="29" t="s">
        <v>490</v>
      </c>
      <c r="F110" s="6" t="s">
        <v>1778</v>
      </c>
      <c r="G110" s="80" t="s">
        <v>1779</v>
      </c>
      <c r="H110" s="7" t="s">
        <v>985</v>
      </c>
      <c r="I110" s="7" t="s">
        <v>1780</v>
      </c>
      <c r="J110" s="7" t="s">
        <v>941</v>
      </c>
      <c r="K110" s="7" t="s">
        <v>941</v>
      </c>
      <c r="L110" s="7" t="s">
        <v>943</v>
      </c>
      <c r="M110" s="7" t="s">
        <v>1781</v>
      </c>
      <c r="N110" s="15">
        <v>31720</v>
      </c>
      <c r="O110" s="7" t="s">
        <v>945</v>
      </c>
      <c r="P110" s="7" t="s">
        <v>946</v>
      </c>
      <c r="Q110" s="7" t="s">
        <v>963</v>
      </c>
      <c r="R110" s="7" t="s">
        <v>1782</v>
      </c>
      <c r="S110" s="7" t="s">
        <v>1783</v>
      </c>
      <c r="T110" s="7" t="s">
        <v>1011</v>
      </c>
      <c r="U110" s="7"/>
      <c r="V110" s="7">
        <v>51995487628</v>
      </c>
      <c r="W110" s="7"/>
      <c r="X110" s="7" t="s">
        <v>953</v>
      </c>
      <c r="Y110" s="7" t="s">
        <v>659</v>
      </c>
      <c r="Z110" s="7">
        <v>93611823</v>
      </c>
      <c r="AA110" s="7" t="s">
        <v>1784</v>
      </c>
      <c r="AB110" s="7" t="s">
        <v>1785</v>
      </c>
      <c r="AC110" s="7" t="s">
        <v>406</v>
      </c>
      <c r="AD110" s="7" t="s">
        <v>406</v>
      </c>
      <c r="AE110" s="7" t="s">
        <v>406</v>
      </c>
      <c r="AF110" s="7" t="s">
        <v>406</v>
      </c>
      <c r="AG110" s="7" t="s">
        <v>406</v>
      </c>
      <c r="AH110" s="7">
        <v>42</v>
      </c>
      <c r="AI110" s="7">
        <v>42</v>
      </c>
      <c r="AJ110" s="7">
        <v>42</v>
      </c>
      <c r="AK110" s="7">
        <v>42</v>
      </c>
      <c r="AL110" s="7" t="s">
        <v>406</v>
      </c>
      <c r="AM110" s="7" t="s">
        <v>406</v>
      </c>
      <c r="AN110" s="7" t="s">
        <v>406</v>
      </c>
    </row>
    <row r="111" ht="15.75" customHeight="1" spans="1:40">
      <c r="A111" s="6" t="s">
        <v>936</v>
      </c>
      <c r="B111" s="46" t="s">
        <v>506</v>
      </c>
      <c r="C111" s="4" t="s">
        <v>957</v>
      </c>
      <c r="D111" s="9" t="s">
        <v>1786</v>
      </c>
      <c r="E111" s="29" t="s">
        <v>492</v>
      </c>
      <c r="F111" s="6" t="s">
        <v>1787</v>
      </c>
      <c r="G111" s="6">
        <v>3095489112</v>
      </c>
      <c r="H111" s="7" t="s">
        <v>1788</v>
      </c>
      <c r="I111" s="47" t="s">
        <v>1789</v>
      </c>
      <c r="J111" s="7" t="s">
        <v>941</v>
      </c>
      <c r="K111" s="7" t="s">
        <v>942</v>
      </c>
      <c r="L111" s="7" t="s">
        <v>975</v>
      </c>
      <c r="M111" s="7" t="s">
        <v>1790</v>
      </c>
      <c r="N111" s="55">
        <v>32645</v>
      </c>
      <c r="O111" s="7" t="s">
        <v>945</v>
      </c>
      <c r="P111" s="7" t="s">
        <v>946</v>
      </c>
      <c r="Q111" s="7" t="s">
        <v>963</v>
      </c>
      <c r="R111" s="7" t="s">
        <v>1791</v>
      </c>
      <c r="S111" s="59">
        <v>73</v>
      </c>
      <c r="T111" s="7" t="s">
        <v>1030</v>
      </c>
      <c r="U111" s="7"/>
      <c r="V111" s="7">
        <v>51995686957</v>
      </c>
      <c r="W111" s="7">
        <v>51995686957</v>
      </c>
      <c r="X111" s="7" t="s">
        <v>953</v>
      </c>
      <c r="Y111" s="7" t="s">
        <v>508</v>
      </c>
      <c r="Z111" s="59">
        <v>93822030</v>
      </c>
      <c r="AA111" s="7" t="s">
        <v>1792</v>
      </c>
      <c r="AB111" s="7" t="s">
        <v>996</v>
      </c>
      <c r="AC111" s="7" t="s">
        <v>406</v>
      </c>
      <c r="AD111" s="7" t="s">
        <v>406</v>
      </c>
      <c r="AE111" s="7" t="s">
        <v>406</v>
      </c>
      <c r="AF111" s="7" t="s">
        <v>406</v>
      </c>
      <c r="AG111" s="7" t="s">
        <v>406</v>
      </c>
      <c r="AH111" s="59">
        <v>40</v>
      </c>
      <c r="AI111" s="59">
        <v>40</v>
      </c>
      <c r="AJ111" s="59">
        <v>40</v>
      </c>
      <c r="AK111" s="59">
        <v>40</v>
      </c>
      <c r="AL111" s="7" t="s">
        <v>406</v>
      </c>
      <c r="AM111" s="7" t="s">
        <v>406</v>
      </c>
      <c r="AN111" s="7" t="s">
        <v>406</v>
      </c>
    </row>
    <row r="112" ht="15.75" customHeight="1" spans="1:40">
      <c r="A112" s="6" t="s">
        <v>936</v>
      </c>
      <c r="B112" s="7" t="s">
        <v>1793</v>
      </c>
      <c r="C112" s="4" t="s">
        <v>937</v>
      </c>
      <c r="D112" s="9" t="s">
        <v>1794</v>
      </c>
      <c r="E112" s="29" t="s">
        <v>971</v>
      </c>
      <c r="F112" s="6" t="s">
        <v>1795</v>
      </c>
      <c r="G112" s="59">
        <v>1067052868</v>
      </c>
      <c r="H112" s="7" t="s">
        <v>1796</v>
      </c>
      <c r="I112" s="7" t="s">
        <v>1797</v>
      </c>
      <c r="J112" s="7" t="s">
        <v>1798</v>
      </c>
      <c r="K112" s="7" t="s">
        <v>1325</v>
      </c>
      <c r="L112" s="7" t="s">
        <v>943</v>
      </c>
      <c r="M112" s="7" t="s">
        <v>1799</v>
      </c>
      <c r="N112" s="51">
        <v>33001</v>
      </c>
      <c r="O112" s="7" t="s">
        <v>1800</v>
      </c>
      <c r="P112" s="7" t="s">
        <v>1801</v>
      </c>
      <c r="Q112" s="7" t="s">
        <v>1802</v>
      </c>
      <c r="R112" s="7" t="s">
        <v>1803</v>
      </c>
      <c r="S112" s="59">
        <v>127</v>
      </c>
      <c r="T112" s="59">
        <v>1.75</v>
      </c>
      <c r="U112" s="7"/>
      <c r="V112" s="7" t="s">
        <v>1804</v>
      </c>
      <c r="W112" s="7" t="s">
        <v>1805</v>
      </c>
      <c r="X112" s="7" t="s">
        <v>953</v>
      </c>
      <c r="Y112" s="7" t="s">
        <v>1793</v>
      </c>
      <c r="Z112" s="7" t="s">
        <v>1806</v>
      </c>
      <c r="AA112" s="7" t="s">
        <v>1807</v>
      </c>
      <c r="AB112" s="7" t="s">
        <v>1057</v>
      </c>
      <c r="AC112" s="7" t="s">
        <v>398</v>
      </c>
      <c r="AD112" s="7" t="s">
        <v>398</v>
      </c>
      <c r="AE112" s="7" t="s">
        <v>398</v>
      </c>
      <c r="AF112" s="7" t="s">
        <v>398</v>
      </c>
      <c r="AG112" s="7" t="s">
        <v>398</v>
      </c>
      <c r="AH112" s="59">
        <v>42</v>
      </c>
      <c r="AI112" s="59">
        <v>42</v>
      </c>
      <c r="AJ112" s="59">
        <v>42</v>
      </c>
      <c r="AK112" s="59">
        <v>43</v>
      </c>
      <c r="AL112" s="7" t="s">
        <v>398</v>
      </c>
      <c r="AM112" s="7" t="s">
        <v>398</v>
      </c>
      <c r="AN112" s="7" t="s">
        <v>406</v>
      </c>
    </row>
    <row r="113" ht="15.75" customHeight="1" spans="1:40">
      <c r="A113" s="6" t="s">
        <v>936</v>
      </c>
      <c r="B113" s="6" t="s">
        <v>659</v>
      </c>
      <c r="C113" s="4" t="s">
        <v>937</v>
      </c>
      <c r="D113" s="9" t="s">
        <v>1808</v>
      </c>
      <c r="E113" s="29" t="s">
        <v>971</v>
      </c>
      <c r="F113" s="6" t="s">
        <v>1809</v>
      </c>
      <c r="G113" s="6">
        <v>4100585027</v>
      </c>
      <c r="H113" s="7" t="s">
        <v>939</v>
      </c>
      <c r="I113" s="7" t="s">
        <v>1810</v>
      </c>
      <c r="J113" s="7" t="s">
        <v>941</v>
      </c>
      <c r="K113" s="7" t="s">
        <v>941</v>
      </c>
      <c r="L113" s="7" t="s">
        <v>943</v>
      </c>
      <c r="M113" s="7" t="s">
        <v>1811</v>
      </c>
      <c r="N113" s="51">
        <v>32876</v>
      </c>
      <c r="O113" s="7" t="s">
        <v>945</v>
      </c>
      <c r="P113" s="7" t="s">
        <v>946</v>
      </c>
      <c r="Q113" s="7" t="s">
        <v>963</v>
      </c>
      <c r="R113" s="7" t="s">
        <v>1812</v>
      </c>
      <c r="S113" s="59">
        <v>140</v>
      </c>
      <c r="T113" s="7" t="s">
        <v>1011</v>
      </c>
      <c r="U113" s="7"/>
      <c r="V113" s="7" t="s">
        <v>1813</v>
      </c>
      <c r="W113" s="7" t="s">
        <v>1814</v>
      </c>
      <c r="X113" s="63" t="s">
        <v>953</v>
      </c>
      <c r="Y113" s="7" t="s">
        <v>656</v>
      </c>
      <c r="Z113" s="7">
        <v>93700000</v>
      </c>
      <c r="AA113" s="7" t="s">
        <v>1815</v>
      </c>
      <c r="AB113" s="7" t="s">
        <v>1057</v>
      </c>
      <c r="AC113" s="7" t="s">
        <v>399</v>
      </c>
      <c r="AD113" s="7" t="s">
        <v>399</v>
      </c>
      <c r="AE113" s="7" t="s">
        <v>399</v>
      </c>
      <c r="AF113" s="7" t="s">
        <v>399</v>
      </c>
      <c r="AG113" s="7" t="s">
        <v>399</v>
      </c>
      <c r="AH113" s="59">
        <v>44</v>
      </c>
      <c r="AI113" s="59">
        <v>44</v>
      </c>
      <c r="AJ113" s="59">
        <v>44</v>
      </c>
      <c r="AK113" s="59">
        <v>44</v>
      </c>
      <c r="AL113" s="7" t="s">
        <v>399</v>
      </c>
      <c r="AM113" s="7" t="s">
        <v>399</v>
      </c>
      <c r="AN113" s="7" t="s">
        <v>399</v>
      </c>
    </row>
    <row r="114" ht="15.75" customHeight="1" spans="1:40">
      <c r="A114" s="6" t="s">
        <v>936</v>
      </c>
      <c r="B114" s="46" t="s">
        <v>506</v>
      </c>
      <c r="C114" s="4" t="s">
        <v>957</v>
      </c>
      <c r="D114" s="9" t="s">
        <v>1816</v>
      </c>
      <c r="E114" s="29" t="s">
        <v>971</v>
      </c>
      <c r="F114" s="6" t="s">
        <v>1817</v>
      </c>
      <c r="G114" s="6">
        <v>2406627098</v>
      </c>
      <c r="H114" s="7" t="s">
        <v>1818</v>
      </c>
      <c r="I114" s="47" t="s">
        <v>1819</v>
      </c>
      <c r="J114" s="7" t="s">
        <v>942</v>
      </c>
      <c r="K114" s="7" t="s">
        <v>942</v>
      </c>
      <c r="L114" s="7" t="s">
        <v>975</v>
      </c>
      <c r="M114" s="7" t="s">
        <v>1820</v>
      </c>
      <c r="N114" s="51">
        <v>33247</v>
      </c>
      <c r="O114" s="7" t="s">
        <v>945</v>
      </c>
      <c r="P114" s="7" t="s">
        <v>1041</v>
      </c>
      <c r="Q114" s="7" t="s">
        <v>963</v>
      </c>
      <c r="R114" s="7" t="s">
        <v>1821</v>
      </c>
      <c r="S114" s="59">
        <v>108</v>
      </c>
      <c r="T114" s="7" t="s">
        <v>950</v>
      </c>
      <c r="U114" s="7"/>
      <c r="V114" s="7">
        <v>51995815577</v>
      </c>
      <c r="W114" s="7">
        <v>51996683729</v>
      </c>
      <c r="X114" s="7" t="s">
        <v>953</v>
      </c>
      <c r="Y114" s="7" t="s">
        <v>508</v>
      </c>
      <c r="Z114" s="7" t="s">
        <v>1822</v>
      </c>
      <c r="AA114" s="7" t="s">
        <v>1823</v>
      </c>
      <c r="AB114" s="7" t="s">
        <v>1756</v>
      </c>
      <c r="AC114" s="7" t="s">
        <v>406</v>
      </c>
      <c r="AD114" s="7" t="s">
        <v>406</v>
      </c>
      <c r="AE114" s="7" t="s">
        <v>406</v>
      </c>
      <c r="AF114" s="7" t="s">
        <v>406</v>
      </c>
      <c r="AG114" s="7" t="s">
        <v>406</v>
      </c>
      <c r="AH114" s="59">
        <v>42</v>
      </c>
      <c r="AI114" s="59">
        <v>42</v>
      </c>
      <c r="AJ114" s="59">
        <v>42</v>
      </c>
      <c r="AK114" s="59">
        <v>42</v>
      </c>
      <c r="AL114" s="7" t="s">
        <v>406</v>
      </c>
      <c r="AM114" s="7" t="s">
        <v>406</v>
      </c>
      <c r="AN114" s="7" t="s">
        <v>406</v>
      </c>
    </row>
    <row r="115" ht="15.75" customHeight="1" spans="1:40">
      <c r="A115" s="6" t="s">
        <v>936</v>
      </c>
      <c r="B115" s="46" t="s">
        <v>506</v>
      </c>
      <c r="C115" s="4" t="s">
        <v>957</v>
      </c>
      <c r="D115" s="62" t="s">
        <v>1824</v>
      </c>
      <c r="E115" s="29" t="s">
        <v>490</v>
      </c>
      <c r="F115" s="46" t="s">
        <v>1825</v>
      </c>
      <c r="G115" s="46">
        <v>1134744811</v>
      </c>
      <c r="H115" s="47" t="s">
        <v>1742</v>
      </c>
      <c r="I115" s="47" t="s">
        <v>1052</v>
      </c>
      <c r="J115" s="7" t="s">
        <v>942</v>
      </c>
      <c r="K115" s="7" t="s">
        <v>942</v>
      </c>
      <c r="L115" s="7"/>
      <c r="M115" s="7" t="s">
        <v>1826</v>
      </c>
      <c r="N115" s="51">
        <v>37892</v>
      </c>
      <c r="O115" s="7" t="s">
        <v>945</v>
      </c>
      <c r="P115" s="7" t="s">
        <v>946</v>
      </c>
      <c r="Q115" s="7" t="s">
        <v>963</v>
      </c>
      <c r="R115" s="7" t="s">
        <v>1827</v>
      </c>
      <c r="S115" s="59">
        <v>73</v>
      </c>
      <c r="T115" s="7" t="s">
        <v>1011</v>
      </c>
      <c r="U115" s="7"/>
      <c r="V115" s="7">
        <v>51995565772</v>
      </c>
      <c r="W115" s="7">
        <v>51995565772</v>
      </c>
      <c r="X115" s="7" t="s">
        <v>953</v>
      </c>
      <c r="Y115" s="7" t="s">
        <v>508</v>
      </c>
      <c r="Z115" s="7" t="s">
        <v>1828</v>
      </c>
      <c r="AA115" s="7" t="s">
        <v>1829</v>
      </c>
      <c r="AB115" s="7" t="s">
        <v>1747</v>
      </c>
      <c r="AC115" s="7" t="s">
        <v>396</v>
      </c>
      <c r="AD115" s="7" t="s">
        <v>406</v>
      </c>
      <c r="AE115" s="7" t="s">
        <v>406</v>
      </c>
      <c r="AF115" s="7" t="s">
        <v>406</v>
      </c>
      <c r="AG115" s="7" t="s">
        <v>406</v>
      </c>
      <c r="AH115" s="59">
        <v>41</v>
      </c>
      <c r="AI115" s="59">
        <v>41</v>
      </c>
      <c r="AJ115" s="59">
        <v>41</v>
      </c>
      <c r="AK115" s="59">
        <v>41</v>
      </c>
      <c r="AL115" s="7" t="s">
        <v>406</v>
      </c>
      <c r="AM115" s="7" t="s">
        <v>406</v>
      </c>
      <c r="AN115" s="7" t="s">
        <v>406</v>
      </c>
    </row>
    <row r="116" ht="15.75" customHeight="1" spans="1:40">
      <c r="A116" s="6" t="s">
        <v>936</v>
      </c>
      <c r="B116" s="6" t="s">
        <v>656</v>
      </c>
      <c r="C116" s="4" t="s">
        <v>937</v>
      </c>
      <c r="D116" s="9" t="s">
        <v>176</v>
      </c>
      <c r="E116" s="29" t="s">
        <v>490</v>
      </c>
      <c r="F116" s="6" t="s">
        <v>1830</v>
      </c>
      <c r="G116" s="6">
        <v>1089446338</v>
      </c>
      <c r="H116" s="7" t="s">
        <v>985</v>
      </c>
      <c r="I116" s="7" t="s">
        <v>940</v>
      </c>
      <c r="J116" s="7" t="s">
        <v>941</v>
      </c>
      <c r="K116" s="7" t="s">
        <v>941</v>
      </c>
      <c r="L116" s="7" t="s">
        <v>975</v>
      </c>
      <c r="M116" s="7" t="s">
        <v>1831</v>
      </c>
      <c r="N116" s="51">
        <v>30433</v>
      </c>
      <c r="O116" s="7" t="s">
        <v>945</v>
      </c>
      <c r="P116" s="7" t="s">
        <v>946</v>
      </c>
      <c r="Q116" s="7" t="s">
        <v>1227</v>
      </c>
      <c r="R116" s="7" t="s">
        <v>1832</v>
      </c>
      <c r="S116" s="59">
        <v>98</v>
      </c>
      <c r="T116" s="7" t="s">
        <v>950</v>
      </c>
      <c r="U116" s="7" t="s">
        <v>1833</v>
      </c>
      <c r="V116" s="7" t="s">
        <v>1834</v>
      </c>
      <c r="W116" s="7" t="s">
        <v>1834</v>
      </c>
      <c r="X116" s="7" t="s">
        <v>953</v>
      </c>
      <c r="Y116" s="7" t="s">
        <v>656</v>
      </c>
      <c r="Z116" s="7" t="s">
        <v>1108</v>
      </c>
      <c r="AA116" s="7" t="s">
        <v>1835</v>
      </c>
      <c r="AB116" s="7" t="s">
        <v>1836</v>
      </c>
      <c r="AC116" s="7" t="s">
        <v>398</v>
      </c>
      <c r="AD116" s="7" t="s">
        <v>398</v>
      </c>
      <c r="AE116" s="7" t="s">
        <v>398</v>
      </c>
      <c r="AF116" s="7" t="s">
        <v>398</v>
      </c>
      <c r="AG116" s="7" t="s">
        <v>398</v>
      </c>
      <c r="AH116" s="59">
        <v>41</v>
      </c>
      <c r="AI116" s="59">
        <v>41</v>
      </c>
      <c r="AJ116" s="59">
        <v>41</v>
      </c>
      <c r="AK116" s="59">
        <v>41</v>
      </c>
      <c r="AL116" s="7" t="s">
        <v>398</v>
      </c>
      <c r="AM116" s="7" t="s">
        <v>398</v>
      </c>
      <c r="AN116" s="7" t="s">
        <v>406</v>
      </c>
    </row>
    <row r="117" ht="15.75" customHeight="1" spans="1:40">
      <c r="A117" s="6" t="s">
        <v>936</v>
      </c>
      <c r="B117" s="6" t="s">
        <v>624</v>
      </c>
      <c r="C117" s="4" t="s">
        <v>937</v>
      </c>
      <c r="D117" s="9" t="s">
        <v>177</v>
      </c>
      <c r="E117" s="29" t="s">
        <v>491</v>
      </c>
      <c r="F117" s="6" t="s">
        <v>1837</v>
      </c>
      <c r="G117" s="6">
        <v>7059449591</v>
      </c>
      <c r="H117" s="7" t="s">
        <v>985</v>
      </c>
      <c r="I117" s="7" t="s">
        <v>940</v>
      </c>
      <c r="J117" s="7" t="s">
        <v>941</v>
      </c>
      <c r="K117" s="7" t="s">
        <v>942</v>
      </c>
      <c r="L117" s="7" t="s">
        <v>943</v>
      </c>
      <c r="M117" s="7" t="s">
        <v>1838</v>
      </c>
      <c r="N117" s="55">
        <v>27390</v>
      </c>
      <c r="O117" s="7" t="s">
        <v>945</v>
      </c>
      <c r="P117" s="7" t="s">
        <v>1041</v>
      </c>
      <c r="Q117" s="7" t="s">
        <v>963</v>
      </c>
      <c r="R117" s="7" t="s">
        <v>1839</v>
      </c>
      <c r="S117" s="7" t="s">
        <v>1840</v>
      </c>
      <c r="T117" s="7" t="s">
        <v>1011</v>
      </c>
      <c r="U117" s="7" t="s">
        <v>942</v>
      </c>
      <c r="V117" s="7" t="s">
        <v>1841</v>
      </c>
      <c r="W117" s="7" t="s">
        <v>1842</v>
      </c>
      <c r="X117" s="7" t="s">
        <v>953</v>
      </c>
      <c r="Y117" s="7" t="s">
        <v>966</v>
      </c>
      <c r="Z117" s="7" t="s">
        <v>1843</v>
      </c>
      <c r="AA117" s="7" t="s">
        <v>1844</v>
      </c>
      <c r="AB117" s="7" t="s">
        <v>1057</v>
      </c>
      <c r="AC117" s="7" t="s">
        <v>399</v>
      </c>
      <c r="AD117" s="7" t="s">
        <v>399</v>
      </c>
      <c r="AE117" s="7" t="s">
        <v>399</v>
      </c>
      <c r="AF117" s="7" t="s">
        <v>399</v>
      </c>
      <c r="AG117" s="7" t="s">
        <v>399</v>
      </c>
      <c r="AH117" s="59">
        <v>42</v>
      </c>
      <c r="AI117" s="59">
        <v>42</v>
      </c>
      <c r="AJ117" s="59">
        <v>42</v>
      </c>
      <c r="AK117" s="59">
        <v>42</v>
      </c>
      <c r="AL117" s="7" t="s">
        <v>399</v>
      </c>
      <c r="AM117" s="7" t="s">
        <v>399</v>
      </c>
      <c r="AN117" s="7" t="s">
        <v>399</v>
      </c>
    </row>
    <row r="118" ht="15.75" customHeight="1" spans="1:40">
      <c r="A118" s="6" t="s">
        <v>936</v>
      </c>
      <c r="B118" s="46" t="s">
        <v>1120</v>
      </c>
      <c r="C118" s="4" t="s">
        <v>957</v>
      </c>
      <c r="D118" s="9" t="s">
        <v>1845</v>
      </c>
      <c r="E118" s="29" t="s">
        <v>971</v>
      </c>
      <c r="F118" s="6" t="s">
        <v>1846</v>
      </c>
      <c r="G118" s="6">
        <v>6048534281</v>
      </c>
      <c r="H118" s="7" t="s">
        <v>1847</v>
      </c>
      <c r="I118" s="7" t="s">
        <v>1848</v>
      </c>
      <c r="J118" s="7" t="s">
        <v>942</v>
      </c>
      <c r="K118" s="7" t="s">
        <v>942</v>
      </c>
      <c r="L118" s="7" t="s">
        <v>1080</v>
      </c>
      <c r="M118" s="7" t="s">
        <v>1849</v>
      </c>
      <c r="N118" s="51">
        <v>27761</v>
      </c>
      <c r="O118" s="7" t="s">
        <v>945</v>
      </c>
      <c r="P118" s="7" t="s">
        <v>946</v>
      </c>
      <c r="Q118" s="7" t="s">
        <v>963</v>
      </c>
      <c r="R118" s="75" t="s">
        <v>1850</v>
      </c>
      <c r="S118" s="59">
        <v>110</v>
      </c>
      <c r="T118" s="6" t="s">
        <v>1154</v>
      </c>
      <c r="U118" s="7"/>
      <c r="V118" s="7" t="s">
        <v>1851</v>
      </c>
      <c r="W118" s="7" t="s">
        <v>1852</v>
      </c>
      <c r="X118" s="7" t="s">
        <v>953</v>
      </c>
      <c r="Y118" s="7" t="s">
        <v>1853</v>
      </c>
      <c r="Z118" s="7">
        <v>95793000</v>
      </c>
      <c r="AA118" s="7" t="s">
        <v>1854</v>
      </c>
      <c r="AB118" s="7" t="s">
        <v>1855</v>
      </c>
      <c r="AC118" s="7" t="s">
        <v>398</v>
      </c>
      <c r="AD118" s="7" t="s">
        <v>398</v>
      </c>
      <c r="AE118" s="7" t="s">
        <v>398</v>
      </c>
      <c r="AF118" s="7" t="s">
        <v>398</v>
      </c>
      <c r="AG118" s="7" t="s">
        <v>398</v>
      </c>
      <c r="AH118" s="59">
        <v>45</v>
      </c>
      <c r="AI118" s="59">
        <v>45</v>
      </c>
      <c r="AJ118" s="59">
        <v>45</v>
      </c>
      <c r="AK118" s="59">
        <v>45</v>
      </c>
      <c r="AL118" s="7" t="s">
        <v>398</v>
      </c>
      <c r="AM118" s="7" t="s">
        <v>398</v>
      </c>
      <c r="AN118" s="7" t="s">
        <v>398</v>
      </c>
    </row>
    <row r="119" ht="15.75" customHeight="1" spans="1:40">
      <c r="A119" s="6" t="s">
        <v>936</v>
      </c>
      <c r="B119" s="6" t="s">
        <v>506</v>
      </c>
      <c r="C119" s="93" t="s">
        <v>957</v>
      </c>
      <c r="D119" s="9" t="s">
        <v>1856</v>
      </c>
      <c r="E119" s="29" t="s">
        <v>971</v>
      </c>
      <c r="F119" s="6" t="s">
        <v>1857</v>
      </c>
      <c r="G119" s="6">
        <v>4068090581</v>
      </c>
      <c r="H119" s="7" t="s">
        <v>1742</v>
      </c>
      <c r="I119" s="7"/>
      <c r="J119" s="7" t="s">
        <v>942</v>
      </c>
      <c r="K119" s="7" t="s">
        <v>942</v>
      </c>
      <c r="L119" s="7"/>
      <c r="M119" s="7" t="s">
        <v>1858</v>
      </c>
      <c r="N119" s="55">
        <v>28446</v>
      </c>
      <c r="O119" s="7" t="s">
        <v>1028</v>
      </c>
      <c r="P119" s="7" t="s">
        <v>1041</v>
      </c>
      <c r="Q119" s="7" t="s">
        <v>963</v>
      </c>
      <c r="R119" s="7" t="s">
        <v>1859</v>
      </c>
      <c r="S119" s="59">
        <v>77</v>
      </c>
      <c r="T119" s="7" t="s">
        <v>1369</v>
      </c>
      <c r="U119" s="7"/>
      <c r="V119" s="7">
        <v>51997680229</v>
      </c>
      <c r="W119" s="7">
        <v>51997680229</v>
      </c>
      <c r="X119" s="7" t="s">
        <v>953</v>
      </c>
      <c r="Y119" s="7" t="s">
        <v>506</v>
      </c>
      <c r="Z119" s="7" t="s">
        <v>1012</v>
      </c>
      <c r="AA119" s="7" t="s">
        <v>1860</v>
      </c>
      <c r="AB119" s="7" t="s">
        <v>1861</v>
      </c>
      <c r="AC119" s="7" t="s">
        <v>406</v>
      </c>
      <c r="AD119" s="7" t="s">
        <v>406</v>
      </c>
      <c r="AE119" s="7" t="s">
        <v>406</v>
      </c>
      <c r="AF119" s="7" t="s">
        <v>406</v>
      </c>
      <c r="AG119" s="7" t="s">
        <v>406</v>
      </c>
      <c r="AH119" s="59">
        <v>36</v>
      </c>
      <c r="AI119" s="59">
        <v>36</v>
      </c>
      <c r="AJ119" s="59">
        <v>36</v>
      </c>
      <c r="AK119" s="59">
        <v>36</v>
      </c>
      <c r="AL119" s="7" t="s">
        <v>406</v>
      </c>
      <c r="AM119" s="7" t="s">
        <v>406</v>
      </c>
      <c r="AN119" s="7" t="s">
        <v>406</v>
      </c>
    </row>
    <row r="120" ht="15.75" customHeight="1" spans="1:40">
      <c r="A120" s="6" t="s">
        <v>936</v>
      </c>
      <c r="B120" s="47"/>
      <c r="C120" s="94"/>
      <c r="D120" s="9" t="s">
        <v>1862</v>
      </c>
      <c r="E120" s="29" t="s">
        <v>491</v>
      </c>
      <c r="F120" s="6" t="s">
        <v>1863</v>
      </c>
      <c r="G120" s="7"/>
      <c r="H120" s="47"/>
      <c r="I120" s="47"/>
      <c r="J120" s="7"/>
      <c r="K120" s="7"/>
      <c r="L120" s="7"/>
      <c r="M120" s="7"/>
      <c r="N120" s="15"/>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row>
    <row r="121" ht="15.75" customHeight="1" spans="1:40">
      <c r="A121" s="6" t="s">
        <v>936</v>
      </c>
      <c r="B121" s="6" t="s">
        <v>624</v>
      </c>
      <c r="C121" s="93" t="s">
        <v>937</v>
      </c>
      <c r="D121" s="9" t="s">
        <v>178</v>
      </c>
      <c r="E121" s="29" t="s">
        <v>490</v>
      </c>
      <c r="F121" s="6" t="s">
        <v>1864</v>
      </c>
      <c r="G121" s="6">
        <v>1043086162</v>
      </c>
      <c r="H121" s="7" t="s">
        <v>985</v>
      </c>
      <c r="I121" s="7" t="s">
        <v>1865</v>
      </c>
      <c r="J121" s="7" t="s">
        <v>941</v>
      </c>
      <c r="K121" s="7" t="s">
        <v>941</v>
      </c>
      <c r="L121" s="7" t="s">
        <v>943</v>
      </c>
      <c r="M121" s="7" t="s">
        <v>1866</v>
      </c>
      <c r="N121" s="51">
        <v>26508</v>
      </c>
      <c r="O121" s="7" t="s">
        <v>1028</v>
      </c>
      <c r="P121" s="7" t="s">
        <v>1351</v>
      </c>
      <c r="Q121" s="7" t="s">
        <v>1227</v>
      </c>
      <c r="R121" s="7" t="s">
        <v>1867</v>
      </c>
      <c r="S121" s="7" t="s">
        <v>1868</v>
      </c>
      <c r="T121" s="7" t="s">
        <v>1369</v>
      </c>
      <c r="U121" s="7" t="s">
        <v>1511</v>
      </c>
      <c r="V121" s="7" t="s">
        <v>1869</v>
      </c>
      <c r="W121" s="7" t="s">
        <v>1870</v>
      </c>
      <c r="X121" s="7" t="s">
        <v>953</v>
      </c>
      <c r="Y121" s="7" t="s">
        <v>624</v>
      </c>
      <c r="Z121" s="7" t="s">
        <v>1084</v>
      </c>
      <c r="AA121" s="7" t="s">
        <v>1514</v>
      </c>
      <c r="AB121" s="7" t="s">
        <v>1515</v>
      </c>
      <c r="AC121" s="7" t="s">
        <v>396</v>
      </c>
      <c r="AD121" s="7" t="s">
        <v>396</v>
      </c>
      <c r="AE121" s="7" t="s">
        <v>395</v>
      </c>
      <c r="AF121" s="7" t="s">
        <v>396</v>
      </c>
      <c r="AG121" s="7" t="s">
        <v>395</v>
      </c>
      <c r="AH121" s="59">
        <v>36</v>
      </c>
      <c r="AI121" s="59">
        <v>36</v>
      </c>
      <c r="AJ121" s="59">
        <v>36</v>
      </c>
      <c r="AK121" s="59">
        <v>37</v>
      </c>
      <c r="AL121" s="7" t="s">
        <v>395</v>
      </c>
      <c r="AM121" s="7" t="s">
        <v>395</v>
      </c>
      <c r="AN121" s="7" t="s">
        <v>396</v>
      </c>
    </row>
    <row r="122" ht="15.75" customHeight="1" spans="1:40">
      <c r="A122" s="6" t="s">
        <v>936</v>
      </c>
      <c r="B122" s="46" t="s">
        <v>506</v>
      </c>
      <c r="C122" s="93" t="s">
        <v>957</v>
      </c>
      <c r="D122" s="9" t="s">
        <v>1871</v>
      </c>
      <c r="E122" s="29" t="s">
        <v>971</v>
      </c>
      <c r="F122" s="29" t="s">
        <v>1872</v>
      </c>
      <c r="G122" s="6">
        <v>1118262672</v>
      </c>
      <c r="H122" s="7" t="s">
        <v>1024</v>
      </c>
      <c r="I122" s="47" t="s">
        <v>1873</v>
      </c>
      <c r="J122" s="7" t="s">
        <v>942</v>
      </c>
      <c r="K122" s="7" t="s">
        <v>942</v>
      </c>
      <c r="L122" s="7" t="s">
        <v>1068</v>
      </c>
      <c r="M122" s="7" t="s">
        <v>1874</v>
      </c>
      <c r="N122" s="51">
        <v>34789</v>
      </c>
      <c r="O122" s="7" t="s">
        <v>1028</v>
      </c>
      <c r="P122" s="7" t="s">
        <v>946</v>
      </c>
      <c r="Q122" s="7" t="s">
        <v>963</v>
      </c>
      <c r="R122" s="7" t="s">
        <v>1875</v>
      </c>
      <c r="S122" s="59">
        <v>70</v>
      </c>
      <c r="T122" s="7" t="s">
        <v>1208</v>
      </c>
      <c r="U122" s="7"/>
      <c r="V122" s="7">
        <v>51997886938</v>
      </c>
      <c r="W122" s="7">
        <v>51997886938</v>
      </c>
      <c r="X122" s="7" t="s">
        <v>953</v>
      </c>
      <c r="Y122" s="7" t="s">
        <v>1773</v>
      </c>
      <c r="Z122" s="59">
        <v>90610261</v>
      </c>
      <c r="AA122" s="7" t="s">
        <v>1876</v>
      </c>
      <c r="AB122" s="7" t="s">
        <v>1877</v>
      </c>
      <c r="AC122" s="7" t="s">
        <v>406</v>
      </c>
      <c r="AD122" s="7" t="s">
        <v>396</v>
      </c>
      <c r="AE122" s="7" t="s">
        <v>396</v>
      </c>
      <c r="AF122" s="7" t="s">
        <v>406</v>
      </c>
      <c r="AG122" s="7" t="s">
        <v>406</v>
      </c>
      <c r="AH122" s="59">
        <v>35</v>
      </c>
      <c r="AI122" s="59">
        <v>35</v>
      </c>
      <c r="AJ122" s="59">
        <v>35</v>
      </c>
      <c r="AK122" s="59">
        <v>35</v>
      </c>
      <c r="AL122" s="7" t="s">
        <v>396</v>
      </c>
      <c r="AM122" s="7" t="s">
        <v>396</v>
      </c>
      <c r="AN122" s="7" t="s">
        <v>396</v>
      </c>
    </row>
    <row r="123" ht="15.75" customHeight="1" spans="1:40">
      <c r="A123" s="6" t="s">
        <v>936</v>
      </c>
      <c r="B123" s="46" t="s">
        <v>506</v>
      </c>
      <c r="C123" s="93" t="s">
        <v>957</v>
      </c>
      <c r="D123" s="9" t="s">
        <v>1878</v>
      </c>
      <c r="E123" s="29" t="s">
        <v>971</v>
      </c>
      <c r="F123" s="6" t="s">
        <v>1879</v>
      </c>
      <c r="G123" s="6">
        <v>41333941</v>
      </c>
      <c r="H123" s="7" t="s">
        <v>985</v>
      </c>
      <c r="I123" s="47" t="s">
        <v>1880</v>
      </c>
      <c r="J123" s="7" t="s">
        <v>942</v>
      </c>
      <c r="K123" s="7" t="s">
        <v>942</v>
      </c>
      <c r="L123" s="7" t="s">
        <v>975</v>
      </c>
      <c r="M123" s="7" t="s">
        <v>1881</v>
      </c>
      <c r="N123" s="51">
        <v>37006</v>
      </c>
      <c r="O123" s="7" t="s">
        <v>945</v>
      </c>
      <c r="P123" s="7" t="s">
        <v>946</v>
      </c>
      <c r="Q123" s="7" t="s">
        <v>963</v>
      </c>
      <c r="R123" s="7" t="s">
        <v>1882</v>
      </c>
      <c r="S123" s="59">
        <v>95</v>
      </c>
      <c r="T123" s="7" t="s">
        <v>1011</v>
      </c>
      <c r="U123" s="7"/>
      <c r="V123" s="7">
        <v>51999824303</v>
      </c>
      <c r="W123" s="7">
        <v>51999824303</v>
      </c>
      <c r="X123" s="7" t="s">
        <v>953</v>
      </c>
      <c r="Y123" s="7" t="s">
        <v>656</v>
      </c>
      <c r="Z123" s="7" t="s">
        <v>1108</v>
      </c>
      <c r="AA123" s="7" t="s">
        <v>1883</v>
      </c>
      <c r="AB123" s="7" t="s">
        <v>1884</v>
      </c>
      <c r="AC123" s="7" t="s">
        <v>406</v>
      </c>
      <c r="AD123" s="7" t="s">
        <v>398</v>
      </c>
      <c r="AE123" s="7" t="s">
        <v>398</v>
      </c>
      <c r="AF123" s="7" t="s">
        <v>398</v>
      </c>
      <c r="AG123" s="7" t="s">
        <v>398</v>
      </c>
      <c r="AH123" s="59">
        <v>42</v>
      </c>
      <c r="AI123" s="59">
        <v>42</v>
      </c>
      <c r="AJ123" s="59">
        <v>42</v>
      </c>
      <c r="AK123" s="59">
        <v>42</v>
      </c>
      <c r="AL123" s="7" t="s">
        <v>398</v>
      </c>
      <c r="AM123" s="7" t="s">
        <v>398</v>
      </c>
      <c r="AN123" s="7" t="s">
        <v>398</v>
      </c>
    </row>
    <row r="124" ht="15.75" customHeight="1" spans="1:40">
      <c r="A124" s="6" t="s">
        <v>936</v>
      </c>
      <c r="B124" s="95" t="s">
        <v>1120</v>
      </c>
      <c r="C124" s="93" t="s">
        <v>957</v>
      </c>
      <c r="D124" s="96" t="s">
        <v>1885</v>
      </c>
      <c r="E124" s="29" t="s">
        <v>971</v>
      </c>
      <c r="F124" s="6" t="s">
        <v>1886</v>
      </c>
      <c r="G124" s="97">
        <v>1067429058</v>
      </c>
      <c r="H124" s="98" t="s">
        <v>985</v>
      </c>
      <c r="I124" s="98" t="s">
        <v>1195</v>
      </c>
      <c r="J124" s="98" t="s">
        <v>941</v>
      </c>
      <c r="K124" s="98" t="s">
        <v>942</v>
      </c>
      <c r="L124" s="98" t="s">
        <v>1068</v>
      </c>
      <c r="M124" s="98" t="s">
        <v>1887</v>
      </c>
      <c r="N124" s="108">
        <v>28042</v>
      </c>
      <c r="O124" s="98" t="s">
        <v>945</v>
      </c>
      <c r="P124" s="98" t="s">
        <v>946</v>
      </c>
      <c r="Q124" s="98" t="s">
        <v>963</v>
      </c>
      <c r="R124" s="113" t="s">
        <v>1888</v>
      </c>
      <c r="S124" s="114">
        <v>75</v>
      </c>
      <c r="T124" s="115" t="s">
        <v>1011</v>
      </c>
      <c r="U124" s="98"/>
      <c r="V124" s="98" t="s">
        <v>1889</v>
      </c>
      <c r="W124" s="98" t="s">
        <v>1890</v>
      </c>
      <c r="X124" s="7" t="s">
        <v>953</v>
      </c>
      <c r="Y124" s="98" t="s">
        <v>1891</v>
      </c>
      <c r="Z124" s="98">
        <v>95745000</v>
      </c>
      <c r="AA124" s="98" t="s">
        <v>1892</v>
      </c>
      <c r="AB124" s="98" t="s">
        <v>1893</v>
      </c>
      <c r="AC124" s="98" t="s">
        <v>396</v>
      </c>
      <c r="AD124" s="98" t="s">
        <v>396</v>
      </c>
      <c r="AE124" s="98" t="s">
        <v>396</v>
      </c>
      <c r="AF124" s="98" t="s">
        <v>396</v>
      </c>
      <c r="AG124" s="98" t="s">
        <v>396</v>
      </c>
      <c r="AH124" s="114">
        <v>41</v>
      </c>
      <c r="AI124" s="114">
        <v>41</v>
      </c>
      <c r="AJ124" s="114">
        <v>41</v>
      </c>
      <c r="AK124" s="114">
        <v>41</v>
      </c>
      <c r="AL124" s="98" t="s">
        <v>396</v>
      </c>
      <c r="AM124" s="98" t="s">
        <v>396</v>
      </c>
      <c r="AN124" s="98" t="s">
        <v>1128</v>
      </c>
    </row>
    <row r="125" ht="15.75" customHeight="1" spans="1:40">
      <c r="A125" s="6" t="s">
        <v>936</v>
      </c>
      <c r="B125" s="6" t="s">
        <v>554</v>
      </c>
      <c r="C125" s="93" t="s">
        <v>937</v>
      </c>
      <c r="D125" s="88" t="s">
        <v>1894</v>
      </c>
      <c r="E125" s="29" t="s">
        <v>971</v>
      </c>
      <c r="F125" s="6" t="s">
        <v>1886</v>
      </c>
      <c r="G125" s="89">
        <v>1067429058</v>
      </c>
      <c r="H125" s="86" t="s">
        <v>939</v>
      </c>
      <c r="I125" s="86" t="s">
        <v>940</v>
      </c>
      <c r="J125" s="86" t="s">
        <v>941</v>
      </c>
      <c r="K125" s="86" t="s">
        <v>942</v>
      </c>
      <c r="L125" s="86" t="s">
        <v>1068</v>
      </c>
      <c r="M125" s="86" t="s">
        <v>1887</v>
      </c>
      <c r="N125" s="100">
        <v>28042</v>
      </c>
      <c r="O125" s="86" t="s">
        <v>945</v>
      </c>
      <c r="P125" s="86" t="s">
        <v>946</v>
      </c>
      <c r="Q125" s="86" t="s">
        <v>963</v>
      </c>
      <c r="R125" s="86" t="s">
        <v>1888</v>
      </c>
      <c r="S125" s="110">
        <v>75</v>
      </c>
      <c r="T125" s="86" t="s">
        <v>1011</v>
      </c>
      <c r="U125" s="86" t="s">
        <v>942</v>
      </c>
      <c r="V125" s="86" t="s">
        <v>1895</v>
      </c>
      <c r="W125" s="86" t="s">
        <v>1896</v>
      </c>
      <c r="X125" s="7" t="s">
        <v>953</v>
      </c>
      <c r="Y125" s="86" t="s">
        <v>1897</v>
      </c>
      <c r="Z125" s="86" t="s">
        <v>1898</v>
      </c>
      <c r="AA125" s="86" t="s">
        <v>1899</v>
      </c>
      <c r="AB125" s="86" t="s">
        <v>1893</v>
      </c>
      <c r="AC125" s="86" t="s">
        <v>396</v>
      </c>
      <c r="AD125" s="86" t="s">
        <v>396</v>
      </c>
      <c r="AE125" s="86" t="s">
        <v>396</v>
      </c>
      <c r="AF125" s="86" t="s">
        <v>396</v>
      </c>
      <c r="AG125" s="86" t="s">
        <v>396</v>
      </c>
      <c r="AH125" s="110">
        <v>41</v>
      </c>
      <c r="AI125" s="110">
        <v>41</v>
      </c>
      <c r="AJ125" s="110">
        <v>41</v>
      </c>
      <c r="AK125" s="110">
        <v>41</v>
      </c>
      <c r="AL125" s="86" t="s">
        <v>396</v>
      </c>
      <c r="AM125" s="86" t="s">
        <v>396</v>
      </c>
      <c r="AN125" s="86" t="s">
        <v>406</v>
      </c>
    </row>
    <row r="126" ht="15.75" customHeight="1" spans="1:40">
      <c r="A126" s="6" t="s">
        <v>936</v>
      </c>
      <c r="B126" s="6" t="s">
        <v>595</v>
      </c>
      <c r="C126" s="93" t="s">
        <v>937</v>
      </c>
      <c r="D126" s="88" t="s">
        <v>179</v>
      </c>
      <c r="E126" s="29" t="s">
        <v>490</v>
      </c>
      <c r="F126" s="6" t="s">
        <v>1900</v>
      </c>
      <c r="G126" s="89">
        <v>4070412533</v>
      </c>
      <c r="H126" s="90" t="s">
        <v>985</v>
      </c>
      <c r="I126" s="86" t="s">
        <v>1901</v>
      </c>
      <c r="J126" s="86" t="s">
        <v>941</v>
      </c>
      <c r="K126" s="86" t="s">
        <v>942</v>
      </c>
      <c r="L126" s="86" t="s">
        <v>943</v>
      </c>
      <c r="M126" s="86" t="s">
        <v>1902</v>
      </c>
      <c r="N126" s="100">
        <v>33090</v>
      </c>
      <c r="O126" s="86" t="s">
        <v>945</v>
      </c>
      <c r="P126" s="86" t="s">
        <v>946</v>
      </c>
      <c r="Q126" s="86" t="s">
        <v>1245</v>
      </c>
      <c r="R126" s="86" t="s">
        <v>1903</v>
      </c>
      <c r="S126" s="110">
        <v>76</v>
      </c>
      <c r="T126" s="109" t="s">
        <v>1011</v>
      </c>
      <c r="U126" s="86"/>
      <c r="V126" s="86" t="s">
        <v>1904</v>
      </c>
      <c r="W126" s="86"/>
      <c r="X126" s="7" t="s">
        <v>953</v>
      </c>
      <c r="Y126" s="86" t="s">
        <v>595</v>
      </c>
      <c r="Z126" s="86" t="s">
        <v>1336</v>
      </c>
      <c r="AA126" s="86" t="s">
        <v>1905</v>
      </c>
      <c r="AB126" s="86" t="s">
        <v>1086</v>
      </c>
      <c r="AC126" s="86" t="s">
        <v>396</v>
      </c>
      <c r="AD126" s="86" t="s">
        <v>396</v>
      </c>
      <c r="AE126" s="86" t="s">
        <v>396</v>
      </c>
      <c r="AF126" s="86" t="s">
        <v>396</v>
      </c>
      <c r="AG126" s="86" t="s">
        <v>396</v>
      </c>
      <c r="AH126" s="110">
        <v>40</v>
      </c>
      <c r="AI126" s="110">
        <v>40</v>
      </c>
      <c r="AJ126" s="110">
        <v>40</v>
      </c>
      <c r="AK126" s="110">
        <v>40</v>
      </c>
      <c r="AL126" s="86" t="s">
        <v>396</v>
      </c>
      <c r="AM126" s="86" t="s">
        <v>396</v>
      </c>
      <c r="AN126" s="86" t="s">
        <v>396</v>
      </c>
    </row>
    <row r="127" ht="15.75" customHeight="1" spans="1:40">
      <c r="A127" s="39"/>
      <c r="B127" s="39"/>
      <c r="C127" s="93"/>
      <c r="D127" s="9" t="s">
        <v>1906</v>
      </c>
      <c r="E127" s="29" t="s">
        <v>490</v>
      </c>
      <c r="F127" s="6" t="s">
        <v>1907</v>
      </c>
      <c r="G127" s="6"/>
      <c r="H127" s="11"/>
      <c r="I127" s="11"/>
      <c r="J127" s="7"/>
      <c r="K127" s="7"/>
      <c r="L127" s="7"/>
      <c r="M127" s="7"/>
      <c r="N127" s="15"/>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row>
    <row r="128" ht="15.75" customHeight="1" spans="1:40">
      <c r="A128" s="6" t="s">
        <v>936</v>
      </c>
      <c r="B128" s="6" t="s">
        <v>660</v>
      </c>
      <c r="C128" s="93" t="s">
        <v>937</v>
      </c>
      <c r="D128" s="9" t="s">
        <v>1908</v>
      </c>
      <c r="E128" s="29" t="s">
        <v>971</v>
      </c>
      <c r="F128" s="6" t="s">
        <v>1909</v>
      </c>
      <c r="G128" s="6">
        <v>1090777846</v>
      </c>
      <c r="H128" s="7" t="s">
        <v>1398</v>
      </c>
      <c r="I128" s="7" t="s">
        <v>1910</v>
      </c>
      <c r="J128" s="7" t="s">
        <v>941</v>
      </c>
      <c r="K128" s="7" t="s">
        <v>942</v>
      </c>
      <c r="L128" s="7" t="s">
        <v>1102</v>
      </c>
      <c r="M128" s="7" t="s">
        <v>1911</v>
      </c>
      <c r="N128" s="51">
        <v>33919</v>
      </c>
      <c r="O128" s="7" t="s">
        <v>945</v>
      </c>
      <c r="P128" s="7" t="s">
        <v>946</v>
      </c>
      <c r="Q128" s="7" t="s">
        <v>947</v>
      </c>
      <c r="R128" s="7" t="s">
        <v>1912</v>
      </c>
      <c r="S128" s="59">
        <v>97</v>
      </c>
      <c r="T128" s="7" t="s">
        <v>1011</v>
      </c>
      <c r="U128" s="7" t="s">
        <v>1913</v>
      </c>
      <c r="V128" s="7" t="s">
        <v>1914</v>
      </c>
      <c r="W128" s="7" t="s">
        <v>1915</v>
      </c>
      <c r="X128" s="7" t="s">
        <v>953</v>
      </c>
      <c r="Y128" s="7" t="s">
        <v>660</v>
      </c>
      <c r="Z128" s="7" t="s">
        <v>1135</v>
      </c>
      <c r="AA128" s="7" t="s">
        <v>1916</v>
      </c>
      <c r="AB128" s="7" t="s">
        <v>1917</v>
      </c>
      <c r="AC128" s="7" t="s">
        <v>406</v>
      </c>
      <c r="AD128" s="7" t="s">
        <v>406</v>
      </c>
      <c r="AE128" s="7" t="s">
        <v>406</v>
      </c>
      <c r="AF128" s="7" t="s">
        <v>406</v>
      </c>
      <c r="AG128" s="7" t="s">
        <v>406</v>
      </c>
      <c r="AH128" s="59">
        <v>41</v>
      </c>
      <c r="AI128" s="59">
        <v>41</v>
      </c>
      <c r="AJ128" s="59">
        <v>41</v>
      </c>
      <c r="AK128" s="59">
        <v>41</v>
      </c>
      <c r="AL128" s="7" t="s">
        <v>406</v>
      </c>
      <c r="AM128" s="7" t="s">
        <v>406</v>
      </c>
      <c r="AN128" s="7" t="s">
        <v>406</v>
      </c>
    </row>
    <row r="129" ht="15.75" customHeight="1" spans="1:40">
      <c r="A129" s="6" t="s">
        <v>936</v>
      </c>
      <c r="B129" s="6" t="s">
        <v>554</v>
      </c>
      <c r="C129" s="93" t="s">
        <v>937</v>
      </c>
      <c r="D129" s="9" t="s">
        <v>1918</v>
      </c>
      <c r="E129" s="29" t="s">
        <v>971</v>
      </c>
      <c r="F129" s="6" t="s">
        <v>1919</v>
      </c>
      <c r="G129" s="6">
        <v>8122047131</v>
      </c>
      <c r="H129" s="7" t="s">
        <v>939</v>
      </c>
      <c r="I129" s="7" t="s">
        <v>940</v>
      </c>
      <c r="J129" s="7" t="s">
        <v>941</v>
      </c>
      <c r="K129" s="7" t="s">
        <v>942</v>
      </c>
      <c r="L129" s="7" t="s">
        <v>975</v>
      </c>
      <c r="M129" s="7" t="s">
        <v>1920</v>
      </c>
      <c r="N129" s="51">
        <v>27779</v>
      </c>
      <c r="O129" s="7" t="s">
        <v>945</v>
      </c>
      <c r="P129" s="7" t="s">
        <v>1041</v>
      </c>
      <c r="Q129" s="7"/>
      <c r="R129" s="7" t="s">
        <v>1921</v>
      </c>
      <c r="S129" s="59">
        <v>83</v>
      </c>
      <c r="T129" s="7" t="s">
        <v>1011</v>
      </c>
      <c r="U129" s="7" t="s">
        <v>942</v>
      </c>
      <c r="V129" s="7" t="s">
        <v>1922</v>
      </c>
      <c r="W129" s="7" t="s">
        <v>1923</v>
      </c>
      <c r="X129" s="7" t="s">
        <v>953</v>
      </c>
      <c r="Y129" s="86" t="s">
        <v>656</v>
      </c>
      <c r="Z129" s="7" t="s">
        <v>1108</v>
      </c>
      <c r="AA129" s="7" t="s">
        <v>1924</v>
      </c>
      <c r="AB129" s="7" t="s">
        <v>1925</v>
      </c>
      <c r="AC129" s="7" t="s">
        <v>406</v>
      </c>
      <c r="AD129" s="7" t="s">
        <v>406</v>
      </c>
      <c r="AE129" s="7" t="s">
        <v>406</v>
      </c>
      <c r="AF129" s="7" t="s">
        <v>406</v>
      </c>
      <c r="AG129" s="7" t="s">
        <v>406</v>
      </c>
      <c r="AH129" s="59">
        <v>42</v>
      </c>
      <c r="AI129" s="59">
        <v>42</v>
      </c>
      <c r="AJ129" s="59">
        <v>42</v>
      </c>
      <c r="AK129" s="59">
        <v>42</v>
      </c>
      <c r="AL129" s="7" t="s">
        <v>406</v>
      </c>
      <c r="AM129" s="7" t="s">
        <v>406</v>
      </c>
      <c r="AN129" s="7" t="s">
        <v>406</v>
      </c>
    </row>
    <row r="130" ht="15.75" customHeight="1" spans="1:40">
      <c r="A130" s="6" t="s">
        <v>936</v>
      </c>
      <c r="B130" s="46" t="s">
        <v>1120</v>
      </c>
      <c r="C130" s="4" t="s">
        <v>957</v>
      </c>
      <c r="D130" s="9" t="s">
        <v>1918</v>
      </c>
      <c r="E130" s="29" t="s">
        <v>971</v>
      </c>
      <c r="F130" s="6" t="s">
        <v>1919</v>
      </c>
      <c r="G130" s="6">
        <v>8122047131</v>
      </c>
      <c r="H130" s="7" t="s">
        <v>985</v>
      </c>
      <c r="I130" s="7" t="s">
        <v>1195</v>
      </c>
      <c r="J130" s="7" t="s">
        <v>941</v>
      </c>
      <c r="K130" s="7" t="s">
        <v>942</v>
      </c>
      <c r="L130" s="7" t="s">
        <v>975</v>
      </c>
      <c r="M130" s="7" t="s">
        <v>1920</v>
      </c>
      <c r="N130" s="51">
        <v>27779</v>
      </c>
      <c r="O130" s="7" t="s">
        <v>945</v>
      </c>
      <c r="P130" s="6" t="s">
        <v>1041</v>
      </c>
      <c r="Q130" s="7" t="s">
        <v>1054</v>
      </c>
      <c r="R130" s="75" t="s">
        <v>1921</v>
      </c>
      <c r="S130" s="59">
        <v>83</v>
      </c>
      <c r="T130" s="6" t="s">
        <v>1011</v>
      </c>
      <c r="U130" s="7"/>
      <c r="V130" s="7" t="s">
        <v>1926</v>
      </c>
      <c r="W130" s="7" t="s">
        <v>1927</v>
      </c>
      <c r="X130" s="7" t="s">
        <v>953</v>
      </c>
      <c r="Y130" s="7" t="s">
        <v>1928</v>
      </c>
      <c r="Z130" s="7">
        <v>93700000</v>
      </c>
      <c r="AA130" s="7" t="s">
        <v>1929</v>
      </c>
      <c r="AB130" s="7" t="s">
        <v>1925</v>
      </c>
      <c r="AC130" s="7" t="s">
        <v>406</v>
      </c>
      <c r="AD130" s="7" t="s">
        <v>406</v>
      </c>
      <c r="AE130" s="7" t="s">
        <v>406</v>
      </c>
      <c r="AF130" s="7" t="s">
        <v>406</v>
      </c>
      <c r="AG130" s="7" t="s">
        <v>406</v>
      </c>
      <c r="AH130" s="59">
        <v>42</v>
      </c>
      <c r="AI130" s="59">
        <v>42</v>
      </c>
      <c r="AJ130" s="59">
        <v>42</v>
      </c>
      <c r="AK130" s="59">
        <v>42</v>
      </c>
      <c r="AL130" s="7" t="s">
        <v>406</v>
      </c>
      <c r="AM130" s="7" t="s">
        <v>406</v>
      </c>
      <c r="AN130" s="7" t="s">
        <v>1128</v>
      </c>
    </row>
    <row r="131" ht="15.75" customHeight="1" spans="1:40">
      <c r="A131" s="39"/>
      <c r="B131" s="39"/>
      <c r="C131" s="4"/>
      <c r="D131" s="9" t="s">
        <v>1930</v>
      </c>
      <c r="E131" s="29" t="s">
        <v>492</v>
      </c>
      <c r="F131" s="6" t="s">
        <v>1931</v>
      </c>
      <c r="G131" s="6"/>
      <c r="H131" s="11"/>
      <c r="I131" s="11"/>
      <c r="J131" s="7"/>
      <c r="K131" s="7"/>
      <c r="L131" s="7"/>
      <c r="M131" s="7"/>
      <c r="N131" s="15"/>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row>
    <row r="132" ht="15.75" customHeight="1" spans="1:40">
      <c r="A132" s="6" t="s">
        <v>936</v>
      </c>
      <c r="B132" s="6" t="s">
        <v>595</v>
      </c>
      <c r="C132" s="4" t="s">
        <v>937</v>
      </c>
      <c r="D132" s="9" t="s">
        <v>180</v>
      </c>
      <c r="E132" s="29" t="s">
        <v>490</v>
      </c>
      <c r="F132" s="6" t="s">
        <v>1932</v>
      </c>
      <c r="G132" s="6">
        <v>3053896712</v>
      </c>
      <c r="H132" s="7" t="s">
        <v>939</v>
      </c>
      <c r="I132" s="7" t="s">
        <v>1933</v>
      </c>
      <c r="J132" s="7" t="s">
        <v>941</v>
      </c>
      <c r="K132" s="7" t="s">
        <v>942</v>
      </c>
      <c r="L132" s="7" t="s">
        <v>975</v>
      </c>
      <c r="M132" s="7" t="s">
        <v>1934</v>
      </c>
      <c r="N132" s="51">
        <v>27661</v>
      </c>
      <c r="O132" s="7" t="s">
        <v>945</v>
      </c>
      <c r="P132" s="7" t="s">
        <v>946</v>
      </c>
      <c r="Q132" s="7" t="s">
        <v>963</v>
      </c>
      <c r="R132" s="7" t="s">
        <v>1935</v>
      </c>
      <c r="S132" s="59">
        <v>83</v>
      </c>
      <c r="T132" s="7" t="s">
        <v>1030</v>
      </c>
      <c r="U132" s="7"/>
      <c r="V132" s="7" t="s">
        <v>1936</v>
      </c>
      <c r="W132" s="7"/>
      <c r="X132" s="7" t="s">
        <v>953</v>
      </c>
      <c r="Y132" s="7" t="s">
        <v>595</v>
      </c>
      <c r="Z132" s="7" t="s">
        <v>1336</v>
      </c>
      <c r="AA132" s="7" t="s">
        <v>1937</v>
      </c>
      <c r="AB132" s="7" t="s">
        <v>1938</v>
      </c>
      <c r="AC132" s="7" t="s">
        <v>406</v>
      </c>
      <c r="AD132" s="7" t="s">
        <v>406</v>
      </c>
      <c r="AE132" s="7" t="s">
        <v>406</v>
      </c>
      <c r="AF132" s="7" t="s">
        <v>406</v>
      </c>
      <c r="AG132" s="7" t="s">
        <v>406</v>
      </c>
      <c r="AH132" s="59">
        <v>40</v>
      </c>
      <c r="AI132" s="59">
        <v>40</v>
      </c>
      <c r="AJ132" s="59">
        <v>40</v>
      </c>
      <c r="AK132" s="59">
        <v>40</v>
      </c>
      <c r="AL132" s="7" t="s">
        <v>406</v>
      </c>
      <c r="AM132" s="7" t="s">
        <v>406</v>
      </c>
      <c r="AN132" s="7" t="s">
        <v>406</v>
      </c>
    </row>
    <row r="133" ht="15.75" customHeight="1" spans="1:40">
      <c r="A133" s="6" t="s">
        <v>936</v>
      </c>
      <c r="B133" s="46" t="s">
        <v>506</v>
      </c>
      <c r="C133" s="4" t="s">
        <v>957</v>
      </c>
      <c r="D133" s="9" t="s">
        <v>1939</v>
      </c>
      <c r="E133" s="29" t="s">
        <v>490</v>
      </c>
      <c r="F133" s="6" t="s">
        <v>1940</v>
      </c>
      <c r="G133" s="6">
        <v>6127627401</v>
      </c>
      <c r="H133" s="7" t="s">
        <v>985</v>
      </c>
      <c r="I133" s="47" t="s">
        <v>1941</v>
      </c>
      <c r="J133" s="7" t="s">
        <v>941</v>
      </c>
      <c r="K133" s="7" t="s">
        <v>942</v>
      </c>
      <c r="L133" s="7"/>
      <c r="M133" s="7" t="s">
        <v>1942</v>
      </c>
      <c r="N133" s="15"/>
      <c r="O133" s="7" t="s">
        <v>945</v>
      </c>
      <c r="P133" s="7" t="s">
        <v>1257</v>
      </c>
      <c r="Q133" s="7"/>
      <c r="R133" s="7"/>
      <c r="S133" s="7"/>
      <c r="T133" s="7" t="s">
        <v>1044</v>
      </c>
      <c r="U133" s="7"/>
      <c r="V133" s="7"/>
      <c r="W133" s="7"/>
      <c r="X133" s="7"/>
      <c r="Y133" s="7"/>
      <c r="Z133" s="7"/>
      <c r="AA133" s="7"/>
      <c r="AB133" s="7"/>
      <c r="AC133" s="7" t="s">
        <v>398</v>
      </c>
      <c r="AD133" s="7" t="s">
        <v>398</v>
      </c>
      <c r="AE133" s="7" t="s">
        <v>398</v>
      </c>
      <c r="AF133" s="7" t="s">
        <v>398</v>
      </c>
      <c r="AG133" s="7" t="s">
        <v>398</v>
      </c>
      <c r="AH133" s="59">
        <v>42</v>
      </c>
      <c r="AI133" s="59">
        <v>42</v>
      </c>
      <c r="AJ133" s="59">
        <v>42</v>
      </c>
      <c r="AK133" s="59">
        <v>42</v>
      </c>
      <c r="AL133" s="7" t="s">
        <v>398</v>
      </c>
      <c r="AM133" s="7" t="s">
        <v>398</v>
      </c>
      <c r="AN133" s="7" t="s">
        <v>398</v>
      </c>
    </row>
    <row r="134" ht="15.75" customHeight="1" spans="1:40">
      <c r="A134" s="6" t="s">
        <v>936</v>
      </c>
      <c r="B134" s="46" t="s">
        <v>506</v>
      </c>
      <c r="C134" s="4" t="s">
        <v>957</v>
      </c>
      <c r="D134" s="9" t="s">
        <v>1943</v>
      </c>
      <c r="E134" s="29" t="s">
        <v>971</v>
      </c>
      <c r="F134" s="6" t="s">
        <v>1944</v>
      </c>
      <c r="G134" s="6">
        <v>7085834427</v>
      </c>
      <c r="H134" s="7" t="s">
        <v>985</v>
      </c>
      <c r="I134" s="47" t="s">
        <v>1945</v>
      </c>
      <c r="J134" s="7" t="s">
        <v>942</v>
      </c>
      <c r="K134" s="7" t="s">
        <v>942</v>
      </c>
      <c r="L134" s="7" t="s">
        <v>943</v>
      </c>
      <c r="M134" s="7" t="s">
        <v>1946</v>
      </c>
      <c r="N134" s="51">
        <v>31098</v>
      </c>
      <c r="O134" s="7" t="s">
        <v>945</v>
      </c>
      <c r="P134" s="7" t="s">
        <v>1257</v>
      </c>
      <c r="Q134" s="7" t="s">
        <v>963</v>
      </c>
      <c r="R134" s="7" t="s">
        <v>1947</v>
      </c>
      <c r="S134" s="59">
        <v>112</v>
      </c>
      <c r="T134" s="7" t="s">
        <v>1154</v>
      </c>
      <c r="U134" s="7"/>
      <c r="V134" s="7">
        <v>51995286845</v>
      </c>
      <c r="W134" s="7">
        <v>51995286845</v>
      </c>
      <c r="X134" s="7" t="s">
        <v>953</v>
      </c>
      <c r="Y134" s="7" t="s">
        <v>966</v>
      </c>
      <c r="Z134" s="7" t="s">
        <v>1948</v>
      </c>
      <c r="AA134" s="7" t="s">
        <v>1949</v>
      </c>
      <c r="AB134" s="7" t="s">
        <v>1057</v>
      </c>
      <c r="AC134" s="7" t="s">
        <v>398</v>
      </c>
      <c r="AD134" s="7" t="s">
        <v>398</v>
      </c>
      <c r="AE134" s="7" t="s">
        <v>398</v>
      </c>
      <c r="AF134" s="7" t="s">
        <v>399</v>
      </c>
      <c r="AG134" s="7" t="s">
        <v>399</v>
      </c>
      <c r="AH134" s="59">
        <v>41</v>
      </c>
      <c r="AI134" s="59">
        <v>41</v>
      </c>
      <c r="AJ134" s="59">
        <v>41</v>
      </c>
      <c r="AK134" s="59">
        <v>41</v>
      </c>
      <c r="AL134" s="7" t="s">
        <v>399</v>
      </c>
      <c r="AM134" s="7" t="s">
        <v>398</v>
      </c>
      <c r="AN134" s="7" t="s">
        <v>398</v>
      </c>
    </row>
    <row r="135" ht="15.75" customHeight="1" spans="1:40">
      <c r="A135" s="6" t="s">
        <v>936</v>
      </c>
      <c r="B135" s="6" t="s">
        <v>554</v>
      </c>
      <c r="C135" s="4" t="s">
        <v>937</v>
      </c>
      <c r="D135" s="9" t="s">
        <v>1950</v>
      </c>
      <c r="E135" s="29" t="s">
        <v>971</v>
      </c>
      <c r="F135" s="6" t="s">
        <v>1951</v>
      </c>
      <c r="G135" s="6">
        <v>8109648777</v>
      </c>
      <c r="H135" s="7" t="s">
        <v>1952</v>
      </c>
      <c r="I135" s="7" t="s">
        <v>940</v>
      </c>
      <c r="J135" s="7" t="s">
        <v>941</v>
      </c>
      <c r="K135" s="7" t="s">
        <v>942</v>
      </c>
      <c r="L135" s="7" t="s">
        <v>975</v>
      </c>
      <c r="M135" s="7" t="s">
        <v>1953</v>
      </c>
      <c r="N135" s="51">
        <v>33505</v>
      </c>
      <c r="O135" s="7" t="s">
        <v>945</v>
      </c>
      <c r="P135" s="7" t="s">
        <v>946</v>
      </c>
      <c r="Q135" s="7" t="s">
        <v>963</v>
      </c>
      <c r="R135" s="7" t="s">
        <v>1954</v>
      </c>
      <c r="S135" s="59">
        <v>79</v>
      </c>
      <c r="T135" s="7" t="s">
        <v>950</v>
      </c>
      <c r="U135" s="7" t="s">
        <v>1955</v>
      </c>
      <c r="V135" s="7" t="s">
        <v>1956</v>
      </c>
      <c r="W135" s="7" t="s">
        <v>1957</v>
      </c>
      <c r="X135" s="7" t="s">
        <v>953</v>
      </c>
      <c r="Y135" s="7" t="s">
        <v>966</v>
      </c>
      <c r="Z135" s="7" t="s">
        <v>1958</v>
      </c>
      <c r="AA135" s="7" t="s">
        <v>1959</v>
      </c>
      <c r="AB135" s="7" t="s">
        <v>1319</v>
      </c>
      <c r="AC135" s="7" t="s">
        <v>406</v>
      </c>
      <c r="AD135" s="7" t="s">
        <v>406</v>
      </c>
      <c r="AE135" s="7" t="s">
        <v>406</v>
      </c>
      <c r="AF135" s="7" t="s">
        <v>406</v>
      </c>
      <c r="AG135" s="7" t="s">
        <v>406</v>
      </c>
      <c r="AH135" s="59">
        <v>42</v>
      </c>
      <c r="AI135" s="59">
        <v>42</v>
      </c>
      <c r="AJ135" s="59">
        <v>42</v>
      </c>
      <c r="AK135" s="59">
        <v>42</v>
      </c>
      <c r="AL135" s="7" t="s">
        <v>396</v>
      </c>
      <c r="AM135" s="7" t="s">
        <v>396</v>
      </c>
      <c r="AN135" s="7" t="s">
        <v>406</v>
      </c>
    </row>
    <row r="136" ht="15.75" customHeight="1" spans="1:40">
      <c r="A136" s="6" t="s">
        <v>936</v>
      </c>
      <c r="B136" s="46" t="s">
        <v>1120</v>
      </c>
      <c r="C136" s="4" t="s">
        <v>957</v>
      </c>
      <c r="D136" s="9" t="s">
        <v>1950</v>
      </c>
      <c r="E136" s="29" t="s">
        <v>971</v>
      </c>
      <c r="F136" s="6" t="s">
        <v>1951</v>
      </c>
      <c r="G136" s="6">
        <v>8109648777</v>
      </c>
      <c r="H136" s="7" t="s">
        <v>1122</v>
      </c>
      <c r="I136" s="7" t="s">
        <v>1123</v>
      </c>
      <c r="J136" s="7" t="s">
        <v>941</v>
      </c>
      <c r="K136" s="7" t="s">
        <v>942</v>
      </c>
      <c r="L136" s="7" t="s">
        <v>975</v>
      </c>
      <c r="M136" s="7" t="s">
        <v>1953</v>
      </c>
      <c r="N136" s="51">
        <v>33505</v>
      </c>
      <c r="O136" s="7" t="s">
        <v>945</v>
      </c>
      <c r="P136" s="7" t="s">
        <v>946</v>
      </c>
      <c r="Q136" s="7" t="s">
        <v>963</v>
      </c>
      <c r="R136" s="75" t="s">
        <v>1954</v>
      </c>
      <c r="S136" s="59">
        <v>79</v>
      </c>
      <c r="T136" s="6" t="s">
        <v>950</v>
      </c>
      <c r="U136" s="7"/>
      <c r="V136" s="7" t="s">
        <v>1960</v>
      </c>
      <c r="W136" s="7" t="s">
        <v>1961</v>
      </c>
      <c r="X136" s="7" t="s">
        <v>953</v>
      </c>
      <c r="Y136" s="7" t="s">
        <v>1962</v>
      </c>
      <c r="Z136" s="7">
        <v>93542130</v>
      </c>
      <c r="AA136" s="7" t="s">
        <v>1963</v>
      </c>
      <c r="AB136" s="7" t="s">
        <v>1319</v>
      </c>
      <c r="AC136" s="7" t="s">
        <v>406</v>
      </c>
      <c r="AD136" s="7" t="s">
        <v>406</v>
      </c>
      <c r="AE136" s="7" t="s">
        <v>406</v>
      </c>
      <c r="AF136" s="7" t="s">
        <v>406</v>
      </c>
      <c r="AG136" s="7" t="s">
        <v>406</v>
      </c>
      <c r="AH136" s="59">
        <v>42</v>
      </c>
      <c r="AI136" s="59">
        <v>42</v>
      </c>
      <c r="AJ136" s="59">
        <v>42</v>
      </c>
      <c r="AK136" s="59">
        <v>42</v>
      </c>
      <c r="AL136" s="7" t="s">
        <v>396</v>
      </c>
      <c r="AM136" s="7" t="s">
        <v>396</v>
      </c>
      <c r="AN136" s="7" t="s">
        <v>1128</v>
      </c>
    </row>
    <row r="137" ht="15.75" customHeight="1" spans="1:40">
      <c r="A137" s="6" t="s">
        <v>936</v>
      </c>
      <c r="B137" s="46" t="s">
        <v>506</v>
      </c>
      <c r="C137" s="4" t="s">
        <v>957</v>
      </c>
      <c r="D137" s="9" t="s">
        <v>1964</v>
      </c>
      <c r="E137" s="29" t="s">
        <v>971</v>
      </c>
      <c r="F137" s="6" t="s">
        <v>1965</v>
      </c>
      <c r="G137" s="6">
        <v>7081297213</v>
      </c>
      <c r="H137" s="7" t="s">
        <v>985</v>
      </c>
      <c r="I137" s="47" t="s">
        <v>1966</v>
      </c>
      <c r="J137" s="7" t="s">
        <v>942</v>
      </c>
      <c r="K137" s="7" t="s">
        <v>942</v>
      </c>
      <c r="L137" s="7" t="s">
        <v>975</v>
      </c>
      <c r="M137" s="7" t="s">
        <v>1967</v>
      </c>
      <c r="N137" s="51">
        <v>33127</v>
      </c>
      <c r="O137" s="7" t="s">
        <v>945</v>
      </c>
      <c r="P137" s="7" t="s">
        <v>946</v>
      </c>
      <c r="Q137" s="7" t="s">
        <v>947</v>
      </c>
      <c r="R137" s="7" t="s">
        <v>1968</v>
      </c>
      <c r="S137" s="59">
        <v>100</v>
      </c>
      <c r="T137" s="7" t="s">
        <v>1154</v>
      </c>
      <c r="U137" s="7"/>
      <c r="V137" s="7">
        <v>51982073082</v>
      </c>
      <c r="W137" s="7">
        <v>51982073082</v>
      </c>
      <c r="X137" s="7" t="s">
        <v>953</v>
      </c>
      <c r="Y137" s="7" t="s">
        <v>582</v>
      </c>
      <c r="Z137" s="59">
        <v>91180550</v>
      </c>
      <c r="AA137" s="7" t="s">
        <v>1969</v>
      </c>
      <c r="AB137" s="7" t="s">
        <v>1970</v>
      </c>
      <c r="AC137" s="7" t="s">
        <v>398</v>
      </c>
      <c r="AD137" s="7" t="s">
        <v>398</v>
      </c>
      <c r="AE137" s="7" t="s">
        <v>398</v>
      </c>
      <c r="AF137" s="7" t="s">
        <v>398</v>
      </c>
      <c r="AG137" s="7" t="s">
        <v>398</v>
      </c>
      <c r="AH137" s="59">
        <v>43</v>
      </c>
      <c r="AI137" s="59">
        <v>43</v>
      </c>
      <c r="AJ137" s="59">
        <v>43</v>
      </c>
      <c r="AK137" s="59">
        <v>43</v>
      </c>
      <c r="AL137" s="7" t="s">
        <v>398</v>
      </c>
      <c r="AM137" s="7" t="s">
        <v>398</v>
      </c>
      <c r="AN137" s="7" t="s">
        <v>406</v>
      </c>
    </row>
    <row r="138" ht="15.75" customHeight="1" spans="1:40">
      <c r="A138" s="6" t="s">
        <v>936</v>
      </c>
      <c r="B138" s="6" t="s">
        <v>506</v>
      </c>
      <c r="C138" s="4" t="s">
        <v>957</v>
      </c>
      <c r="D138" s="9" t="s">
        <v>1971</v>
      </c>
      <c r="E138" s="29" t="s">
        <v>971</v>
      </c>
      <c r="F138" s="6" t="s">
        <v>1972</v>
      </c>
      <c r="G138" s="6">
        <v>1091581296</v>
      </c>
      <c r="H138" s="7" t="s">
        <v>960</v>
      </c>
      <c r="I138" s="47" t="s">
        <v>1973</v>
      </c>
      <c r="J138" s="7" t="s">
        <v>942</v>
      </c>
      <c r="K138" s="7" t="s">
        <v>942</v>
      </c>
      <c r="L138" s="7" t="s">
        <v>943</v>
      </c>
      <c r="M138" s="7" t="s">
        <v>1974</v>
      </c>
      <c r="N138" s="51">
        <v>32814</v>
      </c>
      <c r="O138" s="7" t="s">
        <v>945</v>
      </c>
      <c r="P138" s="7" t="s">
        <v>1104</v>
      </c>
      <c r="Q138" s="7" t="s">
        <v>1227</v>
      </c>
      <c r="R138" s="7" t="s">
        <v>1975</v>
      </c>
      <c r="S138" s="59">
        <v>76</v>
      </c>
      <c r="T138" s="7" t="s">
        <v>1044</v>
      </c>
      <c r="U138" s="7"/>
      <c r="V138" s="7">
        <v>51980182088</v>
      </c>
      <c r="W138" s="7">
        <v>51980182088</v>
      </c>
      <c r="X138" s="7" t="s">
        <v>953</v>
      </c>
      <c r="Y138" s="7" t="s">
        <v>966</v>
      </c>
      <c r="Z138" s="59">
        <v>93425230</v>
      </c>
      <c r="AA138" s="7" t="s">
        <v>1976</v>
      </c>
      <c r="AB138" s="7" t="s">
        <v>1977</v>
      </c>
      <c r="AC138" s="7" t="s">
        <v>406</v>
      </c>
      <c r="AD138" s="7" t="s">
        <v>406</v>
      </c>
      <c r="AE138" s="7" t="s">
        <v>396</v>
      </c>
      <c r="AF138" s="7" t="s">
        <v>406</v>
      </c>
      <c r="AG138" s="7" t="s">
        <v>396</v>
      </c>
      <c r="AH138" s="59">
        <v>41</v>
      </c>
      <c r="AI138" s="59">
        <v>41</v>
      </c>
      <c r="AJ138" s="59">
        <v>41</v>
      </c>
      <c r="AK138" s="59">
        <v>41</v>
      </c>
      <c r="AL138" s="7" t="s">
        <v>406</v>
      </c>
      <c r="AM138" s="7" t="s">
        <v>396</v>
      </c>
      <c r="AN138" s="7" t="s">
        <v>396</v>
      </c>
    </row>
    <row r="139" ht="15.75" customHeight="1" spans="1:40">
      <c r="A139" s="6" t="s">
        <v>936</v>
      </c>
      <c r="B139" s="7" t="s">
        <v>966</v>
      </c>
      <c r="C139" s="4" t="s">
        <v>937</v>
      </c>
      <c r="D139" s="9" t="s">
        <v>1978</v>
      </c>
      <c r="E139" s="29" t="s">
        <v>971</v>
      </c>
      <c r="F139" s="6">
        <v>553347098</v>
      </c>
      <c r="G139" s="59">
        <v>2089725069</v>
      </c>
      <c r="H139" s="7" t="s">
        <v>939</v>
      </c>
      <c r="I139" s="7" t="s">
        <v>940</v>
      </c>
      <c r="J139" s="7" t="s">
        <v>941</v>
      </c>
      <c r="K139" s="7" t="s">
        <v>941</v>
      </c>
      <c r="L139" s="7" t="s">
        <v>943</v>
      </c>
      <c r="M139" s="7" t="s">
        <v>1979</v>
      </c>
      <c r="N139" s="51">
        <v>30866</v>
      </c>
      <c r="O139" s="7" t="s">
        <v>945</v>
      </c>
      <c r="P139" s="7" t="s">
        <v>1104</v>
      </c>
      <c r="Q139" s="7" t="s">
        <v>963</v>
      </c>
      <c r="R139" s="7" t="s">
        <v>1980</v>
      </c>
      <c r="S139" s="59">
        <v>100</v>
      </c>
      <c r="T139" s="59">
        <v>1.79</v>
      </c>
      <c r="U139" s="7"/>
      <c r="V139" s="59">
        <v>51993822537</v>
      </c>
      <c r="W139" s="59">
        <v>51992916441</v>
      </c>
      <c r="X139" s="7" t="s">
        <v>953</v>
      </c>
      <c r="Y139" s="7" t="s">
        <v>1210</v>
      </c>
      <c r="Z139" s="59">
        <v>93035240</v>
      </c>
      <c r="AA139" s="7" t="s">
        <v>1981</v>
      </c>
      <c r="AB139" s="7" t="s">
        <v>1982</v>
      </c>
      <c r="AC139" s="7" t="s">
        <v>398</v>
      </c>
      <c r="AD139" s="7" t="s">
        <v>398</v>
      </c>
      <c r="AE139" s="7" t="s">
        <v>398</v>
      </c>
      <c r="AF139" s="7" t="s">
        <v>398</v>
      </c>
      <c r="AG139" s="7" t="s">
        <v>398</v>
      </c>
      <c r="AH139" s="59">
        <v>42</v>
      </c>
      <c r="AI139" s="59">
        <v>42</v>
      </c>
      <c r="AJ139" s="59">
        <v>42</v>
      </c>
      <c r="AK139" s="59">
        <v>42</v>
      </c>
      <c r="AL139" s="7" t="s">
        <v>398</v>
      </c>
      <c r="AM139" s="7" t="s">
        <v>398</v>
      </c>
      <c r="AN139" s="7" t="s">
        <v>406</v>
      </c>
    </row>
  </sheetData>
  <autoFilter ref="A1:AN139">
    <extLst/>
  </autoFilter>
  <conditionalFormatting sqref="E1">
    <cfRule type="containsText" dxfId="5" priority="1" operator="between" text="EAD">
      <formula>NOT(ISERROR(SEARCH("EAD",E1)))</formula>
    </cfRule>
    <cfRule type="containsText" dxfId="6" priority="2" operator="between" text="Não Tem">
      <formula>NOT(ISERROR(SEARCH("Não Tem",E1)))</formula>
    </cfRule>
    <cfRule type="containsText" dxfId="7" priority="3" operator="between" text="EAD + Presencial">
      <formula>NOT(ISERROR(SEARCH("EAD + Presencial",E1)))</formula>
    </cfRule>
  </conditionalFormatting>
  <dataValidations count="1">
    <dataValidation type="list" allowBlank="1" showErrorMessage="1" sqref="E2:E139">
      <formula1>"Curso CAB operador concluído,Módulo 1 concluído,Módulo 2 e 3 concluído"</formula1>
    </dataValidation>
  </dataValidations>
  <hyperlinks>
    <hyperlink ref="R14" r:id="rId1" display="vidalariane5@gmail.com"/>
    <hyperlink ref="R22" r:id="rId2" display="totynho78@hotmail.com"/>
    <hyperlink ref="R29" r:id="rId3" display="diegobombeiro@gmail.com"/>
    <hyperlink ref="R31" r:id="rId4" display="dgoncalvesbc61@gmail.com"/>
    <hyperlink ref="R46" r:id="rId5" display="emerson.schutt@gmail.com"/>
    <hyperlink ref="R62" r:id="rId6" display="gr057083@gmail.com"/>
    <hyperlink ref="R85" r:id="rId7" display="leonardoreusd@gmail.com"/>
    <hyperlink ref="R91" r:id="rId8" display="felipe.azevedo.tk@gmail.com"/>
    <hyperlink ref="R118" r:id="rId9" display="sergiosclh@gmail.com"/>
    <hyperlink ref="R124" r:id="rId10" display="uilrobson193@gmail.com"/>
    <hyperlink ref="R130" r:id="rId11" display="valmirbombeiro46@gmail.com"/>
    <hyperlink ref="R136" r:id="rId12" display="william_natanael23@yahoo.com.br"/>
  </hyperlinks>
  <pageMargins left="0.511811024" right="0.511811024" top="0.787401575" bottom="0.787401575" header="0" footer="0"/>
  <pageSetup paperSize="1"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
  <sheetViews>
    <sheetView workbookViewId="0">
      <pane xSplit="4" ySplit="1" topLeftCell="E2" activePane="bottomRight" state="frozen"/>
      <selection/>
      <selection pane="topRight"/>
      <selection pane="bottomLeft"/>
      <selection pane="bottomRight" activeCell="E2" sqref="E2"/>
    </sheetView>
  </sheetViews>
  <sheetFormatPr defaultColWidth="14.4380952380952" defaultRowHeight="15" customHeight="1" outlineLevelRow="4"/>
  <cols>
    <col min="1" max="1" width="7.88571428571429" customWidth="1"/>
    <col min="2" max="2" width="12.1047619047619" customWidth="1"/>
    <col min="3" max="3" width="8.43809523809524" customWidth="1"/>
    <col min="4" max="4" width="30.552380952381" customWidth="1"/>
    <col min="5" max="5" width="30.1047619047619" customWidth="1"/>
    <col min="6" max="6" width="17.8857142857143" customWidth="1"/>
    <col min="7" max="7" width="10.8857142857143" customWidth="1"/>
    <col min="8" max="8" width="48.3333333333333" customWidth="1"/>
    <col min="9" max="9" width="135.333333333333" customWidth="1"/>
    <col min="10" max="10" width="19.3333333333333" customWidth="1"/>
    <col min="11" max="11" width="27" customWidth="1"/>
    <col min="12" max="12" width="13" customWidth="1"/>
    <col min="13" max="13" width="23.4380952380952" customWidth="1"/>
    <col min="14" max="14" width="27.552380952381" customWidth="1"/>
    <col min="15" max="15" width="14.6666666666667" customWidth="1"/>
    <col min="16" max="16" width="12" customWidth="1"/>
    <col min="17" max="17" width="17.3333333333333" customWidth="1"/>
    <col min="18" max="18" width="24.552380952381" customWidth="1"/>
    <col min="19" max="19" width="10.552380952381" customWidth="1"/>
    <col min="20" max="20" width="22.8857142857143" customWidth="1"/>
    <col min="21" max="21" width="29.6666666666667" customWidth="1"/>
    <col min="22" max="22" width="26.3333333333333" customWidth="1"/>
    <col min="23" max="23" width="32.3333333333333" customWidth="1"/>
    <col min="24" max="24" width="15.6666666666667" customWidth="1"/>
    <col min="25" max="25" width="17.6666666666667" customWidth="1"/>
    <col min="26" max="26" width="12.8857142857143" customWidth="1"/>
    <col min="27" max="27" width="22" customWidth="1"/>
    <col min="28" max="28" width="16.4380952380952" customWidth="1"/>
    <col min="29" max="29" width="33.8857142857143" customWidth="1"/>
    <col min="30" max="30" width="33.6666666666667" customWidth="1"/>
    <col min="31" max="31" width="20.1047619047619" customWidth="1"/>
    <col min="32" max="32" width="21.552380952381" customWidth="1"/>
    <col min="33" max="33" width="18.3333333333333" customWidth="1"/>
    <col min="34" max="34" width="15.552380952381" customWidth="1"/>
    <col min="35" max="35" width="21.4380952380952" customWidth="1"/>
    <col min="36" max="36" width="14" customWidth="1"/>
    <col min="37" max="37" width="16.4380952380952" customWidth="1"/>
    <col min="38" max="38" width="28.8857142857143" customWidth="1"/>
    <col min="39" max="39" width="22.552380952381" customWidth="1"/>
    <col min="40" max="40" width="16.6666666666667" customWidth="1"/>
  </cols>
  <sheetData>
    <row r="1" customHeight="1" spans="1:40">
      <c r="A1" s="2" t="s">
        <v>410</v>
      </c>
      <c r="B1" s="3" t="s">
        <v>898</v>
      </c>
      <c r="C1" s="69" t="s">
        <v>899</v>
      </c>
      <c r="D1" s="3" t="s">
        <v>900</v>
      </c>
      <c r="E1" s="5" t="s">
        <v>901</v>
      </c>
      <c r="F1" s="3" t="s">
        <v>902</v>
      </c>
      <c r="G1" s="3" t="s">
        <v>1</v>
      </c>
      <c r="H1" s="3" t="s">
        <v>903</v>
      </c>
      <c r="I1" s="3" t="s">
        <v>904</v>
      </c>
      <c r="J1" s="13" t="s">
        <v>905</v>
      </c>
      <c r="K1" s="13" t="s">
        <v>906</v>
      </c>
      <c r="L1" s="14" t="s">
        <v>907</v>
      </c>
      <c r="M1" s="14" t="s">
        <v>908</v>
      </c>
      <c r="N1" s="14" t="s">
        <v>909</v>
      </c>
      <c r="O1" s="14" t="s">
        <v>910</v>
      </c>
      <c r="P1" s="14" t="s">
        <v>911</v>
      </c>
      <c r="Q1" s="14" t="s">
        <v>912</v>
      </c>
      <c r="R1" s="14" t="s">
        <v>913</v>
      </c>
      <c r="S1" s="14" t="s">
        <v>914</v>
      </c>
      <c r="T1" s="14" t="s">
        <v>915</v>
      </c>
      <c r="U1" s="14" t="s">
        <v>916</v>
      </c>
      <c r="V1" s="14" t="s">
        <v>917</v>
      </c>
      <c r="W1" s="14" t="s">
        <v>918</v>
      </c>
      <c r="X1" s="14" t="s">
        <v>919</v>
      </c>
      <c r="Y1" s="14" t="s">
        <v>920</v>
      </c>
      <c r="Z1" s="14" t="s">
        <v>921</v>
      </c>
      <c r="AA1" s="14" t="s">
        <v>922</v>
      </c>
      <c r="AB1" s="14" t="s">
        <v>923</v>
      </c>
      <c r="AC1" s="14" t="s">
        <v>924</v>
      </c>
      <c r="AD1" s="14" t="s">
        <v>925</v>
      </c>
      <c r="AE1" s="14" t="s">
        <v>926</v>
      </c>
      <c r="AF1" s="14" t="s">
        <v>927</v>
      </c>
      <c r="AG1" s="14" t="s">
        <v>928</v>
      </c>
      <c r="AH1" s="14" t="s">
        <v>929</v>
      </c>
      <c r="AI1" s="14" t="s">
        <v>930</v>
      </c>
      <c r="AJ1" s="14" t="s">
        <v>931</v>
      </c>
      <c r="AK1" s="14" t="s">
        <v>932</v>
      </c>
      <c r="AL1" s="14" t="s">
        <v>933</v>
      </c>
      <c r="AM1" s="14" t="s">
        <v>934</v>
      </c>
      <c r="AN1" s="14" t="s">
        <v>935</v>
      </c>
    </row>
    <row r="2" customHeight="1" spans="1:40">
      <c r="A2" s="6" t="s">
        <v>1983</v>
      </c>
      <c r="B2" s="6" t="s">
        <v>516</v>
      </c>
      <c r="C2" s="4" t="s">
        <v>957</v>
      </c>
      <c r="D2" s="7" t="s">
        <v>1984</v>
      </c>
      <c r="E2" s="29" t="s">
        <v>490</v>
      </c>
      <c r="F2" s="6" t="s">
        <v>1985</v>
      </c>
      <c r="G2" s="7">
        <v>1006192361</v>
      </c>
      <c r="H2" s="7" t="s">
        <v>1986</v>
      </c>
      <c r="I2" s="7" t="s">
        <v>1987</v>
      </c>
      <c r="J2" s="7" t="s">
        <v>942</v>
      </c>
      <c r="K2" s="7" t="s">
        <v>942</v>
      </c>
      <c r="L2" s="7" t="s">
        <v>1080</v>
      </c>
      <c r="M2" s="7" t="s">
        <v>1988</v>
      </c>
      <c r="N2" s="76">
        <v>19498</v>
      </c>
      <c r="O2" s="7" t="s">
        <v>945</v>
      </c>
      <c r="P2" s="7" t="s">
        <v>946</v>
      </c>
      <c r="Q2" s="7"/>
      <c r="R2" s="7"/>
      <c r="S2" s="7" t="s">
        <v>1989</v>
      </c>
      <c r="T2" s="7" t="s">
        <v>1030</v>
      </c>
      <c r="U2" s="7"/>
      <c r="V2" s="10" t="s">
        <v>1990</v>
      </c>
      <c r="W2" s="7"/>
      <c r="X2" s="7" t="s">
        <v>953</v>
      </c>
      <c r="Y2" s="7" t="s">
        <v>516</v>
      </c>
      <c r="Z2" s="59">
        <v>96330000</v>
      </c>
      <c r="AA2" s="7" t="s">
        <v>1991</v>
      </c>
      <c r="AB2" s="7" t="s">
        <v>1992</v>
      </c>
      <c r="AC2" s="7" t="s">
        <v>398</v>
      </c>
      <c r="AD2" s="7" t="s">
        <v>398</v>
      </c>
      <c r="AE2" s="7" t="s">
        <v>398</v>
      </c>
      <c r="AF2" s="7" t="s">
        <v>398</v>
      </c>
      <c r="AG2" s="7" t="s">
        <v>398</v>
      </c>
      <c r="AH2" s="7">
        <v>42</v>
      </c>
      <c r="AI2" s="7">
        <v>42</v>
      </c>
      <c r="AJ2" s="7">
        <v>42</v>
      </c>
      <c r="AK2" s="7">
        <v>42</v>
      </c>
      <c r="AL2" s="7" t="s">
        <v>398</v>
      </c>
      <c r="AM2" s="7" t="s">
        <v>398</v>
      </c>
      <c r="AN2" s="7" t="s">
        <v>398</v>
      </c>
    </row>
    <row r="3" customHeight="1" spans="1:40">
      <c r="A3" s="6" t="s">
        <v>1983</v>
      </c>
      <c r="B3" s="6" t="s">
        <v>516</v>
      </c>
      <c r="C3" s="4" t="s">
        <v>957</v>
      </c>
      <c r="D3" s="7" t="s">
        <v>1993</v>
      </c>
      <c r="E3" s="29" t="s">
        <v>490</v>
      </c>
      <c r="F3" s="6" t="s">
        <v>1994</v>
      </c>
      <c r="G3" s="7">
        <v>9080791669</v>
      </c>
      <c r="H3" s="7" t="s">
        <v>1995</v>
      </c>
      <c r="I3" s="7" t="s">
        <v>1996</v>
      </c>
      <c r="J3" s="7" t="s">
        <v>942</v>
      </c>
      <c r="K3" s="7" t="s">
        <v>942</v>
      </c>
      <c r="L3" s="7" t="s">
        <v>943</v>
      </c>
      <c r="M3" s="7" t="s">
        <v>1997</v>
      </c>
      <c r="N3" s="77">
        <v>28909</v>
      </c>
      <c r="O3" s="7" t="s">
        <v>945</v>
      </c>
      <c r="P3" s="7" t="s">
        <v>946</v>
      </c>
      <c r="Q3" s="7" t="s">
        <v>963</v>
      </c>
      <c r="R3" s="7" t="s">
        <v>1998</v>
      </c>
      <c r="S3" s="7" t="s">
        <v>1999</v>
      </c>
      <c r="T3" s="7" t="s">
        <v>950</v>
      </c>
      <c r="U3" s="7"/>
      <c r="V3" s="10" t="s">
        <v>2000</v>
      </c>
      <c r="W3" s="7"/>
      <c r="X3" s="7" t="s">
        <v>953</v>
      </c>
      <c r="Y3" s="7" t="s">
        <v>516</v>
      </c>
      <c r="Z3" s="59">
        <v>96330000</v>
      </c>
      <c r="AA3" s="7" t="s">
        <v>2001</v>
      </c>
      <c r="AB3" s="7" t="s">
        <v>2002</v>
      </c>
      <c r="AC3" s="7" t="s">
        <v>406</v>
      </c>
      <c r="AD3" s="7" t="s">
        <v>406</v>
      </c>
      <c r="AE3" s="7" t="s">
        <v>406</v>
      </c>
      <c r="AF3" s="7" t="s">
        <v>406</v>
      </c>
      <c r="AG3" s="7" t="s">
        <v>398</v>
      </c>
      <c r="AH3" s="7">
        <v>42</v>
      </c>
      <c r="AI3" s="7">
        <v>42</v>
      </c>
      <c r="AJ3" s="7">
        <v>42</v>
      </c>
      <c r="AK3" s="7">
        <v>42</v>
      </c>
      <c r="AL3" s="7" t="s">
        <v>406</v>
      </c>
      <c r="AM3" s="7" t="s">
        <v>398</v>
      </c>
      <c r="AN3" s="7" t="s">
        <v>406</v>
      </c>
    </row>
    <row r="4" customHeight="1" spans="1:40">
      <c r="A4" s="6" t="s">
        <v>1983</v>
      </c>
      <c r="B4" s="6" t="s">
        <v>516</v>
      </c>
      <c r="C4" s="4" t="s">
        <v>957</v>
      </c>
      <c r="D4" s="7" t="s">
        <v>184</v>
      </c>
      <c r="E4" s="29" t="s">
        <v>490</v>
      </c>
      <c r="F4" s="6" t="s">
        <v>2003</v>
      </c>
      <c r="G4" s="7">
        <v>2080261941</v>
      </c>
      <c r="H4" s="7" t="s">
        <v>2004</v>
      </c>
      <c r="I4" s="7" t="s">
        <v>2005</v>
      </c>
      <c r="J4" s="7" t="s">
        <v>942</v>
      </c>
      <c r="K4" s="7" t="s">
        <v>942</v>
      </c>
      <c r="L4" s="7" t="s">
        <v>975</v>
      </c>
      <c r="M4" s="7" t="s">
        <v>2006</v>
      </c>
      <c r="N4" s="76">
        <v>30515</v>
      </c>
      <c r="O4" s="7" t="s">
        <v>945</v>
      </c>
      <c r="P4" s="7" t="s">
        <v>1041</v>
      </c>
      <c r="Q4" s="7" t="s">
        <v>963</v>
      </c>
      <c r="R4" s="7" t="s">
        <v>2007</v>
      </c>
      <c r="S4" s="7" t="s">
        <v>2008</v>
      </c>
      <c r="T4" s="7" t="s">
        <v>1011</v>
      </c>
      <c r="U4" s="7"/>
      <c r="V4" s="10" t="s">
        <v>2009</v>
      </c>
      <c r="W4" s="7"/>
      <c r="X4" s="7" t="s">
        <v>953</v>
      </c>
      <c r="Y4" s="7" t="s">
        <v>516</v>
      </c>
      <c r="Z4" s="59">
        <v>96330000</v>
      </c>
      <c r="AA4" s="7" t="s">
        <v>2010</v>
      </c>
      <c r="AB4" s="7" t="s">
        <v>2011</v>
      </c>
      <c r="AC4" s="7" t="s">
        <v>399</v>
      </c>
      <c r="AD4" s="7" t="s">
        <v>399</v>
      </c>
      <c r="AE4" s="7" t="s">
        <v>399</v>
      </c>
      <c r="AF4" s="7" t="s">
        <v>398</v>
      </c>
      <c r="AG4" s="7" t="s">
        <v>399</v>
      </c>
      <c r="AH4" s="7">
        <v>42</v>
      </c>
      <c r="AI4" s="7">
        <v>42</v>
      </c>
      <c r="AJ4" s="7">
        <v>42</v>
      </c>
      <c r="AK4" s="7">
        <v>42</v>
      </c>
      <c r="AL4" s="7" t="s">
        <v>399</v>
      </c>
      <c r="AM4" s="7" t="s">
        <v>399</v>
      </c>
      <c r="AN4" s="7" t="s">
        <v>398</v>
      </c>
    </row>
    <row r="5" customHeight="1" spans="1:40">
      <c r="A5" s="6" t="s">
        <v>1983</v>
      </c>
      <c r="B5" s="6" t="s">
        <v>516</v>
      </c>
      <c r="C5" s="4" t="s">
        <v>957</v>
      </c>
      <c r="D5" s="7" t="s">
        <v>2012</v>
      </c>
      <c r="E5" s="29" t="s">
        <v>490</v>
      </c>
      <c r="F5" s="6" t="s">
        <v>2013</v>
      </c>
      <c r="G5" s="7">
        <v>8080791125</v>
      </c>
      <c r="H5" s="7" t="s">
        <v>2004</v>
      </c>
      <c r="I5" s="7" t="s">
        <v>2014</v>
      </c>
      <c r="J5" s="7" t="s">
        <v>942</v>
      </c>
      <c r="K5" s="7" t="s">
        <v>942</v>
      </c>
      <c r="L5" s="7" t="s">
        <v>975</v>
      </c>
      <c r="M5" s="7" t="s">
        <v>2015</v>
      </c>
      <c r="N5" s="76">
        <v>23950</v>
      </c>
      <c r="O5" s="7" t="s">
        <v>945</v>
      </c>
      <c r="P5" s="7" t="s">
        <v>946</v>
      </c>
      <c r="Q5" s="7" t="s">
        <v>963</v>
      </c>
      <c r="R5" s="7" t="s">
        <v>2016</v>
      </c>
      <c r="S5" s="7" t="s">
        <v>2017</v>
      </c>
      <c r="T5" s="7" t="s">
        <v>1011</v>
      </c>
      <c r="U5" s="7"/>
      <c r="V5" s="10" t="s">
        <v>2018</v>
      </c>
      <c r="W5" s="7"/>
      <c r="X5" s="7" t="s">
        <v>953</v>
      </c>
      <c r="Y5" s="7" t="s">
        <v>516</v>
      </c>
      <c r="Z5" s="59">
        <v>96330000</v>
      </c>
      <c r="AA5" s="7" t="s">
        <v>2019</v>
      </c>
      <c r="AB5" s="7" t="s">
        <v>2020</v>
      </c>
      <c r="AC5" s="7" t="s">
        <v>398</v>
      </c>
      <c r="AD5" s="7" t="s">
        <v>398</v>
      </c>
      <c r="AE5" s="7" t="s">
        <v>398</v>
      </c>
      <c r="AF5" s="7" t="s">
        <v>398</v>
      </c>
      <c r="AG5" s="7" t="s">
        <v>398</v>
      </c>
      <c r="AH5" s="7">
        <v>42</v>
      </c>
      <c r="AI5" s="7">
        <v>42</v>
      </c>
      <c r="AJ5" s="7">
        <v>42</v>
      </c>
      <c r="AK5" s="7">
        <v>42</v>
      </c>
      <c r="AL5" s="7" t="s">
        <v>398</v>
      </c>
      <c r="AM5" s="7" t="s">
        <v>398</v>
      </c>
      <c r="AN5" s="7" t="s">
        <v>398</v>
      </c>
    </row>
  </sheetData>
  <conditionalFormatting sqref="E1">
    <cfRule type="containsText" dxfId="5" priority="1" operator="between" text="EAD">
      <formula>NOT(ISERROR(SEARCH("EAD",E1)))</formula>
    </cfRule>
    <cfRule type="containsText" dxfId="6" priority="2" operator="between" text="Não Tem">
      <formula>NOT(ISERROR(SEARCH("Não Tem",E1)))</formula>
    </cfRule>
    <cfRule type="containsText" dxfId="7" priority="3" operator="between" text="EAD + Presencial">
      <formula>NOT(ISERROR(SEARCH("EAD + Presencial",E1)))</formula>
    </cfRule>
  </conditionalFormatting>
  <dataValidations count="10">
    <dataValidation type="list" allowBlank="1" showErrorMessage="1" sqref="T2:T5">
      <formula1>Página5!$G:$G</formula1>
    </dataValidation>
    <dataValidation type="list" allowBlank="1" showErrorMessage="1" sqref="E2:E5">
      <formula1>"Curso CAB operador concluído,Módulo 2 e 3 concluído,Módulo 1 concluído"</formula1>
    </dataValidation>
    <dataValidation type="list" allowBlank="1" showErrorMessage="1" sqref="L2:L5">
      <formula1>Página5!$C:$C</formula1>
    </dataValidation>
    <dataValidation type="list" allowBlank="1" showErrorMessage="1" sqref="O2:O5">
      <formula1>Página5!$D:$D</formula1>
    </dataValidation>
    <dataValidation type="list" allowBlank="1" showErrorMessage="1" sqref="Y2:Y5">
      <formula1>Página5!$A:$A</formula1>
    </dataValidation>
    <dataValidation type="list" allowBlank="1" showErrorMessage="1" sqref="P2:P5">
      <formula1>Página5!$E:$E</formula1>
    </dataValidation>
    <dataValidation type="list" allowBlank="1" showErrorMessage="1" sqref="Q2:Q5">
      <formula1>Página5!$F:$F</formula1>
    </dataValidation>
    <dataValidation type="list" allowBlank="1" showErrorMessage="1" sqref="AC2:AG5;AL2:AN5">
      <formula1>"P,M,G,GG,EXG"</formula1>
    </dataValidation>
    <dataValidation type="list" allowBlank="1" showErrorMessage="1" sqref="AH2:AK5">
      <formula1>Página5!$H:$H</formula1>
    </dataValidation>
    <dataValidation type="list" allowBlank="1" showErrorMessage="1" sqref="J2:K5">
      <formula1>Página5!$B:$B</formula1>
    </dataValidation>
  </dataValidations>
  <pageMargins left="0.511811024" right="0.511811024" top="0.787401575" bottom="0.787401575" header="0" footer="0"/>
  <pageSetup paperSize="1"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30"/>
  <sheetViews>
    <sheetView workbookViewId="0">
      <pane xSplit="4" ySplit="1" topLeftCell="E2" activePane="bottomRight" state="frozen"/>
      <selection/>
      <selection pane="topRight"/>
      <selection pane="bottomLeft"/>
      <selection pane="bottomRight" activeCell="E2" sqref="E2"/>
    </sheetView>
  </sheetViews>
  <sheetFormatPr defaultColWidth="14.4380952380952" defaultRowHeight="15" customHeight="1"/>
  <cols>
    <col min="1" max="1" width="7.88571428571429" customWidth="1"/>
    <col min="2" max="2" width="21.552380952381" customWidth="1"/>
    <col min="3" max="3" width="11.3333333333333" customWidth="1"/>
    <col min="4" max="4" width="35.1047619047619" customWidth="1"/>
    <col min="5" max="5" width="30.6666666666667" customWidth="1"/>
    <col min="6" max="6" width="20.6666666666667" customWidth="1"/>
    <col min="7" max="7" width="12.3333333333333" customWidth="1"/>
    <col min="8" max="8" width="54.1047619047619" customWidth="1"/>
    <col min="9" max="9" width="147.438095238095" customWidth="1"/>
    <col min="10" max="10" width="22.552380952381" customWidth="1"/>
    <col min="11" max="11" width="30.4380952380952" customWidth="1"/>
    <col min="12" max="12" width="16.1047619047619" customWidth="1"/>
    <col min="13" max="13" width="26.6666666666667" customWidth="1"/>
    <col min="14" max="14" width="30.8857142857143" customWidth="1"/>
    <col min="15" max="15" width="14.6666666666667" customWidth="1"/>
    <col min="16" max="16" width="12.8857142857143" customWidth="1"/>
    <col min="17" max="17" width="28.1047619047619" customWidth="1"/>
    <col min="18" max="18" width="31" customWidth="1"/>
    <col min="19" max="19" width="13.6666666666667" customWidth="1"/>
    <col min="20" max="20" width="22.8857142857143" customWidth="1"/>
    <col min="21" max="21" width="32.8857142857143" customWidth="1"/>
    <col min="22" max="22" width="29.552380952381" customWidth="1"/>
    <col min="23" max="23" width="35.552380952381" customWidth="1"/>
    <col min="24" max="24" width="19" customWidth="1"/>
    <col min="25" max="25" width="19.552380952381" customWidth="1"/>
    <col min="26" max="26" width="15.6666666666667" customWidth="1"/>
    <col min="27" max="27" width="44.8857142857143" customWidth="1"/>
    <col min="28" max="28" width="19.6666666666667" customWidth="1"/>
    <col min="29" max="29" width="37.552380952381" customWidth="1"/>
    <col min="30" max="30" width="37.4380952380952" customWidth="1"/>
    <col min="31" max="31" width="23.4380952380952" customWidth="1"/>
    <col min="32" max="32" width="25" customWidth="1"/>
    <col min="33" max="33" width="21.552380952381" customWidth="1"/>
    <col min="34" max="34" width="18.6666666666667" customWidth="1"/>
    <col min="35" max="35" width="24.6666666666667" customWidth="1"/>
    <col min="36" max="36" width="17.1047619047619" customWidth="1"/>
    <col min="37" max="37" width="19.552380952381" customWidth="1"/>
    <col min="38" max="38" width="32.4380952380952" customWidth="1"/>
    <col min="39" max="39" width="25.8857142857143" customWidth="1"/>
    <col min="40" max="40" width="20" customWidth="1"/>
  </cols>
  <sheetData>
    <row r="1" ht="25.5" spans="1:40">
      <c r="A1" s="2" t="s">
        <v>410</v>
      </c>
      <c r="B1" s="3" t="s">
        <v>2021</v>
      </c>
      <c r="C1" s="69" t="s">
        <v>899</v>
      </c>
      <c r="D1" s="3" t="s">
        <v>900</v>
      </c>
      <c r="E1" s="5" t="s">
        <v>901</v>
      </c>
      <c r="F1" s="3" t="s">
        <v>902</v>
      </c>
      <c r="G1" s="3" t="s">
        <v>1</v>
      </c>
      <c r="H1" s="3" t="s">
        <v>903</v>
      </c>
      <c r="I1" s="3" t="s">
        <v>904</v>
      </c>
      <c r="J1" s="13" t="s">
        <v>905</v>
      </c>
      <c r="K1" s="13" t="s">
        <v>906</v>
      </c>
      <c r="L1" s="14" t="s">
        <v>907</v>
      </c>
      <c r="M1" s="14" t="s">
        <v>908</v>
      </c>
      <c r="N1" s="14" t="s">
        <v>909</v>
      </c>
      <c r="O1" s="14" t="s">
        <v>910</v>
      </c>
      <c r="P1" s="14" t="s">
        <v>911</v>
      </c>
      <c r="Q1" s="14" t="s">
        <v>912</v>
      </c>
      <c r="R1" s="14" t="s">
        <v>913</v>
      </c>
      <c r="S1" s="14" t="s">
        <v>914</v>
      </c>
      <c r="T1" s="14" t="s">
        <v>915</v>
      </c>
      <c r="U1" s="71" t="s">
        <v>916</v>
      </c>
      <c r="V1" s="71" t="s">
        <v>917</v>
      </c>
      <c r="W1" s="71" t="s">
        <v>918</v>
      </c>
      <c r="X1" s="14" t="s">
        <v>919</v>
      </c>
      <c r="Y1" s="14" t="s">
        <v>920</v>
      </c>
      <c r="Z1" s="14" t="s">
        <v>921</v>
      </c>
      <c r="AA1" s="14" t="s">
        <v>922</v>
      </c>
      <c r="AB1" s="14" t="s">
        <v>923</v>
      </c>
      <c r="AC1" s="14" t="s">
        <v>924</v>
      </c>
      <c r="AD1" s="31" t="s">
        <v>925</v>
      </c>
      <c r="AE1" s="31" t="s">
        <v>926</v>
      </c>
      <c r="AF1" s="31" t="s">
        <v>927</v>
      </c>
      <c r="AG1" s="31" t="s">
        <v>928</v>
      </c>
      <c r="AH1" s="14" t="s">
        <v>929</v>
      </c>
      <c r="AI1" s="14" t="s">
        <v>930</v>
      </c>
      <c r="AJ1" s="14" t="s">
        <v>931</v>
      </c>
      <c r="AK1" s="14" t="s">
        <v>932</v>
      </c>
      <c r="AL1" s="74" t="s">
        <v>933</v>
      </c>
      <c r="AM1" s="74" t="s">
        <v>934</v>
      </c>
      <c r="AN1" s="74" t="s">
        <v>935</v>
      </c>
    </row>
    <row r="2" spans="1:40">
      <c r="A2" s="7"/>
      <c r="B2" s="7"/>
      <c r="C2" s="8"/>
      <c r="D2" s="7" t="s">
        <v>2022</v>
      </c>
      <c r="E2" s="6" t="s">
        <v>491</v>
      </c>
      <c r="F2" s="7" t="s">
        <v>2023</v>
      </c>
      <c r="G2" s="7"/>
      <c r="H2" s="7"/>
      <c r="I2" s="7"/>
      <c r="J2" s="7"/>
      <c r="K2" s="7"/>
      <c r="L2" s="7"/>
      <c r="M2" s="7"/>
      <c r="N2" s="15"/>
      <c r="O2" s="7"/>
      <c r="P2" s="7"/>
      <c r="Q2" s="7"/>
      <c r="R2" s="7"/>
      <c r="S2" s="7"/>
      <c r="T2" s="7"/>
      <c r="U2" s="7"/>
      <c r="V2" s="7"/>
      <c r="W2" s="7"/>
      <c r="X2" s="7"/>
      <c r="Y2" s="7"/>
      <c r="Z2" s="7"/>
      <c r="AA2" s="7"/>
      <c r="AB2" s="7"/>
      <c r="AC2" s="7"/>
      <c r="AD2" s="7"/>
      <c r="AE2" s="7"/>
      <c r="AF2" s="7"/>
      <c r="AG2" s="7"/>
      <c r="AH2" s="7"/>
      <c r="AI2" s="7"/>
      <c r="AJ2" s="7"/>
      <c r="AK2" s="7"/>
      <c r="AL2" s="7"/>
      <c r="AM2" s="7"/>
      <c r="AN2" s="7"/>
    </row>
    <row r="3" ht="13.5" customHeight="1" spans="1:40">
      <c r="A3" s="7"/>
      <c r="B3" s="7"/>
      <c r="C3" s="8"/>
      <c r="D3" s="7" t="s">
        <v>2024</v>
      </c>
      <c r="E3" s="6" t="s">
        <v>491</v>
      </c>
      <c r="F3" s="7" t="s">
        <v>2025</v>
      </c>
      <c r="G3" s="7"/>
      <c r="H3" s="7"/>
      <c r="I3" s="7"/>
      <c r="J3" s="7"/>
      <c r="K3" s="7"/>
      <c r="L3" s="7"/>
      <c r="M3" s="7"/>
      <c r="N3" s="15"/>
      <c r="O3" s="7"/>
      <c r="P3" s="7"/>
      <c r="Q3" s="7"/>
      <c r="R3" s="7"/>
      <c r="S3" s="7"/>
      <c r="T3" s="7"/>
      <c r="U3" s="7"/>
      <c r="V3" s="7"/>
      <c r="W3" s="7"/>
      <c r="X3" s="7"/>
      <c r="Y3" s="7"/>
      <c r="Z3" s="7"/>
      <c r="AA3" s="7"/>
      <c r="AB3" s="7"/>
      <c r="AC3" s="7"/>
      <c r="AD3" s="7"/>
      <c r="AE3" s="7"/>
      <c r="AF3" s="7"/>
      <c r="AG3" s="7"/>
      <c r="AH3" s="7"/>
      <c r="AI3" s="7"/>
      <c r="AJ3" s="7"/>
      <c r="AK3" s="7"/>
      <c r="AL3" s="7"/>
      <c r="AM3" s="7"/>
      <c r="AN3" s="7"/>
    </row>
    <row r="4" spans="1:40">
      <c r="A4" s="7"/>
      <c r="B4" s="7"/>
      <c r="C4" s="8"/>
      <c r="D4" s="7" t="s">
        <v>2026</v>
      </c>
      <c r="E4" s="6" t="s">
        <v>491</v>
      </c>
      <c r="F4" s="7" t="s">
        <v>2027</v>
      </c>
      <c r="G4" s="7"/>
      <c r="H4" s="7"/>
      <c r="I4" s="7"/>
      <c r="J4" s="7"/>
      <c r="K4" s="7"/>
      <c r="L4" s="7"/>
      <c r="M4" s="7"/>
      <c r="N4" s="15"/>
      <c r="O4" s="7"/>
      <c r="P4" s="7"/>
      <c r="Q4" s="7"/>
      <c r="R4" s="7"/>
      <c r="S4" s="7"/>
      <c r="T4" s="7"/>
      <c r="U4" s="7"/>
      <c r="V4" s="7"/>
      <c r="W4" s="7"/>
      <c r="X4" s="7"/>
      <c r="Y4" s="7"/>
      <c r="Z4" s="7"/>
      <c r="AA4" s="7"/>
      <c r="AB4" s="7"/>
      <c r="AC4" s="7"/>
      <c r="AD4" s="7"/>
      <c r="AE4" s="7"/>
      <c r="AF4" s="7"/>
      <c r="AG4" s="7"/>
      <c r="AH4" s="7"/>
      <c r="AI4" s="7"/>
      <c r="AJ4" s="7"/>
      <c r="AK4" s="7"/>
      <c r="AL4" s="7"/>
      <c r="AM4" s="7"/>
      <c r="AN4" s="7"/>
    </row>
    <row r="5" spans="1:40">
      <c r="A5" s="6" t="s">
        <v>2028</v>
      </c>
      <c r="B5" s="6" t="s">
        <v>549</v>
      </c>
      <c r="C5" s="4" t="s">
        <v>957</v>
      </c>
      <c r="D5" s="7" t="s">
        <v>2029</v>
      </c>
      <c r="E5" s="29" t="s">
        <v>491</v>
      </c>
      <c r="F5" s="7" t="s">
        <v>2030</v>
      </c>
      <c r="G5" s="59">
        <v>5065873241</v>
      </c>
      <c r="H5" s="7" t="s">
        <v>2031</v>
      </c>
      <c r="I5" s="7"/>
      <c r="J5" s="7" t="s">
        <v>941</v>
      </c>
      <c r="K5" s="7" t="s">
        <v>942</v>
      </c>
      <c r="L5" s="7" t="s">
        <v>975</v>
      </c>
      <c r="M5" s="7" t="s">
        <v>2032</v>
      </c>
      <c r="N5" s="51">
        <v>29243</v>
      </c>
      <c r="O5" s="7" t="s">
        <v>1028</v>
      </c>
      <c r="P5" s="7" t="s">
        <v>946</v>
      </c>
      <c r="Q5" s="7" t="s">
        <v>963</v>
      </c>
      <c r="R5" s="72" t="s">
        <v>2033</v>
      </c>
      <c r="S5" s="59">
        <v>72</v>
      </c>
      <c r="T5" s="7" t="s">
        <v>1030</v>
      </c>
      <c r="U5" s="7"/>
      <c r="V5" s="7" t="s">
        <v>2034</v>
      </c>
      <c r="W5" s="7" t="s">
        <v>2035</v>
      </c>
      <c r="X5" s="7" t="s">
        <v>953</v>
      </c>
      <c r="Y5" s="7" t="s">
        <v>549</v>
      </c>
      <c r="Z5" s="7" t="s">
        <v>2036</v>
      </c>
      <c r="AA5" s="7" t="s">
        <v>2037</v>
      </c>
      <c r="AB5" s="7" t="s">
        <v>2038</v>
      </c>
      <c r="AC5" s="6" t="s">
        <v>396</v>
      </c>
      <c r="AD5" s="6" t="s">
        <v>396</v>
      </c>
      <c r="AE5" s="6" t="s">
        <v>396</v>
      </c>
      <c r="AF5" s="6" t="s">
        <v>396</v>
      </c>
      <c r="AG5" s="6" t="s">
        <v>396</v>
      </c>
      <c r="AH5" s="59">
        <v>39</v>
      </c>
      <c r="AI5" s="59">
        <v>39</v>
      </c>
      <c r="AJ5" s="59">
        <v>39</v>
      </c>
      <c r="AK5" s="59">
        <v>39</v>
      </c>
      <c r="AL5" s="6" t="s">
        <v>396</v>
      </c>
      <c r="AM5" s="6" t="s">
        <v>396</v>
      </c>
      <c r="AN5" s="6" t="s">
        <v>396</v>
      </c>
    </row>
    <row r="6" spans="1:40">
      <c r="A6" s="6" t="s">
        <v>2028</v>
      </c>
      <c r="B6" s="6" t="s">
        <v>2039</v>
      </c>
      <c r="C6" s="4" t="s">
        <v>2040</v>
      </c>
      <c r="D6" s="7" t="s">
        <v>2041</v>
      </c>
      <c r="E6" s="29" t="s">
        <v>971</v>
      </c>
      <c r="F6" s="59" t="s">
        <v>2042</v>
      </c>
      <c r="G6" s="59">
        <v>2098195239</v>
      </c>
      <c r="H6" s="7" t="s">
        <v>2043</v>
      </c>
      <c r="I6" s="7" t="s">
        <v>2044</v>
      </c>
      <c r="J6" s="7" t="s">
        <v>942</v>
      </c>
      <c r="K6" s="7" t="s">
        <v>942</v>
      </c>
      <c r="L6" s="7" t="s">
        <v>943</v>
      </c>
      <c r="M6" s="7" t="s">
        <v>2032</v>
      </c>
      <c r="N6" s="51">
        <v>33034</v>
      </c>
      <c r="O6" s="7" t="s">
        <v>1028</v>
      </c>
      <c r="P6" s="7" t="s">
        <v>946</v>
      </c>
      <c r="Q6" s="7" t="s">
        <v>1245</v>
      </c>
      <c r="R6" s="7" t="s">
        <v>2045</v>
      </c>
      <c r="S6" s="59">
        <v>89</v>
      </c>
      <c r="T6" s="7" t="s">
        <v>1030</v>
      </c>
      <c r="U6" s="7"/>
      <c r="V6" s="7" t="s">
        <v>2046</v>
      </c>
      <c r="W6" s="7">
        <v>54996266788</v>
      </c>
      <c r="X6" s="7" t="s">
        <v>953</v>
      </c>
      <c r="Y6" s="7" t="s">
        <v>557</v>
      </c>
      <c r="Z6" s="7" t="s">
        <v>2047</v>
      </c>
      <c r="AA6" s="7" t="s">
        <v>2048</v>
      </c>
      <c r="AB6" s="7" t="s">
        <v>1178</v>
      </c>
      <c r="AC6" s="6" t="s">
        <v>398</v>
      </c>
      <c r="AD6" s="6" t="s">
        <v>398</v>
      </c>
      <c r="AE6" s="6" t="s">
        <v>398</v>
      </c>
      <c r="AF6" s="6" t="s">
        <v>398</v>
      </c>
      <c r="AG6" s="6" t="s">
        <v>398</v>
      </c>
      <c r="AH6" s="59">
        <v>36</v>
      </c>
      <c r="AI6" s="59">
        <v>36</v>
      </c>
      <c r="AJ6" s="59">
        <v>36</v>
      </c>
      <c r="AK6" s="59">
        <v>36</v>
      </c>
      <c r="AL6" s="6" t="s">
        <v>398</v>
      </c>
      <c r="AM6" s="6" t="s">
        <v>398</v>
      </c>
      <c r="AN6" s="6" t="s">
        <v>396</v>
      </c>
    </row>
    <row r="7" spans="1:40">
      <c r="A7" s="7"/>
      <c r="B7" s="7"/>
      <c r="C7" s="8"/>
      <c r="D7" s="7" t="s">
        <v>2049</v>
      </c>
      <c r="E7" s="6" t="s">
        <v>491</v>
      </c>
      <c r="F7" s="7" t="s">
        <v>2050</v>
      </c>
      <c r="G7" s="7"/>
      <c r="H7" s="7"/>
      <c r="I7" s="7"/>
      <c r="J7" s="7"/>
      <c r="K7" s="7"/>
      <c r="L7" s="7"/>
      <c r="M7" s="7"/>
      <c r="N7" s="15"/>
      <c r="O7" s="7"/>
      <c r="P7" s="7"/>
      <c r="Q7" s="7"/>
      <c r="R7" s="7"/>
      <c r="S7" s="7"/>
      <c r="T7" s="7"/>
      <c r="U7" s="7"/>
      <c r="V7" s="7"/>
      <c r="W7" s="7"/>
      <c r="X7" s="7"/>
      <c r="Y7" s="7"/>
      <c r="Z7" s="7"/>
      <c r="AA7" s="7"/>
      <c r="AB7" s="7"/>
      <c r="AC7" s="7"/>
      <c r="AD7" s="7"/>
      <c r="AE7" s="7"/>
      <c r="AF7" s="7"/>
      <c r="AG7" s="7"/>
      <c r="AH7" s="7"/>
      <c r="AI7" s="7"/>
      <c r="AJ7" s="7"/>
      <c r="AK7" s="7"/>
      <c r="AL7" s="7"/>
      <c r="AM7" s="7"/>
      <c r="AN7" s="7"/>
    </row>
    <row r="8" spans="1:40">
      <c r="A8" s="7"/>
      <c r="B8" s="7"/>
      <c r="C8" s="8"/>
      <c r="D8" s="7" t="s">
        <v>2051</v>
      </c>
      <c r="E8" s="6" t="s">
        <v>490</v>
      </c>
      <c r="F8" s="7" t="s">
        <v>2052</v>
      </c>
      <c r="G8" s="7"/>
      <c r="H8" s="7"/>
      <c r="I8" s="7"/>
      <c r="J8" s="7"/>
      <c r="K8" s="7"/>
      <c r="L8" s="7"/>
      <c r="M8" s="7"/>
      <c r="N8" s="15"/>
      <c r="O8" s="7"/>
      <c r="P8" s="7"/>
      <c r="Q8" s="7"/>
      <c r="R8" s="7"/>
      <c r="S8" s="7"/>
      <c r="T8" s="7"/>
      <c r="U8" s="7"/>
      <c r="V8" s="7"/>
      <c r="W8" s="7"/>
      <c r="X8" s="7"/>
      <c r="Y8" s="7"/>
      <c r="Z8" s="7"/>
      <c r="AA8" s="7"/>
      <c r="AB8" s="7"/>
      <c r="AC8" s="7"/>
      <c r="AD8" s="7"/>
      <c r="AE8" s="7"/>
      <c r="AF8" s="7"/>
      <c r="AG8" s="7"/>
      <c r="AH8" s="7"/>
      <c r="AI8" s="7"/>
      <c r="AJ8" s="7"/>
      <c r="AK8" s="7"/>
      <c r="AL8" s="7"/>
      <c r="AM8" s="7"/>
      <c r="AN8" s="7"/>
    </row>
    <row r="9" spans="1:40">
      <c r="A9" s="6" t="s">
        <v>2028</v>
      </c>
      <c r="B9" s="6" t="s">
        <v>549</v>
      </c>
      <c r="C9" s="4" t="s">
        <v>957</v>
      </c>
      <c r="D9" s="7" t="s">
        <v>2053</v>
      </c>
      <c r="E9" s="29" t="s">
        <v>971</v>
      </c>
      <c r="F9" s="7" t="s">
        <v>2054</v>
      </c>
      <c r="G9" s="59">
        <v>9105319397</v>
      </c>
      <c r="H9" s="7" t="s">
        <v>2031</v>
      </c>
      <c r="I9" s="7"/>
      <c r="J9" s="7" t="s">
        <v>942</v>
      </c>
      <c r="K9" s="7" t="s">
        <v>942</v>
      </c>
      <c r="L9" s="7"/>
      <c r="M9" s="7" t="s">
        <v>2055</v>
      </c>
      <c r="N9" s="51">
        <v>35797</v>
      </c>
      <c r="O9" s="7" t="s">
        <v>1028</v>
      </c>
      <c r="P9" s="7" t="s">
        <v>946</v>
      </c>
      <c r="Q9" s="7" t="s">
        <v>963</v>
      </c>
      <c r="R9" s="7"/>
      <c r="S9" s="59">
        <v>55</v>
      </c>
      <c r="T9" s="7" t="s">
        <v>1044</v>
      </c>
      <c r="U9" s="7"/>
      <c r="V9" s="7" t="s">
        <v>2056</v>
      </c>
      <c r="W9" s="7" t="s">
        <v>2035</v>
      </c>
      <c r="X9" s="7" t="s">
        <v>953</v>
      </c>
      <c r="Y9" s="7" t="s">
        <v>549</v>
      </c>
      <c r="Z9" s="7" t="s">
        <v>2036</v>
      </c>
      <c r="AA9" s="7" t="s">
        <v>2057</v>
      </c>
      <c r="AB9" s="7" t="s">
        <v>2058</v>
      </c>
      <c r="AC9" s="6" t="s">
        <v>395</v>
      </c>
      <c r="AD9" s="6" t="s">
        <v>395</v>
      </c>
      <c r="AE9" s="6" t="s">
        <v>395</v>
      </c>
      <c r="AF9" s="6" t="s">
        <v>395</v>
      </c>
      <c r="AG9" s="6" t="s">
        <v>395</v>
      </c>
      <c r="AH9" s="59">
        <v>35</v>
      </c>
      <c r="AI9" s="59">
        <v>35</v>
      </c>
      <c r="AJ9" s="59">
        <v>35</v>
      </c>
      <c r="AK9" s="59">
        <v>35</v>
      </c>
      <c r="AL9" s="6" t="s">
        <v>395</v>
      </c>
      <c r="AM9" s="6" t="s">
        <v>395</v>
      </c>
      <c r="AN9" s="6" t="s">
        <v>395</v>
      </c>
    </row>
    <row r="10" ht="14.25" customHeight="1" spans="1:40">
      <c r="A10" s="6" t="s">
        <v>2028</v>
      </c>
      <c r="B10" s="6" t="s">
        <v>549</v>
      </c>
      <c r="C10" s="4" t="s">
        <v>957</v>
      </c>
      <c r="D10" s="7" t="s">
        <v>2059</v>
      </c>
      <c r="E10" s="29" t="s">
        <v>491</v>
      </c>
      <c r="F10" s="7" t="s">
        <v>2060</v>
      </c>
      <c r="G10" s="59">
        <v>9099025273</v>
      </c>
      <c r="H10" s="7" t="s">
        <v>2031</v>
      </c>
      <c r="I10" s="7"/>
      <c r="J10" s="7" t="s">
        <v>941</v>
      </c>
      <c r="K10" s="7" t="s">
        <v>942</v>
      </c>
      <c r="L10" s="7" t="s">
        <v>975</v>
      </c>
      <c r="M10" s="7" t="s">
        <v>2061</v>
      </c>
      <c r="N10" s="51">
        <v>34662</v>
      </c>
      <c r="O10" s="7" t="s">
        <v>945</v>
      </c>
      <c r="P10" s="7" t="s">
        <v>946</v>
      </c>
      <c r="Q10" s="7" t="s">
        <v>963</v>
      </c>
      <c r="R10" s="72" t="s">
        <v>2062</v>
      </c>
      <c r="S10" s="59">
        <v>82</v>
      </c>
      <c r="T10" s="7" t="s">
        <v>965</v>
      </c>
      <c r="U10" s="7"/>
      <c r="V10" s="7" t="s">
        <v>2063</v>
      </c>
      <c r="W10" s="7" t="s">
        <v>2035</v>
      </c>
      <c r="X10" s="7" t="s">
        <v>953</v>
      </c>
      <c r="Y10" s="7" t="s">
        <v>549</v>
      </c>
      <c r="Z10" s="7" t="s">
        <v>2036</v>
      </c>
      <c r="AA10" s="7" t="s">
        <v>2064</v>
      </c>
      <c r="AB10" s="7" t="s">
        <v>2038</v>
      </c>
      <c r="AC10" s="6" t="s">
        <v>396</v>
      </c>
      <c r="AD10" s="6" t="s">
        <v>396</v>
      </c>
      <c r="AE10" s="6" t="s">
        <v>396</v>
      </c>
      <c r="AF10" s="6" t="s">
        <v>396</v>
      </c>
      <c r="AG10" s="6" t="s">
        <v>396</v>
      </c>
      <c r="AH10" s="59">
        <v>41</v>
      </c>
      <c r="AI10" s="59">
        <v>41</v>
      </c>
      <c r="AJ10" s="59">
        <v>41</v>
      </c>
      <c r="AK10" s="59">
        <v>41</v>
      </c>
      <c r="AL10" s="6" t="s">
        <v>396</v>
      </c>
      <c r="AM10" s="6" t="s">
        <v>396</v>
      </c>
      <c r="AN10" s="6" t="s">
        <v>395</v>
      </c>
    </row>
    <row r="11" spans="1:40">
      <c r="A11" s="7"/>
      <c r="B11" s="7"/>
      <c r="C11" s="8"/>
      <c r="D11" s="7" t="s">
        <v>2065</v>
      </c>
      <c r="E11" s="6" t="s">
        <v>491</v>
      </c>
      <c r="F11" s="7" t="s">
        <v>2066</v>
      </c>
      <c r="G11" s="7"/>
      <c r="H11" s="7"/>
      <c r="I11" s="7"/>
      <c r="J11" s="7"/>
      <c r="K11" s="7"/>
      <c r="L11" s="7"/>
      <c r="M11" s="7"/>
      <c r="N11" s="15"/>
      <c r="O11" s="7"/>
      <c r="P11" s="7"/>
      <c r="Q11" s="7"/>
      <c r="R11" s="7"/>
      <c r="S11" s="7"/>
      <c r="T11" s="7"/>
      <c r="U11" s="7"/>
      <c r="V11" s="7"/>
      <c r="W11" s="7"/>
      <c r="X11" s="7"/>
      <c r="Y11" s="7"/>
      <c r="Z11" s="7"/>
      <c r="AA11" s="7"/>
      <c r="AB11" s="7"/>
      <c r="AC11" s="7"/>
      <c r="AD11" s="7"/>
      <c r="AE11" s="7"/>
      <c r="AF11" s="7"/>
      <c r="AG11" s="7"/>
      <c r="AH11" s="7"/>
      <c r="AI11" s="7"/>
      <c r="AJ11" s="7"/>
      <c r="AK11" s="7"/>
      <c r="AL11" s="7"/>
      <c r="AM11" s="7"/>
      <c r="AN11" s="7"/>
    </row>
    <row r="12" spans="1:40">
      <c r="A12" s="7"/>
      <c r="B12" s="7"/>
      <c r="C12" s="8"/>
      <c r="D12" s="7" t="s">
        <v>2067</v>
      </c>
      <c r="E12" s="6" t="s">
        <v>491</v>
      </c>
      <c r="F12" s="7" t="s">
        <v>2068</v>
      </c>
      <c r="G12" s="7"/>
      <c r="H12" s="7"/>
      <c r="I12" s="7"/>
      <c r="J12" s="7"/>
      <c r="K12" s="7"/>
      <c r="L12" s="7"/>
      <c r="M12" s="7"/>
      <c r="N12" s="15"/>
      <c r="O12" s="7"/>
      <c r="P12" s="7"/>
      <c r="Q12" s="7"/>
      <c r="R12" s="7"/>
      <c r="S12" s="7"/>
      <c r="T12" s="7"/>
      <c r="U12" s="7"/>
      <c r="V12" s="7"/>
      <c r="W12" s="7"/>
      <c r="X12" s="7"/>
      <c r="Y12" s="7"/>
      <c r="Z12" s="7"/>
      <c r="AA12" s="7"/>
      <c r="AB12" s="7"/>
      <c r="AC12" s="7"/>
      <c r="AD12" s="7"/>
      <c r="AE12" s="7"/>
      <c r="AF12" s="7"/>
      <c r="AG12" s="7"/>
      <c r="AH12" s="7"/>
      <c r="AI12" s="7"/>
      <c r="AJ12" s="7"/>
      <c r="AK12" s="7"/>
      <c r="AL12" s="7"/>
      <c r="AM12" s="7"/>
      <c r="AN12" s="7"/>
    </row>
    <row r="13" spans="1:40">
      <c r="A13" s="6" t="s">
        <v>2028</v>
      </c>
      <c r="B13" s="6" t="s">
        <v>2039</v>
      </c>
      <c r="C13" s="4" t="s">
        <v>2040</v>
      </c>
      <c r="D13" s="7" t="s">
        <v>2069</v>
      </c>
      <c r="E13" s="29" t="s">
        <v>971</v>
      </c>
      <c r="F13" s="59" t="s">
        <v>2070</v>
      </c>
      <c r="G13" s="59">
        <v>9058379141</v>
      </c>
      <c r="H13" s="7" t="s">
        <v>2071</v>
      </c>
      <c r="I13" s="7" t="s">
        <v>2072</v>
      </c>
      <c r="J13" s="7" t="s">
        <v>942</v>
      </c>
      <c r="K13" s="7" t="s">
        <v>942</v>
      </c>
      <c r="L13" s="7" t="s">
        <v>975</v>
      </c>
      <c r="M13" s="7" t="s">
        <v>2073</v>
      </c>
      <c r="N13" s="51">
        <v>26786</v>
      </c>
      <c r="O13" s="7" t="s">
        <v>945</v>
      </c>
      <c r="P13" s="7" t="s">
        <v>946</v>
      </c>
      <c r="Q13" s="7" t="s">
        <v>963</v>
      </c>
      <c r="R13" s="7" t="s">
        <v>2074</v>
      </c>
      <c r="S13" s="59">
        <v>85</v>
      </c>
      <c r="T13" s="7" t="s">
        <v>965</v>
      </c>
      <c r="U13" s="7"/>
      <c r="V13" s="7" t="s">
        <v>2075</v>
      </c>
      <c r="W13" s="7" t="s">
        <v>2076</v>
      </c>
      <c r="X13" s="7" t="s">
        <v>953</v>
      </c>
      <c r="Y13" s="7" t="s">
        <v>557</v>
      </c>
      <c r="Z13" s="7" t="s">
        <v>2047</v>
      </c>
      <c r="AA13" s="7" t="s">
        <v>2077</v>
      </c>
      <c r="AB13" s="7" t="s">
        <v>1178</v>
      </c>
      <c r="AC13" s="6" t="s">
        <v>398</v>
      </c>
      <c r="AD13" s="6" t="s">
        <v>398</v>
      </c>
      <c r="AE13" s="6" t="s">
        <v>406</v>
      </c>
      <c r="AF13" s="6" t="s">
        <v>406</v>
      </c>
      <c r="AG13" s="6" t="s">
        <v>398</v>
      </c>
      <c r="AH13" s="59">
        <v>41</v>
      </c>
      <c r="AI13" s="59">
        <v>41</v>
      </c>
      <c r="AJ13" s="59">
        <v>41</v>
      </c>
      <c r="AK13" s="59">
        <v>41</v>
      </c>
      <c r="AL13" s="6" t="s">
        <v>398</v>
      </c>
      <c r="AM13" s="6" t="s">
        <v>406</v>
      </c>
      <c r="AN13" s="6" t="s">
        <v>406</v>
      </c>
    </row>
    <row r="14" spans="1:40">
      <c r="A14" s="6" t="s">
        <v>2028</v>
      </c>
      <c r="B14" s="6" t="s">
        <v>549</v>
      </c>
      <c r="C14" s="4" t="s">
        <v>957</v>
      </c>
      <c r="D14" s="7" t="s">
        <v>2078</v>
      </c>
      <c r="E14" s="29" t="s">
        <v>491</v>
      </c>
      <c r="F14" s="7" t="s">
        <v>2079</v>
      </c>
      <c r="G14" s="59">
        <v>1114018731</v>
      </c>
      <c r="H14" s="7" t="s">
        <v>2031</v>
      </c>
      <c r="I14" s="7"/>
      <c r="J14" s="7" t="s">
        <v>941</v>
      </c>
      <c r="K14" s="7" t="s">
        <v>942</v>
      </c>
      <c r="L14" s="7" t="s">
        <v>975</v>
      </c>
      <c r="M14" s="7" t="s">
        <v>2080</v>
      </c>
      <c r="N14" s="51">
        <v>34715</v>
      </c>
      <c r="O14" s="7" t="s">
        <v>1028</v>
      </c>
      <c r="P14" s="7" t="s">
        <v>946</v>
      </c>
      <c r="Q14" s="7" t="s">
        <v>2081</v>
      </c>
      <c r="R14" s="72" t="s">
        <v>2082</v>
      </c>
      <c r="S14" s="59">
        <v>58</v>
      </c>
      <c r="T14" s="7" t="s">
        <v>1044</v>
      </c>
      <c r="U14" s="7"/>
      <c r="V14" s="7" t="s">
        <v>2083</v>
      </c>
      <c r="W14" s="7" t="s">
        <v>2035</v>
      </c>
      <c r="X14" s="7" t="s">
        <v>953</v>
      </c>
      <c r="Y14" s="7" t="s">
        <v>549</v>
      </c>
      <c r="Z14" s="7" t="s">
        <v>2036</v>
      </c>
      <c r="AA14" s="7" t="s">
        <v>2084</v>
      </c>
      <c r="AB14" s="7" t="s">
        <v>1086</v>
      </c>
      <c r="AC14" s="6" t="s">
        <v>395</v>
      </c>
      <c r="AD14" s="6" t="s">
        <v>395</v>
      </c>
      <c r="AE14" s="6" t="s">
        <v>396</v>
      </c>
      <c r="AF14" s="6" t="s">
        <v>396</v>
      </c>
      <c r="AG14" s="6" t="s">
        <v>395</v>
      </c>
      <c r="AH14" s="59">
        <v>37</v>
      </c>
      <c r="AI14" s="59">
        <v>37</v>
      </c>
      <c r="AJ14" s="59">
        <v>37</v>
      </c>
      <c r="AK14" s="59">
        <v>37</v>
      </c>
      <c r="AL14" s="6" t="s">
        <v>395</v>
      </c>
      <c r="AM14" s="6" t="s">
        <v>395</v>
      </c>
      <c r="AN14" s="6" t="s">
        <v>395</v>
      </c>
    </row>
    <row r="15" spans="1:40">
      <c r="A15" s="6"/>
      <c r="B15" s="6"/>
      <c r="C15" s="4"/>
      <c r="D15" s="7" t="s">
        <v>2085</v>
      </c>
      <c r="E15" s="6" t="s">
        <v>491</v>
      </c>
      <c r="F15" s="7" t="s">
        <v>2086</v>
      </c>
      <c r="G15" s="7"/>
      <c r="H15" s="7"/>
      <c r="I15" s="7"/>
      <c r="J15" s="7"/>
      <c r="K15" s="7"/>
      <c r="L15" s="7"/>
      <c r="M15" s="7"/>
      <c r="N15" s="51"/>
      <c r="O15" s="7"/>
      <c r="P15" s="7"/>
      <c r="Q15" s="7"/>
      <c r="R15" s="72"/>
      <c r="S15" s="59"/>
      <c r="T15" s="7"/>
      <c r="U15" s="10"/>
      <c r="V15" s="10"/>
      <c r="W15" s="10"/>
      <c r="X15" s="10"/>
      <c r="Y15" s="7"/>
      <c r="Z15" s="7"/>
      <c r="AA15" s="7"/>
      <c r="AB15" s="7"/>
      <c r="AC15" s="6"/>
      <c r="AD15" s="6"/>
      <c r="AE15" s="6"/>
      <c r="AF15" s="6"/>
      <c r="AG15" s="6"/>
      <c r="AH15" s="59"/>
      <c r="AI15" s="59"/>
      <c r="AJ15" s="59"/>
      <c r="AK15" s="59"/>
      <c r="AL15" s="6"/>
      <c r="AM15" s="6"/>
      <c r="AN15" s="6"/>
    </row>
    <row r="16" spans="1:40">
      <c r="A16" s="6"/>
      <c r="B16" s="6"/>
      <c r="C16" s="4"/>
      <c r="D16" s="7" t="s">
        <v>2087</v>
      </c>
      <c r="E16" s="6" t="s">
        <v>491</v>
      </c>
      <c r="F16" s="7" t="s">
        <v>2088</v>
      </c>
      <c r="G16" s="7"/>
      <c r="H16" s="7"/>
      <c r="I16" s="7"/>
      <c r="J16" s="7"/>
      <c r="K16" s="7"/>
      <c r="L16" s="7"/>
      <c r="M16" s="7"/>
      <c r="N16" s="51"/>
      <c r="O16" s="7"/>
      <c r="P16" s="7"/>
      <c r="Q16" s="7"/>
      <c r="R16" s="72"/>
      <c r="S16" s="59"/>
      <c r="T16" s="7"/>
      <c r="U16" s="10"/>
      <c r="V16" s="10"/>
      <c r="W16" s="10"/>
      <c r="X16" s="10"/>
      <c r="Y16" s="7"/>
      <c r="Z16" s="7"/>
      <c r="AA16" s="7"/>
      <c r="AB16" s="7"/>
      <c r="AC16" s="6"/>
      <c r="AD16" s="6"/>
      <c r="AE16" s="6"/>
      <c r="AF16" s="6"/>
      <c r="AG16" s="6"/>
      <c r="AH16" s="59"/>
      <c r="AI16" s="59"/>
      <c r="AJ16" s="59"/>
      <c r="AK16" s="59"/>
      <c r="AL16" s="6"/>
      <c r="AM16" s="6"/>
      <c r="AN16" s="6"/>
    </row>
    <row r="17" spans="1:40">
      <c r="A17" s="6" t="s">
        <v>2028</v>
      </c>
      <c r="B17" s="6" t="s">
        <v>2039</v>
      </c>
      <c r="C17" s="4" t="s">
        <v>2040</v>
      </c>
      <c r="D17" s="7" t="s">
        <v>2089</v>
      </c>
      <c r="E17" s="29" t="s">
        <v>971</v>
      </c>
      <c r="F17" s="59">
        <v>203825030</v>
      </c>
      <c r="G17" s="59">
        <v>5079756473</v>
      </c>
      <c r="H17" s="7" t="s">
        <v>2043</v>
      </c>
      <c r="I17" s="7" t="s">
        <v>2044</v>
      </c>
      <c r="J17" s="7" t="s">
        <v>941</v>
      </c>
      <c r="K17" s="7" t="s">
        <v>942</v>
      </c>
      <c r="L17" s="7" t="s">
        <v>1080</v>
      </c>
      <c r="M17" s="7" t="s">
        <v>2090</v>
      </c>
      <c r="N17" s="51">
        <v>30189</v>
      </c>
      <c r="O17" s="7" t="s">
        <v>1028</v>
      </c>
      <c r="P17" s="7" t="s">
        <v>946</v>
      </c>
      <c r="Q17" s="7" t="s">
        <v>1245</v>
      </c>
      <c r="R17" s="7" t="s">
        <v>2091</v>
      </c>
      <c r="S17" s="59">
        <v>67</v>
      </c>
      <c r="T17" s="7" t="s">
        <v>1044</v>
      </c>
      <c r="U17" s="7"/>
      <c r="V17" s="7" t="s">
        <v>2092</v>
      </c>
      <c r="W17" s="7" t="s">
        <v>2093</v>
      </c>
      <c r="X17" s="7" t="s">
        <v>953</v>
      </c>
      <c r="Y17" s="7" t="s">
        <v>557</v>
      </c>
      <c r="Z17" s="7" t="s">
        <v>2047</v>
      </c>
      <c r="AA17" s="7" t="s">
        <v>2094</v>
      </c>
      <c r="AB17" s="7" t="s">
        <v>1178</v>
      </c>
      <c r="AC17" s="6" t="s">
        <v>396</v>
      </c>
      <c r="AD17" s="6" t="s">
        <v>396</v>
      </c>
      <c r="AE17" s="6" t="s">
        <v>396</v>
      </c>
      <c r="AF17" s="6" t="s">
        <v>396</v>
      </c>
      <c r="AG17" s="6" t="s">
        <v>396</v>
      </c>
      <c r="AH17" s="59">
        <v>36</v>
      </c>
      <c r="AI17" s="59">
        <v>36</v>
      </c>
      <c r="AJ17" s="59">
        <v>36</v>
      </c>
      <c r="AK17" s="59">
        <v>36</v>
      </c>
      <c r="AL17" s="6" t="s">
        <v>396</v>
      </c>
      <c r="AM17" s="6" t="s">
        <v>396</v>
      </c>
      <c r="AN17" s="6" t="s">
        <v>396</v>
      </c>
    </row>
    <row r="18" spans="1:40">
      <c r="A18" s="6"/>
      <c r="B18" s="6"/>
      <c r="C18" s="4"/>
      <c r="D18" s="7" t="s">
        <v>2095</v>
      </c>
      <c r="E18" s="6" t="s">
        <v>491</v>
      </c>
      <c r="F18" s="7" t="s">
        <v>2096</v>
      </c>
      <c r="G18" s="7"/>
      <c r="H18" s="7"/>
      <c r="I18" s="7"/>
      <c r="J18" s="7"/>
      <c r="K18" s="7"/>
      <c r="L18" s="7"/>
      <c r="M18" s="7"/>
      <c r="N18" s="51"/>
      <c r="O18" s="7"/>
      <c r="P18" s="7"/>
      <c r="Q18" s="7"/>
      <c r="R18" s="72"/>
      <c r="S18" s="59"/>
      <c r="T18" s="7"/>
      <c r="U18" s="10"/>
      <c r="V18" s="10"/>
      <c r="W18" s="10"/>
      <c r="X18" s="10"/>
      <c r="Y18" s="7"/>
      <c r="Z18" s="7"/>
      <c r="AA18" s="7"/>
      <c r="AB18" s="7"/>
      <c r="AC18" s="6"/>
      <c r="AD18" s="6"/>
      <c r="AE18" s="6"/>
      <c r="AF18" s="6"/>
      <c r="AG18" s="6"/>
      <c r="AH18" s="59"/>
      <c r="AI18" s="59"/>
      <c r="AJ18" s="59"/>
      <c r="AK18" s="59"/>
      <c r="AL18" s="6"/>
      <c r="AM18" s="6"/>
      <c r="AN18" s="6"/>
    </row>
    <row r="19" spans="1:40">
      <c r="A19" s="6" t="s">
        <v>2028</v>
      </c>
      <c r="B19" s="6" t="s">
        <v>549</v>
      </c>
      <c r="C19" s="4" t="s">
        <v>957</v>
      </c>
      <c r="D19" s="7" t="s">
        <v>2097</v>
      </c>
      <c r="E19" s="29" t="s">
        <v>491</v>
      </c>
      <c r="F19" s="7" t="s">
        <v>2098</v>
      </c>
      <c r="G19" s="59">
        <v>6078163935</v>
      </c>
      <c r="H19" s="7" t="s">
        <v>2031</v>
      </c>
      <c r="I19" s="7"/>
      <c r="J19" s="7" t="s">
        <v>941</v>
      </c>
      <c r="K19" s="7" t="s">
        <v>942</v>
      </c>
      <c r="L19" s="7" t="s">
        <v>943</v>
      </c>
      <c r="M19" s="7" t="s">
        <v>2099</v>
      </c>
      <c r="N19" s="51">
        <v>27465</v>
      </c>
      <c r="O19" s="7" t="s">
        <v>945</v>
      </c>
      <c r="P19" s="7" t="s">
        <v>946</v>
      </c>
      <c r="Q19" s="7" t="s">
        <v>963</v>
      </c>
      <c r="R19" s="72" t="s">
        <v>2100</v>
      </c>
      <c r="S19" s="59">
        <v>70</v>
      </c>
      <c r="T19" s="7" t="s">
        <v>950</v>
      </c>
      <c r="U19" s="7"/>
      <c r="V19" s="7" t="s">
        <v>2101</v>
      </c>
      <c r="W19" s="7" t="s">
        <v>2035</v>
      </c>
      <c r="X19" s="7" t="s">
        <v>953</v>
      </c>
      <c r="Y19" s="7" t="s">
        <v>549</v>
      </c>
      <c r="Z19" s="7" t="s">
        <v>2036</v>
      </c>
      <c r="AA19" s="7" t="s">
        <v>2102</v>
      </c>
      <c r="AB19" s="7" t="s">
        <v>2038</v>
      </c>
      <c r="AC19" s="6" t="s">
        <v>406</v>
      </c>
      <c r="AD19" s="6" t="s">
        <v>406</v>
      </c>
      <c r="AE19" s="6" t="s">
        <v>406</v>
      </c>
      <c r="AF19" s="6" t="s">
        <v>406</v>
      </c>
      <c r="AG19" s="6" t="s">
        <v>406</v>
      </c>
      <c r="AH19" s="59">
        <v>45</v>
      </c>
      <c r="AI19" s="59">
        <v>45</v>
      </c>
      <c r="AJ19" s="59">
        <v>45</v>
      </c>
      <c r="AK19" s="59">
        <v>45</v>
      </c>
      <c r="AL19" s="6" t="s">
        <v>406</v>
      </c>
      <c r="AM19" s="6" t="s">
        <v>406</v>
      </c>
      <c r="AN19" s="6" t="s">
        <v>406</v>
      </c>
    </row>
    <row r="20" ht="15.75" customHeight="1" spans="1:40">
      <c r="A20" s="6" t="s">
        <v>2028</v>
      </c>
      <c r="B20" s="6" t="s">
        <v>550</v>
      </c>
      <c r="C20" s="4" t="s">
        <v>957</v>
      </c>
      <c r="D20" s="7" t="s">
        <v>2103</v>
      </c>
      <c r="E20" s="29" t="s">
        <v>491</v>
      </c>
      <c r="F20" s="7" t="s">
        <v>2104</v>
      </c>
      <c r="G20" s="59">
        <v>2093468847</v>
      </c>
      <c r="H20" s="7" t="s">
        <v>2031</v>
      </c>
      <c r="I20" s="7"/>
      <c r="J20" s="7" t="s">
        <v>941</v>
      </c>
      <c r="K20" s="7" t="s">
        <v>942</v>
      </c>
      <c r="L20" s="7" t="s">
        <v>943</v>
      </c>
      <c r="M20" s="7" t="s">
        <v>2105</v>
      </c>
      <c r="N20" s="51" t="s">
        <v>2106</v>
      </c>
      <c r="O20" s="7" t="s">
        <v>945</v>
      </c>
      <c r="P20" s="7" t="s">
        <v>946</v>
      </c>
      <c r="Q20" s="7" t="s">
        <v>947</v>
      </c>
      <c r="R20" s="7" t="s">
        <v>2107</v>
      </c>
      <c r="S20" s="59">
        <v>85</v>
      </c>
      <c r="T20" s="7" t="s">
        <v>1011</v>
      </c>
      <c r="U20" s="7"/>
      <c r="V20" s="7" t="s">
        <v>2108</v>
      </c>
      <c r="W20" s="7" t="s">
        <v>2108</v>
      </c>
      <c r="X20" s="7" t="s">
        <v>953</v>
      </c>
      <c r="Y20" s="7" t="s">
        <v>550</v>
      </c>
      <c r="Z20" s="9" t="s">
        <v>2109</v>
      </c>
      <c r="AA20" s="7" t="s">
        <v>2110</v>
      </c>
      <c r="AB20" s="7" t="s">
        <v>642</v>
      </c>
      <c r="AC20" s="6" t="s">
        <v>406</v>
      </c>
      <c r="AD20" s="6" t="s">
        <v>406</v>
      </c>
      <c r="AE20" s="6" t="s">
        <v>406</v>
      </c>
      <c r="AF20" s="6" t="s">
        <v>406</v>
      </c>
      <c r="AG20" s="6" t="s">
        <v>406</v>
      </c>
      <c r="AH20" s="59">
        <v>41</v>
      </c>
      <c r="AI20" s="59">
        <v>41</v>
      </c>
      <c r="AJ20" s="59">
        <v>41</v>
      </c>
      <c r="AK20" s="59">
        <v>41</v>
      </c>
      <c r="AL20" s="6" t="s">
        <v>406</v>
      </c>
      <c r="AM20" s="6" t="s">
        <v>406</v>
      </c>
      <c r="AN20" s="6" t="s">
        <v>406</v>
      </c>
    </row>
    <row r="21" ht="15.75" customHeight="1" spans="1:40">
      <c r="A21" s="6" t="s">
        <v>2028</v>
      </c>
      <c r="B21" s="6" t="s">
        <v>2111</v>
      </c>
      <c r="C21" s="4" t="s">
        <v>2040</v>
      </c>
      <c r="D21" s="7" t="s">
        <v>2112</v>
      </c>
      <c r="E21" s="29" t="s">
        <v>491</v>
      </c>
      <c r="F21" s="59">
        <v>57737614087</v>
      </c>
      <c r="G21" s="59">
        <v>7043841555</v>
      </c>
      <c r="H21" s="7" t="s">
        <v>2113</v>
      </c>
      <c r="I21" s="7" t="s">
        <v>2114</v>
      </c>
      <c r="J21" s="7" t="s">
        <v>941</v>
      </c>
      <c r="K21" s="7" t="s">
        <v>942</v>
      </c>
      <c r="L21" s="7" t="s">
        <v>943</v>
      </c>
      <c r="M21" s="7" t="s">
        <v>2115</v>
      </c>
      <c r="N21" s="51">
        <v>25862</v>
      </c>
      <c r="O21" s="7" t="s">
        <v>945</v>
      </c>
      <c r="P21" s="7" t="s">
        <v>946</v>
      </c>
      <c r="Q21" s="7" t="s">
        <v>1245</v>
      </c>
      <c r="R21" s="72" t="s">
        <v>2116</v>
      </c>
      <c r="S21" s="59">
        <v>80</v>
      </c>
      <c r="T21" s="7" t="s">
        <v>1030</v>
      </c>
      <c r="U21" s="7"/>
      <c r="V21" s="7">
        <v>54999853031</v>
      </c>
      <c r="W21" s="7" t="s">
        <v>2117</v>
      </c>
      <c r="X21" s="7" t="s">
        <v>953</v>
      </c>
      <c r="Y21" s="7" t="s">
        <v>533</v>
      </c>
      <c r="Z21" s="59">
        <v>95683314</v>
      </c>
      <c r="AA21" s="7" t="s">
        <v>2118</v>
      </c>
      <c r="AB21" s="7" t="s">
        <v>2119</v>
      </c>
      <c r="AC21" s="6" t="s">
        <v>396</v>
      </c>
      <c r="AD21" s="6" t="s">
        <v>396</v>
      </c>
      <c r="AE21" s="6" t="s">
        <v>396</v>
      </c>
      <c r="AF21" s="6" t="s">
        <v>396</v>
      </c>
      <c r="AG21" s="6" t="s">
        <v>396</v>
      </c>
      <c r="AH21" s="59">
        <v>39</v>
      </c>
      <c r="AI21" s="59">
        <v>39</v>
      </c>
      <c r="AJ21" s="59">
        <v>39</v>
      </c>
      <c r="AK21" s="59">
        <v>39</v>
      </c>
      <c r="AL21" s="6" t="s">
        <v>396</v>
      </c>
      <c r="AM21" s="6" t="s">
        <v>396</v>
      </c>
      <c r="AN21" s="6" t="s">
        <v>396</v>
      </c>
    </row>
    <row r="22" ht="15.75" customHeight="1" spans="1:40">
      <c r="A22" s="6" t="s">
        <v>2028</v>
      </c>
      <c r="B22" s="6" t="s">
        <v>549</v>
      </c>
      <c r="C22" s="4" t="s">
        <v>2040</v>
      </c>
      <c r="D22" s="7" t="s">
        <v>2120</v>
      </c>
      <c r="E22" s="29" t="s">
        <v>491</v>
      </c>
      <c r="F22" s="7" t="s">
        <v>2121</v>
      </c>
      <c r="G22" s="59">
        <v>2076830658</v>
      </c>
      <c r="H22" s="7" t="s">
        <v>2031</v>
      </c>
      <c r="I22" s="7"/>
      <c r="J22" s="7" t="s">
        <v>941</v>
      </c>
      <c r="K22" s="7" t="s">
        <v>942</v>
      </c>
      <c r="L22" s="7" t="s">
        <v>2122</v>
      </c>
      <c r="M22" s="7" t="s">
        <v>2115</v>
      </c>
      <c r="N22" s="51">
        <v>28895</v>
      </c>
      <c r="O22" s="7" t="s">
        <v>945</v>
      </c>
      <c r="P22" s="7" t="s">
        <v>946</v>
      </c>
      <c r="Q22" s="7" t="s">
        <v>1227</v>
      </c>
      <c r="R22" s="7" t="s">
        <v>2123</v>
      </c>
      <c r="S22" s="59">
        <v>84</v>
      </c>
      <c r="T22" s="7" t="s">
        <v>1011</v>
      </c>
      <c r="U22" s="7"/>
      <c r="V22" s="7" t="s">
        <v>2124</v>
      </c>
      <c r="W22" s="7" t="s">
        <v>2035</v>
      </c>
      <c r="X22" s="7" t="s">
        <v>953</v>
      </c>
      <c r="Y22" s="7" t="s">
        <v>549</v>
      </c>
      <c r="Z22" s="7" t="s">
        <v>2036</v>
      </c>
      <c r="AA22" s="47" t="s">
        <v>2125</v>
      </c>
      <c r="AB22" s="7" t="s">
        <v>2126</v>
      </c>
      <c r="AC22" s="6" t="s">
        <v>406</v>
      </c>
      <c r="AD22" s="6" t="s">
        <v>406</v>
      </c>
      <c r="AE22" s="6" t="s">
        <v>406</v>
      </c>
      <c r="AF22" s="6" t="s">
        <v>406</v>
      </c>
      <c r="AG22" s="6" t="s">
        <v>406</v>
      </c>
      <c r="AH22" s="59">
        <v>42</v>
      </c>
      <c r="AI22" s="59">
        <v>41</v>
      </c>
      <c r="AJ22" s="59">
        <v>41</v>
      </c>
      <c r="AK22" s="59">
        <v>41</v>
      </c>
      <c r="AL22" s="6" t="s">
        <v>406</v>
      </c>
      <c r="AM22" s="6" t="s">
        <v>406</v>
      </c>
      <c r="AN22" s="6" t="s">
        <v>406</v>
      </c>
    </row>
    <row r="23" ht="15.75" customHeight="1" spans="1:40">
      <c r="A23" s="6" t="s">
        <v>2028</v>
      </c>
      <c r="B23" s="6" t="s">
        <v>2039</v>
      </c>
      <c r="C23" s="4" t="s">
        <v>2040</v>
      </c>
      <c r="D23" s="7" t="s">
        <v>2127</v>
      </c>
      <c r="E23" s="29" t="s">
        <v>971</v>
      </c>
      <c r="F23" s="59">
        <v>104561041</v>
      </c>
      <c r="G23" s="70">
        <v>1082803685</v>
      </c>
      <c r="H23" s="7" t="s">
        <v>2128</v>
      </c>
      <c r="I23" s="7" t="s">
        <v>2129</v>
      </c>
      <c r="J23" s="7" t="s">
        <v>942</v>
      </c>
      <c r="K23" s="7" t="s">
        <v>942</v>
      </c>
      <c r="L23" s="7" t="s">
        <v>975</v>
      </c>
      <c r="M23" s="7" t="s">
        <v>2130</v>
      </c>
      <c r="N23" s="51">
        <v>30114</v>
      </c>
      <c r="O23" s="7" t="s">
        <v>945</v>
      </c>
      <c r="P23" s="7" t="s">
        <v>946</v>
      </c>
      <c r="Q23" s="7" t="s">
        <v>963</v>
      </c>
      <c r="R23" s="7" t="s">
        <v>2131</v>
      </c>
      <c r="S23" s="59">
        <v>74</v>
      </c>
      <c r="T23" s="7" t="s">
        <v>1011</v>
      </c>
      <c r="U23" s="7"/>
      <c r="V23" s="7" t="s">
        <v>2132</v>
      </c>
      <c r="W23" s="7" t="s">
        <v>2133</v>
      </c>
      <c r="X23" s="7" t="s">
        <v>953</v>
      </c>
      <c r="Y23" s="7" t="s">
        <v>557</v>
      </c>
      <c r="Z23" s="7" t="s">
        <v>2047</v>
      </c>
      <c r="AA23" s="7" t="s">
        <v>1178</v>
      </c>
      <c r="AB23" s="7" t="s">
        <v>1178</v>
      </c>
      <c r="AC23" s="6" t="s">
        <v>396</v>
      </c>
      <c r="AD23" s="6" t="s">
        <v>396</v>
      </c>
      <c r="AE23" s="6" t="s">
        <v>396</v>
      </c>
      <c r="AF23" s="6" t="s">
        <v>396</v>
      </c>
      <c r="AG23" s="6" t="s">
        <v>396</v>
      </c>
      <c r="AH23" s="59">
        <v>40</v>
      </c>
      <c r="AI23" s="59">
        <v>40</v>
      </c>
      <c r="AJ23" s="59">
        <v>40</v>
      </c>
      <c r="AK23" s="59">
        <v>40</v>
      </c>
      <c r="AL23" s="6" t="s">
        <v>396</v>
      </c>
      <c r="AM23" s="6" t="s">
        <v>396</v>
      </c>
      <c r="AN23" s="6" t="s">
        <v>396</v>
      </c>
    </row>
    <row r="24" ht="15.75" customHeight="1" spans="1:40">
      <c r="A24" s="6"/>
      <c r="B24" s="6"/>
      <c r="C24" s="4"/>
      <c r="D24" s="7" t="s">
        <v>2134</v>
      </c>
      <c r="E24" s="6" t="s">
        <v>491</v>
      </c>
      <c r="F24" s="7" t="s">
        <v>2135</v>
      </c>
      <c r="G24" s="7"/>
      <c r="H24" s="7"/>
      <c r="I24" s="7"/>
      <c r="J24" s="7"/>
      <c r="K24" s="7"/>
      <c r="L24" s="7"/>
      <c r="M24" s="7"/>
      <c r="N24" s="51"/>
      <c r="O24" s="7"/>
      <c r="P24" s="7"/>
      <c r="Q24" s="7"/>
      <c r="R24" s="72"/>
      <c r="S24" s="59"/>
      <c r="T24" s="7"/>
      <c r="U24" s="10"/>
      <c r="V24" s="10"/>
      <c r="W24" s="10"/>
      <c r="X24" s="10"/>
      <c r="Y24" s="7"/>
      <c r="Z24" s="7"/>
      <c r="AA24" s="7"/>
      <c r="AB24" s="7"/>
      <c r="AC24" s="6"/>
      <c r="AD24" s="6"/>
      <c r="AE24" s="6"/>
      <c r="AF24" s="6"/>
      <c r="AG24" s="6"/>
      <c r="AH24" s="59"/>
      <c r="AI24" s="59"/>
      <c r="AJ24" s="59"/>
      <c r="AK24" s="59"/>
      <c r="AL24" s="6"/>
      <c r="AM24" s="6"/>
      <c r="AN24" s="6"/>
    </row>
    <row r="25" ht="15.75" customHeight="1" spans="1:40">
      <c r="A25" s="6"/>
      <c r="B25" s="6"/>
      <c r="C25" s="4"/>
      <c r="D25" s="7" t="s">
        <v>2136</v>
      </c>
      <c r="E25" s="6" t="s">
        <v>491</v>
      </c>
      <c r="F25" s="7" t="s">
        <v>2137</v>
      </c>
      <c r="G25" s="7"/>
      <c r="H25" s="7"/>
      <c r="I25" s="7"/>
      <c r="J25" s="7"/>
      <c r="K25" s="7"/>
      <c r="L25" s="7"/>
      <c r="M25" s="7"/>
      <c r="N25" s="51"/>
      <c r="O25" s="7"/>
      <c r="P25" s="7"/>
      <c r="Q25" s="7"/>
      <c r="R25" s="72"/>
      <c r="S25" s="59"/>
      <c r="T25" s="7"/>
      <c r="U25" s="10"/>
      <c r="V25" s="10"/>
      <c r="W25" s="10"/>
      <c r="X25" s="10"/>
      <c r="Y25" s="7"/>
      <c r="Z25" s="7"/>
      <c r="AA25" s="7"/>
      <c r="AB25" s="7"/>
      <c r="AC25" s="6"/>
      <c r="AD25" s="6"/>
      <c r="AE25" s="6"/>
      <c r="AF25" s="6"/>
      <c r="AG25" s="6"/>
      <c r="AH25" s="59"/>
      <c r="AI25" s="59"/>
      <c r="AJ25" s="59"/>
      <c r="AK25" s="59"/>
      <c r="AL25" s="6"/>
      <c r="AM25" s="6"/>
      <c r="AN25" s="6"/>
    </row>
    <row r="26" ht="15.75" customHeight="1" spans="1:40">
      <c r="A26" s="6" t="s">
        <v>2028</v>
      </c>
      <c r="B26" s="6" t="s">
        <v>549</v>
      </c>
      <c r="C26" s="4" t="s">
        <v>957</v>
      </c>
      <c r="D26" s="7" t="s">
        <v>2138</v>
      </c>
      <c r="E26" s="29" t="s">
        <v>491</v>
      </c>
      <c r="F26" s="7" t="s">
        <v>2139</v>
      </c>
      <c r="G26" s="59">
        <v>1111080808</v>
      </c>
      <c r="H26" s="7" t="s">
        <v>2031</v>
      </c>
      <c r="I26" s="7"/>
      <c r="J26" s="7" t="s">
        <v>941</v>
      </c>
      <c r="K26" s="7" t="s">
        <v>942</v>
      </c>
      <c r="L26" s="7" t="s">
        <v>975</v>
      </c>
      <c r="M26" s="7" t="s">
        <v>2140</v>
      </c>
      <c r="N26" s="51">
        <v>35079</v>
      </c>
      <c r="O26" s="7" t="s">
        <v>1028</v>
      </c>
      <c r="P26" s="7" t="s">
        <v>946</v>
      </c>
      <c r="Q26" s="7" t="s">
        <v>1227</v>
      </c>
      <c r="R26" s="72" t="s">
        <v>2141</v>
      </c>
      <c r="S26" s="59">
        <v>77</v>
      </c>
      <c r="T26" s="7" t="s">
        <v>1030</v>
      </c>
      <c r="U26" s="7"/>
      <c r="V26" s="7" t="s">
        <v>2142</v>
      </c>
      <c r="W26" s="7" t="s">
        <v>2035</v>
      </c>
      <c r="X26" s="7" t="s">
        <v>953</v>
      </c>
      <c r="Y26" s="7" t="s">
        <v>590</v>
      </c>
      <c r="Z26" s="7" t="s">
        <v>2143</v>
      </c>
      <c r="AA26" s="7" t="s">
        <v>2144</v>
      </c>
      <c r="AB26" s="7" t="s">
        <v>2145</v>
      </c>
      <c r="AC26" s="6" t="s">
        <v>406</v>
      </c>
      <c r="AD26" s="6" t="s">
        <v>406</v>
      </c>
      <c r="AE26" s="6" t="s">
        <v>406</v>
      </c>
      <c r="AF26" s="6" t="s">
        <v>406</v>
      </c>
      <c r="AG26" s="6" t="s">
        <v>406</v>
      </c>
      <c r="AH26" s="59">
        <v>38</v>
      </c>
      <c r="AI26" s="59">
        <v>38</v>
      </c>
      <c r="AJ26" s="59">
        <v>38</v>
      </c>
      <c r="AK26" s="59">
        <v>38</v>
      </c>
      <c r="AL26" s="6" t="s">
        <v>396</v>
      </c>
      <c r="AM26" s="6" t="s">
        <v>406</v>
      </c>
      <c r="AN26" s="6" t="s">
        <v>406</v>
      </c>
    </row>
    <row r="27" ht="15.75" customHeight="1" spans="1:40">
      <c r="A27" s="6"/>
      <c r="B27" s="6"/>
      <c r="C27" s="4"/>
      <c r="D27" s="7" t="s">
        <v>2146</v>
      </c>
      <c r="E27" s="6" t="s">
        <v>490</v>
      </c>
      <c r="F27" s="7" t="s">
        <v>2147</v>
      </c>
      <c r="G27" s="7"/>
      <c r="H27" s="7"/>
      <c r="I27" s="7"/>
      <c r="J27" s="7"/>
      <c r="K27" s="7"/>
      <c r="L27" s="7"/>
      <c r="M27" s="7"/>
      <c r="N27" s="51"/>
      <c r="O27" s="7"/>
      <c r="P27" s="7"/>
      <c r="Q27" s="7"/>
      <c r="R27" s="72"/>
      <c r="S27" s="59"/>
      <c r="T27" s="7"/>
      <c r="U27" s="10"/>
      <c r="V27" s="10"/>
      <c r="W27" s="10"/>
      <c r="X27" s="10"/>
      <c r="Y27" s="7"/>
      <c r="Z27" s="7"/>
      <c r="AA27" s="7"/>
      <c r="AB27" s="7"/>
      <c r="AC27" s="6"/>
      <c r="AD27" s="6"/>
      <c r="AE27" s="6"/>
      <c r="AF27" s="6"/>
      <c r="AG27" s="6"/>
      <c r="AH27" s="59"/>
      <c r="AI27" s="59"/>
      <c r="AJ27" s="59"/>
      <c r="AK27" s="59"/>
      <c r="AL27" s="6"/>
      <c r="AM27" s="6"/>
      <c r="AN27" s="6"/>
    </row>
    <row r="28" ht="15.75" customHeight="1" spans="1:40">
      <c r="A28" s="6" t="s">
        <v>2028</v>
      </c>
      <c r="B28" s="6" t="s">
        <v>550</v>
      </c>
      <c r="C28" s="4" t="s">
        <v>957</v>
      </c>
      <c r="D28" s="7" t="s">
        <v>194</v>
      </c>
      <c r="E28" s="29" t="s">
        <v>491</v>
      </c>
      <c r="F28" s="7" t="s">
        <v>2148</v>
      </c>
      <c r="G28" s="59">
        <v>1100334661</v>
      </c>
      <c r="H28" s="7" t="s">
        <v>2031</v>
      </c>
      <c r="I28" s="7"/>
      <c r="J28" s="7" t="s">
        <v>941</v>
      </c>
      <c r="K28" s="7" t="s">
        <v>942</v>
      </c>
      <c r="L28" s="7" t="s">
        <v>1080</v>
      </c>
      <c r="M28" s="7" t="s">
        <v>2149</v>
      </c>
      <c r="N28" s="51">
        <v>34067</v>
      </c>
      <c r="O28" s="7" t="s">
        <v>945</v>
      </c>
      <c r="P28" s="7" t="s">
        <v>946</v>
      </c>
      <c r="Q28" s="7" t="s">
        <v>963</v>
      </c>
      <c r="R28" s="7" t="s">
        <v>2150</v>
      </c>
      <c r="S28" s="59">
        <v>82</v>
      </c>
      <c r="T28" s="7" t="s">
        <v>1011</v>
      </c>
      <c r="U28" s="7"/>
      <c r="V28" s="7" t="s">
        <v>2151</v>
      </c>
      <c r="W28" s="7" t="s">
        <v>2152</v>
      </c>
      <c r="X28" s="7" t="s">
        <v>953</v>
      </c>
      <c r="Y28" s="7" t="s">
        <v>550</v>
      </c>
      <c r="Z28" s="7" t="s">
        <v>2153</v>
      </c>
      <c r="AA28" s="7" t="s">
        <v>2154</v>
      </c>
      <c r="AB28" s="7" t="s">
        <v>642</v>
      </c>
      <c r="AC28" s="6" t="s">
        <v>406</v>
      </c>
      <c r="AD28" s="6" t="s">
        <v>406</v>
      </c>
      <c r="AE28" s="6" t="s">
        <v>406</v>
      </c>
      <c r="AF28" s="6" t="s">
        <v>406</v>
      </c>
      <c r="AG28" s="6" t="s">
        <v>406</v>
      </c>
      <c r="AH28" s="59">
        <v>41</v>
      </c>
      <c r="AI28" s="59">
        <v>41</v>
      </c>
      <c r="AJ28" s="59">
        <v>41</v>
      </c>
      <c r="AK28" s="59">
        <v>41</v>
      </c>
      <c r="AL28" s="6" t="s">
        <v>406</v>
      </c>
      <c r="AM28" s="6" t="s">
        <v>406</v>
      </c>
      <c r="AN28" s="6" t="s">
        <v>406</v>
      </c>
    </row>
    <row r="29" ht="15.75" customHeight="1" spans="1:40">
      <c r="A29" s="6" t="s">
        <v>2028</v>
      </c>
      <c r="B29" s="6" t="s">
        <v>550</v>
      </c>
      <c r="C29" s="4" t="s">
        <v>957</v>
      </c>
      <c r="D29" s="7" t="s">
        <v>195</v>
      </c>
      <c r="E29" s="29" t="s">
        <v>491</v>
      </c>
      <c r="F29" s="7" t="s">
        <v>2155</v>
      </c>
      <c r="G29" s="59">
        <v>1085492054</v>
      </c>
      <c r="H29" s="7" t="s">
        <v>2031</v>
      </c>
      <c r="I29" s="7"/>
      <c r="J29" s="7" t="s">
        <v>941</v>
      </c>
      <c r="K29" s="7" t="s">
        <v>941</v>
      </c>
      <c r="L29" s="7" t="s">
        <v>943</v>
      </c>
      <c r="M29" s="7" t="s">
        <v>2156</v>
      </c>
      <c r="N29" s="51" t="s">
        <v>2157</v>
      </c>
      <c r="O29" s="7" t="s">
        <v>1028</v>
      </c>
      <c r="P29" s="7" t="s">
        <v>946</v>
      </c>
      <c r="Q29" s="7" t="s">
        <v>1227</v>
      </c>
      <c r="R29" s="7" t="s">
        <v>2158</v>
      </c>
      <c r="S29" s="59">
        <v>92</v>
      </c>
      <c r="T29" s="7" t="s">
        <v>1030</v>
      </c>
      <c r="U29" s="7"/>
      <c r="V29" s="7" t="s">
        <v>2159</v>
      </c>
      <c r="W29" s="7" t="s">
        <v>2160</v>
      </c>
      <c r="X29" s="7" t="s">
        <v>953</v>
      </c>
      <c r="Y29" s="7" t="s">
        <v>550</v>
      </c>
      <c r="Z29" s="9" t="s">
        <v>2161</v>
      </c>
      <c r="AA29" s="7" t="s">
        <v>2162</v>
      </c>
      <c r="AB29" s="7" t="s">
        <v>2163</v>
      </c>
      <c r="AC29" s="6" t="s">
        <v>396</v>
      </c>
      <c r="AD29" s="6" t="s">
        <v>396</v>
      </c>
      <c r="AE29" s="6" t="s">
        <v>396</v>
      </c>
      <c r="AF29" s="6" t="s">
        <v>396</v>
      </c>
      <c r="AG29" s="6" t="s">
        <v>406</v>
      </c>
      <c r="AH29" s="59">
        <v>38</v>
      </c>
      <c r="AI29" s="59">
        <v>38</v>
      </c>
      <c r="AJ29" s="59">
        <v>38</v>
      </c>
      <c r="AK29" s="59">
        <v>38</v>
      </c>
      <c r="AL29" s="6" t="s">
        <v>396</v>
      </c>
      <c r="AM29" s="6" t="s">
        <v>396</v>
      </c>
      <c r="AN29" s="6" t="s">
        <v>406</v>
      </c>
    </row>
    <row r="30" ht="15.75" customHeight="1" spans="1:40">
      <c r="A30" s="6"/>
      <c r="B30" s="6"/>
      <c r="C30" s="4"/>
      <c r="D30" s="7" t="s">
        <v>2164</v>
      </c>
      <c r="E30" s="6" t="s">
        <v>490</v>
      </c>
      <c r="F30" s="7" t="s">
        <v>2165</v>
      </c>
      <c r="G30" s="7"/>
      <c r="H30" s="7"/>
      <c r="I30" s="7"/>
      <c r="J30" s="7"/>
      <c r="K30" s="7"/>
      <c r="L30" s="7"/>
      <c r="M30" s="7"/>
      <c r="N30" s="51"/>
      <c r="O30" s="7"/>
      <c r="P30" s="7"/>
      <c r="Q30" s="7"/>
      <c r="R30" s="72"/>
      <c r="S30" s="59"/>
      <c r="T30" s="7"/>
      <c r="U30" s="10"/>
      <c r="V30" s="10"/>
      <c r="W30" s="10"/>
      <c r="X30" s="10"/>
      <c r="Y30" s="7"/>
      <c r="Z30" s="7"/>
      <c r="AA30" s="7"/>
      <c r="AB30" s="7"/>
      <c r="AC30" s="6"/>
      <c r="AD30" s="6"/>
      <c r="AE30" s="6"/>
      <c r="AF30" s="6"/>
      <c r="AG30" s="6"/>
      <c r="AH30" s="59"/>
      <c r="AI30" s="59"/>
      <c r="AJ30" s="59"/>
      <c r="AK30" s="59"/>
      <c r="AL30" s="6"/>
      <c r="AM30" s="6"/>
      <c r="AN30" s="6"/>
    </row>
    <row r="31" ht="15.75" customHeight="1" spans="1:40">
      <c r="A31" s="6" t="s">
        <v>2028</v>
      </c>
      <c r="B31" s="6" t="s">
        <v>2111</v>
      </c>
      <c r="C31" s="4" t="s">
        <v>2040</v>
      </c>
      <c r="D31" s="7" t="s">
        <v>2166</v>
      </c>
      <c r="E31" s="29" t="s">
        <v>971</v>
      </c>
      <c r="F31" s="7"/>
      <c r="G31" s="7"/>
      <c r="H31" s="7" t="s">
        <v>2167</v>
      </c>
      <c r="I31" s="7" t="s">
        <v>2168</v>
      </c>
      <c r="J31" s="7" t="s">
        <v>942</v>
      </c>
      <c r="K31" s="7" t="s">
        <v>942</v>
      </c>
      <c r="L31" s="7" t="s">
        <v>1080</v>
      </c>
      <c r="M31" s="7" t="s">
        <v>2169</v>
      </c>
      <c r="N31" s="51">
        <v>25380</v>
      </c>
      <c r="O31" s="7" t="s">
        <v>1028</v>
      </c>
      <c r="P31" s="7" t="s">
        <v>946</v>
      </c>
      <c r="Q31" s="7" t="s">
        <v>963</v>
      </c>
      <c r="R31" s="72" t="s">
        <v>2170</v>
      </c>
      <c r="S31" s="59">
        <v>71</v>
      </c>
      <c r="T31" s="7" t="s">
        <v>1044</v>
      </c>
      <c r="U31" s="7"/>
      <c r="V31" s="7">
        <v>54981187086</v>
      </c>
      <c r="W31" s="7">
        <v>5432825177</v>
      </c>
      <c r="X31" s="7" t="s">
        <v>953</v>
      </c>
      <c r="Y31" s="7" t="s">
        <v>533</v>
      </c>
      <c r="Z31" s="59">
        <v>95680000</v>
      </c>
      <c r="AA31" s="7" t="s">
        <v>2171</v>
      </c>
      <c r="AB31" s="7" t="s">
        <v>2172</v>
      </c>
      <c r="AC31" s="6" t="s">
        <v>396</v>
      </c>
      <c r="AD31" s="6" t="s">
        <v>396</v>
      </c>
      <c r="AE31" s="6" t="s">
        <v>396</v>
      </c>
      <c r="AF31" s="6" t="s">
        <v>396</v>
      </c>
      <c r="AG31" s="6" t="s">
        <v>396</v>
      </c>
      <c r="AH31" s="59">
        <v>37</v>
      </c>
      <c r="AI31" s="59">
        <v>37</v>
      </c>
      <c r="AJ31" s="59">
        <v>37</v>
      </c>
      <c r="AK31" s="59">
        <v>37</v>
      </c>
      <c r="AL31" s="6" t="s">
        <v>396</v>
      </c>
      <c r="AM31" s="6" t="s">
        <v>396</v>
      </c>
      <c r="AN31" s="6" t="s">
        <v>396</v>
      </c>
    </row>
    <row r="32" ht="15.75" customHeight="1" spans="1:40">
      <c r="A32" s="6"/>
      <c r="B32" s="6"/>
      <c r="C32" s="4"/>
      <c r="D32" s="7" t="s">
        <v>2173</v>
      </c>
      <c r="E32" s="6" t="s">
        <v>490</v>
      </c>
      <c r="F32" s="7" t="s">
        <v>2174</v>
      </c>
      <c r="G32" s="7"/>
      <c r="H32" s="7"/>
      <c r="I32" s="7"/>
      <c r="J32" s="7"/>
      <c r="K32" s="7"/>
      <c r="L32" s="7"/>
      <c r="M32" s="7"/>
      <c r="N32" s="51"/>
      <c r="O32" s="7"/>
      <c r="P32" s="7"/>
      <c r="Q32" s="7"/>
      <c r="R32" s="72"/>
      <c r="S32" s="59"/>
      <c r="T32" s="7"/>
      <c r="U32" s="10"/>
      <c r="V32" s="10"/>
      <c r="W32" s="10"/>
      <c r="X32" s="10"/>
      <c r="Y32" s="7"/>
      <c r="Z32" s="7"/>
      <c r="AA32" s="7"/>
      <c r="AB32" s="7"/>
      <c r="AC32" s="6"/>
      <c r="AD32" s="6"/>
      <c r="AE32" s="6"/>
      <c r="AF32" s="6"/>
      <c r="AG32" s="6"/>
      <c r="AH32" s="59"/>
      <c r="AI32" s="59"/>
      <c r="AJ32" s="59"/>
      <c r="AK32" s="59"/>
      <c r="AL32" s="6"/>
      <c r="AM32" s="6"/>
      <c r="AN32" s="6"/>
    </row>
    <row r="33" ht="15.75" customHeight="1" spans="1:40">
      <c r="A33" s="6"/>
      <c r="B33" s="6"/>
      <c r="C33" s="4"/>
      <c r="D33" s="7" t="s">
        <v>2175</v>
      </c>
      <c r="E33" s="6" t="s">
        <v>490</v>
      </c>
      <c r="F33" s="7" t="s">
        <v>2176</v>
      </c>
      <c r="G33" s="7"/>
      <c r="H33" s="7"/>
      <c r="I33" s="7"/>
      <c r="J33" s="7"/>
      <c r="K33" s="7"/>
      <c r="L33" s="7"/>
      <c r="M33" s="7"/>
      <c r="N33" s="51"/>
      <c r="O33" s="7"/>
      <c r="P33" s="7"/>
      <c r="Q33" s="7"/>
      <c r="R33" s="72"/>
      <c r="S33" s="59"/>
      <c r="T33" s="7"/>
      <c r="U33" s="10"/>
      <c r="V33" s="10"/>
      <c r="W33" s="10"/>
      <c r="X33" s="10"/>
      <c r="Y33" s="7"/>
      <c r="Z33" s="7"/>
      <c r="AA33" s="7"/>
      <c r="AB33" s="7"/>
      <c r="AC33" s="6"/>
      <c r="AD33" s="6"/>
      <c r="AE33" s="6"/>
      <c r="AF33" s="6"/>
      <c r="AG33" s="6"/>
      <c r="AH33" s="59"/>
      <c r="AI33" s="59"/>
      <c r="AJ33" s="59"/>
      <c r="AK33" s="59"/>
      <c r="AL33" s="6"/>
      <c r="AM33" s="6"/>
      <c r="AN33" s="6"/>
    </row>
    <row r="34" ht="15.75" customHeight="1" spans="1:40">
      <c r="A34" s="6" t="s">
        <v>2028</v>
      </c>
      <c r="B34" s="6" t="s">
        <v>2039</v>
      </c>
      <c r="C34" s="4" t="s">
        <v>2040</v>
      </c>
      <c r="D34" s="7" t="s">
        <v>2177</v>
      </c>
      <c r="E34" s="29" t="s">
        <v>491</v>
      </c>
      <c r="F34" s="59" t="s">
        <v>2178</v>
      </c>
      <c r="G34" s="59">
        <v>4104655438</v>
      </c>
      <c r="H34" s="7" t="s">
        <v>2043</v>
      </c>
      <c r="I34" s="7" t="s">
        <v>2129</v>
      </c>
      <c r="J34" s="7" t="s">
        <v>941</v>
      </c>
      <c r="K34" s="7" t="s">
        <v>942</v>
      </c>
      <c r="L34" s="7" t="s">
        <v>943</v>
      </c>
      <c r="M34" s="7" t="s">
        <v>2179</v>
      </c>
      <c r="N34" s="51">
        <v>36220</v>
      </c>
      <c r="O34" s="7" t="s">
        <v>1028</v>
      </c>
      <c r="P34" s="7" t="s">
        <v>1041</v>
      </c>
      <c r="Q34" s="7" t="s">
        <v>947</v>
      </c>
      <c r="R34" s="73" t="s">
        <v>2180</v>
      </c>
      <c r="S34" s="59">
        <v>60</v>
      </c>
      <c r="T34" s="7" t="s">
        <v>1044</v>
      </c>
      <c r="U34" s="7"/>
      <c r="V34" s="7" t="s">
        <v>2181</v>
      </c>
      <c r="W34" s="7" t="s">
        <v>2182</v>
      </c>
      <c r="X34" s="7" t="s">
        <v>953</v>
      </c>
      <c r="Y34" s="7" t="s">
        <v>557</v>
      </c>
      <c r="Z34" s="7" t="s">
        <v>2047</v>
      </c>
      <c r="AA34" s="7" t="s">
        <v>2183</v>
      </c>
      <c r="AB34" s="7" t="s">
        <v>1178</v>
      </c>
      <c r="AC34" s="6" t="s">
        <v>395</v>
      </c>
      <c r="AD34" s="6" t="s">
        <v>395</v>
      </c>
      <c r="AE34" s="6" t="s">
        <v>395</v>
      </c>
      <c r="AF34" s="6" t="s">
        <v>395</v>
      </c>
      <c r="AG34" s="6" t="s">
        <v>395</v>
      </c>
      <c r="AH34" s="59">
        <v>37</v>
      </c>
      <c r="AI34" s="59">
        <v>37</v>
      </c>
      <c r="AJ34" s="59">
        <v>37</v>
      </c>
      <c r="AK34" s="59">
        <v>37</v>
      </c>
      <c r="AL34" s="6" t="s">
        <v>395</v>
      </c>
      <c r="AM34" s="6" t="s">
        <v>395</v>
      </c>
      <c r="AN34" s="6" t="s">
        <v>395</v>
      </c>
    </row>
    <row r="35" ht="15.75" customHeight="1" spans="1:40">
      <c r="A35" s="6"/>
      <c r="B35" s="6"/>
      <c r="C35" s="4"/>
      <c r="D35" s="7" t="s">
        <v>2184</v>
      </c>
      <c r="E35" s="6" t="s">
        <v>491</v>
      </c>
      <c r="F35" s="7" t="s">
        <v>2185</v>
      </c>
      <c r="G35" s="7"/>
      <c r="H35" s="7"/>
      <c r="I35" s="7"/>
      <c r="J35" s="7"/>
      <c r="K35" s="7"/>
      <c r="L35" s="7"/>
      <c r="M35" s="7"/>
      <c r="N35" s="51"/>
      <c r="O35" s="7"/>
      <c r="P35" s="7"/>
      <c r="Q35" s="7"/>
      <c r="R35" s="72"/>
      <c r="S35" s="59"/>
      <c r="T35" s="7"/>
      <c r="U35" s="10"/>
      <c r="V35" s="10"/>
      <c r="W35" s="10"/>
      <c r="X35" s="10"/>
      <c r="Y35" s="7"/>
      <c r="Z35" s="7"/>
      <c r="AA35" s="7"/>
      <c r="AB35" s="7"/>
      <c r="AC35" s="6"/>
      <c r="AD35" s="6"/>
      <c r="AE35" s="6"/>
      <c r="AF35" s="6"/>
      <c r="AG35" s="6"/>
      <c r="AH35" s="59"/>
      <c r="AI35" s="59"/>
      <c r="AJ35" s="59"/>
      <c r="AK35" s="59"/>
      <c r="AL35" s="6"/>
      <c r="AM35" s="6"/>
      <c r="AN35" s="6"/>
    </row>
    <row r="36" ht="15.75" customHeight="1" spans="1:40">
      <c r="A36" s="6"/>
      <c r="B36" s="6"/>
      <c r="C36" s="4"/>
      <c r="D36" s="7" t="s">
        <v>2186</v>
      </c>
      <c r="E36" s="6" t="s">
        <v>490</v>
      </c>
      <c r="F36" s="7" t="s">
        <v>2187</v>
      </c>
      <c r="G36" s="7"/>
      <c r="H36" s="7"/>
      <c r="I36" s="7"/>
      <c r="J36" s="7"/>
      <c r="K36" s="7"/>
      <c r="L36" s="7"/>
      <c r="M36" s="7"/>
      <c r="N36" s="51"/>
      <c r="O36" s="7"/>
      <c r="P36" s="7"/>
      <c r="Q36" s="7"/>
      <c r="R36" s="72"/>
      <c r="S36" s="59"/>
      <c r="T36" s="7"/>
      <c r="U36" s="10"/>
      <c r="V36" s="10"/>
      <c r="W36" s="10"/>
      <c r="X36" s="10"/>
      <c r="Y36" s="7"/>
      <c r="Z36" s="7"/>
      <c r="AA36" s="7"/>
      <c r="AB36" s="7"/>
      <c r="AC36" s="6"/>
      <c r="AD36" s="6"/>
      <c r="AE36" s="6"/>
      <c r="AF36" s="6"/>
      <c r="AG36" s="6"/>
      <c r="AH36" s="59"/>
      <c r="AI36" s="59"/>
      <c r="AJ36" s="59"/>
      <c r="AK36" s="59"/>
      <c r="AL36" s="6"/>
      <c r="AM36" s="6"/>
      <c r="AN36" s="6"/>
    </row>
    <row r="37" ht="15.75" customHeight="1" spans="1:40">
      <c r="A37" s="6" t="s">
        <v>2028</v>
      </c>
      <c r="B37" s="6" t="s">
        <v>2039</v>
      </c>
      <c r="C37" s="4" t="s">
        <v>2040</v>
      </c>
      <c r="D37" s="7" t="s">
        <v>2188</v>
      </c>
      <c r="E37" s="29" t="s">
        <v>491</v>
      </c>
      <c r="F37" s="59" t="s">
        <v>2189</v>
      </c>
      <c r="G37" s="59">
        <v>6063370081</v>
      </c>
      <c r="H37" s="7" t="s">
        <v>2190</v>
      </c>
      <c r="I37" s="7" t="s">
        <v>2044</v>
      </c>
      <c r="J37" s="7" t="s">
        <v>941</v>
      </c>
      <c r="K37" s="7" t="s">
        <v>942</v>
      </c>
      <c r="L37" s="7" t="s">
        <v>1080</v>
      </c>
      <c r="M37" s="7" t="s">
        <v>2191</v>
      </c>
      <c r="N37" s="51">
        <v>29781</v>
      </c>
      <c r="O37" s="7" t="s">
        <v>945</v>
      </c>
      <c r="P37" s="7" t="s">
        <v>946</v>
      </c>
      <c r="Q37" s="7" t="s">
        <v>1245</v>
      </c>
      <c r="R37" s="73" t="s">
        <v>2192</v>
      </c>
      <c r="S37" s="59">
        <v>128</v>
      </c>
      <c r="T37" s="7" t="s">
        <v>1154</v>
      </c>
      <c r="U37" s="7"/>
      <c r="V37" s="7" t="s">
        <v>2193</v>
      </c>
      <c r="W37" s="7" t="s">
        <v>2194</v>
      </c>
      <c r="X37" s="7" t="s">
        <v>953</v>
      </c>
      <c r="Y37" s="7" t="s">
        <v>557</v>
      </c>
      <c r="Z37" s="7" t="s">
        <v>2047</v>
      </c>
      <c r="AA37" s="7" t="s">
        <v>2195</v>
      </c>
      <c r="AB37" s="7" t="s">
        <v>1178</v>
      </c>
      <c r="AC37" s="6" t="s">
        <v>399</v>
      </c>
      <c r="AD37" s="6" t="s">
        <v>399</v>
      </c>
      <c r="AE37" s="6" t="s">
        <v>399</v>
      </c>
      <c r="AF37" s="6" t="s">
        <v>399</v>
      </c>
      <c r="AG37" s="6" t="s">
        <v>399</v>
      </c>
      <c r="AH37" s="59">
        <v>43</v>
      </c>
      <c r="AI37" s="59">
        <v>43</v>
      </c>
      <c r="AJ37" s="59">
        <v>43</v>
      </c>
      <c r="AK37" s="59">
        <v>43</v>
      </c>
      <c r="AL37" s="6" t="s">
        <v>399</v>
      </c>
      <c r="AM37" s="6" t="s">
        <v>399</v>
      </c>
      <c r="AN37" s="6" t="s">
        <v>406</v>
      </c>
    </row>
    <row r="38" ht="15.75" customHeight="1" spans="1:40">
      <c r="A38" s="6" t="s">
        <v>2028</v>
      </c>
      <c r="B38" s="6" t="s">
        <v>549</v>
      </c>
      <c r="C38" s="4" t="s">
        <v>957</v>
      </c>
      <c r="D38" s="7" t="s">
        <v>2196</v>
      </c>
      <c r="E38" s="29" t="s">
        <v>491</v>
      </c>
      <c r="F38" s="7" t="s">
        <v>2197</v>
      </c>
      <c r="G38" s="59">
        <v>4040747149</v>
      </c>
      <c r="H38" s="7" t="s">
        <v>2031</v>
      </c>
      <c r="I38" s="7"/>
      <c r="J38" s="7" t="s">
        <v>941</v>
      </c>
      <c r="K38" s="7" t="s">
        <v>942</v>
      </c>
      <c r="L38" s="7" t="s">
        <v>975</v>
      </c>
      <c r="M38" s="7" t="s">
        <v>2198</v>
      </c>
      <c r="N38" s="51">
        <v>27147</v>
      </c>
      <c r="O38" s="7" t="s">
        <v>1028</v>
      </c>
      <c r="P38" s="7" t="s">
        <v>946</v>
      </c>
      <c r="Q38" s="7" t="s">
        <v>2081</v>
      </c>
      <c r="R38" s="72" t="s">
        <v>2199</v>
      </c>
      <c r="S38" s="59">
        <v>65</v>
      </c>
      <c r="T38" s="7" t="s">
        <v>1044</v>
      </c>
      <c r="U38" s="7"/>
      <c r="V38" s="7" t="s">
        <v>2200</v>
      </c>
      <c r="W38" s="7" t="s">
        <v>2035</v>
      </c>
      <c r="X38" s="7" t="s">
        <v>953</v>
      </c>
      <c r="Y38" s="7" t="s">
        <v>549</v>
      </c>
      <c r="Z38" s="7" t="s">
        <v>2036</v>
      </c>
      <c r="AA38" s="7" t="s">
        <v>2201</v>
      </c>
      <c r="AB38" s="7" t="s">
        <v>2038</v>
      </c>
      <c r="AC38" s="6" t="s">
        <v>406</v>
      </c>
      <c r="AD38" s="6" t="s">
        <v>406</v>
      </c>
      <c r="AE38" s="6" t="s">
        <v>406</v>
      </c>
      <c r="AF38" s="6" t="s">
        <v>406</v>
      </c>
      <c r="AG38" s="6" t="s">
        <v>396</v>
      </c>
      <c r="AH38" s="59">
        <v>37</v>
      </c>
      <c r="AI38" s="59">
        <v>37</v>
      </c>
      <c r="AJ38" s="59">
        <v>37</v>
      </c>
      <c r="AK38" s="59">
        <v>37</v>
      </c>
      <c r="AL38" s="6" t="s">
        <v>395</v>
      </c>
      <c r="AM38" s="6" t="s">
        <v>396</v>
      </c>
      <c r="AN38" s="6" t="s">
        <v>396</v>
      </c>
    </row>
    <row r="39" ht="15.75" customHeight="1" spans="1:40">
      <c r="A39" s="6"/>
      <c r="B39" s="6"/>
      <c r="C39" s="4"/>
      <c r="D39" s="7" t="s">
        <v>2202</v>
      </c>
      <c r="E39" s="6" t="s">
        <v>491</v>
      </c>
      <c r="F39" s="7" t="s">
        <v>2203</v>
      </c>
      <c r="G39" s="7"/>
      <c r="H39" s="7"/>
      <c r="I39" s="7"/>
      <c r="J39" s="7"/>
      <c r="K39" s="7"/>
      <c r="L39" s="7"/>
      <c r="M39" s="7"/>
      <c r="N39" s="51"/>
      <c r="O39" s="7"/>
      <c r="P39" s="7"/>
      <c r="Q39" s="7"/>
      <c r="R39" s="72"/>
      <c r="S39" s="59"/>
      <c r="T39" s="7"/>
      <c r="U39" s="10"/>
      <c r="V39" s="10"/>
      <c r="W39" s="10"/>
      <c r="X39" s="10"/>
      <c r="Y39" s="7"/>
      <c r="Z39" s="7"/>
      <c r="AA39" s="7"/>
      <c r="AB39" s="7"/>
      <c r="AC39" s="6"/>
      <c r="AD39" s="6"/>
      <c r="AE39" s="6"/>
      <c r="AF39" s="6"/>
      <c r="AG39" s="6"/>
      <c r="AH39" s="59"/>
      <c r="AI39" s="59"/>
      <c r="AJ39" s="59"/>
      <c r="AK39" s="59"/>
      <c r="AL39" s="6"/>
      <c r="AM39" s="6"/>
      <c r="AN39" s="6"/>
    </row>
    <row r="40" ht="15.75" customHeight="1" spans="1:40">
      <c r="A40" s="6" t="s">
        <v>2028</v>
      </c>
      <c r="B40" s="6" t="s">
        <v>549</v>
      </c>
      <c r="C40" s="4" t="s">
        <v>2040</v>
      </c>
      <c r="D40" s="7" t="s">
        <v>196</v>
      </c>
      <c r="E40" s="29" t="s">
        <v>491</v>
      </c>
      <c r="F40" s="7" t="s">
        <v>2204</v>
      </c>
      <c r="G40" s="59">
        <v>1113097982</v>
      </c>
      <c r="H40" s="7" t="s">
        <v>2031</v>
      </c>
      <c r="I40" s="7"/>
      <c r="J40" s="7" t="s">
        <v>941</v>
      </c>
      <c r="K40" s="7" t="s">
        <v>942</v>
      </c>
      <c r="L40" s="7" t="s">
        <v>1026</v>
      </c>
      <c r="M40" s="7" t="s">
        <v>2205</v>
      </c>
      <c r="N40" s="15" t="s">
        <v>2206</v>
      </c>
      <c r="O40" s="7" t="s">
        <v>945</v>
      </c>
      <c r="P40" s="7" t="s">
        <v>946</v>
      </c>
      <c r="Q40" s="7" t="s">
        <v>1227</v>
      </c>
      <c r="R40" s="7" t="s">
        <v>2207</v>
      </c>
      <c r="S40" s="59">
        <v>100</v>
      </c>
      <c r="T40" s="7" t="s">
        <v>950</v>
      </c>
      <c r="U40" s="7"/>
      <c r="V40" s="7" t="s">
        <v>2208</v>
      </c>
      <c r="W40" s="7" t="s">
        <v>2035</v>
      </c>
      <c r="X40" s="7" t="s">
        <v>953</v>
      </c>
      <c r="Y40" s="7" t="s">
        <v>549</v>
      </c>
      <c r="Z40" s="7" t="s">
        <v>2036</v>
      </c>
      <c r="AA40" s="7" t="s">
        <v>2209</v>
      </c>
      <c r="AB40" s="7" t="s">
        <v>2038</v>
      </c>
      <c r="AC40" s="6" t="s">
        <v>398</v>
      </c>
      <c r="AD40" s="6" t="s">
        <v>398</v>
      </c>
      <c r="AE40" s="6" t="s">
        <v>406</v>
      </c>
      <c r="AF40" s="6" t="s">
        <v>398</v>
      </c>
      <c r="AG40" s="6" t="s">
        <v>398</v>
      </c>
      <c r="AH40" s="59">
        <v>43</v>
      </c>
      <c r="AI40" s="59">
        <v>43</v>
      </c>
      <c r="AJ40" s="59">
        <v>43</v>
      </c>
      <c r="AK40" s="59">
        <v>43</v>
      </c>
      <c r="AL40" s="6" t="s">
        <v>406</v>
      </c>
      <c r="AM40" s="6" t="s">
        <v>406</v>
      </c>
      <c r="AN40" s="6" t="s">
        <v>398</v>
      </c>
    </row>
    <row r="41" ht="15.75" customHeight="1" spans="1:40">
      <c r="A41" s="6"/>
      <c r="B41" s="6"/>
      <c r="C41" s="4"/>
      <c r="D41" s="7" t="s">
        <v>2210</v>
      </c>
      <c r="E41" s="6" t="s">
        <v>491</v>
      </c>
      <c r="F41" s="7" t="s">
        <v>2211</v>
      </c>
      <c r="G41" s="7"/>
      <c r="H41" s="7"/>
      <c r="I41" s="7"/>
      <c r="J41" s="7"/>
      <c r="K41" s="7"/>
      <c r="L41" s="7"/>
      <c r="M41" s="7"/>
      <c r="N41" s="51"/>
      <c r="O41" s="7"/>
      <c r="P41" s="7"/>
      <c r="Q41" s="7"/>
      <c r="R41" s="72"/>
      <c r="S41" s="59"/>
      <c r="T41" s="7"/>
      <c r="U41" s="10"/>
      <c r="V41" s="10"/>
      <c r="W41" s="10"/>
      <c r="X41" s="10"/>
      <c r="Y41" s="7"/>
      <c r="Z41" s="7"/>
      <c r="AA41" s="7"/>
      <c r="AB41" s="7"/>
      <c r="AC41" s="6"/>
      <c r="AD41" s="6"/>
      <c r="AE41" s="6"/>
      <c r="AF41" s="6"/>
      <c r="AG41" s="6"/>
      <c r="AH41" s="59"/>
      <c r="AI41" s="59"/>
      <c r="AJ41" s="59"/>
      <c r="AK41" s="59"/>
      <c r="AL41" s="6"/>
      <c r="AM41" s="6"/>
      <c r="AN41" s="6"/>
    </row>
    <row r="42" ht="15.75" customHeight="1" spans="1:40">
      <c r="A42" s="6" t="s">
        <v>2028</v>
      </c>
      <c r="B42" s="6" t="s">
        <v>2039</v>
      </c>
      <c r="C42" s="4" t="s">
        <v>2040</v>
      </c>
      <c r="D42" s="7" t="s">
        <v>2212</v>
      </c>
      <c r="E42" s="29" t="s">
        <v>491</v>
      </c>
      <c r="F42" s="70">
        <v>97016900010</v>
      </c>
      <c r="G42" s="59">
        <v>6094234033</v>
      </c>
      <c r="H42" s="7" t="s">
        <v>2043</v>
      </c>
      <c r="I42" s="7" t="s">
        <v>2044</v>
      </c>
      <c r="J42" s="7" t="s">
        <v>941</v>
      </c>
      <c r="K42" s="7" t="s">
        <v>942</v>
      </c>
      <c r="L42" s="7" t="s">
        <v>943</v>
      </c>
      <c r="M42" s="7" t="s">
        <v>2213</v>
      </c>
      <c r="N42" s="51">
        <v>30913</v>
      </c>
      <c r="O42" s="7" t="s">
        <v>1028</v>
      </c>
      <c r="P42" s="7" t="s">
        <v>946</v>
      </c>
      <c r="Q42" s="7" t="s">
        <v>1245</v>
      </c>
      <c r="R42" s="73" t="s">
        <v>2214</v>
      </c>
      <c r="S42" s="59">
        <v>64</v>
      </c>
      <c r="T42" s="7" t="s">
        <v>1044</v>
      </c>
      <c r="U42" s="7"/>
      <c r="V42" s="7" t="s">
        <v>2215</v>
      </c>
      <c r="W42" s="7" t="s">
        <v>2216</v>
      </c>
      <c r="X42" s="7" t="s">
        <v>953</v>
      </c>
      <c r="Y42" s="7" t="s">
        <v>557</v>
      </c>
      <c r="Z42" s="7" t="s">
        <v>2047</v>
      </c>
      <c r="AA42" s="7" t="s">
        <v>2217</v>
      </c>
      <c r="AB42" s="7" t="s">
        <v>1178</v>
      </c>
      <c r="AC42" s="6" t="s">
        <v>396</v>
      </c>
      <c r="AD42" s="6" t="s">
        <v>396</v>
      </c>
      <c r="AE42" s="6" t="s">
        <v>396</v>
      </c>
      <c r="AF42" s="6" t="s">
        <v>396</v>
      </c>
      <c r="AG42" s="6" t="s">
        <v>396</v>
      </c>
      <c r="AH42" s="59">
        <v>37</v>
      </c>
      <c r="AI42" s="59">
        <v>37</v>
      </c>
      <c r="AJ42" s="59">
        <v>37</v>
      </c>
      <c r="AK42" s="59">
        <v>37</v>
      </c>
      <c r="AL42" s="6" t="s">
        <v>396</v>
      </c>
      <c r="AM42" s="6" t="s">
        <v>396</v>
      </c>
      <c r="AN42" s="6" t="s">
        <v>396</v>
      </c>
    </row>
    <row r="43" ht="15.75" customHeight="1" spans="1:40">
      <c r="A43" s="6" t="s">
        <v>2028</v>
      </c>
      <c r="B43" s="6" t="s">
        <v>549</v>
      </c>
      <c r="C43" s="4" t="s">
        <v>957</v>
      </c>
      <c r="D43" s="7" t="s">
        <v>2218</v>
      </c>
      <c r="E43" s="29" t="s">
        <v>491</v>
      </c>
      <c r="F43" s="7" t="s">
        <v>2219</v>
      </c>
      <c r="G43" s="59">
        <v>6096994188</v>
      </c>
      <c r="H43" s="7" t="s">
        <v>2031</v>
      </c>
      <c r="I43" s="7"/>
      <c r="J43" s="7" t="s">
        <v>941</v>
      </c>
      <c r="K43" s="7" t="s">
        <v>942</v>
      </c>
      <c r="L43" s="7" t="s">
        <v>943</v>
      </c>
      <c r="M43" s="7" t="s">
        <v>2220</v>
      </c>
      <c r="N43" s="51">
        <v>32824</v>
      </c>
      <c r="O43" s="7" t="s">
        <v>945</v>
      </c>
      <c r="P43" s="7" t="s">
        <v>946</v>
      </c>
      <c r="Q43" s="7" t="s">
        <v>963</v>
      </c>
      <c r="R43" s="72" t="s">
        <v>2221</v>
      </c>
      <c r="S43" s="59">
        <v>115</v>
      </c>
      <c r="T43" s="7" t="s">
        <v>1154</v>
      </c>
      <c r="U43" s="7"/>
      <c r="V43" s="7" t="s">
        <v>2222</v>
      </c>
      <c r="W43" s="7" t="s">
        <v>2035</v>
      </c>
      <c r="X43" s="7" t="s">
        <v>953</v>
      </c>
      <c r="Y43" s="7" t="s">
        <v>549</v>
      </c>
      <c r="Z43" s="7" t="s">
        <v>2036</v>
      </c>
      <c r="AA43" s="7" t="s">
        <v>2223</v>
      </c>
      <c r="AB43" s="7" t="s">
        <v>2224</v>
      </c>
      <c r="AC43" s="6" t="s">
        <v>399</v>
      </c>
      <c r="AD43" s="6" t="s">
        <v>399</v>
      </c>
      <c r="AE43" s="6" t="s">
        <v>399</v>
      </c>
      <c r="AF43" s="6" t="s">
        <v>399</v>
      </c>
      <c r="AG43" s="6" t="s">
        <v>398</v>
      </c>
      <c r="AH43" s="59">
        <v>46</v>
      </c>
      <c r="AI43" s="59">
        <v>46</v>
      </c>
      <c r="AJ43" s="59">
        <v>46</v>
      </c>
      <c r="AK43" s="59">
        <v>46</v>
      </c>
      <c r="AL43" s="6" t="s">
        <v>398</v>
      </c>
      <c r="AM43" s="6" t="s">
        <v>399</v>
      </c>
      <c r="AN43" s="6" t="s">
        <v>406</v>
      </c>
    </row>
    <row r="44" ht="15.75" customHeight="1" spans="1:40">
      <c r="A44" s="6"/>
      <c r="B44" s="6"/>
      <c r="C44" s="4"/>
      <c r="D44" s="7" t="s">
        <v>2225</v>
      </c>
      <c r="E44" s="6" t="s">
        <v>490</v>
      </c>
      <c r="F44" s="7" t="s">
        <v>2226</v>
      </c>
      <c r="G44" s="7"/>
      <c r="H44" s="7"/>
      <c r="I44" s="7"/>
      <c r="J44" s="7"/>
      <c r="K44" s="7"/>
      <c r="L44" s="7"/>
      <c r="M44" s="7"/>
      <c r="N44" s="51"/>
      <c r="O44" s="7"/>
      <c r="P44" s="7"/>
      <c r="Q44" s="7"/>
      <c r="R44" s="72"/>
      <c r="S44" s="59"/>
      <c r="T44" s="7"/>
      <c r="U44" s="10"/>
      <c r="V44" s="10"/>
      <c r="W44" s="10"/>
      <c r="X44" s="10"/>
      <c r="Y44" s="7"/>
      <c r="Z44" s="7"/>
      <c r="AA44" s="7"/>
      <c r="AB44" s="7"/>
      <c r="AC44" s="6"/>
      <c r="AD44" s="6"/>
      <c r="AE44" s="6"/>
      <c r="AF44" s="6"/>
      <c r="AG44" s="6"/>
      <c r="AH44" s="59"/>
      <c r="AI44" s="59"/>
      <c r="AJ44" s="59"/>
      <c r="AK44" s="59"/>
      <c r="AL44" s="6"/>
      <c r="AM44" s="6"/>
      <c r="AN44" s="6"/>
    </row>
    <row r="45" ht="15.75" customHeight="1" spans="1:40">
      <c r="A45" s="6" t="s">
        <v>2028</v>
      </c>
      <c r="B45" s="6" t="s">
        <v>549</v>
      </c>
      <c r="C45" s="4" t="s">
        <v>957</v>
      </c>
      <c r="D45" s="7" t="s">
        <v>2227</v>
      </c>
      <c r="E45" s="29" t="s">
        <v>491</v>
      </c>
      <c r="F45" s="7" t="s">
        <v>2228</v>
      </c>
      <c r="G45" s="59">
        <v>1132170406</v>
      </c>
      <c r="H45" s="7" t="s">
        <v>2031</v>
      </c>
      <c r="I45" s="7"/>
      <c r="J45" s="7" t="s">
        <v>941</v>
      </c>
      <c r="K45" s="7" t="s">
        <v>942</v>
      </c>
      <c r="L45" s="7" t="s">
        <v>1080</v>
      </c>
      <c r="M45" s="7" t="s">
        <v>2229</v>
      </c>
      <c r="N45" s="51" t="s">
        <v>2230</v>
      </c>
      <c r="O45" s="7" t="s">
        <v>945</v>
      </c>
      <c r="P45" s="7" t="s">
        <v>946</v>
      </c>
      <c r="Q45" s="7" t="s">
        <v>963</v>
      </c>
      <c r="R45" s="72" t="s">
        <v>2231</v>
      </c>
      <c r="S45" s="59">
        <v>86</v>
      </c>
      <c r="T45" s="7" t="s">
        <v>965</v>
      </c>
      <c r="U45" s="7"/>
      <c r="V45" s="7" t="s">
        <v>2232</v>
      </c>
      <c r="W45" s="7" t="s">
        <v>2035</v>
      </c>
      <c r="X45" s="7" t="s">
        <v>953</v>
      </c>
      <c r="Y45" s="7" t="s">
        <v>601</v>
      </c>
      <c r="Z45" s="7" t="s">
        <v>2233</v>
      </c>
      <c r="AA45" s="7" t="s">
        <v>2234</v>
      </c>
      <c r="AB45" s="7" t="s">
        <v>2235</v>
      </c>
      <c r="AC45" s="6" t="s">
        <v>396</v>
      </c>
      <c r="AD45" s="6" t="s">
        <v>396</v>
      </c>
      <c r="AE45" s="6" t="s">
        <v>406</v>
      </c>
      <c r="AF45" s="6" t="s">
        <v>406</v>
      </c>
      <c r="AG45" s="6" t="s">
        <v>396</v>
      </c>
      <c r="AH45" s="59">
        <v>45</v>
      </c>
      <c r="AI45" s="59">
        <v>45</v>
      </c>
      <c r="AJ45" s="59">
        <v>45</v>
      </c>
      <c r="AK45" s="59">
        <v>45</v>
      </c>
      <c r="AL45" s="6" t="s">
        <v>406</v>
      </c>
      <c r="AM45" s="6" t="s">
        <v>406</v>
      </c>
      <c r="AN45" s="6" t="s">
        <v>396</v>
      </c>
    </row>
    <row r="46" ht="15.75" customHeight="1" spans="1:40">
      <c r="A46" s="6"/>
      <c r="B46" s="6"/>
      <c r="C46" s="4"/>
      <c r="D46" s="7" t="s">
        <v>2236</v>
      </c>
      <c r="E46" s="6" t="s">
        <v>491</v>
      </c>
      <c r="F46" s="7" t="s">
        <v>2237</v>
      </c>
      <c r="G46" s="7"/>
      <c r="H46" s="7"/>
      <c r="I46" s="7"/>
      <c r="J46" s="7"/>
      <c r="K46" s="7"/>
      <c r="L46" s="7"/>
      <c r="M46" s="7"/>
      <c r="N46" s="51"/>
      <c r="O46" s="7"/>
      <c r="P46" s="7"/>
      <c r="Q46" s="7"/>
      <c r="R46" s="72"/>
      <c r="S46" s="59"/>
      <c r="T46" s="7"/>
      <c r="U46" s="10"/>
      <c r="V46" s="10"/>
      <c r="W46" s="10"/>
      <c r="X46" s="10"/>
      <c r="Y46" s="7"/>
      <c r="Z46" s="7"/>
      <c r="AA46" s="7"/>
      <c r="AB46" s="7"/>
      <c r="AC46" s="6"/>
      <c r="AD46" s="6"/>
      <c r="AE46" s="6"/>
      <c r="AF46" s="6"/>
      <c r="AG46" s="6"/>
      <c r="AH46" s="59"/>
      <c r="AI46" s="59"/>
      <c r="AJ46" s="59"/>
      <c r="AK46" s="59"/>
      <c r="AL46" s="6"/>
      <c r="AM46" s="6"/>
      <c r="AN46" s="6"/>
    </row>
    <row r="47" ht="15.75" customHeight="1" spans="1:40">
      <c r="A47" s="6"/>
      <c r="B47" s="6"/>
      <c r="C47" s="4"/>
      <c r="D47" s="7" t="s">
        <v>2238</v>
      </c>
      <c r="E47" s="6" t="s">
        <v>491</v>
      </c>
      <c r="F47" s="7" t="s">
        <v>2239</v>
      </c>
      <c r="G47" s="7"/>
      <c r="H47" s="7"/>
      <c r="I47" s="7"/>
      <c r="J47" s="7"/>
      <c r="K47" s="7"/>
      <c r="L47" s="7"/>
      <c r="M47" s="7"/>
      <c r="N47" s="51"/>
      <c r="O47" s="7"/>
      <c r="P47" s="7"/>
      <c r="Q47" s="7"/>
      <c r="R47" s="72"/>
      <c r="S47" s="59"/>
      <c r="T47" s="7"/>
      <c r="U47" s="10"/>
      <c r="V47" s="10"/>
      <c r="W47" s="10"/>
      <c r="X47" s="10"/>
      <c r="Y47" s="7"/>
      <c r="Z47" s="7"/>
      <c r="AA47" s="7"/>
      <c r="AB47" s="7"/>
      <c r="AC47" s="6"/>
      <c r="AD47" s="6"/>
      <c r="AE47" s="6"/>
      <c r="AF47" s="6"/>
      <c r="AG47" s="6"/>
      <c r="AH47" s="59"/>
      <c r="AI47" s="59"/>
      <c r="AJ47" s="59"/>
      <c r="AK47" s="59"/>
      <c r="AL47" s="6"/>
      <c r="AM47" s="6"/>
      <c r="AN47" s="6"/>
    </row>
    <row r="48" ht="15.75" customHeight="1" spans="1:40">
      <c r="A48" s="6" t="s">
        <v>2028</v>
      </c>
      <c r="B48" s="6" t="s">
        <v>550</v>
      </c>
      <c r="C48" s="4" t="s">
        <v>957</v>
      </c>
      <c r="D48" s="7" t="s">
        <v>197</v>
      </c>
      <c r="E48" s="29" t="s">
        <v>491</v>
      </c>
      <c r="F48" s="7" t="s">
        <v>2240</v>
      </c>
      <c r="G48" s="59">
        <v>5076532356</v>
      </c>
      <c r="H48" s="7" t="s">
        <v>2031</v>
      </c>
      <c r="I48" s="7"/>
      <c r="J48" s="7" t="s">
        <v>941</v>
      </c>
      <c r="K48" s="7" t="s">
        <v>942</v>
      </c>
      <c r="L48" s="7" t="s">
        <v>943</v>
      </c>
      <c r="M48" s="7" t="s">
        <v>2241</v>
      </c>
      <c r="N48" s="55" t="s">
        <v>2242</v>
      </c>
      <c r="O48" s="7" t="s">
        <v>945</v>
      </c>
      <c r="P48" s="7" t="s">
        <v>946</v>
      </c>
      <c r="Q48" s="7" t="s">
        <v>963</v>
      </c>
      <c r="R48" s="7" t="s">
        <v>2243</v>
      </c>
      <c r="S48" s="59">
        <v>96</v>
      </c>
      <c r="T48" s="7" t="s">
        <v>1030</v>
      </c>
      <c r="U48" s="7"/>
      <c r="V48" s="7" t="s">
        <v>2244</v>
      </c>
      <c r="W48" s="7" t="s">
        <v>2245</v>
      </c>
      <c r="X48" s="7" t="s">
        <v>953</v>
      </c>
      <c r="Y48" s="7" t="s">
        <v>2246</v>
      </c>
      <c r="Z48" s="7" t="s">
        <v>2247</v>
      </c>
      <c r="AA48" s="7" t="s">
        <v>2248</v>
      </c>
      <c r="AB48" s="7" t="s">
        <v>2249</v>
      </c>
      <c r="AC48" s="6" t="s">
        <v>406</v>
      </c>
      <c r="AD48" s="6" t="s">
        <v>406</v>
      </c>
      <c r="AE48" s="6" t="s">
        <v>406</v>
      </c>
      <c r="AF48" s="6" t="s">
        <v>406</v>
      </c>
      <c r="AG48" s="6" t="s">
        <v>406</v>
      </c>
      <c r="AH48" s="59">
        <v>39</v>
      </c>
      <c r="AI48" s="59">
        <v>39</v>
      </c>
      <c r="AJ48" s="59">
        <v>39</v>
      </c>
      <c r="AK48" s="59">
        <v>39</v>
      </c>
      <c r="AL48" s="6" t="s">
        <v>406</v>
      </c>
      <c r="AM48" s="6" t="s">
        <v>406</v>
      </c>
      <c r="AN48" s="6" t="s">
        <v>406</v>
      </c>
    </row>
    <row r="49" ht="15.75" customHeight="1" spans="1:40">
      <c r="A49" s="6"/>
      <c r="B49" s="6"/>
      <c r="C49" s="4"/>
      <c r="D49" s="7" t="s">
        <v>2250</v>
      </c>
      <c r="E49" s="6" t="s">
        <v>491</v>
      </c>
      <c r="F49" s="7" t="s">
        <v>2251</v>
      </c>
      <c r="G49" s="7"/>
      <c r="H49" s="7"/>
      <c r="I49" s="7"/>
      <c r="J49" s="7"/>
      <c r="K49" s="7"/>
      <c r="L49" s="7"/>
      <c r="M49" s="7"/>
      <c r="N49" s="51"/>
      <c r="O49" s="7"/>
      <c r="P49" s="7"/>
      <c r="Q49" s="7"/>
      <c r="R49" s="72"/>
      <c r="S49" s="59"/>
      <c r="T49" s="7"/>
      <c r="U49" s="10"/>
      <c r="V49" s="10"/>
      <c r="W49" s="10"/>
      <c r="X49" s="10"/>
      <c r="Y49" s="7"/>
      <c r="Z49" s="7"/>
      <c r="AA49" s="7"/>
      <c r="AB49" s="7"/>
      <c r="AC49" s="6"/>
      <c r="AD49" s="6"/>
      <c r="AE49" s="6"/>
      <c r="AF49" s="6"/>
      <c r="AG49" s="6"/>
      <c r="AH49" s="59"/>
      <c r="AI49" s="59"/>
      <c r="AJ49" s="59"/>
      <c r="AK49" s="59"/>
      <c r="AL49" s="6"/>
      <c r="AM49" s="6"/>
      <c r="AN49" s="6"/>
    </row>
    <row r="50" ht="15.75" customHeight="1" spans="1:40">
      <c r="A50" s="6"/>
      <c r="B50" s="6"/>
      <c r="C50" s="4"/>
      <c r="D50" s="7" t="s">
        <v>2252</v>
      </c>
      <c r="E50" s="6" t="s">
        <v>490</v>
      </c>
      <c r="F50" s="7" t="s">
        <v>2253</v>
      </c>
      <c r="G50" s="7"/>
      <c r="H50" s="7"/>
      <c r="I50" s="7"/>
      <c r="J50" s="7"/>
      <c r="K50" s="7"/>
      <c r="L50" s="7"/>
      <c r="M50" s="7"/>
      <c r="N50" s="51"/>
      <c r="O50" s="7"/>
      <c r="P50" s="7"/>
      <c r="Q50" s="7"/>
      <c r="R50" s="72"/>
      <c r="S50" s="59"/>
      <c r="T50" s="7"/>
      <c r="U50" s="10"/>
      <c r="V50" s="10"/>
      <c r="W50" s="10"/>
      <c r="X50" s="10"/>
      <c r="Y50" s="7"/>
      <c r="Z50" s="7"/>
      <c r="AA50" s="7"/>
      <c r="AB50" s="7"/>
      <c r="AC50" s="6"/>
      <c r="AD50" s="6"/>
      <c r="AE50" s="6"/>
      <c r="AF50" s="6"/>
      <c r="AG50" s="6"/>
      <c r="AH50" s="59"/>
      <c r="AI50" s="59"/>
      <c r="AJ50" s="59"/>
      <c r="AK50" s="59"/>
      <c r="AL50" s="6"/>
      <c r="AM50" s="6"/>
      <c r="AN50" s="6"/>
    </row>
    <row r="51" ht="15.75" customHeight="1" spans="1:40">
      <c r="A51" s="6"/>
      <c r="B51" s="6"/>
      <c r="C51" s="4"/>
      <c r="D51" s="7" t="s">
        <v>2254</v>
      </c>
      <c r="E51" s="6" t="s">
        <v>490</v>
      </c>
      <c r="F51" s="7" t="s">
        <v>2255</v>
      </c>
      <c r="G51" s="7"/>
      <c r="H51" s="7"/>
      <c r="I51" s="7"/>
      <c r="J51" s="7"/>
      <c r="K51" s="7"/>
      <c r="L51" s="7"/>
      <c r="M51" s="7"/>
      <c r="N51" s="51"/>
      <c r="O51" s="7"/>
      <c r="P51" s="7"/>
      <c r="Q51" s="7"/>
      <c r="R51" s="72"/>
      <c r="S51" s="59"/>
      <c r="T51" s="7"/>
      <c r="U51" s="10"/>
      <c r="V51" s="10"/>
      <c r="W51" s="10"/>
      <c r="X51" s="10"/>
      <c r="Y51" s="7"/>
      <c r="Z51" s="7"/>
      <c r="AA51" s="7"/>
      <c r="AB51" s="7"/>
      <c r="AC51" s="6"/>
      <c r="AD51" s="6"/>
      <c r="AE51" s="6"/>
      <c r="AF51" s="6"/>
      <c r="AG51" s="6"/>
      <c r="AH51" s="59"/>
      <c r="AI51" s="59"/>
      <c r="AJ51" s="59"/>
      <c r="AK51" s="59"/>
      <c r="AL51" s="6"/>
      <c r="AM51" s="6"/>
      <c r="AN51" s="6"/>
    </row>
    <row r="52" ht="15.75" customHeight="1" spans="1:40">
      <c r="A52" s="6"/>
      <c r="B52" s="6"/>
      <c r="C52" s="4"/>
      <c r="D52" s="7" t="s">
        <v>2256</v>
      </c>
      <c r="E52" s="6" t="s">
        <v>490</v>
      </c>
      <c r="F52" s="7" t="s">
        <v>2257</v>
      </c>
      <c r="G52" s="7"/>
      <c r="H52" s="7"/>
      <c r="I52" s="7"/>
      <c r="J52" s="7"/>
      <c r="K52" s="7"/>
      <c r="L52" s="7"/>
      <c r="M52" s="7"/>
      <c r="N52" s="51"/>
      <c r="O52" s="7"/>
      <c r="P52" s="7"/>
      <c r="Q52" s="7"/>
      <c r="R52" s="72"/>
      <c r="S52" s="59"/>
      <c r="T52" s="7"/>
      <c r="U52" s="10"/>
      <c r="V52" s="10"/>
      <c r="W52" s="10"/>
      <c r="X52" s="10"/>
      <c r="Y52" s="7"/>
      <c r="Z52" s="7"/>
      <c r="AA52" s="7"/>
      <c r="AB52" s="7"/>
      <c r="AC52" s="6"/>
      <c r="AD52" s="6"/>
      <c r="AE52" s="6"/>
      <c r="AF52" s="6"/>
      <c r="AG52" s="6"/>
      <c r="AH52" s="59"/>
      <c r="AI52" s="59"/>
      <c r="AJ52" s="59"/>
      <c r="AK52" s="59"/>
      <c r="AL52" s="6"/>
      <c r="AM52" s="6"/>
      <c r="AN52" s="6"/>
    </row>
    <row r="53" ht="15.75" customHeight="1" spans="1:40">
      <c r="A53" s="6" t="s">
        <v>2028</v>
      </c>
      <c r="B53" s="6" t="s">
        <v>2111</v>
      </c>
      <c r="C53" s="4" t="s">
        <v>2040</v>
      </c>
      <c r="D53" s="7" t="s">
        <v>2258</v>
      </c>
      <c r="E53" s="29" t="s">
        <v>971</v>
      </c>
      <c r="F53" s="7"/>
      <c r="G53" s="7"/>
      <c r="H53" s="7" t="s">
        <v>2259</v>
      </c>
      <c r="I53" s="7"/>
      <c r="J53" s="7" t="s">
        <v>942</v>
      </c>
      <c r="K53" s="7" t="s">
        <v>942</v>
      </c>
      <c r="L53" s="7" t="s">
        <v>1068</v>
      </c>
      <c r="M53" s="7" t="s">
        <v>2260</v>
      </c>
      <c r="N53" s="51">
        <v>39300</v>
      </c>
      <c r="O53" s="7" t="s">
        <v>945</v>
      </c>
      <c r="P53" s="7" t="s">
        <v>946</v>
      </c>
      <c r="Q53" s="7" t="s">
        <v>963</v>
      </c>
      <c r="R53" s="72" t="s">
        <v>2261</v>
      </c>
      <c r="S53" s="59">
        <v>66</v>
      </c>
      <c r="T53" s="7" t="s">
        <v>1011</v>
      </c>
      <c r="U53" s="7"/>
      <c r="V53" s="7" t="s">
        <v>2262</v>
      </c>
      <c r="W53" s="7">
        <v>5432825177</v>
      </c>
      <c r="X53" s="7" t="s">
        <v>953</v>
      </c>
      <c r="Y53" s="7" t="s">
        <v>533</v>
      </c>
      <c r="Z53" s="59">
        <v>95680708</v>
      </c>
      <c r="AA53" s="7" t="s">
        <v>2263</v>
      </c>
      <c r="AB53" s="7" t="s">
        <v>2264</v>
      </c>
      <c r="AC53" s="6" t="s">
        <v>396</v>
      </c>
      <c r="AD53" s="6" t="s">
        <v>396</v>
      </c>
      <c r="AE53" s="6" t="s">
        <v>396</v>
      </c>
      <c r="AF53" s="6" t="s">
        <v>396</v>
      </c>
      <c r="AG53" s="6" t="s">
        <v>396</v>
      </c>
      <c r="AH53" s="59">
        <v>40</v>
      </c>
      <c r="AI53" s="59">
        <v>40</v>
      </c>
      <c r="AJ53" s="59">
        <v>40</v>
      </c>
      <c r="AK53" s="59">
        <v>40</v>
      </c>
      <c r="AL53" s="6" t="s">
        <v>396</v>
      </c>
      <c r="AM53" s="6" t="s">
        <v>396</v>
      </c>
      <c r="AN53" s="6" t="s">
        <v>396</v>
      </c>
    </row>
    <row r="54" ht="15.75" customHeight="1" spans="1:40">
      <c r="A54" s="6"/>
      <c r="B54" s="6"/>
      <c r="C54" s="4"/>
      <c r="D54" s="7" t="s">
        <v>2265</v>
      </c>
      <c r="E54" s="6" t="s">
        <v>491</v>
      </c>
      <c r="F54" s="7" t="s">
        <v>2266</v>
      </c>
      <c r="G54" s="7"/>
      <c r="H54" s="7"/>
      <c r="I54" s="7"/>
      <c r="J54" s="7"/>
      <c r="K54" s="7"/>
      <c r="L54" s="7"/>
      <c r="M54" s="7"/>
      <c r="N54" s="51"/>
      <c r="O54" s="7"/>
      <c r="P54" s="7"/>
      <c r="Q54" s="7"/>
      <c r="R54" s="72"/>
      <c r="S54" s="59"/>
      <c r="T54" s="7"/>
      <c r="U54" s="10"/>
      <c r="V54" s="10"/>
      <c r="W54" s="10"/>
      <c r="X54" s="10"/>
      <c r="Y54" s="7"/>
      <c r="Z54" s="7"/>
      <c r="AA54" s="7"/>
      <c r="AB54" s="7"/>
      <c r="AC54" s="6"/>
      <c r="AD54" s="6"/>
      <c r="AE54" s="6"/>
      <c r="AF54" s="6"/>
      <c r="AG54" s="6"/>
      <c r="AH54" s="59"/>
      <c r="AI54" s="59"/>
      <c r="AJ54" s="59"/>
      <c r="AK54" s="59"/>
      <c r="AL54" s="6"/>
      <c r="AM54" s="6"/>
      <c r="AN54" s="6"/>
    </row>
    <row r="55" ht="15.75" customHeight="1" spans="1:40">
      <c r="A55" s="6" t="s">
        <v>2028</v>
      </c>
      <c r="B55" s="6" t="s">
        <v>2039</v>
      </c>
      <c r="C55" s="4" t="s">
        <v>2040</v>
      </c>
      <c r="D55" s="7" t="s">
        <v>2267</v>
      </c>
      <c r="E55" s="29" t="s">
        <v>491</v>
      </c>
      <c r="F55" s="59" t="s">
        <v>2268</v>
      </c>
      <c r="G55" s="59">
        <v>1099110304</v>
      </c>
      <c r="H55" s="7" t="s">
        <v>2043</v>
      </c>
      <c r="I55" s="7" t="s">
        <v>2269</v>
      </c>
      <c r="J55" s="7" t="s">
        <v>941</v>
      </c>
      <c r="K55" s="7" t="s">
        <v>942</v>
      </c>
      <c r="L55" s="7"/>
      <c r="M55" s="7" t="s">
        <v>2260</v>
      </c>
      <c r="N55" s="51">
        <v>32087</v>
      </c>
      <c r="O55" s="7" t="s">
        <v>945</v>
      </c>
      <c r="P55" s="7" t="s">
        <v>946</v>
      </c>
      <c r="Q55" s="7" t="s">
        <v>963</v>
      </c>
      <c r="R55" s="73" t="s">
        <v>2270</v>
      </c>
      <c r="S55" s="59">
        <v>85</v>
      </c>
      <c r="T55" s="7" t="s">
        <v>965</v>
      </c>
      <c r="U55" s="7"/>
      <c r="V55" s="7" t="s">
        <v>2271</v>
      </c>
      <c r="W55" s="7" t="s">
        <v>2271</v>
      </c>
      <c r="X55" s="7" t="s">
        <v>953</v>
      </c>
      <c r="Y55" s="7" t="s">
        <v>557</v>
      </c>
      <c r="Z55" s="7" t="s">
        <v>2047</v>
      </c>
      <c r="AA55" s="7" t="s">
        <v>2272</v>
      </c>
      <c r="AB55" s="7" t="s">
        <v>2273</v>
      </c>
      <c r="AC55" s="6" t="s">
        <v>406</v>
      </c>
      <c r="AD55" s="6" t="s">
        <v>406</v>
      </c>
      <c r="AE55" s="6" t="s">
        <v>406</v>
      </c>
      <c r="AF55" s="6" t="s">
        <v>406</v>
      </c>
      <c r="AG55" s="6" t="s">
        <v>406</v>
      </c>
      <c r="AH55" s="59">
        <v>41</v>
      </c>
      <c r="AI55" s="59">
        <v>41</v>
      </c>
      <c r="AJ55" s="59">
        <v>41</v>
      </c>
      <c r="AK55" s="59">
        <v>41</v>
      </c>
      <c r="AL55" s="6" t="s">
        <v>406</v>
      </c>
      <c r="AM55" s="6" t="s">
        <v>406</v>
      </c>
      <c r="AN55" s="6" t="s">
        <v>406</v>
      </c>
    </row>
    <row r="56" ht="15.75" customHeight="1" spans="1:40">
      <c r="A56" s="6" t="s">
        <v>2028</v>
      </c>
      <c r="B56" s="6" t="s">
        <v>549</v>
      </c>
      <c r="C56" s="4" t="s">
        <v>957</v>
      </c>
      <c r="D56" s="7" t="s">
        <v>2274</v>
      </c>
      <c r="E56" s="29" t="s">
        <v>491</v>
      </c>
      <c r="F56" s="7" t="s">
        <v>2275</v>
      </c>
      <c r="G56" s="59">
        <v>4100308934</v>
      </c>
      <c r="H56" s="7" t="s">
        <v>2031</v>
      </c>
      <c r="I56" s="7"/>
      <c r="J56" s="7" t="s">
        <v>941</v>
      </c>
      <c r="K56" s="7" t="s">
        <v>942</v>
      </c>
      <c r="L56" s="7" t="s">
        <v>1102</v>
      </c>
      <c r="M56" s="7" t="s">
        <v>2276</v>
      </c>
      <c r="N56" s="51">
        <v>33819</v>
      </c>
      <c r="O56" s="7" t="s">
        <v>1028</v>
      </c>
      <c r="P56" s="7" t="s">
        <v>946</v>
      </c>
      <c r="Q56" s="7" t="s">
        <v>2081</v>
      </c>
      <c r="R56" s="72" t="s">
        <v>2277</v>
      </c>
      <c r="S56" s="59">
        <v>70</v>
      </c>
      <c r="T56" s="7" t="s">
        <v>1030</v>
      </c>
      <c r="U56" s="7"/>
      <c r="V56" s="7" t="s">
        <v>2278</v>
      </c>
      <c r="W56" s="7" t="s">
        <v>2035</v>
      </c>
      <c r="X56" s="7" t="s">
        <v>953</v>
      </c>
      <c r="Y56" s="7" t="s">
        <v>2279</v>
      </c>
      <c r="Z56" s="7" t="s">
        <v>2280</v>
      </c>
      <c r="AA56" s="7" t="s">
        <v>2281</v>
      </c>
      <c r="AB56" s="7" t="s">
        <v>2282</v>
      </c>
      <c r="AC56" s="6" t="s">
        <v>396</v>
      </c>
      <c r="AD56" s="6" t="s">
        <v>396</v>
      </c>
      <c r="AE56" s="6" t="s">
        <v>396</v>
      </c>
      <c r="AF56" s="6" t="s">
        <v>396</v>
      </c>
      <c r="AG56" s="6" t="s">
        <v>396</v>
      </c>
      <c r="AH56" s="59">
        <v>38</v>
      </c>
      <c r="AI56" s="59">
        <v>38</v>
      </c>
      <c r="AJ56" s="59">
        <v>38</v>
      </c>
      <c r="AK56" s="59">
        <v>38</v>
      </c>
      <c r="AL56" s="6" t="s">
        <v>396</v>
      </c>
      <c r="AM56" s="6" t="s">
        <v>396</v>
      </c>
      <c r="AN56" s="6" t="s">
        <v>396</v>
      </c>
    </row>
    <row r="57" ht="15.75" customHeight="1" spans="1:40">
      <c r="A57" s="6"/>
      <c r="B57" s="6"/>
      <c r="C57" s="4"/>
      <c r="D57" s="7" t="s">
        <v>2283</v>
      </c>
      <c r="E57" s="6" t="s">
        <v>491</v>
      </c>
      <c r="F57" s="7" t="s">
        <v>2284</v>
      </c>
      <c r="G57" s="7"/>
      <c r="H57" s="7"/>
      <c r="I57" s="7"/>
      <c r="J57" s="7"/>
      <c r="K57" s="7"/>
      <c r="L57" s="7"/>
      <c r="M57" s="7"/>
      <c r="N57" s="51"/>
      <c r="O57" s="7"/>
      <c r="P57" s="7"/>
      <c r="Q57" s="7"/>
      <c r="R57" s="72"/>
      <c r="S57" s="59"/>
      <c r="T57" s="7"/>
      <c r="U57" s="10"/>
      <c r="V57" s="10"/>
      <c r="W57" s="10"/>
      <c r="X57" s="10"/>
      <c r="Y57" s="7"/>
      <c r="Z57" s="7"/>
      <c r="AA57" s="7"/>
      <c r="AB57" s="7"/>
      <c r="AC57" s="6"/>
      <c r="AD57" s="6"/>
      <c r="AE57" s="6"/>
      <c r="AF57" s="6"/>
      <c r="AG57" s="6"/>
      <c r="AH57" s="59"/>
      <c r="AI57" s="59"/>
      <c r="AJ57" s="59"/>
      <c r="AK57" s="59"/>
      <c r="AL57" s="6"/>
      <c r="AM57" s="6"/>
      <c r="AN57" s="6"/>
    </row>
    <row r="58" ht="15.75" customHeight="1" spans="1:40">
      <c r="A58" s="6"/>
      <c r="B58" s="6"/>
      <c r="C58" s="4"/>
      <c r="D58" s="7" t="s">
        <v>2285</v>
      </c>
      <c r="E58" s="6" t="s">
        <v>490</v>
      </c>
      <c r="F58" s="7" t="s">
        <v>2286</v>
      </c>
      <c r="G58" s="7"/>
      <c r="H58" s="7"/>
      <c r="I58" s="7"/>
      <c r="J58" s="7"/>
      <c r="K58" s="7"/>
      <c r="L58" s="7"/>
      <c r="M58" s="7"/>
      <c r="N58" s="51"/>
      <c r="O58" s="7"/>
      <c r="P58" s="7"/>
      <c r="Q58" s="7"/>
      <c r="R58" s="72"/>
      <c r="S58" s="59"/>
      <c r="T58" s="7"/>
      <c r="U58" s="10"/>
      <c r="V58" s="10"/>
      <c r="W58" s="10"/>
      <c r="X58" s="10"/>
      <c r="Y58" s="7"/>
      <c r="Z58" s="7"/>
      <c r="AA58" s="7"/>
      <c r="AB58" s="7"/>
      <c r="AC58" s="6"/>
      <c r="AD58" s="6"/>
      <c r="AE58" s="6"/>
      <c r="AF58" s="6"/>
      <c r="AG58" s="6"/>
      <c r="AH58" s="59"/>
      <c r="AI58" s="59"/>
      <c r="AJ58" s="59"/>
      <c r="AK58" s="59"/>
      <c r="AL58" s="6"/>
      <c r="AM58" s="6"/>
      <c r="AN58" s="6"/>
    </row>
    <row r="59" ht="15.75" customHeight="1" spans="1:40">
      <c r="A59" s="6"/>
      <c r="B59" s="6"/>
      <c r="C59" s="4"/>
      <c r="D59" s="7" t="s">
        <v>2287</v>
      </c>
      <c r="E59" s="6" t="s">
        <v>490</v>
      </c>
      <c r="F59" s="7" t="s">
        <v>2288</v>
      </c>
      <c r="G59" s="7"/>
      <c r="H59" s="7"/>
      <c r="I59" s="7"/>
      <c r="J59" s="7"/>
      <c r="K59" s="7"/>
      <c r="L59" s="7"/>
      <c r="M59" s="7"/>
      <c r="N59" s="51"/>
      <c r="O59" s="7"/>
      <c r="P59" s="7"/>
      <c r="Q59" s="7"/>
      <c r="R59" s="72"/>
      <c r="S59" s="59"/>
      <c r="T59" s="7"/>
      <c r="U59" s="10"/>
      <c r="V59" s="10"/>
      <c r="W59" s="10"/>
      <c r="X59" s="10"/>
      <c r="Y59" s="7"/>
      <c r="Z59" s="7"/>
      <c r="AA59" s="7"/>
      <c r="AB59" s="7"/>
      <c r="AC59" s="6"/>
      <c r="AD59" s="6"/>
      <c r="AE59" s="6"/>
      <c r="AF59" s="6"/>
      <c r="AG59" s="6"/>
      <c r="AH59" s="59"/>
      <c r="AI59" s="59"/>
      <c r="AJ59" s="59"/>
      <c r="AK59" s="59"/>
      <c r="AL59" s="6"/>
      <c r="AM59" s="6"/>
      <c r="AN59" s="6"/>
    </row>
    <row r="60" ht="15.75" customHeight="1" spans="1:40">
      <c r="A60" s="6"/>
      <c r="B60" s="6"/>
      <c r="C60" s="4"/>
      <c r="D60" s="7" t="s">
        <v>2289</v>
      </c>
      <c r="E60" s="6" t="s">
        <v>491</v>
      </c>
      <c r="F60" s="7" t="s">
        <v>2290</v>
      </c>
      <c r="G60" s="7"/>
      <c r="H60" s="7"/>
      <c r="I60" s="7"/>
      <c r="J60" s="7"/>
      <c r="K60" s="7"/>
      <c r="L60" s="7"/>
      <c r="M60" s="7"/>
      <c r="N60" s="51"/>
      <c r="O60" s="7"/>
      <c r="P60" s="7"/>
      <c r="Q60" s="7"/>
      <c r="R60" s="72"/>
      <c r="S60" s="59"/>
      <c r="T60" s="7"/>
      <c r="U60" s="10"/>
      <c r="V60" s="10"/>
      <c r="W60" s="10"/>
      <c r="X60" s="10"/>
      <c r="Y60" s="7"/>
      <c r="Z60" s="7"/>
      <c r="AA60" s="7"/>
      <c r="AB60" s="7"/>
      <c r="AC60" s="6"/>
      <c r="AD60" s="6"/>
      <c r="AE60" s="6"/>
      <c r="AF60" s="6"/>
      <c r="AG60" s="6"/>
      <c r="AH60" s="59"/>
      <c r="AI60" s="59"/>
      <c r="AJ60" s="59"/>
      <c r="AK60" s="59"/>
      <c r="AL60" s="6"/>
      <c r="AM60" s="6"/>
      <c r="AN60" s="6"/>
    </row>
    <row r="61" ht="15.75" customHeight="1" spans="1:40">
      <c r="A61" s="6" t="s">
        <v>2028</v>
      </c>
      <c r="B61" s="6" t="s">
        <v>550</v>
      </c>
      <c r="C61" s="4" t="s">
        <v>957</v>
      </c>
      <c r="D61" s="7" t="s">
        <v>198</v>
      </c>
      <c r="E61" s="29" t="s">
        <v>491</v>
      </c>
      <c r="F61" s="7" t="s">
        <v>2291</v>
      </c>
      <c r="G61" s="59">
        <v>1050584885</v>
      </c>
      <c r="H61" s="7" t="s">
        <v>2031</v>
      </c>
      <c r="I61" s="7"/>
      <c r="J61" s="7" t="s">
        <v>941</v>
      </c>
      <c r="K61" s="7" t="s">
        <v>942</v>
      </c>
      <c r="L61" s="7" t="s">
        <v>975</v>
      </c>
      <c r="M61" s="7" t="s">
        <v>2292</v>
      </c>
      <c r="N61" s="51">
        <v>25731</v>
      </c>
      <c r="O61" s="7" t="s">
        <v>945</v>
      </c>
      <c r="P61" s="7" t="s">
        <v>946</v>
      </c>
      <c r="Q61" s="7" t="s">
        <v>963</v>
      </c>
      <c r="R61" s="7" t="s">
        <v>2293</v>
      </c>
      <c r="S61" s="59">
        <v>87</v>
      </c>
      <c r="T61" s="7" t="s">
        <v>1011</v>
      </c>
      <c r="U61" s="7"/>
      <c r="V61" s="7" t="s">
        <v>2294</v>
      </c>
      <c r="W61" s="7" t="s">
        <v>2295</v>
      </c>
      <c r="X61" s="7" t="s">
        <v>953</v>
      </c>
      <c r="Y61" s="7" t="s">
        <v>550</v>
      </c>
      <c r="Z61" s="7" t="s">
        <v>2296</v>
      </c>
      <c r="AA61" s="7" t="s">
        <v>2297</v>
      </c>
      <c r="AB61" s="7" t="s">
        <v>2163</v>
      </c>
      <c r="AC61" s="6" t="s">
        <v>398</v>
      </c>
      <c r="AD61" s="6" t="s">
        <v>398</v>
      </c>
      <c r="AE61" s="6" t="s">
        <v>398</v>
      </c>
      <c r="AF61" s="6" t="s">
        <v>398</v>
      </c>
      <c r="AG61" s="6" t="s">
        <v>398</v>
      </c>
      <c r="AH61" s="59">
        <v>41</v>
      </c>
      <c r="AI61" s="59">
        <v>41</v>
      </c>
      <c r="AJ61" s="59">
        <v>41</v>
      </c>
      <c r="AK61" s="59">
        <v>41</v>
      </c>
      <c r="AL61" s="6" t="s">
        <v>398</v>
      </c>
      <c r="AM61" s="6" t="s">
        <v>398</v>
      </c>
      <c r="AN61" s="6" t="s">
        <v>406</v>
      </c>
    </row>
    <row r="62" ht="15.75" customHeight="1" spans="1:40">
      <c r="A62" s="6"/>
      <c r="B62" s="6"/>
      <c r="C62" s="4"/>
      <c r="D62" s="7" t="s">
        <v>2298</v>
      </c>
      <c r="E62" s="6" t="s">
        <v>491</v>
      </c>
      <c r="F62" s="7" t="s">
        <v>2299</v>
      </c>
      <c r="G62" s="7"/>
      <c r="H62" s="7"/>
      <c r="I62" s="7"/>
      <c r="J62" s="7"/>
      <c r="K62" s="7"/>
      <c r="L62" s="7"/>
      <c r="M62" s="7"/>
      <c r="N62" s="51"/>
      <c r="O62" s="7"/>
      <c r="P62" s="7"/>
      <c r="Q62" s="7"/>
      <c r="R62" s="72"/>
      <c r="S62" s="59"/>
      <c r="T62" s="7"/>
      <c r="U62" s="10"/>
      <c r="V62" s="10"/>
      <c r="W62" s="10"/>
      <c r="X62" s="10"/>
      <c r="Y62" s="7"/>
      <c r="Z62" s="7"/>
      <c r="AA62" s="7"/>
      <c r="AB62" s="7"/>
      <c r="AC62" s="6"/>
      <c r="AD62" s="6"/>
      <c r="AE62" s="6"/>
      <c r="AF62" s="6"/>
      <c r="AG62" s="6"/>
      <c r="AH62" s="59"/>
      <c r="AI62" s="59"/>
      <c r="AJ62" s="59"/>
      <c r="AK62" s="59"/>
      <c r="AL62" s="6"/>
      <c r="AM62" s="6"/>
      <c r="AN62" s="6"/>
    </row>
    <row r="63" ht="15.75" customHeight="1" spans="1:40">
      <c r="A63" s="6" t="s">
        <v>2028</v>
      </c>
      <c r="B63" s="6" t="s">
        <v>549</v>
      </c>
      <c r="C63" s="4" t="s">
        <v>957</v>
      </c>
      <c r="D63" s="7" t="s">
        <v>2300</v>
      </c>
      <c r="E63" s="29" t="s">
        <v>491</v>
      </c>
      <c r="F63" s="7" t="s">
        <v>2301</v>
      </c>
      <c r="G63" s="59">
        <v>6076832151</v>
      </c>
      <c r="H63" s="7" t="s">
        <v>2031</v>
      </c>
      <c r="I63" s="7"/>
      <c r="J63" s="7" t="s">
        <v>941</v>
      </c>
      <c r="K63" s="7" t="s">
        <v>942</v>
      </c>
      <c r="L63" s="7" t="s">
        <v>943</v>
      </c>
      <c r="M63" s="7" t="s">
        <v>2302</v>
      </c>
      <c r="N63" s="51">
        <v>33158</v>
      </c>
      <c r="O63" s="7" t="s">
        <v>1028</v>
      </c>
      <c r="P63" s="7" t="s">
        <v>946</v>
      </c>
      <c r="Q63" s="7" t="s">
        <v>2081</v>
      </c>
      <c r="R63" s="72" t="s">
        <v>2303</v>
      </c>
      <c r="S63" s="59">
        <v>73</v>
      </c>
      <c r="T63" s="7" t="s">
        <v>1011</v>
      </c>
      <c r="U63" s="7"/>
      <c r="V63" s="7" t="s">
        <v>2304</v>
      </c>
      <c r="W63" s="7" t="s">
        <v>2035</v>
      </c>
      <c r="X63" s="7" t="s">
        <v>953</v>
      </c>
      <c r="Y63" s="7" t="s">
        <v>549</v>
      </c>
      <c r="Z63" s="7" t="s">
        <v>2036</v>
      </c>
      <c r="AA63" s="7" t="s">
        <v>2305</v>
      </c>
      <c r="AB63" s="7" t="s">
        <v>2306</v>
      </c>
      <c r="AC63" s="6" t="s">
        <v>395</v>
      </c>
      <c r="AD63" s="6" t="s">
        <v>395</v>
      </c>
      <c r="AE63" s="6" t="s">
        <v>395</v>
      </c>
      <c r="AF63" s="6" t="s">
        <v>395</v>
      </c>
      <c r="AG63" s="6" t="s">
        <v>395</v>
      </c>
      <c r="AH63" s="59">
        <v>38</v>
      </c>
      <c r="AI63" s="59">
        <v>38</v>
      </c>
      <c r="AJ63" s="59">
        <v>38</v>
      </c>
      <c r="AK63" s="59">
        <v>38</v>
      </c>
      <c r="AL63" s="6" t="s">
        <v>395</v>
      </c>
      <c r="AM63" s="6" t="s">
        <v>395</v>
      </c>
      <c r="AN63" s="6" t="s">
        <v>395</v>
      </c>
    </row>
    <row r="64" ht="15.75" customHeight="1" spans="1:40">
      <c r="A64" s="6"/>
      <c r="B64" s="6"/>
      <c r="C64" s="4"/>
      <c r="D64" s="7" t="s">
        <v>2307</v>
      </c>
      <c r="E64" s="6" t="s">
        <v>490</v>
      </c>
      <c r="F64" s="7" t="s">
        <v>2308</v>
      </c>
      <c r="G64" s="7"/>
      <c r="H64" s="7"/>
      <c r="I64" s="7"/>
      <c r="J64" s="7"/>
      <c r="K64" s="7"/>
      <c r="L64" s="7"/>
      <c r="M64" s="7"/>
      <c r="N64" s="51"/>
      <c r="O64" s="7"/>
      <c r="P64" s="7"/>
      <c r="Q64" s="7"/>
      <c r="R64" s="72"/>
      <c r="S64" s="59"/>
      <c r="T64" s="7"/>
      <c r="U64" s="10"/>
      <c r="V64" s="10"/>
      <c r="W64" s="10"/>
      <c r="X64" s="10"/>
      <c r="Y64" s="7"/>
      <c r="Z64" s="7"/>
      <c r="AA64" s="7"/>
      <c r="AB64" s="7"/>
      <c r="AC64" s="6"/>
      <c r="AD64" s="6"/>
      <c r="AE64" s="6"/>
      <c r="AF64" s="6"/>
      <c r="AG64" s="6"/>
      <c r="AH64" s="59"/>
      <c r="AI64" s="59"/>
      <c r="AJ64" s="59"/>
      <c r="AK64" s="59"/>
      <c r="AL64" s="6"/>
      <c r="AM64" s="6"/>
      <c r="AN64" s="6"/>
    </row>
    <row r="65" ht="15.75" customHeight="1" spans="1:40">
      <c r="A65" s="6"/>
      <c r="B65" s="6"/>
      <c r="C65" s="4"/>
      <c r="D65" s="7" t="s">
        <v>2309</v>
      </c>
      <c r="E65" s="6" t="s">
        <v>491</v>
      </c>
      <c r="F65" s="7" t="s">
        <v>2310</v>
      </c>
      <c r="G65" s="7"/>
      <c r="H65" s="7"/>
      <c r="I65" s="7"/>
      <c r="J65" s="7"/>
      <c r="K65" s="7"/>
      <c r="L65" s="7"/>
      <c r="M65" s="7"/>
      <c r="N65" s="51"/>
      <c r="O65" s="7"/>
      <c r="P65" s="7"/>
      <c r="Q65" s="7"/>
      <c r="R65" s="72"/>
      <c r="S65" s="59"/>
      <c r="T65" s="7"/>
      <c r="U65" s="10"/>
      <c r="V65" s="10"/>
      <c r="W65" s="10"/>
      <c r="X65" s="10"/>
      <c r="Y65" s="7"/>
      <c r="Z65" s="7"/>
      <c r="AA65" s="7"/>
      <c r="AB65" s="7"/>
      <c r="AC65" s="6"/>
      <c r="AD65" s="6"/>
      <c r="AE65" s="6"/>
      <c r="AF65" s="6"/>
      <c r="AG65" s="6"/>
      <c r="AH65" s="59"/>
      <c r="AI65" s="59"/>
      <c r="AJ65" s="59"/>
      <c r="AK65" s="59"/>
      <c r="AL65" s="6"/>
      <c r="AM65" s="6"/>
      <c r="AN65" s="6"/>
    </row>
    <row r="66" ht="15.75" customHeight="1" spans="1:40">
      <c r="A66" s="6" t="s">
        <v>2028</v>
      </c>
      <c r="B66" s="6" t="s">
        <v>549</v>
      </c>
      <c r="C66" s="4" t="s">
        <v>957</v>
      </c>
      <c r="D66" s="7" t="s">
        <v>2311</v>
      </c>
      <c r="E66" s="29" t="s">
        <v>491</v>
      </c>
      <c r="F66" s="7" t="s">
        <v>2312</v>
      </c>
      <c r="G66" s="59">
        <v>4115182216</v>
      </c>
      <c r="H66" s="7" t="s">
        <v>2031</v>
      </c>
      <c r="I66" s="7"/>
      <c r="J66" s="7" t="s">
        <v>941</v>
      </c>
      <c r="K66" s="7" t="s">
        <v>942</v>
      </c>
      <c r="L66" s="7" t="s">
        <v>943</v>
      </c>
      <c r="M66" s="7" t="s">
        <v>2313</v>
      </c>
      <c r="N66" s="51">
        <v>35161</v>
      </c>
      <c r="O66" s="7" t="s">
        <v>945</v>
      </c>
      <c r="P66" s="7" t="s">
        <v>946</v>
      </c>
      <c r="Q66" s="7" t="s">
        <v>963</v>
      </c>
      <c r="R66" s="72" t="s">
        <v>2314</v>
      </c>
      <c r="S66" s="59">
        <v>78</v>
      </c>
      <c r="T66" s="7" t="s">
        <v>1044</v>
      </c>
      <c r="U66" s="7"/>
      <c r="V66" s="7" t="s">
        <v>2315</v>
      </c>
      <c r="W66" s="7" t="s">
        <v>2035</v>
      </c>
      <c r="X66" s="7" t="s">
        <v>953</v>
      </c>
      <c r="Y66" s="7" t="s">
        <v>1773</v>
      </c>
      <c r="Z66" s="7" t="s">
        <v>2316</v>
      </c>
      <c r="AA66" s="7" t="s">
        <v>2317</v>
      </c>
      <c r="AB66" s="7" t="s">
        <v>2318</v>
      </c>
      <c r="AC66" s="6" t="s">
        <v>396</v>
      </c>
      <c r="AD66" s="6" t="s">
        <v>396</v>
      </c>
      <c r="AE66" s="6" t="s">
        <v>396</v>
      </c>
      <c r="AF66" s="6" t="s">
        <v>406</v>
      </c>
      <c r="AG66" s="6" t="s">
        <v>396</v>
      </c>
      <c r="AH66" s="59">
        <v>39</v>
      </c>
      <c r="AI66" s="59">
        <v>39</v>
      </c>
      <c r="AJ66" s="59">
        <v>39</v>
      </c>
      <c r="AK66" s="59">
        <v>39</v>
      </c>
      <c r="AL66" s="6" t="s">
        <v>396</v>
      </c>
      <c r="AM66" s="6" t="s">
        <v>396</v>
      </c>
      <c r="AN66" s="6" t="s">
        <v>396</v>
      </c>
    </row>
    <row r="67" ht="15.75" customHeight="1" spans="1:40">
      <c r="A67" s="6" t="s">
        <v>2028</v>
      </c>
      <c r="B67" s="6" t="s">
        <v>550</v>
      </c>
      <c r="C67" s="4" t="s">
        <v>957</v>
      </c>
      <c r="D67" s="7" t="s">
        <v>199</v>
      </c>
      <c r="E67" s="29" t="s">
        <v>491</v>
      </c>
      <c r="F67" s="7" t="s">
        <v>2319</v>
      </c>
      <c r="G67" s="59">
        <v>1028797841</v>
      </c>
      <c r="H67" s="7" t="s">
        <v>2031</v>
      </c>
      <c r="I67" s="7"/>
      <c r="J67" s="7" t="s">
        <v>941</v>
      </c>
      <c r="K67" s="7" t="s">
        <v>941</v>
      </c>
      <c r="L67" s="7" t="s">
        <v>1080</v>
      </c>
      <c r="M67" s="7" t="s">
        <v>2320</v>
      </c>
      <c r="N67" s="51">
        <v>23416</v>
      </c>
      <c r="O67" s="7" t="s">
        <v>1028</v>
      </c>
      <c r="P67" s="7" t="s">
        <v>946</v>
      </c>
      <c r="Q67" s="7" t="s">
        <v>1245</v>
      </c>
      <c r="R67" s="7" t="s">
        <v>2321</v>
      </c>
      <c r="S67" s="59">
        <v>64</v>
      </c>
      <c r="T67" s="7" t="s">
        <v>1011</v>
      </c>
      <c r="U67" s="7"/>
      <c r="V67" s="7" t="s">
        <v>2322</v>
      </c>
      <c r="W67" s="7" t="s">
        <v>2323</v>
      </c>
      <c r="X67" s="7" t="s">
        <v>953</v>
      </c>
      <c r="Y67" s="7" t="s">
        <v>550</v>
      </c>
      <c r="Z67" s="7" t="s">
        <v>2324</v>
      </c>
      <c r="AA67" s="7" t="s">
        <v>2325</v>
      </c>
      <c r="AB67" s="7" t="s">
        <v>1086</v>
      </c>
      <c r="AC67" s="6" t="s">
        <v>396</v>
      </c>
      <c r="AD67" s="6" t="s">
        <v>396</v>
      </c>
      <c r="AE67" s="6" t="s">
        <v>396</v>
      </c>
      <c r="AF67" s="6" t="s">
        <v>396</v>
      </c>
      <c r="AG67" s="6" t="s">
        <v>396</v>
      </c>
      <c r="AH67" s="59">
        <v>38</v>
      </c>
      <c r="AI67" s="59">
        <v>38</v>
      </c>
      <c r="AJ67" s="59">
        <v>38</v>
      </c>
      <c r="AK67" s="59">
        <v>39</v>
      </c>
      <c r="AL67" s="6" t="s">
        <v>396</v>
      </c>
      <c r="AM67" s="6" t="s">
        <v>396</v>
      </c>
      <c r="AN67" s="6" t="s">
        <v>406</v>
      </c>
    </row>
    <row r="68" ht="15.75" customHeight="1" spans="1:40">
      <c r="A68" s="6" t="s">
        <v>2028</v>
      </c>
      <c r="B68" s="6" t="s">
        <v>549</v>
      </c>
      <c r="C68" s="4" t="s">
        <v>957</v>
      </c>
      <c r="D68" s="7" t="s">
        <v>2326</v>
      </c>
      <c r="E68" s="29" t="s">
        <v>971</v>
      </c>
      <c r="F68" s="7" t="s">
        <v>2327</v>
      </c>
      <c r="G68" s="59">
        <v>6107299891</v>
      </c>
      <c r="H68" s="7" t="s">
        <v>2031</v>
      </c>
      <c r="I68" s="7"/>
      <c r="J68" s="7" t="s">
        <v>942</v>
      </c>
      <c r="K68" s="7" t="s">
        <v>942</v>
      </c>
      <c r="L68" s="7" t="s">
        <v>943</v>
      </c>
      <c r="M68" s="7" t="s">
        <v>2328</v>
      </c>
      <c r="N68" s="51">
        <v>34785</v>
      </c>
      <c r="O68" s="7" t="s">
        <v>945</v>
      </c>
      <c r="P68" s="7" t="s">
        <v>946</v>
      </c>
      <c r="Q68" s="7" t="s">
        <v>963</v>
      </c>
      <c r="R68" s="72" t="s">
        <v>2329</v>
      </c>
      <c r="S68" s="59">
        <v>80</v>
      </c>
      <c r="T68" s="7" t="s">
        <v>1030</v>
      </c>
      <c r="U68" s="7"/>
      <c r="V68" s="7" t="s">
        <v>2330</v>
      </c>
      <c r="W68" s="7" t="s">
        <v>2035</v>
      </c>
      <c r="X68" s="7" t="s">
        <v>953</v>
      </c>
      <c r="Y68" s="7" t="s">
        <v>2246</v>
      </c>
      <c r="Z68" s="7" t="s">
        <v>2331</v>
      </c>
      <c r="AA68" s="7" t="s">
        <v>2332</v>
      </c>
      <c r="AB68" s="7" t="s">
        <v>1086</v>
      </c>
      <c r="AC68" s="6" t="s">
        <v>406</v>
      </c>
      <c r="AD68" s="6" t="s">
        <v>406</v>
      </c>
      <c r="AE68" s="6" t="s">
        <v>406</v>
      </c>
      <c r="AF68" s="6" t="s">
        <v>406</v>
      </c>
      <c r="AG68" s="6" t="s">
        <v>406</v>
      </c>
      <c r="AH68" s="59">
        <v>42</v>
      </c>
      <c r="AI68" s="59">
        <v>42</v>
      </c>
      <c r="AJ68" s="59">
        <v>42</v>
      </c>
      <c r="AK68" s="59">
        <v>42</v>
      </c>
      <c r="AL68" s="6" t="s">
        <v>396</v>
      </c>
      <c r="AM68" s="6" t="s">
        <v>406</v>
      </c>
      <c r="AN68" s="6" t="s">
        <v>396</v>
      </c>
    </row>
    <row r="69" ht="15.75" customHeight="1" spans="1:40">
      <c r="A69" s="6"/>
      <c r="B69" s="6"/>
      <c r="C69" s="4"/>
      <c r="D69" s="7" t="s">
        <v>2333</v>
      </c>
      <c r="E69" s="6" t="s">
        <v>491</v>
      </c>
      <c r="F69" s="7" t="s">
        <v>2334</v>
      </c>
      <c r="G69" s="7"/>
      <c r="H69" s="7"/>
      <c r="I69" s="7"/>
      <c r="J69" s="7"/>
      <c r="K69" s="7"/>
      <c r="L69" s="7"/>
      <c r="M69" s="7"/>
      <c r="N69" s="51"/>
      <c r="O69" s="7"/>
      <c r="P69" s="7"/>
      <c r="Q69" s="7"/>
      <c r="R69" s="72"/>
      <c r="S69" s="59"/>
      <c r="T69" s="7"/>
      <c r="U69" s="10"/>
      <c r="V69" s="10"/>
      <c r="W69" s="10"/>
      <c r="X69" s="10"/>
      <c r="Y69" s="7"/>
      <c r="Z69" s="7"/>
      <c r="AA69" s="7"/>
      <c r="AB69" s="7"/>
      <c r="AC69" s="6"/>
      <c r="AD69" s="6"/>
      <c r="AE69" s="6"/>
      <c r="AF69" s="6"/>
      <c r="AG69" s="6"/>
      <c r="AH69" s="59"/>
      <c r="AI69" s="59"/>
      <c r="AJ69" s="59"/>
      <c r="AK69" s="59"/>
      <c r="AL69" s="6"/>
      <c r="AM69" s="6"/>
      <c r="AN69" s="6"/>
    </row>
    <row r="70" ht="15.75" customHeight="1" spans="1:40">
      <c r="A70" s="6" t="s">
        <v>2028</v>
      </c>
      <c r="B70" s="6" t="s">
        <v>550</v>
      </c>
      <c r="C70" s="4" t="s">
        <v>957</v>
      </c>
      <c r="D70" s="7" t="s">
        <v>2335</v>
      </c>
      <c r="E70" s="29" t="s">
        <v>491</v>
      </c>
      <c r="F70" s="7" t="s">
        <v>2336</v>
      </c>
      <c r="G70" s="59">
        <v>8078341181</v>
      </c>
      <c r="H70" s="7" t="s">
        <v>2031</v>
      </c>
      <c r="I70" s="7"/>
      <c r="J70" s="7" t="s">
        <v>941</v>
      </c>
      <c r="K70" s="7" t="s">
        <v>942</v>
      </c>
      <c r="L70" s="7" t="s">
        <v>1080</v>
      </c>
      <c r="M70" s="7" t="s">
        <v>2337</v>
      </c>
      <c r="N70" s="51">
        <v>29963</v>
      </c>
      <c r="O70" s="7" t="s">
        <v>945</v>
      </c>
      <c r="P70" s="7" t="s">
        <v>946</v>
      </c>
      <c r="Q70" s="7" t="s">
        <v>947</v>
      </c>
      <c r="R70" s="7" t="s">
        <v>2338</v>
      </c>
      <c r="S70" s="59">
        <v>72</v>
      </c>
      <c r="T70" s="7" t="s">
        <v>1011</v>
      </c>
      <c r="U70" s="7"/>
      <c r="V70" s="7" t="s">
        <v>2339</v>
      </c>
      <c r="W70" s="7" t="s">
        <v>2340</v>
      </c>
      <c r="X70" s="7" t="s">
        <v>953</v>
      </c>
      <c r="Y70" s="7" t="s">
        <v>2246</v>
      </c>
      <c r="Z70" s="9" t="s">
        <v>2341</v>
      </c>
      <c r="AA70" s="7" t="s">
        <v>2342</v>
      </c>
      <c r="AB70" s="7" t="s">
        <v>2343</v>
      </c>
      <c r="AC70" s="6" t="s">
        <v>396</v>
      </c>
      <c r="AD70" s="6" t="s">
        <v>396</v>
      </c>
      <c r="AE70" s="6" t="s">
        <v>396</v>
      </c>
      <c r="AF70" s="6" t="s">
        <v>395</v>
      </c>
      <c r="AG70" s="6" t="s">
        <v>396</v>
      </c>
      <c r="AH70" s="59">
        <v>39</v>
      </c>
      <c r="AI70" s="59">
        <v>39</v>
      </c>
      <c r="AJ70" s="59">
        <v>39</v>
      </c>
      <c r="AK70" s="59">
        <v>39</v>
      </c>
      <c r="AL70" s="6" t="s">
        <v>396</v>
      </c>
      <c r="AM70" s="6" t="s">
        <v>396</v>
      </c>
      <c r="AN70" s="6" t="s">
        <v>396</v>
      </c>
    </row>
    <row r="71" ht="15.75" customHeight="1" spans="1:40">
      <c r="A71" s="6"/>
      <c r="B71" s="6"/>
      <c r="C71" s="4"/>
      <c r="D71" s="7" t="s">
        <v>2344</v>
      </c>
      <c r="E71" s="6" t="s">
        <v>490</v>
      </c>
      <c r="F71" s="7" t="s">
        <v>2345</v>
      </c>
      <c r="G71" s="7"/>
      <c r="H71" s="7"/>
      <c r="I71" s="7"/>
      <c r="J71" s="7"/>
      <c r="K71" s="7"/>
      <c r="L71" s="7"/>
      <c r="M71" s="7"/>
      <c r="N71" s="51"/>
      <c r="O71" s="7"/>
      <c r="P71" s="7"/>
      <c r="Q71" s="7"/>
      <c r="R71" s="72"/>
      <c r="S71" s="59"/>
      <c r="T71" s="7"/>
      <c r="U71" s="10"/>
      <c r="V71" s="10"/>
      <c r="W71" s="10"/>
      <c r="X71" s="10"/>
      <c r="Y71" s="7"/>
      <c r="Z71" s="7"/>
      <c r="AA71" s="7"/>
      <c r="AB71" s="7"/>
      <c r="AC71" s="6"/>
      <c r="AD71" s="6"/>
      <c r="AE71" s="6"/>
      <c r="AF71" s="6"/>
      <c r="AG71" s="6"/>
      <c r="AH71" s="59"/>
      <c r="AI71" s="59"/>
      <c r="AJ71" s="59"/>
      <c r="AK71" s="59"/>
      <c r="AL71" s="6"/>
      <c r="AM71" s="6"/>
      <c r="AN71" s="6"/>
    </row>
    <row r="72" ht="15.75" customHeight="1" spans="1:40">
      <c r="A72" s="6"/>
      <c r="B72" s="6"/>
      <c r="C72" s="4"/>
      <c r="D72" s="7" t="s">
        <v>2346</v>
      </c>
      <c r="E72" s="6" t="s">
        <v>491</v>
      </c>
      <c r="F72" s="7" t="s">
        <v>2347</v>
      </c>
      <c r="G72" s="7"/>
      <c r="H72" s="7"/>
      <c r="I72" s="7"/>
      <c r="J72" s="7"/>
      <c r="K72" s="7"/>
      <c r="L72" s="7"/>
      <c r="M72" s="7"/>
      <c r="N72" s="51"/>
      <c r="O72" s="7"/>
      <c r="P72" s="7"/>
      <c r="Q72" s="7"/>
      <c r="R72" s="72"/>
      <c r="S72" s="59"/>
      <c r="T72" s="7"/>
      <c r="U72" s="10"/>
      <c r="V72" s="10"/>
      <c r="W72" s="10"/>
      <c r="X72" s="10"/>
      <c r="Y72" s="7"/>
      <c r="Z72" s="7"/>
      <c r="AA72" s="7"/>
      <c r="AB72" s="7"/>
      <c r="AC72" s="6"/>
      <c r="AD72" s="6"/>
      <c r="AE72" s="6"/>
      <c r="AF72" s="6"/>
      <c r="AG72" s="6"/>
      <c r="AH72" s="59"/>
      <c r="AI72" s="59"/>
      <c r="AJ72" s="59"/>
      <c r="AK72" s="59"/>
      <c r="AL72" s="6"/>
      <c r="AM72" s="6"/>
      <c r="AN72" s="6"/>
    </row>
    <row r="73" ht="15.75" customHeight="1" spans="1:40">
      <c r="A73" s="6" t="s">
        <v>2028</v>
      </c>
      <c r="B73" s="6" t="s">
        <v>2039</v>
      </c>
      <c r="C73" s="4" t="s">
        <v>2040</v>
      </c>
      <c r="D73" s="7" t="s">
        <v>2348</v>
      </c>
      <c r="E73" s="29" t="s">
        <v>971</v>
      </c>
      <c r="F73" s="59">
        <v>1128551055</v>
      </c>
      <c r="G73" s="59">
        <v>6098117788</v>
      </c>
      <c r="H73" s="7" t="s">
        <v>2043</v>
      </c>
      <c r="I73" s="7" t="s">
        <v>2349</v>
      </c>
      <c r="J73" s="7" t="s">
        <v>941</v>
      </c>
      <c r="K73" s="7" t="s">
        <v>942</v>
      </c>
      <c r="L73" s="7"/>
      <c r="M73" s="7" t="s">
        <v>1441</v>
      </c>
      <c r="N73" s="51">
        <v>30466</v>
      </c>
      <c r="O73" s="7" t="s">
        <v>945</v>
      </c>
      <c r="P73" s="7" t="s">
        <v>946</v>
      </c>
      <c r="Q73" s="7" t="s">
        <v>963</v>
      </c>
      <c r="R73" s="73" t="s">
        <v>2350</v>
      </c>
      <c r="S73" s="59">
        <v>80</v>
      </c>
      <c r="T73" s="7" t="s">
        <v>1011</v>
      </c>
      <c r="U73" s="7"/>
      <c r="V73" s="7" t="s">
        <v>2351</v>
      </c>
      <c r="W73" s="7"/>
      <c r="X73" s="7" t="s">
        <v>953</v>
      </c>
      <c r="Y73" s="7" t="s">
        <v>557</v>
      </c>
      <c r="Z73" s="7" t="s">
        <v>2047</v>
      </c>
      <c r="AA73" s="7" t="s">
        <v>2352</v>
      </c>
      <c r="AB73" s="7" t="s">
        <v>1178</v>
      </c>
      <c r="AC73" s="6" t="s">
        <v>406</v>
      </c>
      <c r="AD73" s="6" t="s">
        <v>406</v>
      </c>
      <c r="AE73" s="6" t="s">
        <v>406</v>
      </c>
      <c r="AF73" s="6" t="s">
        <v>406</v>
      </c>
      <c r="AG73" s="6" t="s">
        <v>406</v>
      </c>
      <c r="AH73" s="59">
        <v>39</v>
      </c>
      <c r="AI73" s="59">
        <v>39</v>
      </c>
      <c r="AJ73" s="59">
        <v>39</v>
      </c>
      <c r="AK73" s="59">
        <v>39</v>
      </c>
      <c r="AL73" s="6" t="s">
        <v>406</v>
      </c>
      <c r="AM73" s="6" t="s">
        <v>406</v>
      </c>
      <c r="AN73" s="6" t="s">
        <v>396</v>
      </c>
    </row>
    <row r="74" ht="15.75" customHeight="1" spans="1:40">
      <c r="A74" s="6"/>
      <c r="B74" s="6"/>
      <c r="C74" s="4"/>
      <c r="D74" s="7" t="s">
        <v>2353</v>
      </c>
      <c r="E74" s="6" t="s">
        <v>490</v>
      </c>
      <c r="F74" s="7" t="s">
        <v>2354</v>
      </c>
      <c r="G74" s="7"/>
      <c r="H74" s="7"/>
      <c r="I74" s="7"/>
      <c r="J74" s="7"/>
      <c r="K74" s="7"/>
      <c r="L74" s="7"/>
      <c r="M74" s="7"/>
      <c r="N74" s="51"/>
      <c r="O74" s="7"/>
      <c r="P74" s="7"/>
      <c r="Q74" s="7"/>
      <c r="R74" s="72"/>
      <c r="S74" s="59"/>
      <c r="T74" s="7"/>
      <c r="U74" s="10"/>
      <c r="V74" s="10"/>
      <c r="W74" s="10"/>
      <c r="X74" s="10"/>
      <c r="Y74" s="7"/>
      <c r="Z74" s="7"/>
      <c r="AA74" s="7"/>
      <c r="AB74" s="7"/>
      <c r="AC74" s="6"/>
      <c r="AD74" s="6"/>
      <c r="AE74" s="6"/>
      <c r="AF74" s="6"/>
      <c r="AG74" s="6"/>
      <c r="AH74" s="59"/>
      <c r="AI74" s="59"/>
      <c r="AJ74" s="59"/>
      <c r="AK74" s="59"/>
      <c r="AL74" s="6"/>
      <c r="AM74" s="6"/>
      <c r="AN74" s="6"/>
    </row>
    <row r="75" ht="15.75" customHeight="1" spans="1:40">
      <c r="A75" s="6"/>
      <c r="B75" s="6"/>
      <c r="C75" s="4"/>
      <c r="D75" s="7" t="s">
        <v>2355</v>
      </c>
      <c r="E75" s="6" t="s">
        <v>490</v>
      </c>
      <c r="F75" s="7" t="s">
        <v>2356</v>
      </c>
      <c r="G75" s="7"/>
      <c r="H75" s="7"/>
      <c r="I75" s="7"/>
      <c r="J75" s="7"/>
      <c r="K75" s="7"/>
      <c r="L75" s="7"/>
      <c r="M75" s="7"/>
      <c r="N75" s="51"/>
      <c r="O75" s="7"/>
      <c r="P75" s="7"/>
      <c r="Q75" s="7"/>
      <c r="R75" s="72"/>
      <c r="S75" s="59"/>
      <c r="T75" s="7"/>
      <c r="U75" s="10"/>
      <c r="V75" s="10"/>
      <c r="W75" s="10"/>
      <c r="X75" s="10"/>
      <c r="Y75" s="7"/>
      <c r="Z75" s="7"/>
      <c r="AA75" s="7"/>
      <c r="AB75" s="7"/>
      <c r="AC75" s="6"/>
      <c r="AD75" s="6"/>
      <c r="AE75" s="6"/>
      <c r="AF75" s="6"/>
      <c r="AG75" s="6"/>
      <c r="AH75" s="59"/>
      <c r="AI75" s="59"/>
      <c r="AJ75" s="59"/>
      <c r="AK75" s="59"/>
      <c r="AL75" s="6"/>
      <c r="AM75" s="6"/>
      <c r="AN75" s="6"/>
    </row>
    <row r="76" ht="15.75" customHeight="1" spans="1:40">
      <c r="A76" s="6" t="s">
        <v>2028</v>
      </c>
      <c r="B76" s="6" t="s">
        <v>549</v>
      </c>
      <c r="C76" s="4" t="s">
        <v>957</v>
      </c>
      <c r="D76" s="7" t="s">
        <v>2357</v>
      </c>
      <c r="E76" s="29" t="s">
        <v>491</v>
      </c>
      <c r="F76" s="7" t="s">
        <v>2358</v>
      </c>
      <c r="G76" s="59">
        <v>5088069033</v>
      </c>
      <c r="H76" s="7" t="s">
        <v>2031</v>
      </c>
      <c r="I76" s="7"/>
      <c r="J76" s="7" t="s">
        <v>941</v>
      </c>
      <c r="K76" s="7" t="s">
        <v>942</v>
      </c>
      <c r="L76" s="7" t="s">
        <v>1080</v>
      </c>
      <c r="M76" s="7" t="s">
        <v>1518</v>
      </c>
      <c r="N76" s="51">
        <v>30032</v>
      </c>
      <c r="O76" s="7" t="s">
        <v>945</v>
      </c>
      <c r="P76" s="7" t="s">
        <v>946</v>
      </c>
      <c r="Q76" s="7" t="s">
        <v>963</v>
      </c>
      <c r="R76" s="72" t="s">
        <v>2359</v>
      </c>
      <c r="S76" s="59">
        <v>65</v>
      </c>
      <c r="T76" s="7" t="s">
        <v>1011</v>
      </c>
      <c r="U76" s="7"/>
      <c r="V76" s="7" t="s">
        <v>2360</v>
      </c>
      <c r="W76" s="7" t="s">
        <v>2035</v>
      </c>
      <c r="X76" s="7" t="s">
        <v>953</v>
      </c>
      <c r="Y76" s="7" t="s">
        <v>549</v>
      </c>
      <c r="Z76" s="7" t="s">
        <v>2036</v>
      </c>
      <c r="AA76" s="7" t="s">
        <v>2361</v>
      </c>
      <c r="AB76" s="7" t="s">
        <v>2306</v>
      </c>
      <c r="AC76" s="6" t="s">
        <v>396</v>
      </c>
      <c r="AD76" s="6" t="s">
        <v>396</v>
      </c>
      <c r="AE76" s="6" t="s">
        <v>396</v>
      </c>
      <c r="AF76" s="6" t="s">
        <v>396</v>
      </c>
      <c r="AG76" s="6" t="s">
        <v>395</v>
      </c>
      <c r="AH76" s="59">
        <v>40</v>
      </c>
      <c r="AI76" s="59">
        <v>40</v>
      </c>
      <c r="AJ76" s="59">
        <v>40</v>
      </c>
      <c r="AK76" s="59">
        <v>40</v>
      </c>
      <c r="AL76" s="6" t="s">
        <v>396</v>
      </c>
      <c r="AM76" s="6" t="s">
        <v>406</v>
      </c>
      <c r="AN76" s="6" t="s">
        <v>396</v>
      </c>
    </row>
    <row r="77" ht="15.75" customHeight="1" spans="1:40">
      <c r="A77" s="6"/>
      <c r="B77" s="6"/>
      <c r="C77" s="4"/>
      <c r="D77" s="7" t="s">
        <v>2362</v>
      </c>
      <c r="E77" s="6" t="s">
        <v>490</v>
      </c>
      <c r="F77" s="7" t="s">
        <v>2363</v>
      </c>
      <c r="G77" s="7"/>
      <c r="H77" s="7"/>
      <c r="I77" s="7"/>
      <c r="J77" s="7"/>
      <c r="K77" s="7"/>
      <c r="L77" s="7"/>
      <c r="M77" s="7"/>
      <c r="N77" s="51"/>
      <c r="O77" s="7"/>
      <c r="P77" s="7"/>
      <c r="Q77" s="7"/>
      <c r="R77" s="72"/>
      <c r="S77" s="59"/>
      <c r="T77" s="7"/>
      <c r="U77" s="10"/>
      <c r="V77" s="10"/>
      <c r="W77" s="10"/>
      <c r="X77" s="10"/>
      <c r="Y77" s="7"/>
      <c r="Z77" s="7"/>
      <c r="AA77" s="7"/>
      <c r="AB77" s="7"/>
      <c r="AC77" s="6"/>
      <c r="AD77" s="6"/>
      <c r="AE77" s="6"/>
      <c r="AF77" s="6"/>
      <c r="AG77" s="6"/>
      <c r="AH77" s="59"/>
      <c r="AI77" s="59"/>
      <c r="AJ77" s="59"/>
      <c r="AK77" s="59"/>
      <c r="AL77" s="6"/>
      <c r="AM77" s="6"/>
      <c r="AN77" s="6"/>
    </row>
    <row r="78" ht="15.75" customHeight="1" spans="1:40">
      <c r="A78" s="6" t="s">
        <v>2028</v>
      </c>
      <c r="B78" s="6" t="s">
        <v>550</v>
      </c>
      <c r="C78" s="4" t="s">
        <v>957</v>
      </c>
      <c r="D78" s="7" t="s">
        <v>2364</v>
      </c>
      <c r="E78" s="29" t="s">
        <v>491</v>
      </c>
      <c r="F78" s="7" t="s">
        <v>2365</v>
      </c>
      <c r="G78" s="59">
        <v>1042107431</v>
      </c>
      <c r="H78" s="7" t="s">
        <v>2031</v>
      </c>
      <c r="I78" s="7"/>
      <c r="J78" s="7" t="s">
        <v>941</v>
      </c>
      <c r="K78" s="7" t="s">
        <v>941</v>
      </c>
      <c r="L78" s="7" t="s">
        <v>975</v>
      </c>
      <c r="M78" s="7" t="s">
        <v>2366</v>
      </c>
      <c r="N78" s="51">
        <v>24663</v>
      </c>
      <c r="O78" s="7" t="s">
        <v>945</v>
      </c>
      <c r="P78" s="7" t="s">
        <v>946</v>
      </c>
      <c r="Q78" s="7" t="s">
        <v>963</v>
      </c>
      <c r="R78" s="7" t="s">
        <v>2367</v>
      </c>
      <c r="S78" s="59">
        <v>110</v>
      </c>
      <c r="T78" s="7" t="s">
        <v>1030</v>
      </c>
      <c r="U78" s="7"/>
      <c r="V78" s="7" t="s">
        <v>2368</v>
      </c>
      <c r="W78" s="7" t="s">
        <v>2368</v>
      </c>
      <c r="X78" s="7" t="s">
        <v>953</v>
      </c>
      <c r="Y78" s="7" t="s">
        <v>550</v>
      </c>
      <c r="Z78" s="9" t="s">
        <v>2369</v>
      </c>
      <c r="AA78" s="7" t="s">
        <v>2370</v>
      </c>
      <c r="AB78" s="7" t="s">
        <v>2371</v>
      </c>
      <c r="AC78" s="6" t="s">
        <v>398</v>
      </c>
      <c r="AD78" s="6" t="s">
        <v>398</v>
      </c>
      <c r="AE78" s="6" t="s">
        <v>398</v>
      </c>
      <c r="AF78" s="6" t="s">
        <v>398</v>
      </c>
      <c r="AG78" s="6" t="s">
        <v>398</v>
      </c>
      <c r="AH78" s="59">
        <v>44</v>
      </c>
      <c r="AI78" s="59">
        <v>44</v>
      </c>
      <c r="AJ78" s="59">
        <v>44</v>
      </c>
      <c r="AK78" s="59">
        <v>44</v>
      </c>
      <c r="AL78" s="6" t="s">
        <v>398</v>
      </c>
      <c r="AM78" s="6" t="s">
        <v>398</v>
      </c>
      <c r="AN78" s="6" t="s">
        <v>406</v>
      </c>
    </row>
    <row r="79" ht="15.75" customHeight="1" spans="1:40">
      <c r="A79" s="6"/>
      <c r="B79" s="6"/>
      <c r="C79" s="4"/>
      <c r="D79" s="7" t="s">
        <v>2372</v>
      </c>
      <c r="E79" s="6" t="s">
        <v>490</v>
      </c>
      <c r="F79" s="7" t="s">
        <v>2373</v>
      </c>
      <c r="G79" s="7"/>
      <c r="H79" s="7"/>
      <c r="I79" s="7"/>
      <c r="J79" s="7"/>
      <c r="K79" s="7"/>
      <c r="L79" s="7"/>
      <c r="M79" s="7"/>
      <c r="N79" s="51"/>
      <c r="O79" s="7"/>
      <c r="P79" s="7"/>
      <c r="Q79" s="7"/>
      <c r="R79" s="72"/>
      <c r="S79" s="59"/>
      <c r="T79" s="7"/>
      <c r="U79" s="10"/>
      <c r="V79" s="10"/>
      <c r="W79" s="10"/>
      <c r="X79" s="10"/>
      <c r="Y79" s="7"/>
      <c r="Z79" s="7"/>
      <c r="AA79" s="7"/>
      <c r="AB79" s="7"/>
      <c r="AC79" s="6"/>
      <c r="AD79" s="6"/>
      <c r="AE79" s="6"/>
      <c r="AF79" s="6"/>
      <c r="AG79" s="6"/>
      <c r="AH79" s="59"/>
      <c r="AI79" s="59"/>
      <c r="AJ79" s="59"/>
      <c r="AK79" s="59"/>
      <c r="AL79" s="6"/>
      <c r="AM79" s="6"/>
      <c r="AN79" s="6"/>
    </row>
    <row r="80" ht="15.75" customHeight="1" spans="1:40">
      <c r="A80" s="6" t="s">
        <v>2028</v>
      </c>
      <c r="B80" s="6" t="s">
        <v>550</v>
      </c>
      <c r="C80" s="4" t="s">
        <v>957</v>
      </c>
      <c r="D80" s="7" t="s">
        <v>202</v>
      </c>
      <c r="E80" s="29" t="s">
        <v>491</v>
      </c>
      <c r="F80" s="7" t="s">
        <v>2374</v>
      </c>
      <c r="G80" s="7">
        <v>1058669761</v>
      </c>
      <c r="H80" s="7" t="s">
        <v>2031</v>
      </c>
      <c r="I80" s="7"/>
      <c r="J80" s="7" t="s">
        <v>941</v>
      </c>
      <c r="K80" s="7" t="s">
        <v>942</v>
      </c>
      <c r="L80" s="7" t="s">
        <v>943</v>
      </c>
      <c r="M80" s="7" t="s">
        <v>1535</v>
      </c>
      <c r="N80" s="51" t="s">
        <v>2375</v>
      </c>
      <c r="O80" s="7" t="s">
        <v>945</v>
      </c>
      <c r="P80" s="7" t="s">
        <v>946</v>
      </c>
      <c r="Q80" s="7" t="s">
        <v>963</v>
      </c>
      <c r="R80" s="7" t="s">
        <v>2376</v>
      </c>
      <c r="S80" s="59">
        <v>80</v>
      </c>
      <c r="T80" s="7" t="s">
        <v>1030</v>
      </c>
      <c r="U80" s="7"/>
      <c r="V80" s="7" t="s">
        <v>2377</v>
      </c>
      <c r="W80" s="7" t="s">
        <v>2378</v>
      </c>
      <c r="X80" s="7" t="s">
        <v>953</v>
      </c>
      <c r="Y80" s="7" t="s">
        <v>550</v>
      </c>
      <c r="Z80" s="7" t="s">
        <v>2379</v>
      </c>
      <c r="AA80" s="7" t="s">
        <v>2380</v>
      </c>
      <c r="AB80" s="7" t="s">
        <v>2381</v>
      </c>
      <c r="AC80" s="6" t="s">
        <v>398</v>
      </c>
      <c r="AD80" s="6" t="s">
        <v>398</v>
      </c>
      <c r="AE80" s="6" t="s">
        <v>398</v>
      </c>
      <c r="AF80" s="6" t="s">
        <v>398</v>
      </c>
      <c r="AG80" s="6" t="s">
        <v>398</v>
      </c>
      <c r="AH80" s="59">
        <v>39</v>
      </c>
      <c r="AI80" s="59">
        <v>39</v>
      </c>
      <c r="AJ80" s="59">
        <v>39</v>
      </c>
      <c r="AK80" s="59">
        <v>39</v>
      </c>
      <c r="AL80" s="6" t="s">
        <v>398</v>
      </c>
      <c r="AM80" s="6" t="s">
        <v>398</v>
      </c>
      <c r="AN80" s="6" t="s">
        <v>398</v>
      </c>
    </row>
    <row r="81" ht="15.75" customHeight="1" spans="1:40">
      <c r="A81" s="6" t="s">
        <v>2028</v>
      </c>
      <c r="B81" s="6" t="s">
        <v>2111</v>
      </c>
      <c r="C81" s="4" t="s">
        <v>2040</v>
      </c>
      <c r="D81" s="7" t="s">
        <v>2382</v>
      </c>
      <c r="E81" s="29" t="s">
        <v>491</v>
      </c>
      <c r="F81" s="7"/>
      <c r="G81" s="7"/>
      <c r="H81" s="7" t="s">
        <v>2113</v>
      </c>
      <c r="I81" s="7"/>
      <c r="J81" s="7"/>
      <c r="K81" s="7"/>
      <c r="L81" s="7"/>
      <c r="M81" s="7"/>
      <c r="N81" s="15"/>
      <c r="O81" s="7"/>
      <c r="P81" s="7"/>
      <c r="Q81" s="7"/>
      <c r="R81" s="7"/>
      <c r="S81" s="7"/>
      <c r="T81" s="7"/>
      <c r="U81" s="7"/>
      <c r="V81" s="7"/>
      <c r="W81" s="7"/>
      <c r="X81" s="7"/>
      <c r="Y81" s="7"/>
      <c r="Z81" s="7"/>
      <c r="AA81" s="7"/>
      <c r="AB81" s="7"/>
      <c r="AC81" s="7"/>
      <c r="AD81" s="7"/>
      <c r="AE81" s="7"/>
      <c r="AF81" s="7"/>
      <c r="AG81" s="7"/>
      <c r="AH81" s="7"/>
      <c r="AI81" s="7"/>
      <c r="AJ81" s="7"/>
      <c r="AK81" s="7"/>
      <c r="AL81" s="7"/>
      <c r="AM81" s="7"/>
      <c r="AN81" s="7"/>
    </row>
    <row r="82" ht="15.75" customHeight="1" spans="1:40">
      <c r="A82" s="6" t="s">
        <v>2028</v>
      </c>
      <c r="B82" s="6" t="s">
        <v>549</v>
      </c>
      <c r="C82" s="4" t="s">
        <v>2040</v>
      </c>
      <c r="D82" s="7" t="s">
        <v>203</v>
      </c>
      <c r="E82" s="29" t="s">
        <v>491</v>
      </c>
      <c r="F82" s="7" t="s">
        <v>2383</v>
      </c>
      <c r="G82" s="59">
        <v>1114460718</v>
      </c>
      <c r="H82" s="7" t="s">
        <v>2031</v>
      </c>
      <c r="I82" s="7"/>
      <c r="J82" s="7" t="s">
        <v>941</v>
      </c>
      <c r="K82" s="7" t="s">
        <v>942</v>
      </c>
      <c r="L82" s="7" t="s">
        <v>975</v>
      </c>
      <c r="M82" s="7" t="s">
        <v>1441</v>
      </c>
      <c r="N82" s="51" t="s">
        <v>2384</v>
      </c>
      <c r="O82" s="7" t="s">
        <v>945</v>
      </c>
      <c r="P82" s="7" t="s">
        <v>1257</v>
      </c>
      <c r="Q82" s="7" t="s">
        <v>1245</v>
      </c>
      <c r="R82" s="75" t="s">
        <v>2385</v>
      </c>
      <c r="S82" s="59">
        <v>63</v>
      </c>
      <c r="T82" s="7" t="s">
        <v>1044</v>
      </c>
      <c r="U82" s="7"/>
      <c r="V82" s="7" t="s">
        <v>2386</v>
      </c>
      <c r="W82" s="7" t="s">
        <v>2035</v>
      </c>
      <c r="X82" s="7" t="s">
        <v>953</v>
      </c>
      <c r="Y82" s="7" t="s">
        <v>590</v>
      </c>
      <c r="Z82" s="7" t="s">
        <v>2143</v>
      </c>
      <c r="AA82" s="7" t="s">
        <v>2387</v>
      </c>
      <c r="AB82" s="7" t="s">
        <v>1086</v>
      </c>
      <c r="AC82" s="6" t="s">
        <v>396</v>
      </c>
      <c r="AD82" s="6" t="s">
        <v>396</v>
      </c>
      <c r="AE82" s="6" t="s">
        <v>396</v>
      </c>
      <c r="AF82" s="6" t="s">
        <v>396</v>
      </c>
      <c r="AG82" s="6" t="s">
        <v>396</v>
      </c>
      <c r="AH82" s="59">
        <v>38</v>
      </c>
      <c r="AI82" s="59">
        <v>38</v>
      </c>
      <c r="AJ82" s="59">
        <v>38</v>
      </c>
      <c r="AK82" s="59">
        <v>38</v>
      </c>
      <c r="AL82" s="6" t="s">
        <v>396</v>
      </c>
      <c r="AM82" s="6" t="s">
        <v>396</v>
      </c>
      <c r="AN82" s="6" t="s">
        <v>396</v>
      </c>
    </row>
    <row r="83" ht="15.75" customHeight="1" spans="1:40">
      <c r="A83" s="6" t="s">
        <v>2028</v>
      </c>
      <c r="B83" s="6" t="s">
        <v>549</v>
      </c>
      <c r="C83" s="4" t="s">
        <v>957</v>
      </c>
      <c r="D83" s="7" t="s">
        <v>2388</v>
      </c>
      <c r="E83" s="29" t="s">
        <v>491</v>
      </c>
      <c r="F83" s="7" t="s">
        <v>2389</v>
      </c>
      <c r="G83" s="59">
        <v>4083065682</v>
      </c>
      <c r="H83" s="7" t="s">
        <v>2031</v>
      </c>
      <c r="I83" s="7"/>
      <c r="J83" s="7" t="s">
        <v>941</v>
      </c>
      <c r="K83" s="7" t="s">
        <v>942</v>
      </c>
      <c r="L83" s="7" t="s">
        <v>1080</v>
      </c>
      <c r="M83" s="7" t="s">
        <v>2390</v>
      </c>
      <c r="N83" s="51">
        <v>31077</v>
      </c>
      <c r="O83" s="7" t="s">
        <v>1028</v>
      </c>
      <c r="P83" s="7" t="s">
        <v>946</v>
      </c>
      <c r="Q83" s="7" t="s">
        <v>963</v>
      </c>
      <c r="R83" s="72" t="s">
        <v>2391</v>
      </c>
      <c r="S83" s="59">
        <v>65</v>
      </c>
      <c r="T83" s="7" t="s">
        <v>1030</v>
      </c>
      <c r="U83" s="7"/>
      <c r="V83" s="7" t="s">
        <v>2392</v>
      </c>
      <c r="W83" s="7" t="s">
        <v>2035</v>
      </c>
      <c r="X83" s="7" t="s">
        <v>953</v>
      </c>
      <c r="Y83" s="7" t="s">
        <v>2279</v>
      </c>
      <c r="Z83" s="7" t="s">
        <v>2280</v>
      </c>
      <c r="AA83" s="7" t="s">
        <v>2393</v>
      </c>
      <c r="AB83" s="7" t="s">
        <v>2394</v>
      </c>
      <c r="AC83" s="6" t="s">
        <v>396</v>
      </c>
      <c r="AD83" s="6" t="s">
        <v>396</v>
      </c>
      <c r="AE83" s="6" t="s">
        <v>396</v>
      </c>
      <c r="AF83" s="6" t="s">
        <v>396</v>
      </c>
      <c r="AG83" s="6" t="s">
        <v>396</v>
      </c>
      <c r="AH83" s="59">
        <v>36</v>
      </c>
      <c r="AI83" s="59">
        <v>36</v>
      </c>
      <c r="AJ83" s="59">
        <v>36</v>
      </c>
      <c r="AK83" s="59">
        <v>36</v>
      </c>
      <c r="AL83" s="6" t="s">
        <v>395</v>
      </c>
      <c r="AM83" s="6" t="s">
        <v>396</v>
      </c>
      <c r="AN83" s="6" t="s">
        <v>395</v>
      </c>
    </row>
    <row r="84" ht="15.75" customHeight="1" spans="1:40">
      <c r="A84" s="6"/>
      <c r="B84" s="6"/>
      <c r="C84" s="4"/>
      <c r="D84" s="7" t="s">
        <v>2395</v>
      </c>
      <c r="E84" s="6" t="s">
        <v>491</v>
      </c>
      <c r="F84" s="7" t="s">
        <v>2396</v>
      </c>
      <c r="G84" s="7"/>
      <c r="H84" s="7"/>
      <c r="I84" s="7"/>
      <c r="J84" s="7"/>
      <c r="K84" s="7"/>
      <c r="L84" s="7"/>
      <c r="M84" s="7"/>
      <c r="N84" s="51"/>
      <c r="O84" s="7"/>
      <c r="P84" s="7"/>
      <c r="Q84" s="7"/>
      <c r="R84" s="72"/>
      <c r="S84" s="59"/>
      <c r="T84" s="7"/>
      <c r="U84" s="10"/>
      <c r="V84" s="10"/>
      <c r="W84" s="10"/>
      <c r="X84" s="10"/>
      <c r="Y84" s="7"/>
      <c r="Z84" s="7"/>
      <c r="AA84" s="7"/>
      <c r="AB84" s="7"/>
      <c r="AC84" s="6"/>
      <c r="AD84" s="6"/>
      <c r="AE84" s="6"/>
      <c r="AF84" s="6"/>
      <c r="AG84" s="6"/>
      <c r="AH84" s="59"/>
      <c r="AI84" s="59"/>
      <c r="AJ84" s="59"/>
      <c r="AK84" s="59"/>
      <c r="AL84" s="6"/>
      <c r="AM84" s="6"/>
      <c r="AN84" s="6"/>
    </row>
    <row r="85" ht="15.75" customHeight="1" spans="1:40">
      <c r="A85" s="6" t="s">
        <v>2028</v>
      </c>
      <c r="B85" s="6" t="s">
        <v>549</v>
      </c>
      <c r="C85" s="4" t="s">
        <v>957</v>
      </c>
      <c r="D85" s="7" t="s">
        <v>2397</v>
      </c>
      <c r="E85" s="29" t="s">
        <v>971</v>
      </c>
      <c r="F85" s="7" t="s">
        <v>2398</v>
      </c>
      <c r="G85" s="59">
        <v>6128478846</v>
      </c>
      <c r="H85" s="7" t="s">
        <v>2031</v>
      </c>
      <c r="I85" s="7"/>
      <c r="J85" s="7" t="s">
        <v>941</v>
      </c>
      <c r="K85" s="7" t="s">
        <v>942</v>
      </c>
      <c r="L85" s="7" t="s">
        <v>975</v>
      </c>
      <c r="M85" s="7" t="s">
        <v>2399</v>
      </c>
      <c r="N85" s="51">
        <v>37214</v>
      </c>
      <c r="O85" s="7" t="s">
        <v>945</v>
      </c>
      <c r="P85" s="7" t="s">
        <v>946</v>
      </c>
      <c r="Q85" s="7" t="s">
        <v>963</v>
      </c>
      <c r="R85" s="72" t="s">
        <v>2400</v>
      </c>
      <c r="S85" s="59">
        <v>80</v>
      </c>
      <c r="T85" s="7" t="s">
        <v>950</v>
      </c>
      <c r="U85" s="7"/>
      <c r="V85" s="7" t="s">
        <v>2401</v>
      </c>
      <c r="W85" s="7" t="s">
        <v>2035</v>
      </c>
      <c r="X85" s="7" t="s">
        <v>953</v>
      </c>
      <c r="Y85" s="7" t="s">
        <v>549</v>
      </c>
      <c r="Z85" s="7" t="s">
        <v>2036</v>
      </c>
      <c r="AA85" s="7" t="s">
        <v>2402</v>
      </c>
      <c r="AB85" s="7" t="s">
        <v>2038</v>
      </c>
      <c r="AC85" s="6" t="s">
        <v>406</v>
      </c>
      <c r="AD85" s="6" t="s">
        <v>406</v>
      </c>
      <c r="AE85" s="6" t="s">
        <v>406</v>
      </c>
      <c r="AF85" s="6" t="s">
        <v>406</v>
      </c>
      <c r="AG85" s="6" t="s">
        <v>406</v>
      </c>
      <c r="AH85" s="59">
        <v>40</v>
      </c>
      <c r="AI85" s="59">
        <v>40</v>
      </c>
      <c r="AJ85" s="59">
        <v>40</v>
      </c>
      <c r="AK85" s="59">
        <v>40</v>
      </c>
      <c r="AL85" s="6" t="s">
        <v>396</v>
      </c>
      <c r="AM85" s="6" t="s">
        <v>406</v>
      </c>
      <c r="AN85" s="6" t="s">
        <v>406</v>
      </c>
    </row>
    <row r="86" ht="15.75" customHeight="1" spans="1:40">
      <c r="A86" s="6"/>
      <c r="B86" s="6"/>
      <c r="C86" s="4"/>
      <c r="D86" s="7" t="s">
        <v>2403</v>
      </c>
      <c r="E86" s="6" t="s">
        <v>491</v>
      </c>
      <c r="F86" s="7" t="s">
        <v>2404</v>
      </c>
      <c r="G86" s="7"/>
      <c r="H86" s="7"/>
      <c r="I86" s="7"/>
      <c r="J86" s="7"/>
      <c r="K86" s="7"/>
      <c r="L86" s="7"/>
      <c r="M86" s="7"/>
      <c r="N86" s="51"/>
      <c r="O86" s="7"/>
      <c r="P86" s="7"/>
      <c r="Q86" s="7"/>
      <c r="R86" s="72"/>
      <c r="S86" s="59"/>
      <c r="T86" s="7"/>
      <c r="U86" s="10"/>
      <c r="V86" s="10"/>
      <c r="W86" s="10"/>
      <c r="X86" s="10"/>
      <c r="Y86" s="7"/>
      <c r="Z86" s="7"/>
      <c r="AA86" s="7"/>
      <c r="AB86" s="7"/>
      <c r="AC86" s="6"/>
      <c r="AD86" s="6"/>
      <c r="AE86" s="6"/>
      <c r="AF86" s="6"/>
      <c r="AG86" s="6"/>
      <c r="AH86" s="59"/>
      <c r="AI86" s="59"/>
      <c r="AJ86" s="59"/>
      <c r="AK86" s="59"/>
      <c r="AL86" s="6"/>
      <c r="AM86" s="6"/>
      <c r="AN86" s="6"/>
    </row>
    <row r="87" ht="15.75" customHeight="1" spans="1:40">
      <c r="A87" s="6" t="s">
        <v>2028</v>
      </c>
      <c r="B87" s="6" t="s">
        <v>549</v>
      </c>
      <c r="C87" s="4" t="s">
        <v>957</v>
      </c>
      <c r="D87" s="7" t="s">
        <v>2405</v>
      </c>
      <c r="E87" s="29" t="s">
        <v>491</v>
      </c>
      <c r="F87" s="7" t="s">
        <v>2406</v>
      </c>
      <c r="G87" s="59">
        <v>7047598797</v>
      </c>
      <c r="H87" s="7" t="s">
        <v>2031</v>
      </c>
      <c r="I87" s="7"/>
      <c r="J87" s="7" t="s">
        <v>941</v>
      </c>
      <c r="K87" s="7" t="s">
        <v>942</v>
      </c>
      <c r="L87" s="7" t="s">
        <v>1080</v>
      </c>
      <c r="M87" s="7" t="s">
        <v>2407</v>
      </c>
      <c r="N87" s="51">
        <v>25138</v>
      </c>
      <c r="O87" s="7" t="s">
        <v>945</v>
      </c>
      <c r="P87" s="7" t="s">
        <v>1257</v>
      </c>
      <c r="Q87" s="7" t="s">
        <v>2081</v>
      </c>
      <c r="R87" s="72" t="s">
        <v>2408</v>
      </c>
      <c r="S87" s="59">
        <v>80</v>
      </c>
      <c r="T87" s="7" t="s">
        <v>965</v>
      </c>
      <c r="U87" s="7"/>
      <c r="V87" s="7" t="s">
        <v>2409</v>
      </c>
      <c r="W87" s="7" t="s">
        <v>2035</v>
      </c>
      <c r="X87" s="7" t="s">
        <v>953</v>
      </c>
      <c r="Y87" s="7" t="s">
        <v>595</v>
      </c>
      <c r="Z87" s="7" t="s">
        <v>1336</v>
      </c>
      <c r="AA87" s="7" t="s">
        <v>2410</v>
      </c>
      <c r="AB87" s="7" t="s">
        <v>1086</v>
      </c>
      <c r="AC87" s="6" t="s">
        <v>398</v>
      </c>
      <c r="AD87" s="6" t="s">
        <v>398</v>
      </c>
      <c r="AE87" s="6" t="s">
        <v>398</v>
      </c>
      <c r="AF87" s="6" t="s">
        <v>398</v>
      </c>
      <c r="AG87" s="6" t="s">
        <v>398</v>
      </c>
      <c r="AH87" s="59">
        <v>41</v>
      </c>
      <c r="AI87" s="59">
        <v>41</v>
      </c>
      <c r="AJ87" s="59">
        <v>41</v>
      </c>
      <c r="AK87" s="59">
        <v>41</v>
      </c>
      <c r="AL87" s="6" t="s">
        <v>398</v>
      </c>
      <c r="AM87" s="6" t="s">
        <v>398</v>
      </c>
      <c r="AN87" s="6" t="s">
        <v>406</v>
      </c>
    </row>
    <row r="88" ht="15.75" customHeight="1" spans="1:40">
      <c r="A88" s="6"/>
      <c r="B88" s="6"/>
      <c r="C88" s="4"/>
      <c r="D88" s="7" t="s">
        <v>2411</v>
      </c>
      <c r="E88" s="6" t="s">
        <v>491</v>
      </c>
      <c r="F88" s="7" t="s">
        <v>2412</v>
      </c>
      <c r="G88" s="7"/>
      <c r="H88" s="7"/>
      <c r="I88" s="7"/>
      <c r="J88" s="7"/>
      <c r="K88" s="7"/>
      <c r="L88" s="7"/>
      <c r="M88" s="7"/>
      <c r="N88" s="51"/>
      <c r="O88" s="7"/>
      <c r="P88" s="7"/>
      <c r="Q88" s="7"/>
      <c r="R88" s="72"/>
      <c r="S88" s="59"/>
      <c r="T88" s="7"/>
      <c r="U88" s="10"/>
      <c r="V88" s="10"/>
      <c r="W88" s="10"/>
      <c r="X88" s="10"/>
      <c r="Y88" s="7"/>
      <c r="Z88" s="7"/>
      <c r="AA88" s="7"/>
      <c r="AB88" s="7"/>
      <c r="AC88" s="6"/>
      <c r="AD88" s="6"/>
      <c r="AE88" s="6"/>
      <c r="AF88" s="6"/>
      <c r="AG88" s="6"/>
      <c r="AH88" s="59"/>
      <c r="AI88" s="59"/>
      <c r="AJ88" s="59"/>
      <c r="AK88" s="59"/>
      <c r="AL88" s="6"/>
      <c r="AM88" s="6"/>
      <c r="AN88" s="6"/>
    </row>
    <row r="89" ht="15.75" customHeight="1" spans="1:40">
      <c r="A89" s="6"/>
      <c r="B89" s="6"/>
      <c r="C89" s="4"/>
      <c r="D89" s="7" t="s">
        <v>2413</v>
      </c>
      <c r="E89" s="6" t="s">
        <v>491</v>
      </c>
      <c r="F89" s="7" t="s">
        <v>2414</v>
      </c>
      <c r="G89" s="7"/>
      <c r="H89" s="7"/>
      <c r="I89" s="7"/>
      <c r="J89" s="7"/>
      <c r="K89" s="7"/>
      <c r="L89" s="7"/>
      <c r="M89" s="7"/>
      <c r="N89" s="51"/>
      <c r="O89" s="7"/>
      <c r="P89" s="7"/>
      <c r="Q89" s="7"/>
      <c r="R89" s="72"/>
      <c r="S89" s="59"/>
      <c r="T89" s="7"/>
      <c r="U89" s="10"/>
      <c r="V89" s="10"/>
      <c r="W89" s="10"/>
      <c r="X89" s="10"/>
      <c r="Y89" s="7"/>
      <c r="Z89" s="7"/>
      <c r="AA89" s="7"/>
      <c r="AB89" s="7"/>
      <c r="AC89" s="6"/>
      <c r="AD89" s="6"/>
      <c r="AE89" s="6"/>
      <c r="AF89" s="6"/>
      <c r="AG89" s="6"/>
      <c r="AH89" s="59"/>
      <c r="AI89" s="59"/>
      <c r="AJ89" s="59"/>
      <c r="AK89" s="59"/>
      <c r="AL89" s="6"/>
      <c r="AM89" s="6"/>
      <c r="AN89" s="6"/>
    </row>
    <row r="90" ht="15.75" customHeight="1" spans="1:40">
      <c r="A90" s="6"/>
      <c r="B90" s="6"/>
      <c r="C90" s="4"/>
      <c r="D90" s="7" t="s">
        <v>2415</v>
      </c>
      <c r="E90" s="6" t="s">
        <v>490</v>
      </c>
      <c r="F90" s="7" t="s">
        <v>2416</v>
      </c>
      <c r="G90" s="7"/>
      <c r="H90" s="7"/>
      <c r="I90" s="7"/>
      <c r="J90" s="7"/>
      <c r="K90" s="7"/>
      <c r="L90" s="7"/>
      <c r="M90" s="7"/>
      <c r="N90" s="51"/>
      <c r="O90" s="7"/>
      <c r="P90" s="7"/>
      <c r="Q90" s="7"/>
      <c r="R90" s="72"/>
      <c r="S90" s="59"/>
      <c r="T90" s="7"/>
      <c r="U90" s="10"/>
      <c r="V90" s="10"/>
      <c r="W90" s="10"/>
      <c r="X90" s="10"/>
      <c r="Y90" s="7"/>
      <c r="Z90" s="7"/>
      <c r="AA90" s="7"/>
      <c r="AB90" s="7"/>
      <c r="AC90" s="6"/>
      <c r="AD90" s="6"/>
      <c r="AE90" s="6"/>
      <c r="AF90" s="6"/>
      <c r="AG90" s="6"/>
      <c r="AH90" s="59"/>
      <c r="AI90" s="59"/>
      <c r="AJ90" s="59"/>
      <c r="AK90" s="59"/>
      <c r="AL90" s="6"/>
      <c r="AM90" s="6"/>
      <c r="AN90" s="6"/>
    </row>
    <row r="91" ht="15.75" customHeight="1" spans="1:40">
      <c r="A91" s="6" t="s">
        <v>2028</v>
      </c>
      <c r="B91" s="6" t="s">
        <v>2111</v>
      </c>
      <c r="C91" s="4" t="s">
        <v>2040</v>
      </c>
      <c r="D91" s="7" t="s">
        <v>2417</v>
      </c>
      <c r="E91" s="29" t="s">
        <v>491</v>
      </c>
      <c r="F91" s="7"/>
      <c r="G91" s="7"/>
      <c r="H91" s="7" t="s">
        <v>2418</v>
      </c>
      <c r="I91" s="7"/>
      <c r="J91" s="7"/>
      <c r="K91" s="7"/>
      <c r="L91" s="7"/>
      <c r="M91" s="7"/>
      <c r="N91" s="15"/>
      <c r="O91" s="7"/>
      <c r="P91" s="7"/>
      <c r="Q91" s="7"/>
      <c r="R91" s="7"/>
      <c r="S91" s="7"/>
      <c r="T91" s="7"/>
      <c r="U91" s="7"/>
      <c r="V91" s="7"/>
      <c r="W91" s="7"/>
      <c r="X91" s="7"/>
      <c r="Y91" s="7"/>
      <c r="Z91" s="7"/>
      <c r="AA91" s="7"/>
      <c r="AB91" s="7"/>
      <c r="AC91" s="7"/>
      <c r="AD91" s="7"/>
      <c r="AE91" s="7"/>
      <c r="AF91" s="7"/>
      <c r="AG91" s="7"/>
      <c r="AH91" s="7"/>
      <c r="AI91" s="7"/>
      <c r="AJ91" s="7"/>
      <c r="AK91" s="7"/>
      <c r="AL91" s="7"/>
      <c r="AM91" s="7"/>
      <c r="AN91" s="7"/>
    </row>
    <row r="92" ht="15.75" customHeight="1" spans="1:40">
      <c r="A92" s="6"/>
      <c r="B92" s="6"/>
      <c r="C92" s="4"/>
      <c r="D92" s="7" t="s">
        <v>2419</v>
      </c>
      <c r="E92" s="6" t="s">
        <v>491</v>
      </c>
      <c r="F92" s="7" t="s">
        <v>2420</v>
      </c>
      <c r="G92" s="7"/>
      <c r="H92" s="7"/>
      <c r="I92" s="7"/>
      <c r="J92" s="7"/>
      <c r="K92" s="7"/>
      <c r="L92" s="7"/>
      <c r="M92" s="7"/>
      <c r="N92" s="51"/>
      <c r="O92" s="7"/>
      <c r="P92" s="7"/>
      <c r="Q92" s="7"/>
      <c r="R92" s="72"/>
      <c r="S92" s="59"/>
      <c r="T92" s="7"/>
      <c r="U92" s="10"/>
      <c r="V92" s="10"/>
      <c r="W92" s="10"/>
      <c r="X92" s="10"/>
      <c r="Y92" s="7"/>
      <c r="Z92" s="7"/>
      <c r="AA92" s="7"/>
      <c r="AB92" s="7"/>
      <c r="AC92" s="6"/>
      <c r="AD92" s="6"/>
      <c r="AE92" s="6"/>
      <c r="AF92" s="6"/>
      <c r="AG92" s="6"/>
      <c r="AH92" s="59"/>
      <c r="AI92" s="59"/>
      <c r="AJ92" s="59"/>
      <c r="AK92" s="59"/>
      <c r="AL92" s="6"/>
      <c r="AM92" s="6"/>
      <c r="AN92" s="6"/>
    </row>
    <row r="93" ht="15.75" customHeight="1" spans="1:40">
      <c r="A93" s="6" t="s">
        <v>2028</v>
      </c>
      <c r="B93" s="6" t="s">
        <v>549</v>
      </c>
      <c r="C93" s="4" t="s">
        <v>2040</v>
      </c>
      <c r="D93" s="7" t="s">
        <v>204</v>
      </c>
      <c r="E93" s="29" t="s">
        <v>491</v>
      </c>
      <c r="F93" s="7" t="s">
        <v>2421</v>
      </c>
      <c r="G93" s="59">
        <v>5124907634</v>
      </c>
      <c r="H93" s="7" t="s">
        <v>2031</v>
      </c>
      <c r="I93" s="7"/>
      <c r="J93" s="7" t="s">
        <v>941</v>
      </c>
      <c r="K93" s="7" t="s">
        <v>942</v>
      </c>
      <c r="L93" s="7" t="s">
        <v>975</v>
      </c>
      <c r="M93" s="7" t="s">
        <v>2422</v>
      </c>
      <c r="N93" s="15" t="s">
        <v>2423</v>
      </c>
      <c r="O93" s="7" t="s">
        <v>1028</v>
      </c>
      <c r="P93" s="7" t="s">
        <v>946</v>
      </c>
      <c r="Q93" s="7" t="s">
        <v>963</v>
      </c>
      <c r="R93" s="36" t="s">
        <v>2424</v>
      </c>
      <c r="S93" s="59">
        <v>73</v>
      </c>
      <c r="T93" s="7" t="s">
        <v>1011</v>
      </c>
      <c r="U93" s="7"/>
      <c r="V93" s="7" t="s">
        <v>2425</v>
      </c>
      <c r="W93" s="7" t="s">
        <v>2035</v>
      </c>
      <c r="X93" s="7" t="s">
        <v>953</v>
      </c>
      <c r="Y93" s="7" t="s">
        <v>549</v>
      </c>
      <c r="Z93" s="7" t="s">
        <v>2036</v>
      </c>
      <c r="AA93" s="7" t="s">
        <v>2426</v>
      </c>
      <c r="AB93" s="7" t="s">
        <v>2306</v>
      </c>
      <c r="AC93" s="6" t="s">
        <v>406</v>
      </c>
      <c r="AD93" s="6" t="s">
        <v>406</v>
      </c>
      <c r="AE93" s="6" t="s">
        <v>406</v>
      </c>
      <c r="AF93" s="6" t="s">
        <v>406</v>
      </c>
      <c r="AG93" s="6" t="s">
        <v>406</v>
      </c>
      <c r="AH93" s="59">
        <v>39</v>
      </c>
      <c r="AI93" s="59">
        <v>39</v>
      </c>
      <c r="AJ93" s="59">
        <v>39</v>
      </c>
      <c r="AK93" s="59">
        <v>39</v>
      </c>
      <c r="AL93" s="6" t="s">
        <v>406</v>
      </c>
      <c r="AM93" s="6" t="s">
        <v>396</v>
      </c>
      <c r="AN93" s="6" t="s">
        <v>396</v>
      </c>
    </row>
    <row r="94" ht="15.75" customHeight="1" spans="1:40">
      <c r="A94" s="6" t="s">
        <v>2028</v>
      </c>
      <c r="B94" s="6" t="s">
        <v>2039</v>
      </c>
      <c r="C94" s="4" t="s">
        <v>2040</v>
      </c>
      <c r="D94" s="7" t="s">
        <v>2427</v>
      </c>
      <c r="E94" s="29" t="s">
        <v>491</v>
      </c>
      <c r="F94" s="59" t="s">
        <v>2428</v>
      </c>
      <c r="G94" s="59">
        <v>9019346528</v>
      </c>
      <c r="H94" s="7" t="s">
        <v>2043</v>
      </c>
      <c r="I94" s="7" t="s">
        <v>2044</v>
      </c>
      <c r="J94" s="7" t="s">
        <v>941</v>
      </c>
      <c r="K94" s="7" t="s">
        <v>942</v>
      </c>
      <c r="L94" s="7"/>
      <c r="M94" s="7" t="s">
        <v>2429</v>
      </c>
      <c r="N94" s="51">
        <v>23071</v>
      </c>
      <c r="O94" s="7" t="s">
        <v>945</v>
      </c>
      <c r="P94" s="7" t="s">
        <v>946</v>
      </c>
      <c r="Q94" s="7" t="s">
        <v>1245</v>
      </c>
      <c r="R94" s="7" t="s">
        <v>2430</v>
      </c>
      <c r="S94" s="59">
        <v>71</v>
      </c>
      <c r="T94" s="7" t="s">
        <v>1011</v>
      </c>
      <c r="U94" s="7"/>
      <c r="V94" s="7" t="s">
        <v>2431</v>
      </c>
      <c r="W94" s="7"/>
      <c r="X94" s="7" t="s">
        <v>953</v>
      </c>
      <c r="Y94" s="7" t="s">
        <v>557</v>
      </c>
      <c r="Z94" s="7" t="s">
        <v>2047</v>
      </c>
      <c r="AA94" s="7" t="s">
        <v>2432</v>
      </c>
      <c r="AB94" s="7" t="s">
        <v>1178</v>
      </c>
      <c r="AC94" s="6" t="s">
        <v>396</v>
      </c>
      <c r="AD94" s="6" t="s">
        <v>396</v>
      </c>
      <c r="AE94" s="6" t="s">
        <v>396</v>
      </c>
      <c r="AF94" s="6" t="s">
        <v>396</v>
      </c>
      <c r="AG94" s="6" t="s">
        <v>396</v>
      </c>
      <c r="AH94" s="59">
        <v>40</v>
      </c>
      <c r="AI94" s="59">
        <v>40</v>
      </c>
      <c r="AJ94" s="59">
        <v>40</v>
      </c>
      <c r="AK94" s="59">
        <v>40</v>
      </c>
      <c r="AL94" s="6" t="s">
        <v>406</v>
      </c>
      <c r="AM94" s="6" t="s">
        <v>406</v>
      </c>
      <c r="AN94" s="6" t="s">
        <v>406</v>
      </c>
    </row>
    <row r="95" ht="15.75" customHeight="1" spans="1:40">
      <c r="A95" s="6" t="s">
        <v>2028</v>
      </c>
      <c r="B95" s="6" t="s">
        <v>2039</v>
      </c>
      <c r="C95" s="4" t="s">
        <v>2040</v>
      </c>
      <c r="D95" s="7" t="s">
        <v>2433</v>
      </c>
      <c r="E95" s="29" t="s">
        <v>491</v>
      </c>
      <c r="F95" s="59" t="s">
        <v>2434</v>
      </c>
      <c r="G95" s="59">
        <v>9125051046</v>
      </c>
      <c r="H95" s="7" t="s">
        <v>2043</v>
      </c>
      <c r="I95" s="7"/>
      <c r="J95" s="7" t="s">
        <v>942</v>
      </c>
      <c r="K95" s="7" t="s">
        <v>942</v>
      </c>
      <c r="L95" s="7" t="s">
        <v>1068</v>
      </c>
      <c r="M95" s="7" t="s">
        <v>2435</v>
      </c>
      <c r="N95" s="51">
        <v>38044</v>
      </c>
      <c r="O95" s="7" t="s">
        <v>1028</v>
      </c>
      <c r="P95" s="7" t="s">
        <v>946</v>
      </c>
      <c r="Q95" s="7" t="s">
        <v>947</v>
      </c>
      <c r="R95" s="73" t="s">
        <v>2436</v>
      </c>
      <c r="S95" s="59">
        <v>83</v>
      </c>
      <c r="T95" s="7" t="s">
        <v>1044</v>
      </c>
      <c r="U95" s="7"/>
      <c r="V95" s="7">
        <v>54984310500</v>
      </c>
      <c r="W95" s="7">
        <v>54984093807</v>
      </c>
      <c r="X95" s="7" t="s">
        <v>953</v>
      </c>
      <c r="Y95" s="7" t="s">
        <v>557</v>
      </c>
      <c r="Z95" s="7" t="s">
        <v>2047</v>
      </c>
      <c r="AA95" s="7" t="s">
        <v>2437</v>
      </c>
      <c r="AB95" s="7" t="s">
        <v>1178</v>
      </c>
      <c r="AC95" s="6" t="s">
        <v>398</v>
      </c>
      <c r="AD95" s="6" t="s">
        <v>398</v>
      </c>
      <c r="AE95" s="6" t="s">
        <v>398</v>
      </c>
      <c r="AF95" s="6" t="s">
        <v>398</v>
      </c>
      <c r="AG95" s="6" t="s">
        <v>398</v>
      </c>
      <c r="AH95" s="59">
        <v>37</v>
      </c>
      <c r="AI95" s="59">
        <v>37</v>
      </c>
      <c r="AJ95" s="59">
        <v>37</v>
      </c>
      <c r="AK95" s="59">
        <v>37</v>
      </c>
      <c r="AL95" s="6" t="s">
        <v>398</v>
      </c>
      <c r="AM95" s="6" t="s">
        <v>398</v>
      </c>
      <c r="AN95" s="6" t="s">
        <v>396</v>
      </c>
    </row>
    <row r="96" ht="15.75" customHeight="1" spans="1:40">
      <c r="A96" s="6"/>
      <c r="B96" s="6"/>
      <c r="C96" s="4"/>
      <c r="D96" s="7" t="s">
        <v>2438</v>
      </c>
      <c r="E96" s="6" t="s">
        <v>490</v>
      </c>
      <c r="F96" s="7" t="s">
        <v>2439</v>
      </c>
      <c r="G96" s="7"/>
      <c r="H96" s="7"/>
      <c r="I96" s="7"/>
      <c r="J96" s="7"/>
      <c r="K96" s="7"/>
      <c r="L96" s="7"/>
      <c r="M96" s="7"/>
      <c r="N96" s="51"/>
      <c r="O96" s="7"/>
      <c r="P96" s="7"/>
      <c r="Q96" s="7"/>
      <c r="R96" s="72"/>
      <c r="S96" s="59"/>
      <c r="T96" s="7"/>
      <c r="U96" s="10"/>
      <c r="V96" s="10"/>
      <c r="W96" s="10"/>
      <c r="X96" s="10"/>
      <c r="Y96" s="7"/>
      <c r="Z96" s="7"/>
      <c r="AA96" s="7"/>
      <c r="AB96" s="7"/>
      <c r="AC96" s="6"/>
      <c r="AD96" s="6"/>
      <c r="AE96" s="6"/>
      <c r="AF96" s="6"/>
      <c r="AG96" s="6"/>
      <c r="AH96" s="59"/>
      <c r="AI96" s="59"/>
      <c r="AJ96" s="59"/>
      <c r="AK96" s="59"/>
      <c r="AL96" s="6"/>
      <c r="AM96" s="6"/>
      <c r="AN96" s="6"/>
    </row>
    <row r="97" ht="15.75" customHeight="1" spans="1:40">
      <c r="A97" s="6"/>
      <c r="B97" s="6"/>
      <c r="C97" s="4"/>
      <c r="D97" s="7" t="s">
        <v>2440</v>
      </c>
      <c r="E97" s="6" t="s">
        <v>491</v>
      </c>
      <c r="F97" s="7" t="s">
        <v>2441</v>
      </c>
      <c r="G97" s="7"/>
      <c r="H97" s="7"/>
      <c r="I97" s="7"/>
      <c r="J97" s="7"/>
      <c r="K97" s="7"/>
      <c r="L97" s="7"/>
      <c r="M97" s="7"/>
      <c r="N97" s="51"/>
      <c r="O97" s="7"/>
      <c r="P97" s="7"/>
      <c r="Q97" s="7"/>
      <c r="R97" s="72"/>
      <c r="S97" s="59"/>
      <c r="T97" s="7"/>
      <c r="U97" s="10"/>
      <c r="V97" s="10"/>
      <c r="W97" s="10"/>
      <c r="X97" s="10"/>
      <c r="Y97" s="7"/>
      <c r="Z97" s="7"/>
      <c r="AA97" s="7"/>
      <c r="AB97" s="7"/>
      <c r="AC97" s="6"/>
      <c r="AD97" s="6"/>
      <c r="AE97" s="6"/>
      <c r="AF97" s="6"/>
      <c r="AG97" s="6"/>
      <c r="AH97" s="59"/>
      <c r="AI97" s="59"/>
      <c r="AJ97" s="59"/>
      <c r="AK97" s="59"/>
      <c r="AL97" s="6"/>
      <c r="AM97" s="6"/>
      <c r="AN97" s="6"/>
    </row>
    <row r="98" ht="15.75" customHeight="1" spans="1:40">
      <c r="A98" s="6"/>
      <c r="B98" s="6"/>
      <c r="C98" s="4"/>
      <c r="D98" s="7" t="s">
        <v>2442</v>
      </c>
      <c r="E98" s="6" t="s">
        <v>491</v>
      </c>
      <c r="F98" s="7" t="s">
        <v>2443</v>
      </c>
      <c r="G98" s="7"/>
      <c r="H98" s="7"/>
      <c r="I98" s="7"/>
      <c r="J98" s="7"/>
      <c r="K98" s="7"/>
      <c r="L98" s="7"/>
      <c r="M98" s="7"/>
      <c r="N98" s="51"/>
      <c r="O98" s="7"/>
      <c r="P98" s="7"/>
      <c r="Q98" s="7"/>
      <c r="R98" s="72"/>
      <c r="S98" s="59"/>
      <c r="T98" s="7"/>
      <c r="U98" s="10"/>
      <c r="V98" s="10"/>
      <c r="W98" s="10"/>
      <c r="X98" s="10"/>
      <c r="Y98" s="7"/>
      <c r="Z98" s="7"/>
      <c r="AA98" s="7"/>
      <c r="AB98" s="7"/>
      <c r="AC98" s="6"/>
      <c r="AD98" s="6"/>
      <c r="AE98" s="6"/>
      <c r="AF98" s="6"/>
      <c r="AG98" s="6"/>
      <c r="AH98" s="59"/>
      <c r="AI98" s="59"/>
      <c r="AJ98" s="59"/>
      <c r="AK98" s="59"/>
      <c r="AL98" s="6"/>
      <c r="AM98" s="6"/>
      <c r="AN98" s="6"/>
    </row>
    <row r="99" ht="15.75" customHeight="1" spans="1:40">
      <c r="A99" s="6" t="s">
        <v>2028</v>
      </c>
      <c r="B99" s="6" t="s">
        <v>549</v>
      </c>
      <c r="C99" s="4" t="s">
        <v>2040</v>
      </c>
      <c r="D99" s="7" t="s">
        <v>2444</v>
      </c>
      <c r="E99" s="29" t="s">
        <v>491</v>
      </c>
      <c r="F99" s="7" t="s">
        <v>2445</v>
      </c>
      <c r="G99" s="59">
        <v>1010579546</v>
      </c>
      <c r="H99" s="7" t="s">
        <v>2031</v>
      </c>
      <c r="I99" s="7"/>
      <c r="J99" s="7" t="s">
        <v>941</v>
      </c>
      <c r="K99" s="7" t="s">
        <v>942</v>
      </c>
      <c r="L99" s="7" t="s">
        <v>975</v>
      </c>
      <c r="M99" s="7" t="s">
        <v>2446</v>
      </c>
      <c r="N99" s="15" t="s">
        <v>2447</v>
      </c>
      <c r="O99" s="7" t="s">
        <v>945</v>
      </c>
      <c r="P99" s="7" t="s">
        <v>946</v>
      </c>
      <c r="Q99" s="7" t="s">
        <v>963</v>
      </c>
      <c r="R99" s="7" t="s">
        <v>2448</v>
      </c>
      <c r="S99" s="59">
        <v>111</v>
      </c>
      <c r="T99" s="7" t="s">
        <v>950</v>
      </c>
      <c r="U99" s="7"/>
      <c r="V99" s="7" t="s">
        <v>2449</v>
      </c>
      <c r="W99" s="7" t="s">
        <v>2035</v>
      </c>
      <c r="X99" s="7" t="s">
        <v>953</v>
      </c>
      <c r="Y99" s="7" t="s">
        <v>549</v>
      </c>
      <c r="Z99" s="7" t="s">
        <v>2036</v>
      </c>
      <c r="AA99" s="47" t="s">
        <v>2450</v>
      </c>
      <c r="AB99" s="7" t="s">
        <v>2038</v>
      </c>
      <c r="AC99" s="6" t="s">
        <v>399</v>
      </c>
      <c r="AD99" s="6" t="s">
        <v>399</v>
      </c>
      <c r="AE99" s="6" t="s">
        <v>399</v>
      </c>
      <c r="AF99" s="6" t="s">
        <v>399</v>
      </c>
      <c r="AG99" s="6" t="s">
        <v>399</v>
      </c>
      <c r="AH99" s="59">
        <v>43</v>
      </c>
      <c r="AI99" s="59">
        <v>43</v>
      </c>
      <c r="AJ99" s="59">
        <v>43</v>
      </c>
      <c r="AK99" s="59">
        <v>43</v>
      </c>
      <c r="AL99" s="6" t="s">
        <v>399</v>
      </c>
      <c r="AM99" s="6" t="s">
        <v>399</v>
      </c>
      <c r="AN99" s="6" t="s">
        <v>398</v>
      </c>
    </row>
    <row r="100" ht="15.75" customHeight="1" spans="1:40">
      <c r="A100" s="6"/>
      <c r="B100" s="6"/>
      <c r="C100" s="4"/>
      <c r="D100" s="7" t="s">
        <v>2451</v>
      </c>
      <c r="E100" s="6" t="s">
        <v>491</v>
      </c>
      <c r="F100" s="7" t="s">
        <v>2452</v>
      </c>
      <c r="G100" s="7"/>
      <c r="H100" s="7"/>
      <c r="I100" s="7"/>
      <c r="J100" s="7"/>
      <c r="K100" s="7"/>
      <c r="L100" s="7"/>
      <c r="M100" s="7"/>
      <c r="N100" s="51"/>
      <c r="O100" s="7"/>
      <c r="P100" s="7"/>
      <c r="Q100" s="7"/>
      <c r="R100" s="72"/>
      <c r="S100" s="59"/>
      <c r="T100" s="7"/>
      <c r="U100" s="10"/>
      <c r="V100" s="10"/>
      <c r="W100" s="10"/>
      <c r="X100" s="10"/>
      <c r="Y100" s="7"/>
      <c r="Z100" s="7"/>
      <c r="AA100" s="7"/>
      <c r="AB100" s="7"/>
      <c r="AC100" s="6"/>
      <c r="AD100" s="6"/>
      <c r="AE100" s="6"/>
      <c r="AF100" s="6"/>
      <c r="AG100" s="6"/>
      <c r="AH100" s="59"/>
      <c r="AI100" s="59"/>
      <c r="AJ100" s="59"/>
      <c r="AK100" s="59"/>
      <c r="AL100" s="6"/>
      <c r="AM100" s="6"/>
      <c r="AN100" s="6"/>
    </row>
    <row r="101" ht="15.75" customHeight="1" spans="1:40">
      <c r="A101" s="6"/>
      <c r="B101" s="6"/>
      <c r="C101" s="4"/>
      <c r="D101" s="7" t="s">
        <v>2453</v>
      </c>
      <c r="E101" s="6" t="s">
        <v>490</v>
      </c>
      <c r="F101" s="7" t="s">
        <v>2454</v>
      </c>
      <c r="G101" s="7"/>
      <c r="H101" s="7"/>
      <c r="I101" s="7"/>
      <c r="J101" s="7"/>
      <c r="K101" s="7"/>
      <c r="L101" s="7"/>
      <c r="M101" s="7"/>
      <c r="N101" s="51"/>
      <c r="O101" s="7"/>
      <c r="P101" s="7"/>
      <c r="Q101" s="7"/>
      <c r="R101" s="72"/>
      <c r="S101" s="59"/>
      <c r="T101" s="7"/>
      <c r="U101" s="10"/>
      <c r="V101" s="10"/>
      <c r="W101" s="10"/>
      <c r="X101" s="10"/>
      <c r="Y101" s="7"/>
      <c r="Z101" s="7"/>
      <c r="AA101" s="7"/>
      <c r="AB101" s="7"/>
      <c r="AC101" s="6"/>
      <c r="AD101" s="6"/>
      <c r="AE101" s="6"/>
      <c r="AF101" s="6"/>
      <c r="AG101" s="6"/>
      <c r="AH101" s="59"/>
      <c r="AI101" s="59"/>
      <c r="AJ101" s="59"/>
      <c r="AK101" s="59"/>
      <c r="AL101" s="6"/>
      <c r="AM101" s="6"/>
      <c r="AN101" s="6"/>
    </row>
    <row r="102" ht="15.75" customHeight="1" spans="1:40">
      <c r="A102" s="6"/>
      <c r="B102" s="6"/>
      <c r="C102" s="4"/>
      <c r="D102" s="7" t="s">
        <v>206</v>
      </c>
      <c r="E102" s="6" t="s">
        <v>491</v>
      </c>
      <c r="F102" s="7" t="s">
        <v>2455</v>
      </c>
      <c r="G102" s="7"/>
      <c r="H102" s="7"/>
      <c r="I102" s="7"/>
      <c r="J102" s="7"/>
      <c r="K102" s="7"/>
      <c r="L102" s="7"/>
      <c r="M102" s="7"/>
      <c r="N102" s="51"/>
      <c r="O102" s="7"/>
      <c r="P102" s="7"/>
      <c r="Q102" s="7"/>
      <c r="R102" s="72"/>
      <c r="S102" s="59"/>
      <c r="T102" s="7"/>
      <c r="U102" s="10"/>
      <c r="V102" s="10"/>
      <c r="W102" s="10"/>
      <c r="X102" s="10"/>
      <c r="Y102" s="7"/>
      <c r="Z102" s="7"/>
      <c r="AA102" s="7"/>
      <c r="AB102" s="7"/>
      <c r="AC102" s="6"/>
      <c r="AD102" s="6"/>
      <c r="AE102" s="6"/>
      <c r="AF102" s="6"/>
      <c r="AG102" s="6"/>
      <c r="AH102" s="59"/>
      <c r="AI102" s="59"/>
      <c r="AJ102" s="59"/>
      <c r="AK102" s="59"/>
      <c r="AL102" s="6"/>
      <c r="AM102" s="6"/>
      <c r="AN102" s="6"/>
    </row>
    <row r="103" ht="15.75" customHeight="1" spans="1:40">
      <c r="A103" s="6" t="s">
        <v>2028</v>
      </c>
      <c r="B103" s="6" t="s">
        <v>2111</v>
      </c>
      <c r="C103" s="4" t="s">
        <v>2040</v>
      </c>
      <c r="D103" s="7" t="s">
        <v>2456</v>
      </c>
      <c r="E103" s="29" t="s">
        <v>971</v>
      </c>
      <c r="F103" s="59">
        <v>60269030034</v>
      </c>
      <c r="G103" s="59">
        <v>5048086572</v>
      </c>
      <c r="H103" s="7" t="s">
        <v>2113</v>
      </c>
      <c r="I103" s="7" t="s">
        <v>2114</v>
      </c>
      <c r="J103" s="7" t="s">
        <v>942</v>
      </c>
      <c r="K103" s="7" t="s">
        <v>942</v>
      </c>
      <c r="L103" s="7" t="s">
        <v>975</v>
      </c>
      <c r="M103" s="7" t="s">
        <v>2457</v>
      </c>
      <c r="N103" s="51">
        <v>25696</v>
      </c>
      <c r="O103" s="7" t="s">
        <v>945</v>
      </c>
      <c r="P103" s="7" t="s">
        <v>946</v>
      </c>
      <c r="Q103" s="7" t="s">
        <v>963</v>
      </c>
      <c r="R103" s="72" t="s">
        <v>2458</v>
      </c>
      <c r="S103" s="59">
        <v>89</v>
      </c>
      <c r="T103" s="7" t="s">
        <v>950</v>
      </c>
      <c r="U103" s="7"/>
      <c r="V103" s="7">
        <v>54981239604</v>
      </c>
      <c r="W103" s="7">
        <v>54996226396</v>
      </c>
      <c r="X103" s="7" t="s">
        <v>953</v>
      </c>
      <c r="Y103" s="7" t="s">
        <v>533</v>
      </c>
      <c r="Z103" s="59">
        <v>95683215</v>
      </c>
      <c r="AA103" s="7" t="s">
        <v>2459</v>
      </c>
      <c r="AB103" s="7" t="s">
        <v>2119</v>
      </c>
      <c r="AC103" s="6" t="s">
        <v>406</v>
      </c>
      <c r="AD103" s="6" t="s">
        <v>406</v>
      </c>
      <c r="AE103" s="6" t="s">
        <v>406</v>
      </c>
      <c r="AF103" s="6" t="s">
        <v>406</v>
      </c>
      <c r="AG103" s="6" t="s">
        <v>406</v>
      </c>
      <c r="AH103" s="59">
        <v>41</v>
      </c>
      <c r="AI103" s="59">
        <v>41</v>
      </c>
      <c r="AJ103" s="59">
        <v>41</v>
      </c>
      <c r="AK103" s="59">
        <v>41</v>
      </c>
      <c r="AL103" s="6" t="s">
        <v>406</v>
      </c>
      <c r="AM103" s="6" t="s">
        <v>406</v>
      </c>
      <c r="AN103" s="6" t="s">
        <v>406</v>
      </c>
    </row>
    <row r="104" ht="15.75" customHeight="1" spans="1:40">
      <c r="A104" s="6"/>
      <c r="B104" s="6"/>
      <c r="C104" s="4"/>
      <c r="D104" s="7" t="s">
        <v>2460</v>
      </c>
      <c r="E104" s="6" t="s">
        <v>491</v>
      </c>
      <c r="F104" s="7" t="s">
        <v>2461</v>
      </c>
      <c r="G104" s="7"/>
      <c r="H104" s="7"/>
      <c r="I104" s="7"/>
      <c r="J104" s="7"/>
      <c r="K104" s="7"/>
      <c r="L104" s="7"/>
      <c r="M104" s="7"/>
      <c r="N104" s="51"/>
      <c r="O104" s="7"/>
      <c r="P104" s="7"/>
      <c r="Q104" s="7"/>
      <c r="R104" s="72"/>
      <c r="S104" s="59"/>
      <c r="T104" s="7"/>
      <c r="U104" s="10"/>
      <c r="V104" s="10"/>
      <c r="W104" s="10"/>
      <c r="X104" s="10"/>
      <c r="Y104" s="7"/>
      <c r="Z104" s="7"/>
      <c r="AA104" s="7"/>
      <c r="AB104" s="7"/>
      <c r="AC104" s="6"/>
      <c r="AD104" s="6"/>
      <c r="AE104" s="6"/>
      <c r="AF104" s="6"/>
      <c r="AG104" s="6"/>
      <c r="AH104" s="59"/>
      <c r="AI104" s="59"/>
      <c r="AJ104" s="59"/>
      <c r="AK104" s="59"/>
      <c r="AL104" s="6"/>
      <c r="AM104" s="6"/>
      <c r="AN104" s="6"/>
    </row>
    <row r="105" ht="15.75" customHeight="1" spans="1:40">
      <c r="A105" s="6" t="s">
        <v>2028</v>
      </c>
      <c r="B105" s="6" t="s">
        <v>549</v>
      </c>
      <c r="C105" s="4" t="s">
        <v>2040</v>
      </c>
      <c r="D105" s="7" t="s">
        <v>207</v>
      </c>
      <c r="E105" s="29" t="s">
        <v>491</v>
      </c>
      <c r="F105" s="7" t="s">
        <v>2462</v>
      </c>
      <c r="G105" s="59">
        <v>1084964483</v>
      </c>
      <c r="H105" s="7" t="s">
        <v>2031</v>
      </c>
      <c r="I105" s="7"/>
      <c r="J105" s="7" t="s">
        <v>941</v>
      </c>
      <c r="K105" s="7" t="s">
        <v>942</v>
      </c>
      <c r="L105" s="7" t="s">
        <v>1102</v>
      </c>
      <c r="M105" s="7" t="s">
        <v>1799</v>
      </c>
      <c r="N105" s="51" t="s">
        <v>2463</v>
      </c>
      <c r="O105" s="7" t="s">
        <v>945</v>
      </c>
      <c r="P105" s="7" t="s">
        <v>1257</v>
      </c>
      <c r="Q105" s="7" t="s">
        <v>963</v>
      </c>
      <c r="R105" s="7" t="s">
        <v>2464</v>
      </c>
      <c r="S105" s="59">
        <v>75</v>
      </c>
      <c r="T105" s="7" t="s">
        <v>1011</v>
      </c>
      <c r="U105" s="7"/>
      <c r="V105" s="7" t="s">
        <v>2465</v>
      </c>
      <c r="W105" s="7" t="s">
        <v>2035</v>
      </c>
      <c r="X105" s="7" t="s">
        <v>953</v>
      </c>
      <c r="Y105" s="7" t="s">
        <v>549</v>
      </c>
      <c r="Z105" s="7" t="s">
        <v>2036</v>
      </c>
      <c r="AA105" s="7" t="s">
        <v>2466</v>
      </c>
      <c r="AB105" s="7" t="s">
        <v>1110</v>
      </c>
      <c r="AC105" s="6" t="s">
        <v>406</v>
      </c>
      <c r="AD105" s="6" t="s">
        <v>406</v>
      </c>
      <c r="AE105" s="6" t="s">
        <v>406</v>
      </c>
      <c r="AF105" s="6" t="s">
        <v>406</v>
      </c>
      <c r="AG105" s="6" t="s">
        <v>406</v>
      </c>
      <c r="AH105" s="59">
        <v>40</v>
      </c>
      <c r="AI105" s="59">
        <v>40</v>
      </c>
      <c r="AJ105" s="59">
        <v>40</v>
      </c>
      <c r="AK105" s="59">
        <v>40</v>
      </c>
      <c r="AL105" s="6" t="s">
        <v>396</v>
      </c>
      <c r="AM105" s="6" t="s">
        <v>396</v>
      </c>
      <c r="AN105" s="6" t="s">
        <v>396</v>
      </c>
    </row>
    <row r="106" ht="15.75" customHeight="1" spans="1:40">
      <c r="A106" s="6" t="s">
        <v>2028</v>
      </c>
      <c r="B106" s="6" t="s">
        <v>549</v>
      </c>
      <c r="C106" s="4" t="s">
        <v>2040</v>
      </c>
      <c r="D106" s="7" t="s">
        <v>208</v>
      </c>
      <c r="E106" s="29" t="s">
        <v>491</v>
      </c>
      <c r="F106" s="7" t="s">
        <v>2467</v>
      </c>
      <c r="G106" s="59">
        <v>7104765362</v>
      </c>
      <c r="H106" s="7" t="s">
        <v>2031</v>
      </c>
      <c r="I106" s="7"/>
      <c r="J106" s="7" t="s">
        <v>941</v>
      </c>
      <c r="K106" s="7" t="s">
        <v>942</v>
      </c>
      <c r="L106" s="7" t="s">
        <v>943</v>
      </c>
      <c r="M106" s="7" t="s">
        <v>2468</v>
      </c>
      <c r="N106" s="15" t="s">
        <v>2469</v>
      </c>
      <c r="O106" s="7" t="s">
        <v>945</v>
      </c>
      <c r="P106" s="7" t="s">
        <v>946</v>
      </c>
      <c r="Q106" s="7" t="s">
        <v>1227</v>
      </c>
      <c r="R106" s="7" t="s">
        <v>2470</v>
      </c>
      <c r="S106" s="59">
        <v>79</v>
      </c>
      <c r="T106" s="7" t="s">
        <v>1011</v>
      </c>
      <c r="U106" s="7"/>
      <c r="V106" s="7" t="s">
        <v>2471</v>
      </c>
      <c r="W106" s="7" t="s">
        <v>2035</v>
      </c>
      <c r="X106" s="7" t="s">
        <v>953</v>
      </c>
      <c r="Y106" s="7" t="s">
        <v>549</v>
      </c>
      <c r="Z106" s="7" t="s">
        <v>2036</v>
      </c>
      <c r="AA106" s="7" t="s">
        <v>2472</v>
      </c>
      <c r="AB106" s="7" t="s">
        <v>2306</v>
      </c>
      <c r="AC106" s="6" t="s">
        <v>396</v>
      </c>
      <c r="AD106" s="6" t="s">
        <v>396</v>
      </c>
      <c r="AE106" s="6" t="s">
        <v>396</v>
      </c>
      <c r="AF106" s="6" t="s">
        <v>406</v>
      </c>
      <c r="AG106" s="6" t="s">
        <v>396</v>
      </c>
      <c r="AH106" s="59">
        <v>42</v>
      </c>
      <c r="AI106" s="59">
        <v>42</v>
      </c>
      <c r="AJ106" s="59">
        <v>42</v>
      </c>
      <c r="AK106" s="59">
        <v>42</v>
      </c>
      <c r="AL106" s="6" t="s">
        <v>396</v>
      </c>
      <c r="AM106" s="6" t="s">
        <v>396</v>
      </c>
      <c r="AN106" s="6" t="s">
        <v>396</v>
      </c>
    </row>
    <row r="107" ht="15.75" customHeight="1" spans="1:40">
      <c r="A107" s="6"/>
      <c r="B107" s="6"/>
      <c r="C107" s="4"/>
      <c r="D107" s="7" t="s">
        <v>2473</v>
      </c>
      <c r="E107" s="6" t="s">
        <v>490</v>
      </c>
      <c r="F107" s="7" t="s">
        <v>2474</v>
      </c>
      <c r="G107" s="7"/>
      <c r="H107" s="7"/>
      <c r="I107" s="7"/>
      <c r="J107" s="7"/>
      <c r="K107" s="7"/>
      <c r="L107" s="7"/>
      <c r="M107" s="7"/>
      <c r="N107" s="51"/>
      <c r="O107" s="7"/>
      <c r="P107" s="7"/>
      <c r="Q107" s="7"/>
      <c r="R107" s="72"/>
      <c r="S107" s="59"/>
      <c r="T107" s="7"/>
      <c r="U107" s="10"/>
      <c r="V107" s="10"/>
      <c r="W107" s="10"/>
      <c r="X107" s="10"/>
      <c r="Y107" s="7"/>
      <c r="Z107" s="7"/>
      <c r="AA107" s="7"/>
      <c r="AB107" s="7"/>
      <c r="AC107" s="6"/>
      <c r="AD107" s="6"/>
      <c r="AE107" s="6"/>
      <c r="AF107" s="6"/>
      <c r="AG107" s="6"/>
      <c r="AH107" s="59"/>
      <c r="AI107" s="59"/>
      <c r="AJ107" s="59"/>
      <c r="AK107" s="59"/>
      <c r="AL107" s="6"/>
      <c r="AM107" s="6"/>
      <c r="AN107" s="6"/>
    </row>
    <row r="108" ht="15.75" customHeight="1" spans="1:40">
      <c r="A108" s="6"/>
      <c r="B108" s="6"/>
      <c r="C108" s="4"/>
      <c r="D108" s="7" t="s">
        <v>2475</v>
      </c>
      <c r="E108" s="6" t="s">
        <v>491</v>
      </c>
      <c r="F108" s="7" t="s">
        <v>2476</v>
      </c>
      <c r="G108" s="7"/>
      <c r="H108" s="7"/>
      <c r="I108" s="7"/>
      <c r="J108" s="7"/>
      <c r="K108" s="7"/>
      <c r="L108" s="7"/>
      <c r="M108" s="7"/>
      <c r="N108" s="51"/>
      <c r="O108" s="7"/>
      <c r="P108" s="7"/>
      <c r="Q108" s="7"/>
      <c r="R108" s="72"/>
      <c r="S108" s="59"/>
      <c r="T108" s="7"/>
      <c r="U108" s="10"/>
      <c r="V108" s="10"/>
      <c r="W108" s="10"/>
      <c r="X108" s="10"/>
      <c r="Y108" s="7"/>
      <c r="Z108" s="7"/>
      <c r="AA108" s="7"/>
      <c r="AB108" s="7"/>
      <c r="AC108" s="6"/>
      <c r="AD108" s="6"/>
      <c r="AE108" s="6"/>
      <c r="AF108" s="6"/>
      <c r="AG108" s="6"/>
      <c r="AH108" s="59"/>
      <c r="AI108" s="59"/>
      <c r="AJ108" s="59"/>
      <c r="AK108" s="59"/>
      <c r="AL108" s="6"/>
      <c r="AM108" s="6"/>
      <c r="AN108" s="6"/>
    </row>
    <row r="109" ht="15.75" customHeight="1" spans="1:40">
      <c r="A109" s="6" t="s">
        <v>2028</v>
      </c>
      <c r="B109" s="6" t="s">
        <v>2111</v>
      </c>
      <c r="C109" s="4" t="s">
        <v>2040</v>
      </c>
      <c r="D109" s="7" t="s">
        <v>2477</v>
      </c>
      <c r="E109" s="29" t="s">
        <v>971</v>
      </c>
      <c r="F109" s="59">
        <v>63739712015</v>
      </c>
      <c r="G109" s="59">
        <v>9043424879</v>
      </c>
      <c r="H109" s="7" t="s">
        <v>2418</v>
      </c>
      <c r="I109" s="7" t="s">
        <v>2478</v>
      </c>
      <c r="J109" s="7" t="s">
        <v>942</v>
      </c>
      <c r="K109" s="7" t="s">
        <v>942</v>
      </c>
      <c r="L109" s="7" t="s">
        <v>975</v>
      </c>
      <c r="M109" s="7" t="s">
        <v>2479</v>
      </c>
      <c r="N109" s="51">
        <v>26044</v>
      </c>
      <c r="O109" s="7" t="s">
        <v>945</v>
      </c>
      <c r="P109" s="7" t="s">
        <v>946</v>
      </c>
      <c r="Q109" s="7" t="s">
        <v>963</v>
      </c>
      <c r="R109" s="72" t="s">
        <v>2480</v>
      </c>
      <c r="S109" s="59">
        <v>78</v>
      </c>
      <c r="T109" s="7" t="s">
        <v>1011</v>
      </c>
      <c r="U109" s="7"/>
      <c r="V109" s="7">
        <v>54999237125</v>
      </c>
      <c r="W109" s="7" t="s">
        <v>2481</v>
      </c>
      <c r="X109" s="7" t="s">
        <v>953</v>
      </c>
      <c r="Y109" s="7" t="s">
        <v>533</v>
      </c>
      <c r="Z109" s="7" t="s">
        <v>2482</v>
      </c>
      <c r="AA109" s="7" t="s">
        <v>2483</v>
      </c>
      <c r="AB109" s="7" t="s">
        <v>2484</v>
      </c>
      <c r="AC109" s="6" t="s">
        <v>396</v>
      </c>
      <c r="AD109" s="6" t="s">
        <v>396</v>
      </c>
      <c r="AE109" s="6" t="s">
        <v>406</v>
      </c>
      <c r="AF109" s="6" t="s">
        <v>406</v>
      </c>
      <c r="AG109" s="6" t="s">
        <v>406</v>
      </c>
      <c r="AH109" s="59">
        <v>41</v>
      </c>
      <c r="AI109" s="59">
        <v>41</v>
      </c>
      <c r="AJ109" s="59">
        <v>41</v>
      </c>
      <c r="AK109" s="59">
        <v>41</v>
      </c>
      <c r="AL109" s="6" t="s">
        <v>406</v>
      </c>
      <c r="AM109" s="6" t="s">
        <v>406</v>
      </c>
      <c r="AN109" s="6" t="s">
        <v>396</v>
      </c>
    </row>
    <row r="110" ht="15.75" customHeight="1" spans="1:40">
      <c r="A110" s="6"/>
      <c r="B110" s="6"/>
      <c r="C110" s="4"/>
      <c r="D110" s="7" t="s">
        <v>2485</v>
      </c>
      <c r="E110" s="6" t="s">
        <v>491</v>
      </c>
      <c r="F110" s="7" t="s">
        <v>2486</v>
      </c>
      <c r="G110" s="7"/>
      <c r="H110" s="7"/>
      <c r="I110" s="7"/>
      <c r="J110" s="7"/>
      <c r="K110" s="7"/>
      <c r="L110" s="7"/>
      <c r="M110" s="7"/>
      <c r="N110" s="51"/>
      <c r="O110" s="7"/>
      <c r="P110" s="7"/>
      <c r="Q110" s="7"/>
      <c r="R110" s="72"/>
      <c r="S110" s="59"/>
      <c r="T110" s="7"/>
      <c r="U110" s="10"/>
      <c r="V110" s="10"/>
      <c r="W110" s="10"/>
      <c r="X110" s="10"/>
      <c r="Y110" s="7"/>
      <c r="Z110" s="7"/>
      <c r="AA110" s="7"/>
      <c r="AB110" s="7"/>
      <c r="AC110" s="6"/>
      <c r="AD110" s="6"/>
      <c r="AE110" s="6"/>
      <c r="AF110" s="6"/>
      <c r="AG110" s="6"/>
      <c r="AH110" s="59"/>
      <c r="AI110" s="59"/>
      <c r="AJ110" s="59"/>
      <c r="AK110" s="59"/>
      <c r="AL110" s="6"/>
      <c r="AM110" s="6"/>
      <c r="AN110" s="6"/>
    </row>
    <row r="111" ht="15.75" customHeight="1" spans="1:40">
      <c r="A111" s="6"/>
      <c r="B111" s="6"/>
      <c r="C111" s="4"/>
      <c r="D111" s="7" t="s">
        <v>2487</v>
      </c>
      <c r="E111" s="6" t="s">
        <v>491</v>
      </c>
      <c r="F111" s="7" t="s">
        <v>2488</v>
      </c>
      <c r="G111" s="7"/>
      <c r="H111" s="7"/>
      <c r="I111" s="7"/>
      <c r="J111" s="7"/>
      <c r="K111" s="7"/>
      <c r="L111" s="7"/>
      <c r="M111" s="7"/>
      <c r="N111" s="51"/>
      <c r="O111" s="7"/>
      <c r="P111" s="7"/>
      <c r="Q111" s="7"/>
      <c r="R111" s="72"/>
      <c r="S111" s="59"/>
      <c r="T111" s="7"/>
      <c r="U111" s="10"/>
      <c r="V111" s="10"/>
      <c r="W111" s="10"/>
      <c r="X111" s="10"/>
      <c r="Y111" s="7"/>
      <c r="Z111" s="7"/>
      <c r="AA111" s="7"/>
      <c r="AB111" s="7"/>
      <c r="AC111" s="6"/>
      <c r="AD111" s="6"/>
      <c r="AE111" s="6"/>
      <c r="AF111" s="6"/>
      <c r="AG111" s="6"/>
      <c r="AH111" s="59"/>
      <c r="AI111" s="59"/>
      <c r="AJ111" s="59"/>
      <c r="AK111" s="59"/>
      <c r="AL111" s="6"/>
      <c r="AM111" s="6"/>
      <c r="AN111" s="6"/>
    </row>
    <row r="112" ht="15.75" customHeight="1" spans="1:40">
      <c r="A112" s="6"/>
      <c r="B112" s="6"/>
      <c r="C112" s="4"/>
      <c r="D112" s="7" t="s">
        <v>2489</v>
      </c>
      <c r="E112" s="6" t="s">
        <v>491</v>
      </c>
      <c r="F112" s="7" t="s">
        <v>2490</v>
      </c>
      <c r="G112" s="7"/>
      <c r="H112" s="7"/>
      <c r="I112" s="7"/>
      <c r="J112" s="7"/>
      <c r="K112" s="7"/>
      <c r="L112" s="7"/>
      <c r="M112" s="7"/>
      <c r="N112" s="51"/>
      <c r="O112" s="7"/>
      <c r="P112" s="7"/>
      <c r="Q112" s="7"/>
      <c r="R112" s="72"/>
      <c r="S112" s="59"/>
      <c r="T112" s="7"/>
      <c r="U112" s="10"/>
      <c r="V112" s="10"/>
      <c r="W112" s="10"/>
      <c r="X112" s="10"/>
      <c r="Y112" s="7"/>
      <c r="Z112" s="7"/>
      <c r="AA112" s="7"/>
      <c r="AB112" s="7"/>
      <c r="AC112" s="6"/>
      <c r="AD112" s="6"/>
      <c r="AE112" s="6"/>
      <c r="AF112" s="6"/>
      <c r="AG112" s="6"/>
      <c r="AH112" s="59"/>
      <c r="AI112" s="59"/>
      <c r="AJ112" s="59"/>
      <c r="AK112" s="59"/>
      <c r="AL112" s="6"/>
      <c r="AM112" s="6"/>
      <c r="AN112" s="6"/>
    </row>
    <row r="113" ht="15.75" customHeight="1" spans="1:40">
      <c r="A113" s="6" t="s">
        <v>2028</v>
      </c>
      <c r="B113" s="6" t="s">
        <v>2039</v>
      </c>
      <c r="C113" s="4" t="s">
        <v>2040</v>
      </c>
      <c r="D113" s="7" t="s">
        <v>2491</v>
      </c>
      <c r="E113" s="29" t="s">
        <v>491</v>
      </c>
      <c r="F113" s="59" t="s">
        <v>2492</v>
      </c>
      <c r="G113" s="59">
        <v>1082451459</v>
      </c>
      <c r="H113" s="7" t="s">
        <v>2071</v>
      </c>
      <c r="I113" s="7" t="s">
        <v>2493</v>
      </c>
      <c r="J113" s="7" t="s">
        <v>941</v>
      </c>
      <c r="K113" s="7" t="s">
        <v>942</v>
      </c>
      <c r="L113" s="7" t="s">
        <v>975</v>
      </c>
      <c r="M113" s="7" t="s">
        <v>2494</v>
      </c>
      <c r="N113" s="51">
        <v>29959</v>
      </c>
      <c r="O113" s="7" t="s">
        <v>945</v>
      </c>
      <c r="P113" s="7" t="s">
        <v>946</v>
      </c>
      <c r="Q113" s="7" t="s">
        <v>963</v>
      </c>
      <c r="R113" s="73" t="s">
        <v>2495</v>
      </c>
      <c r="S113" s="59">
        <v>82</v>
      </c>
      <c r="T113" s="7" t="s">
        <v>1011</v>
      </c>
      <c r="U113" s="7"/>
      <c r="V113" s="7">
        <v>54996202731</v>
      </c>
      <c r="W113" s="7">
        <v>54996091568</v>
      </c>
      <c r="X113" s="7" t="s">
        <v>953</v>
      </c>
      <c r="Y113" s="7" t="s">
        <v>557</v>
      </c>
      <c r="Z113" s="7" t="s">
        <v>2047</v>
      </c>
      <c r="AA113" s="7" t="s">
        <v>2496</v>
      </c>
      <c r="AB113" s="7" t="s">
        <v>2273</v>
      </c>
      <c r="AC113" s="6" t="s">
        <v>406</v>
      </c>
      <c r="AD113" s="6" t="s">
        <v>406</v>
      </c>
      <c r="AE113" s="6" t="s">
        <v>406</v>
      </c>
      <c r="AF113" s="6" t="s">
        <v>406</v>
      </c>
      <c r="AG113" s="6" t="s">
        <v>406</v>
      </c>
      <c r="AH113" s="59">
        <v>39</v>
      </c>
      <c r="AI113" s="59">
        <v>39</v>
      </c>
      <c r="AJ113" s="59">
        <v>39</v>
      </c>
      <c r="AK113" s="59">
        <v>39</v>
      </c>
      <c r="AL113" s="6" t="s">
        <v>406</v>
      </c>
      <c r="AM113" s="6" t="s">
        <v>406</v>
      </c>
      <c r="AN113" s="6" t="s">
        <v>406</v>
      </c>
    </row>
    <row r="114" ht="15.75" customHeight="1" spans="1:40">
      <c r="A114" s="6" t="s">
        <v>2028</v>
      </c>
      <c r="B114" s="6" t="s">
        <v>2039</v>
      </c>
      <c r="C114" s="4" t="s">
        <v>2040</v>
      </c>
      <c r="D114" s="7" t="s">
        <v>2497</v>
      </c>
      <c r="E114" s="29" t="s">
        <v>491</v>
      </c>
      <c r="F114" s="59">
        <v>65464397000</v>
      </c>
      <c r="G114" s="59">
        <v>1060573209</v>
      </c>
      <c r="H114" s="7" t="s">
        <v>2043</v>
      </c>
      <c r="I114" s="7" t="s">
        <v>2498</v>
      </c>
      <c r="J114" s="7" t="s">
        <v>941</v>
      </c>
      <c r="K114" s="7" t="s">
        <v>942</v>
      </c>
      <c r="L114" s="7" t="s">
        <v>1080</v>
      </c>
      <c r="M114" s="7" t="s">
        <v>1290</v>
      </c>
      <c r="N114" s="51">
        <v>27994</v>
      </c>
      <c r="O114" s="7" t="s">
        <v>945</v>
      </c>
      <c r="P114" s="7" t="s">
        <v>946</v>
      </c>
      <c r="Q114" s="7" t="s">
        <v>1054</v>
      </c>
      <c r="R114" s="73" t="s">
        <v>2499</v>
      </c>
      <c r="S114" s="59">
        <v>83</v>
      </c>
      <c r="T114" s="7" t="s">
        <v>1011</v>
      </c>
      <c r="U114" s="7"/>
      <c r="V114" s="7" t="s">
        <v>2500</v>
      </c>
      <c r="W114" s="7" t="s">
        <v>2501</v>
      </c>
      <c r="X114" s="7" t="s">
        <v>953</v>
      </c>
      <c r="Y114" s="7" t="s">
        <v>557</v>
      </c>
      <c r="Z114" s="7" t="s">
        <v>2047</v>
      </c>
      <c r="AA114" s="7" t="s">
        <v>2502</v>
      </c>
      <c r="AB114" s="7" t="s">
        <v>1178</v>
      </c>
      <c r="AC114" s="6" t="s">
        <v>396</v>
      </c>
      <c r="AD114" s="6" t="s">
        <v>396</v>
      </c>
      <c r="AE114" s="6" t="s">
        <v>396</v>
      </c>
      <c r="AF114" s="6" t="s">
        <v>406</v>
      </c>
      <c r="AG114" s="6" t="s">
        <v>396</v>
      </c>
      <c r="AH114" s="59">
        <v>40</v>
      </c>
      <c r="AI114" s="59">
        <v>40</v>
      </c>
      <c r="AJ114" s="59">
        <v>40</v>
      </c>
      <c r="AK114" s="59">
        <v>40</v>
      </c>
      <c r="AL114" s="6" t="s">
        <v>406</v>
      </c>
      <c r="AM114" s="6" t="s">
        <v>396</v>
      </c>
      <c r="AN114" s="6" t="s">
        <v>396</v>
      </c>
    </row>
    <row r="115" ht="15.75" customHeight="1" spans="1:40">
      <c r="A115" s="6" t="s">
        <v>2028</v>
      </c>
      <c r="B115" s="6" t="s">
        <v>2039</v>
      </c>
      <c r="C115" s="4" t="s">
        <v>2040</v>
      </c>
      <c r="D115" s="7" t="s">
        <v>2503</v>
      </c>
      <c r="E115" s="29" t="s">
        <v>491</v>
      </c>
      <c r="F115" s="59">
        <v>467048096</v>
      </c>
      <c r="G115" s="59">
        <v>1077648821</v>
      </c>
      <c r="H115" s="7" t="s">
        <v>2043</v>
      </c>
      <c r="I115" s="7" t="s">
        <v>2504</v>
      </c>
      <c r="J115" s="7" t="s">
        <v>942</v>
      </c>
      <c r="K115" s="7" t="s">
        <v>942</v>
      </c>
      <c r="L115" s="7" t="s">
        <v>943</v>
      </c>
      <c r="M115" s="7" t="s">
        <v>2505</v>
      </c>
      <c r="N115" s="51">
        <v>28792</v>
      </c>
      <c r="O115" s="7" t="s">
        <v>1028</v>
      </c>
      <c r="P115" s="7" t="s">
        <v>946</v>
      </c>
      <c r="Q115" s="7" t="s">
        <v>963</v>
      </c>
      <c r="R115" s="73" t="s">
        <v>2506</v>
      </c>
      <c r="S115" s="59">
        <v>98</v>
      </c>
      <c r="T115" s="7" t="s">
        <v>1030</v>
      </c>
      <c r="U115" s="7"/>
      <c r="V115" s="7">
        <v>54999485426</v>
      </c>
      <c r="W115" s="7" t="s">
        <v>2507</v>
      </c>
      <c r="X115" s="7" t="s">
        <v>953</v>
      </c>
      <c r="Y115" s="7" t="s">
        <v>557</v>
      </c>
      <c r="Z115" s="7" t="s">
        <v>2047</v>
      </c>
      <c r="AA115" s="7" t="s">
        <v>2508</v>
      </c>
      <c r="AB115" s="7" t="s">
        <v>2273</v>
      </c>
      <c r="AC115" s="6" t="s">
        <v>399</v>
      </c>
      <c r="AD115" s="6" t="s">
        <v>399</v>
      </c>
      <c r="AE115" s="6" t="s">
        <v>399</v>
      </c>
      <c r="AF115" s="6" t="s">
        <v>399</v>
      </c>
      <c r="AG115" s="6" t="s">
        <v>399</v>
      </c>
      <c r="AH115" s="59">
        <v>39</v>
      </c>
      <c r="AI115" s="59">
        <v>39</v>
      </c>
      <c r="AJ115" s="59">
        <v>39</v>
      </c>
      <c r="AK115" s="59">
        <v>39</v>
      </c>
      <c r="AL115" s="6" t="s">
        <v>399</v>
      </c>
      <c r="AM115" s="6" t="s">
        <v>399</v>
      </c>
      <c r="AN115" s="6" t="s">
        <v>396</v>
      </c>
    </row>
    <row r="116" ht="15.75" customHeight="1" spans="1:40">
      <c r="A116" s="6"/>
      <c r="B116" s="6"/>
      <c r="C116" s="4"/>
      <c r="D116" s="7" t="s">
        <v>2509</v>
      </c>
      <c r="E116" s="6" t="s">
        <v>491</v>
      </c>
      <c r="F116" s="7" t="s">
        <v>2510</v>
      </c>
      <c r="G116" s="7"/>
      <c r="H116" s="7"/>
      <c r="I116" s="7"/>
      <c r="J116" s="7"/>
      <c r="K116" s="7"/>
      <c r="L116" s="7"/>
      <c r="M116" s="7"/>
      <c r="N116" s="51"/>
      <c r="O116" s="7"/>
      <c r="P116" s="7"/>
      <c r="Q116" s="7"/>
      <c r="R116" s="72"/>
      <c r="S116" s="59"/>
      <c r="T116" s="7"/>
      <c r="U116" s="10"/>
      <c r="V116" s="10"/>
      <c r="W116" s="10"/>
      <c r="X116" s="10"/>
      <c r="Y116" s="7"/>
      <c r="Z116" s="7"/>
      <c r="AA116" s="7"/>
      <c r="AB116" s="7"/>
      <c r="AC116" s="6"/>
      <c r="AD116" s="6"/>
      <c r="AE116" s="6"/>
      <c r="AF116" s="6"/>
      <c r="AG116" s="6"/>
      <c r="AH116" s="59"/>
      <c r="AI116" s="59"/>
      <c r="AJ116" s="59"/>
      <c r="AK116" s="59"/>
      <c r="AL116" s="6"/>
      <c r="AM116" s="6"/>
      <c r="AN116" s="6"/>
    </row>
    <row r="117" ht="15.75" customHeight="1" spans="1:40">
      <c r="A117" s="6" t="s">
        <v>2028</v>
      </c>
      <c r="B117" s="6" t="s">
        <v>550</v>
      </c>
      <c r="C117" s="4" t="s">
        <v>957</v>
      </c>
      <c r="D117" s="7" t="s">
        <v>209</v>
      </c>
      <c r="E117" s="29" t="s">
        <v>491</v>
      </c>
      <c r="F117" s="7" t="s">
        <v>2511</v>
      </c>
      <c r="G117" s="59">
        <v>3078668948</v>
      </c>
      <c r="H117" s="7" t="s">
        <v>2031</v>
      </c>
      <c r="I117" s="7"/>
      <c r="J117" s="7" t="s">
        <v>941</v>
      </c>
      <c r="K117" s="7" t="s">
        <v>942</v>
      </c>
      <c r="L117" s="7" t="s">
        <v>943</v>
      </c>
      <c r="M117" s="7" t="s">
        <v>2512</v>
      </c>
      <c r="N117" s="51" t="s">
        <v>2513</v>
      </c>
      <c r="O117" s="7" t="s">
        <v>1028</v>
      </c>
      <c r="P117" s="7" t="s">
        <v>946</v>
      </c>
      <c r="Q117" s="7" t="s">
        <v>963</v>
      </c>
      <c r="R117" s="7" t="s">
        <v>2514</v>
      </c>
      <c r="S117" s="59">
        <v>79</v>
      </c>
      <c r="T117" s="7" t="s">
        <v>1044</v>
      </c>
      <c r="U117" s="7"/>
      <c r="V117" s="7" t="s">
        <v>2515</v>
      </c>
      <c r="W117" s="7" t="s">
        <v>2516</v>
      </c>
      <c r="X117" s="7" t="s">
        <v>953</v>
      </c>
      <c r="Y117" s="7" t="s">
        <v>550</v>
      </c>
      <c r="Z117" s="9" t="s">
        <v>2517</v>
      </c>
      <c r="AA117" s="7" t="s">
        <v>2518</v>
      </c>
      <c r="AB117" s="7" t="s">
        <v>2519</v>
      </c>
      <c r="AC117" s="6" t="s">
        <v>406</v>
      </c>
      <c r="AD117" s="6" t="s">
        <v>406</v>
      </c>
      <c r="AE117" s="6" t="s">
        <v>398</v>
      </c>
      <c r="AF117" s="6" t="s">
        <v>406</v>
      </c>
      <c r="AG117" s="6" t="s">
        <v>406</v>
      </c>
      <c r="AH117" s="59">
        <v>37</v>
      </c>
      <c r="AI117" s="59">
        <v>37</v>
      </c>
      <c r="AJ117" s="59">
        <v>37</v>
      </c>
      <c r="AK117" s="59">
        <v>38</v>
      </c>
      <c r="AL117" s="6" t="s">
        <v>406</v>
      </c>
      <c r="AM117" s="6" t="s">
        <v>406</v>
      </c>
      <c r="AN117" s="6" t="s">
        <v>406</v>
      </c>
    </row>
    <row r="118" ht="15.75" customHeight="1" spans="1:40">
      <c r="A118" s="6"/>
      <c r="B118" s="6"/>
      <c r="C118" s="4"/>
      <c r="D118" s="7" t="s">
        <v>2520</v>
      </c>
      <c r="E118" s="6" t="s">
        <v>491</v>
      </c>
      <c r="F118" s="7" t="s">
        <v>2521</v>
      </c>
      <c r="G118" s="7"/>
      <c r="H118" s="7"/>
      <c r="I118" s="7"/>
      <c r="J118" s="7"/>
      <c r="K118" s="7"/>
      <c r="L118" s="7"/>
      <c r="M118" s="7"/>
      <c r="N118" s="51"/>
      <c r="O118" s="7"/>
      <c r="P118" s="7"/>
      <c r="Q118" s="7"/>
      <c r="R118" s="72"/>
      <c r="S118" s="59"/>
      <c r="T118" s="7"/>
      <c r="U118" s="10"/>
      <c r="V118" s="10"/>
      <c r="W118" s="10"/>
      <c r="X118" s="10"/>
      <c r="Y118" s="7"/>
      <c r="Z118" s="7"/>
      <c r="AA118" s="7"/>
      <c r="AB118" s="7"/>
      <c r="AC118" s="6"/>
      <c r="AD118" s="6"/>
      <c r="AE118" s="6"/>
      <c r="AF118" s="6"/>
      <c r="AG118" s="6"/>
      <c r="AH118" s="59"/>
      <c r="AI118" s="59"/>
      <c r="AJ118" s="59"/>
      <c r="AK118" s="59"/>
      <c r="AL118" s="6"/>
      <c r="AM118" s="6"/>
      <c r="AN118" s="6"/>
    </row>
    <row r="119" ht="15.75" customHeight="1" spans="1:40">
      <c r="A119" s="6" t="s">
        <v>2028</v>
      </c>
      <c r="B119" s="6" t="s">
        <v>549</v>
      </c>
      <c r="C119" s="4" t="s">
        <v>957</v>
      </c>
      <c r="D119" s="7" t="s">
        <v>2522</v>
      </c>
      <c r="E119" s="29" t="s">
        <v>491</v>
      </c>
      <c r="F119" s="7" t="s">
        <v>2523</v>
      </c>
      <c r="G119" s="59">
        <v>136892169</v>
      </c>
      <c r="H119" s="7" t="s">
        <v>2031</v>
      </c>
      <c r="I119" s="7"/>
      <c r="J119" s="7" t="s">
        <v>941</v>
      </c>
      <c r="K119" s="7" t="s">
        <v>942</v>
      </c>
      <c r="L119" s="7" t="s">
        <v>975</v>
      </c>
      <c r="M119" s="7" t="s">
        <v>1391</v>
      </c>
      <c r="N119" s="51">
        <v>30313</v>
      </c>
      <c r="O119" s="7" t="s">
        <v>945</v>
      </c>
      <c r="P119" s="7" t="s">
        <v>946</v>
      </c>
      <c r="Q119" s="7" t="s">
        <v>2524</v>
      </c>
      <c r="R119" s="72" t="s">
        <v>2525</v>
      </c>
      <c r="S119" s="59">
        <v>65</v>
      </c>
      <c r="T119" s="7" t="s">
        <v>1044</v>
      </c>
      <c r="U119" s="7"/>
      <c r="V119" s="7" t="s">
        <v>2526</v>
      </c>
      <c r="W119" s="7" t="s">
        <v>2035</v>
      </c>
      <c r="X119" s="7" t="s">
        <v>953</v>
      </c>
      <c r="Y119" s="7" t="s">
        <v>549</v>
      </c>
      <c r="Z119" s="7" t="s">
        <v>2036</v>
      </c>
      <c r="AA119" s="7" t="s">
        <v>2527</v>
      </c>
      <c r="AB119" s="7" t="s">
        <v>2528</v>
      </c>
      <c r="AC119" s="6" t="s">
        <v>395</v>
      </c>
      <c r="AD119" s="6" t="s">
        <v>395</v>
      </c>
      <c r="AE119" s="6" t="s">
        <v>395</v>
      </c>
      <c r="AF119" s="6" t="s">
        <v>395</v>
      </c>
      <c r="AG119" s="6" t="s">
        <v>395</v>
      </c>
      <c r="AH119" s="59">
        <v>38</v>
      </c>
      <c r="AI119" s="59">
        <v>38</v>
      </c>
      <c r="AJ119" s="59">
        <v>38</v>
      </c>
      <c r="AK119" s="59">
        <v>38</v>
      </c>
      <c r="AL119" s="6" t="s">
        <v>395</v>
      </c>
      <c r="AM119" s="6" t="s">
        <v>395</v>
      </c>
      <c r="AN119" s="6" t="s">
        <v>395</v>
      </c>
    </row>
    <row r="120" ht="15.75" customHeight="1" spans="1:40">
      <c r="A120" s="6"/>
      <c r="B120" s="6"/>
      <c r="C120" s="4"/>
      <c r="D120" s="7" t="s">
        <v>2529</v>
      </c>
      <c r="E120" s="6" t="s">
        <v>491</v>
      </c>
      <c r="F120" s="7" t="s">
        <v>2530</v>
      </c>
      <c r="G120" s="7"/>
      <c r="H120" s="7"/>
      <c r="I120" s="7"/>
      <c r="J120" s="7"/>
      <c r="K120" s="7"/>
      <c r="L120" s="7"/>
      <c r="M120" s="7"/>
      <c r="N120" s="51"/>
      <c r="O120" s="7"/>
      <c r="P120" s="7"/>
      <c r="Q120" s="7"/>
      <c r="R120" s="72"/>
      <c r="S120" s="59"/>
      <c r="T120" s="7"/>
      <c r="U120" s="10"/>
      <c r="V120" s="10"/>
      <c r="W120" s="10"/>
      <c r="X120" s="10"/>
      <c r="Y120" s="7"/>
      <c r="Z120" s="7"/>
      <c r="AA120" s="7"/>
      <c r="AB120" s="7"/>
      <c r="AC120" s="6"/>
      <c r="AD120" s="6"/>
      <c r="AE120" s="6"/>
      <c r="AF120" s="6"/>
      <c r="AG120" s="6"/>
      <c r="AH120" s="59"/>
      <c r="AI120" s="59"/>
      <c r="AJ120" s="59"/>
      <c r="AK120" s="59"/>
      <c r="AL120" s="6"/>
      <c r="AM120" s="6"/>
      <c r="AN120" s="6"/>
    </row>
    <row r="121" ht="15.75" customHeight="1" spans="1:40">
      <c r="A121" s="6" t="s">
        <v>2028</v>
      </c>
      <c r="B121" s="6" t="s">
        <v>549</v>
      </c>
      <c r="C121" s="4" t="s">
        <v>2040</v>
      </c>
      <c r="D121" s="7" t="s">
        <v>210</v>
      </c>
      <c r="E121" s="29" t="s">
        <v>491</v>
      </c>
      <c r="F121" s="7" t="s">
        <v>2531</v>
      </c>
      <c r="G121" s="59">
        <v>1090658939</v>
      </c>
      <c r="H121" s="7" t="s">
        <v>2031</v>
      </c>
      <c r="I121" s="7"/>
      <c r="J121" s="7" t="s">
        <v>2532</v>
      </c>
      <c r="K121" s="7" t="s">
        <v>942</v>
      </c>
      <c r="L121" s="7" t="s">
        <v>943</v>
      </c>
      <c r="M121" s="7" t="s">
        <v>2533</v>
      </c>
      <c r="N121" s="51">
        <v>34069</v>
      </c>
      <c r="O121" s="7" t="s">
        <v>945</v>
      </c>
      <c r="P121" s="7" t="s">
        <v>946</v>
      </c>
      <c r="Q121" s="7" t="s">
        <v>1245</v>
      </c>
      <c r="R121" s="7" t="s">
        <v>2534</v>
      </c>
      <c r="S121" s="59">
        <v>90</v>
      </c>
      <c r="T121" s="7" t="s">
        <v>1154</v>
      </c>
      <c r="U121" s="7"/>
      <c r="V121" s="7" t="s">
        <v>2535</v>
      </c>
      <c r="W121" s="7" t="s">
        <v>2035</v>
      </c>
      <c r="X121" s="7" t="s">
        <v>953</v>
      </c>
      <c r="Y121" s="7" t="s">
        <v>2279</v>
      </c>
      <c r="Z121" s="7" t="s">
        <v>2280</v>
      </c>
      <c r="AA121" s="7" t="s">
        <v>2536</v>
      </c>
      <c r="AB121" s="7" t="s">
        <v>1086</v>
      </c>
      <c r="AC121" s="6" t="s">
        <v>398</v>
      </c>
      <c r="AD121" s="6" t="s">
        <v>398</v>
      </c>
      <c r="AE121" s="6" t="s">
        <v>398</v>
      </c>
      <c r="AF121" s="6" t="s">
        <v>398</v>
      </c>
      <c r="AG121" s="6" t="s">
        <v>398</v>
      </c>
      <c r="AH121" s="59">
        <v>42</v>
      </c>
      <c r="AI121" s="59">
        <v>42</v>
      </c>
      <c r="AJ121" s="59">
        <v>42</v>
      </c>
      <c r="AK121" s="59">
        <v>42</v>
      </c>
      <c r="AL121" s="6" t="s">
        <v>398</v>
      </c>
      <c r="AM121" s="6" t="s">
        <v>398</v>
      </c>
      <c r="AN121" s="6" t="s">
        <v>398</v>
      </c>
    </row>
    <row r="122" ht="15.75" customHeight="1" spans="1:40">
      <c r="A122" s="6" t="s">
        <v>2028</v>
      </c>
      <c r="B122" s="6" t="s">
        <v>2111</v>
      </c>
      <c r="C122" s="4" t="s">
        <v>2040</v>
      </c>
      <c r="D122" s="7" t="s">
        <v>2537</v>
      </c>
      <c r="E122" s="29" t="s">
        <v>971</v>
      </c>
      <c r="F122" s="7"/>
      <c r="G122" s="7"/>
      <c r="H122" s="7" t="s">
        <v>2113</v>
      </c>
      <c r="I122" s="7" t="s">
        <v>2538</v>
      </c>
      <c r="J122" s="7" t="s">
        <v>942</v>
      </c>
      <c r="K122" s="7" t="s">
        <v>942</v>
      </c>
      <c r="L122" s="7" t="s">
        <v>943</v>
      </c>
      <c r="M122" s="7" t="s">
        <v>2539</v>
      </c>
      <c r="N122" s="51">
        <v>30725</v>
      </c>
      <c r="O122" s="7" t="s">
        <v>945</v>
      </c>
      <c r="P122" s="7" t="s">
        <v>946</v>
      </c>
      <c r="Q122" s="7" t="s">
        <v>947</v>
      </c>
      <c r="R122" s="72" t="s">
        <v>2540</v>
      </c>
      <c r="S122" s="59">
        <v>68</v>
      </c>
      <c r="T122" s="7" t="s">
        <v>1030</v>
      </c>
      <c r="U122" s="7"/>
      <c r="V122" s="7">
        <v>54996705533</v>
      </c>
      <c r="W122" s="7">
        <v>5432825177</v>
      </c>
      <c r="X122" s="7" t="s">
        <v>953</v>
      </c>
      <c r="Y122" s="7" t="s">
        <v>533</v>
      </c>
      <c r="Z122" s="59">
        <v>95680000</v>
      </c>
      <c r="AA122" s="7" t="s">
        <v>2541</v>
      </c>
      <c r="AB122" s="7" t="s">
        <v>2542</v>
      </c>
      <c r="AC122" s="6" t="s">
        <v>396</v>
      </c>
      <c r="AD122" s="6" t="s">
        <v>395</v>
      </c>
      <c r="AE122" s="6" t="s">
        <v>395</v>
      </c>
      <c r="AF122" s="6" t="s">
        <v>396</v>
      </c>
      <c r="AG122" s="6" t="s">
        <v>395</v>
      </c>
      <c r="AH122" s="59">
        <v>39</v>
      </c>
      <c r="AI122" s="59">
        <v>38</v>
      </c>
      <c r="AJ122" s="59">
        <v>38</v>
      </c>
      <c r="AK122" s="59">
        <v>39</v>
      </c>
      <c r="AL122" s="6" t="s">
        <v>395</v>
      </c>
      <c r="AM122" s="6" t="s">
        <v>395</v>
      </c>
      <c r="AN122" s="6" t="s">
        <v>395</v>
      </c>
    </row>
    <row r="123" ht="15.75" customHeight="1" spans="1:40">
      <c r="A123" s="6"/>
      <c r="B123" s="6"/>
      <c r="C123" s="4"/>
      <c r="D123" s="7" t="s">
        <v>2543</v>
      </c>
      <c r="E123" s="6" t="s">
        <v>491</v>
      </c>
      <c r="F123" s="7" t="s">
        <v>2544</v>
      </c>
      <c r="G123" s="7"/>
      <c r="H123" s="7"/>
      <c r="I123" s="7"/>
      <c r="J123" s="7"/>
      <c r="K123" s="7"/>
      <c r="L123" s="7"/>
      <c r="M123" s="7"/>
      <c r="N123" s="51"/>
      <c r="O123" s="7"/>
      <c r="P123" s="7"/>
      <c r="Q123" s="7"/>
      <c r="R123" s="72"/>
      <c r="S123" s="59"/>
      <c r="T123" s="7"/>
      <c r="U123" s="10"/>
      <c r="V123" s="10"/>
      <c r="W123" s="10"/>
      <c r="X123" s="10"/>
      <c r="Y123" s="7"/>
      <c r="Z123" s="7"/>
      <c r="AA123" s="7"/>
      <c r="AB123" s="7"/>
      <c r="AC123" s="6"/>
      <c r="AD123" s="6"/>
      <c r="AE123" s="6"/>
      <c r="AF123" s="6"/>
      <c r="AG123" s="6"/>
      <c r="AH123" s="59"/>
      <c r="AI123" s="59"/>
      <c r="AJ123" s="59"/>
      <c r="AK123" s="59"/>
      <c r="AL123" s="6"/>
      <c r="AM123" s="6"/>
      <c r="AN123" s="6"/>
    </row>
    <row r="124" ht="15.75" customHeight="1" spans="1:40">
      <c r="A124" s="6"/>
      <c r="B124" s="6"/>
      <c r="C124" s="4"/>
      <c r="D124" s="7" t="s">
        <v>2545</v>
      </c>
      <c r="E124" s="6" t="s">
        <v>491</v>
      </c>
      <c r="F124" s="7" t="s">
        <v>2546</v>
      </c>
      <c r="G124" s="7"/>
      <c r="H124" s="7"/>
      <c r="I124" s="7"/>
      <c r="J124" s="7"/>
      <c r="K124" s="7"/>
      <c r="L124" s="7"/>
      <c r="M124" s="7"/>
      <c r="N124" s="51"/>
      <c r="O124" s="7"/>
      <c r="P124" s="7"/>
      <c r="Q124" s="7"/>
      <c r="R124" s="72"/>
      <c r="S124" s="59"/>
      <c r="T124" s="7"/>
      <c r="U124" s="10"/>
      <c r="V124" s="10"/>
      <c r="W124" s="10"/>
      <c r="X124" s="10"/>
      <c r="Y124" s="7"/>
      <c r="Z124" s="7"/>
      <c r="AA124" s="7"/>
      <c r="AB124" s="7"/>
      <c r="AC124" s="6"/>
      <c r="AD124" s="6"/>
      <c r="AE124" s="6"/>
      <c r="AF124" s="6"/>
      <c r="AG124" s="6"/>
      <c r="AH124" s="59"/>
      <c r="AI124" s="59"/>
      <c r="AJ124" s="59"/>
      <c r="AK124" s="59"/>
      <c r="AL124" s="6"/>
      <c r="AM124" s="6"/>
      <c r="AN124" s="6"/>
    </row>
    <row r="125" ht="15.75" customHeight="1" spans="1:40">
      <c r="A125" s="6" t="s">
        <v>2028</v>
      </c>
      <c r="B125" s="6" t="s">
        <v>2039</v>
      </c>
      <c r="C125" s="4" t="s">
        <v>2040</v>
      </c>
      <c r="D125" s="7" t="s">
        <v>2547</v>
      </c>
      <c r="E125" s="29" t="s">
        <v>971</v>
      </c>
      <c r="F125" s="59">
        <v>4112448090</v>
      </c>
      <c r="G125" s="59">
        <v>3121149185</v>
      </c>
      <c r="H125" s="7" t="s">
        <v>2043</v>
      </c>
      <c r="I125" s="7"/>
      <c r="J125" s="7" t="s">
        <v>942</v>
      </c>
      <c r="K125" s="7" t="s">
        <v>942</v>
      </c>
      <c r="L125" s="7" t="s">
        <v>943</v>
      </c>
      <c r="M125" s="7" t="s">
        <v>2548</v>
      </c>
      <c r="N125" s="51">
        <v>34819</v>
      </c>
      <c r="O125" s="7" t="s">
        <v>945</v>
      </c>
      <c r="P125" s="7" t="s">
        <v>946</v>
      </c>
      <c r="Q125" s="7" t="s">
        <v>1054</v>
      </c>
      <c r="R125" s="73" t="s">
        <v>2549</v>
      </c>
      <c r="S125" s="59">
        <v>115</v>
      </c>
      <c r="T125" s="7" t="s">
        <v>1011</v>
      </c>
      <c r="U125" s="7"/>
      <c r="V125" s="7">
        <v>54996046533</v>
      </c>
      <c r="W125" s="7">
        <v>54984041533</v>
      </c>
      <c r="X125" s="7" t="s">
        <v>953</v>
      </c>
      <c r="Y125" s="7" t="s">
        <v>557</v>
      </c>
      <c r="Z125" s="7" t="s">
        <v>2047</v>
      </c>
      <c r="AA125" s="7" t="s">
        <v>2550</v>
      </c>
      <c r="AB125" s="7" t="s">
        <v>2273</v>
      </c>
      <c r="AC125" s="6" t="s">
        <v>399</v>
      </c>
      <c r="AD125" s="6" t="s">
        <v>399</v>
      </c>
      <c r="AE125" s="6" t="s">
        <v>399</v>
      </c>
      <c r="AF125" s="6" t="s">
        <v>399</v>
      </c>
      <c r="AG125" s="6" t="s">
        <v>399</v>
      </c>
      <c r="AH125" s="59">
        <v>41</v>
      </c>
      <c r="AI125" s="59">
        <v>41</v>
      </c>
      <c r="AJ125" s="59">
        <v>41</v>
      </c>
      <c r="AK125" s="59">
        <v>41</v>
      </c>
      <c r="AL125" s="6" t="s">
        <v>399</v>
      </c>
      <c r="AM125" s="6" t="s">
        <v>399</v>
      </c>
      <c r="AN125" s="6" t="s">
        <v>406</v>
      </c>
    </row>
    <row r="126" ht="15.75" customHeight="1" spans="1:40">
      <c r="A126" s="6" t="s">
        <v>2028</v>
      </c>
      <c r="B126" s="6" t="s">
        <v>549</v>
      </c>
      <c r="C126" s="4" t="s">
        <v>957</v>
      </c>
      <c r="D126" s="7" t="s">
        <v>2551</v>
      </c>
      <c r="E126" s="29" t="s">
        <v>491</v>
      </c>
      <c r="F126" s="7" t="s">
        <v>2552</v>
      </c>
      <c r="G126" s="59">
        <v>1086929419</v>
      </c>
      <c r="H126" s="7" t="s">
        <v>2031</v>
      </c>
      <c r="I126" s="7"/>
      <c r="J126" s="7" t="s">
        <v>941</v>
      </c>
      <c r="K126" s="7" t="s">
        <v>942</v>
      </c>
      <c r="L126" s="7" t="s">
        <v>975</v>
      </c>
      <c r="M126" s="7" t="s">
        <v>2553</v>
      </c>
      <c r="N126" s="51">
        <v>31079</v>
      </c>
      <c r="O126" s="7" t="s">
        <v>945</v>
      </c>
      <c r="P126" s="7" t="s">
        <v>946</v>
      </c>
      <c r="Q126" s="7" t="s">
        <v>2081</v>
      </c>
      <c r="R126" s="72" t="s">
        <v>2554</v>
      </c>
      <c r="S126" s="59">
        <v>85</v>
      </c>
      <c r="T126" s="7" t="s">
        <v>950</v>
      </c>
      <c r="U126" s="7"/>
      <c r="V126" s="7" t="s">
        <v>2555</v>
      </c>
      <c r="W126" s="7" t="s">
        <v>2035</v>
      </c>
      <c r="X126" s="7" t="s">
        <v>953</v>
      </c>
      <c r="Y126" s="7" t="s">
        <v>549</v>
      </c>
      <c r="Z126" s="7" t="s">
        <v>2036</v>
      </c>
      <c r="AA126" s="7" t="s">
        <v>2556</v>
      </c>
      <c r="AB126" s="7" t="s">
        <v>2126</v>
      </c>
      <c r="AC126" s="6" t="s">
        <v>398</v>
      </c>
      <c r="AD126" s="6" t="s">
        <v>398</v>
      </c>
      <c r="AE126" s="6" t="s">
        <v>398</v>
      </c>
      <c r="AF126" s="6" t="s">
        <v>398</v>
      </c>
      <c r="AG126" s="6" t="s">
        <v>406</v>
      </c>
      <c r="AH126" s="59">
        <v>42</v>
      </c>
      <c r="AI126" s="59">
        <v>42</v>
      </c>
      <c r="AJ126" s="59">
        <v>42</v>
      </c>
      <c r="AK126" s="59">
        <v>42</v>
      </c>
      <c r="AL126" s="6" t="s">
        <v>398</v>
      </c>
      <c r="AM126" s="6" t="s">
        <v>398</v>
      </c>
      <c r="AN126" s="6" t="s">
        <v>406</v>
      </c>
    </row>
    <row r="127" ht="15.75" customHeight="1" spans="1:40">
      <c r="A127" s="6" t="s">
        <v>2028</v>
      </c>
      <c r="B127" s="6" t="s">
        <v>549</v>
      </c>
      <c r="C127" s="4" t="s">
        <v>2040</v>
      </c>
      <c r="D127" s="7" t="s">
        <v>2557</v>
      </c>
      <c r="E127" s="29" t="s">
        <v>491</v>
      </c>
      <c r="F127" s="7" t="s">
        <v>2558</v>
      </c>
      <c r="G127" s="59">
        <v>4113000055</v>
      </c>
      <c r="H127" s="7" t="s">
        <v>2031</v>
      </c>
      <c r="I127" s="7"/>
      <c r="J127" s="7" t="s">
        <v>941</v>
      </c>
      <c r="K127" s="7" t="s">
        <v>942</v>
      </c>
      <c r="L127" s="7" t="s">
        <v>975</v>
      </c>
      <c r="M127" s="7" t="s">
        <v>2559</v>
      </c>
      <c r="N127" s="51">
        <v>30229</v>
      </c>
      <c r="O127" s="7" t="s">
        <v>945</v>
      </c>
      <c r="P127" s="7" t="s">
        <v>946</v>
      </c>
      <c r="Q127" s="7" t="s">
        <v>1245</v>
      </c>
      <c r="R127" s="72" t="s">
        <v>2560</v>
      </c>
      <c r="S127" s="59">
        <v>90</v>
      </c>
      <c r="T127" s="7" t="s">
        <v>965</v>
      </c>
      <c r="U127" s="7"/>
      <c r="V127" s="7" t="s">
        <v>2561</v>
      </c>
      <c r="W127" s="7" t="s">
        <v>2035</v>
      </c>
      <c r="X127" s="7" t="s">
        <v>953</v>
      </c>
      <c r="Y127" s="7" t="s">
        <v>590</v>
      </c>
      <c r="Z127" s="7" t="s">
        <v>2143</v>
      </c>
      <c r="AA127" s="7" t="s">
        <v>2144</v>
      </c>
      <c r="AB127" s="7" t="s">
        <v>2145</v>
      </c>
      <c r="AC127" s="6" t="s">
        <v>398</v>
      </c>
      <c r="AD127" s="6" t="s">
        <v>398</v>
      </c>
      <c r="AE127" s="6" t="s">
        <v>398</v>
      </c>
      <c r="AF127" s="6" t="s">
        <v>398</v>
      </c>
      <c r="AG127" s="6" t="s">
        <v>398</v>
      </c>
      <c r="AH127" s="59">
        <v>43</v>
      </c>
      <c r="AI127" s="59">
        <v>43</v>
      </c>
      <c r="AJ127" s="59">
        <v>43</v>
      </c>
      <c r="AK127" s="59">
        <v>43</v>
      </c>
      <c r="AL127" s="6" t="s">
        <v>398</v>
      </c>
      <c r="AM127" s="6" t="s">
        <v>398</v>
      </c>
      <c r="AN127" s="6" t="s">
        <v>406</v>
      </c>
    </row>
    <row r="128" ht="15.75" customHeight="1" spans="1:40">
      <c r="A128" s="6"/>
      <c r="B128" s="6"/>
      <c r="C128" s="4"/>
      <c r="D128" s="7" t="s">
        <v>2562</v>
      </c>
      <c r="E128" s="6" t="s">
        <v>490</v>
      </c>
      <c r="F128" s="7" t="s">
        <v>2563</v>
      </c>
      <c r="G128" s="7"/>
      <c r="H128" s="7"/>
      <c r="I128" s="7"/>
      <c r="J128" s="7"/>
      <c r="K128" s="7"/>
      <c r="L128" s="7"/>
      <c r="M128" s="7"/>
      <c r="N128" s="51"/>
      <c r="O128" s="7"/>
      <c r="P128" s="7"/>
      <c r="Q128" s="7"/>
      <c r="R128" s="72"/>
      <c r="S128" s="59"/>
      <c r="T128" s="7"/>
      <c r="U128" s="10"/>
      <c r="V128" s="10"/>
      <c r="W128" s="10"/>
      <c r="X128" s="10"/>
      <c r="Y128" s="7"/>
      <c r="Z128" s="7"/>
      <c r="AA128" s="7"/>
      <c r="AB128" s="7"/>
      <c r="AC128" s="6"/>
      <c r="AD128" s="6"/>
      <c r="AE128" s="6"/>
      <c r="AF128" s="6"/>
      <c r="AG128" s="6"/>
      <c r="AH128" s="59"/>
      <c r="AI128" s="59"/>
      <c r="AJ128" s="59"/>
      <c r="AK128" s="59"/>
      <c r="AL128" s="6"/>
      <c r="AM128" s="6"/>
      <c r="AN128" s="6"/>
    </row>
    <row r="129" ht="15.75" customHeight="1" spans="1:40">
      <c r="A129" s="6"/>
      <c r="B129" s="6"/>
      <c r="C129" s="4"/>
      <c r="D129" s="7" t="s">
        <v>2564</v>
      </c>
      <c r="E129" s="6" t="s">
        <v>491</v>
      </c>
      <c r="F129" s="7" t="s">
        <v>2565</v>
      </c>
      <c r="G129" s="7"/>
      <c r="H129" s="7"/>
      <c r="I129" s="7"/>
      <c r="J129" s="7"/>
      <c r="K129" s="7"/>
      <c r="L129" s="7"/>
      <c r="M129" s="7"/>
      <c r="N129" s="51"/>
      <c r="O129" s="7"/>
      <c r="P129" s="7"/>
      <c r="Q129" s="7"/>
      <c r="R129" s="72"/>
      <c r="S129" s="59"/>
      <c r="T129" s="7"/>
      <c r="U129" s="10"/>
      <c r="V129" s="10"/>
      <c r="W129" s="10"/>
      <c r="X129" s="10"/>
      <c r="Y129" s="7"/>
      <c r="Z129" s="7"/>
      <c r="AA129" s="7"/>
      <c r="AB129" s="7"/>
      <c r="AC129" s="6"/>
      <c r="AD129" s="6"/>
      <c r="AE129" s="6"/>
      <c r="AF129" s="6"/>
      <c r="AG129" s="6"/>
      <c r="AH129" s="59"/>
      <c r="AI129" s="59"/>
      <c r="AJ129" s="59"/>
      <c r="AK129" s="59"/>
      <c r="AL129" s="6"/>
      <c r="AM129" s="6"/>
      <c r="AN129" s="6"/>
    </row>
    <row r="130" ht="15.75" customHeight="1" spans="1:40">
      <c r="A130" s="6" t="s">
        <v>2028</v>
      </c>
      <c r="B130" s="6" t="s">
        <v>550</v>
      </c>
      <c r="C130" s="4" t="s">
        <v>957</v>
      </c>
      <c r="D130" s="7" t="s">
        <v>212</v>
      </c>
      <c r="E130" s="29" t="s">
        <v>971</v>
      </c>
      <c r="F130" s="7" t="s">
        <v>2566</v>
      </c>
      <c r="G130" s="59">
        <v>8112550366</v>
      </c>
      <c r="H130" s="7" t="s">
        <v>2031</v>
      </c>
      <c r="I130" s="7"/>
      <c r="J130" s="7" t="s">
        <v>941</v>
      </c>
      <c r="K130" s="7" t="s">
        <v>942</v>
      </c>
      <c r="L130" s="7" t="s">
        <v>1080</v>
      </c>
      <c r="M130" s="7" t="s">
        <v>2567</v>
      </c>
      <c r="N130" s="51">
        <v>33184</v>
      </c>
      <c r="O130" s="7" t="s">
        <v>1028</v>
      </c>
      <c r="P130" s="7" t="s">
        <v>946</v>
      </c>
      <c r="Q130" s="7" t="s">
        <v>1245</v>
      </c>
      <c r="R130" s="7" t="s">
        <v>2568</v>
      </c>
      <c r="S130" s="59">
        <v>75</v>
      </c>
      <c r="T130" s="7" t="s">
        <v>965</v>
      </c>
      <c r="U130" s="7"/>
      <c r="V130" s="7" t="s">
        <v>2569</v>
      </c>
      <c r="W130" s="7" t="s">
        <v>2570</v>
      </c>
      <c r="X130" s="7" t="s">
        <v>953</v>
      </c>
      <c r="Y130" s="7" t="s">
        <v>550</v>
      </c>
      <c r="Z130" s="9" t="s">
        <v>2571</v>
      </c>
      <c r="AA130" s="7" t="s">
        <v>2572</v>
      </c>
      <c r="AB130" s="7" t="s">
        <v>2573</v>
      </c>
      <c r="AC130" s="6" t="s">
        <v>406</v>
      </c>
      <c r="AD130" s="6" t="s">
        <v>406</v>
      </c>
      <c r="AE130" s="6" t="s">
        <v>406</v>
      </c>
      <c r="AF130" s="6" t="s">
        <v>406</v>
      </c>
      <c r="AG130" s="6" t="s">
        <v>406</v>
      </c>
      <c r="AH130" s="59">
        <v>39</v>
      </c>
      <c r="AI130" s="59">
        <v>39</v>
      </c>
      <c r="AJ130" s="59">
        <v>39</v>
      </c>
      <c r="AK130" s="59">
        <v>39</v>
      </c>
      <c r="AL130" s="6" t="s">
        <v>406</v>
      </c>
      <c r="AM130" s="6" t="s">
        <v>406</v>
      </c>
      <c r="AN130" s="6" t="s">
        <v>406</v>
      </c>
    </row>
  </sheetData>
  <autoFilter ref="A1:AN130">
    <extLst/>
  </autoFilter>
  <conditionalFormatting sqref="E1">
    <cfRule type="containsText" dxfId="5" priority="1" operator="between" text="EAD">
      <formula>NOT(ISERROR(SEARCH("EAD",E1)))</formula>
    </cfRule>
    <cfRule type="containsText" dxfId="6" priority="2" operator="between" text="Não Tem">
      <formula>NOT(ISERROR(SEARCH("Não Tem",E1)))</formula>
    </cfRule>
    <cfRule type="containsText" dxfId="7" priority="3" operator="between" text="EAD + Presencial">
      <formula>NOT(ISERROR(SEARCH("EAD + Presencial",E1)))</formula>
    </cfRule>
  </conditionalFormatting>
  <dataValidations count="10">
    <dataValidation type="list" allowBlank="1" showErrorMessage="1" sqref="T2:T130">
      <formula1>Página5!$G:$G</formula1>
    </dataValidation>
    <dataValidation type="list" allowBlank="1" showErrorMessage="1" sqref="E1:E130">
      <formula1>"Curso CAB operador concluído,Módulo 2 e 3 concluído,Módulo 1 concluído"</formula1>
    </dataValidation>
    <dataValidation type="list" allowBlank="1" showErrorMessage="1" sqref="L2:L130">
      <formula1>Página5!$C:$C</formula1>
    </dataValidation>
    <dataValidation type="list" allowBlank="1" showErrorMessage="1" sqref="O2:O130">
      <formula1>Página5!$D:$D</formula1>
    </dataValidation>
    <dataValidation type="list" allowBlank="1" showErrorMessage="1" sqref="Y2:Y130">
      <formula1>Página5!$A:$A</formula1>
    </dataValidation>
    <dataValidation type="list" allowBlank="1" showErrorMessage="1" sqref="P2:P130">
      <formula1>Página5!$E:$E</formula1>
    </dataValidation>
    <dataValidation type="list" allowBlank="1" showErrorMessage="1" sqref="Q2:Q130">
      <formula1>Página5!$F:$F</formula1>
    </dataValidation>
    <dataValidation type="list" allowBlank="1" showErrorMessage="1" sqref="AC2:AG130;AL2:AN130">
      <formula1>"P,M,G,GG,EXG"</formula1>
    </dataValidation>
    <dataValidation type="list" allowBlank="1" showErrorMessage="1" sqref="AH2:AK130">
      <formula1>Página5!$H:$H</formula1>
    </dataValidation>
    <dataValidation type="list" allowBlank="1" showErrorMessage="1" sqref="J2:K130">
      <formula1>Página5!$B:$B</formula1>
    </dataValidation>
  </dataValidations>
  <hyperlinks>
    <hyperlink ref="R34" r:id="rId1" display="dieniferoliveira194@gmail.com"/>
    <hyperlink ref="R37" r:id="rId2" display="douglas.pinter@hotmail.com"/>
    <hyperlink ref="R42" r:id="rId3" display="elenisecabral@hotmail.com"/>
    <hyperlink ref="R43" r:id="rId4" display="elonirro@gmail.com"/>
    <hyperlink ref="R55" r:id="rId5" display="fernandorubeiro1987@gmail.com"/>
    <hyperlink ref="R73" r:id="rId6" display="jefersoncosta802@gmail.com"/>
    <hyperlink ref="R93" r:id="rId7" display="maypetry18@gmail.com"/>
    <hyperlink ref="R95" r:id="rId8" display="marielimelo2019@gmail.com"/>
    <hyperlink ref="R113" r:id="rId9" display="rdn.cst@gmail.com"/>
    <hyperlink ref="R114" r:id="rId10" display="sindovalpereira1976@gmail.com"/>
    <hyperlink ref="R115" r:id="rId11" display="sirlanegodinho29@hotmail.com"/>
    <hyperlink ref="R125" r:id="rId12" display="aguinaldothomas762@gmail.com"/>
  </hyperlinks>
  <pageMargins left="0.511811024" right="0.511811024" top="0.787401575" bottom="0.787401575" header="0" footer="0"/>
  <pageSetup paperSize="1"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279"/>
  <sheetViews>
    <sheetView workbookViewId="0">
      <selection activeCell="A1" sqref="A1"/>
    </sheetView>
  </sheetViews>
  <sheetFormatPr defaultColWidth="14.4380952380952" defaultRowHeight="15" customHeight="1"/>
  <cols>
    <col min="1" max="1" width="7.88571428571429" customWidth="1"/>
    <col min="2" max="2" width="17.6666666666667" customWidth="1"/>
    <col min="3" max="3" width="11.3333333333333" customWidth="1"/>
    <col min="4" max="4" width="36" customWidth="1"/>
    <col min="5" max="5" width="30.1047619047619" customWidth="1"/>
    <col min="6" max="6" width="13.6666666666667" customWidth="1"/>
    <col min="7" max="7" width="16.8857142857143" customWidth="1"/>
    <col min="8" max="8" width="36" customWidth="1"/>
    <col min="9" max="9" width="408" customWidth="1"/>
    <col min="10" max="10" width="22.552380952381" customWidth="1"/>
    <col min="11" max="11" width="30.4380952380952" customWidth="1"/>
    <col min="12" max="12" width="16.1047619047619" customWidth="1"/>
    <col min="13" max="13" width="26.6666666666667" customWidth="1"/>
    <col min="14" max="14" width="30.8857142857143" customWidth="1"/>
    <col min="15" max="15" width="14.6666666666667" customWidth="1"/>
    <col min="16" max="16" width="13.4380952380952" customWidth="1"/>
    <col min="17" max="17" width="36.1047619047619" customWidth="1"/>
    <col min="18" max="18" width="35.6666666666667" customWidth="1"/>
    <col min="19" max="19" width="13.6666666666667" customWidth="1"/>
    <col min="20" max="20" width="22.8857142857143" customWidth="1"/>
    <col min="21" max="21" width="32.8857142857143" customWidth="1"/>
    <col min="22" max="22" width="29.552380952381" customWidth="1"/>
    <col min="23" max="23" width="35.552380952381" customWidth="1"/>
    <col min="24" max="24" width="19" customWidth="1"/>
    <col min="25" max="25" width="22.8857142857143" customWidth="1"/>
    <col min="26" max="26" width="15.6666666666667" customWidth="1"/>
    <col min="27" max="27" width="30.6666666666667" customWidth="1"/>
    <col min="28" max="28" width="26.1047619047619" customWidth="1"/>
    <col min="29" max="29" width="37.552380952381" customWidth="1"/>
    <col min="30" max="30" width="37.4380952380952" customWidth="1"/>
    <col min="31" max="31" width="23.4380952380952" customWidth="1"/>
    <col min="32" max="32" width="25" customWidth="1"/>
    <col min="33" max="33" width="21.552380952381" customWidth="1"/>
    <col min="34" max="34" width="18.6666666666667" customWidth="1"/>
    <col min="35" max="35" width="24.6666666666667" customWidth="1"/>
    <col min="36" max="36" width="17.1047619047619" customWidth="1"/>
    <col min="37" max="37" width="19.552380952381" customWidth="1"/>
    <col min="38" max="38" width="32.4380952380952" customWidth="1"/>
    <col min="39" max="39" width="25.8857142857143" customWidth="1"/>
    <col min="40" max="40" width="20" customWidth="1"/>
  </cols>
  <sheetData>
    <row r="1" ht="25.5" spans="1:40">
      <c r="A1" s="3" t="s">
        <v>410</v>
      </c>
      <c r="B1" s="3" t="s">
        <v>2021</v>
      </c>
      <c r="C1" s="4" t="s">
        <v>899</v>
      </c>
      <c r="D1" s="2" t="s">
        <v>900</v>
      </c>
      <c r="E1" s="5" t="s">
        <v>901</v>
      </c>
      <c r="F1" s="2" t="s">
        <v>2574</v>
      </c>
      <c r="G1" s="2" t="s">
        <v>1</v>
      </c>
      <c r="H1" s="2" t="s">
        <v>2575</v>
      </c>
      <c r="I1" s="2" t="s">
        <v>904</v>
      </c>
      <c r="J1" s="50" t="s">
        <v>905</v>
      </c>
      <c r="K1" s="50" t="s">
        <v>906</v>
      </c>
      <c r="L1" s="31" t="s">
        <v>907</v>
      </c>
      <c r="M1" s="31" t="s">
        <v>908</v>
      </c>
      <c r="N1" s="31" t="s">
        <v>909</v>
      </c>
      <c r="O1" s="31" t="s">
        <v>910</v>
      </c>
      <c r="P1" s="31" t="s">
        <v>911</v>
      </c>
      <c r="Q1" s="31" t="s">
        <v>912</v>
      </c>
      <c r="R1" s="31" t="s">
        <v>913</v>
      </c>
      <c r="S1" s="31" t="s">
        <v>914</v>
      </c>
      <c r="T1" s="31" t="s">
        <v>915</v>
      </c>
      <c r="U1" s="31" t="s">
        <v>916</v>
      </c>
      <c r="V1" s="31" t="s">
        <v>917</v>
      </c>
      <c r="W1" s="31" t="s">
        <v>918</v>
      </c>
      <c r="X1" s="31" t="s">
        <v>919</v>
      </c>
      <c r="Y1" s="31" t="s">
        <v>920</v>
      </c>
      <c r="Z1" s="31" t="s">
        <v>921</v>
      </c>
      <c r="AA1" s="31" t="s">
        <v>922</v>
      </c>
      <c r="AB1" s="31" t="s">
        <v>923</v>
      </c>
      <c r="AC1" s="31" t="s">
        <v>924</v>
      </c>
      <c r="AD1" s="31" t="s">
        <v>925</v>
      </c>
      <c r="AE1" s="31" t="s">
        <v>926</v>
      </c>
      <c r="AF1" s="31" t="s">
        <v>927</v>
      </c>
      <c r="AG1" s="31" t="s">
        <v>928</v>
      </c>
      <c r="AH1" s="31" t="s">
        <v>929</v>
      </c>
      <c r="AI1" s="31" t="s">
        <v>930</v>
      </c>
      <c r="AJ1" s="31" t="s">
        <v>931</v>
      </c>
      <c r="AK1" s="31" t="s">
        <v>932</v>
      </c>
      <c r="AL1" s="31" t="s">
        <v>933</v>
      </c>
      <c r="AM1" s="31" t="s">
        <v>934</v>
      </c>
      <c r="AN1" s="31" t="s">
        <v>935</v>
      </c>
    </row>
    <row r="2" ht="15.75" customHeight="1" spans="1:40">
      <c r="A2" s="6" t="s">
        <v>2576</v>
      </c>
      <c r="B2" s="44" t="s">
        <v>548</v>
      </c>
      <c r="C2" s="4" t="s">
        <v>957</v>
      </c>
      <c r="D2" s="12" t="s">
        <v>2577</v>
      </c>
      <c r="E2" s="29" t="s">
        <v>971</v>
      </c>
      <c r="F2" s="6" t="s">
        <v>2578</v>
      </c>
      <c r="G2" s="6">
        <v>7035047558</v>
      </c>
      <c r="H2" s="7" t="s">
        <v>2579</v>
      </c>
      <c r="I2" s="7" t="s">
        <v>2580</v>
      </c>
      <c r="J2" s="7"/>
      <c r="K2" s="7" t="s">
        <v>942</v>
      </c>
      <c r="L2" s="7"/>
      <c r="M2" s="7"/>
      <c r="N2" s="15"/>
      <c r="O2" s="7" t="s">
        <v>945</v>
      </c>
      <c r="P2" s="7"/>
      <c r="Q2" s="7"/>
      <c r="R2" s="7"/>
      <c r="S2" s="7"/>
      <c r="T2" s="7"/>
      <c r="U2" s="7"/>
      <c r="V2" s="7"/>
      <c r="W2" s="7"/>
      <c r="X2" s="7"/>
      <c r="Y2" s="7"/>
      <c r="Z2" s="7"/>
      <c r="AA2" s="7"/>
      <c r="AB2" s="7"/>
      <c r="AC2" s="7"/>
      <c r="AD2" s="7"/>
      <c r="AE2" s="7"/>
      <c r="AF2" s="7"/>
      <c r="AG2" s="7"/>
      <c r="AH2" s="7"/>
      <c r="AI2" s="7"/>
      <c r="AJ2" s="7"/>
      <c r="AK2" s="7"/>
      <c r="AL2" s="7"/>
      <c r="AM2" s="7"/>
      <c r="AN2" s="7"/>
    </row>
    <row r="3" ht="15.75" customHeight="1" spans="1:40">
      <c r="A3" s="6" t="s">
        <v>2576</v>
      </c>
      <c r="B3" s="45" t="s">
        <v>576</v>
      </c>
      <c r="C3" s="4" t="s">
        <v>957</v>
      </c>
      <c r="D3" s="12" t="s">
        <v>2581</v>
      </c>
      <c r="E3" s="29" t="s">
        <v>971</v>
      </c>
      <c r="F3" s="46" t="s">
        <v>2582</v>
      </c>
      <c r="G3" s="46">
        <v>6095486277</v>
      </c>
      <c r="H3" s="47" t="s">
        <v>2583</v>
      </c>
      <c r="I3" s="47" t="s">
        <v>2584</v>
      </c>
      <c r="J3" s="7" t="s">
        <v>942</v>
      </c>
      <c r="K3" s="7" t="s">
        <v>942</v>
      </c>
      <c r="L3" s="7" t="s">
        <v>943</v>
      </c>
      <c r="M3" s="7" t="s">
        <v>2585</v>
      </c>
      <c r="N3" s="51">
        <v>31661</v>
      </c>
      <c r="O3" s="7" t="s">
        <v>945</v>
      </c>
      <c r="P3" s="7" t="s">
        <v>1041</v>
      </c>
      <c r="Q3" s="7" t="s">
        <v>963</v>
      </c>
      <c r="R3" s="7" t="s">
        <v>2586</v>
      </c>
      <c r="S3" s="59">
        <v>90</v>
      </c>
      <c r="T3" s="7" t="s">
        <v>950</v>
      </c>
      <c r="U3" s="7"/>
      <c r="V3" s="7" t="s">
        <v>2587</v>
      </c>
      <c r="W3" s="7" t="s">
        <v>2588</v>
      </c>
      <c r="X3" s="7" t="s">
        <v>953</v>
      </c>
      <c r="Y3" s="7" t="s">
        <v>576</v>
      </c>
      <c r="Z3" s="7" t="s">
        <v>2589</v>
      </c>
      <c r="AA3" s="7" t="s">
        <v>2590</v>
      </c>
      <c r="AB3" s="7" t="s">
        <v>2591</v>
      </c>
      <c r="AC3" s="6" t="s">
        <v>406</v>
      </c>
      <c r="AD3" s="6" t="s">
        <v>406</v>
      </c>
      <c r="AE3" s="6" t="s">
        <v>398</v>
      </c>
      <c r="AF3" s="6" t="s">
        <v>398</v>
      </c>
      <c r="AG3" s="6" t="s">
        <v>398</v>
      </c>
      <c r="AH3" s="6">
        <v>42</v>
      </c>
      <c r="AI3" s="6">
        <v>42</v>
      </c>
      <c r="AJ3" s="59">
        <v>42</v>
      </c>
      <c r="AK3" s="59">
        <v>42</v>
      </c>
      <c r="AL3" s="6" t="s">
        <v>398</v>
      </c>
      <c r="AM3" s="6" t="s">
        <v>398</v>
      </c>
      <c r="AN3" s="6" t="s">
        <v>406</v>
      </c>
    </row>
    <row r="4" ht="15.75" customHeight="1" spans="1:40">
      <c r="A4" s="6" t="s">
        <v>2576</v>
      </c>
      <c r="B4" s="45" t="s">
        <v>576</v>
      </c>
      <c r="C4" s="4" t="s">
        <v>957</v>
      </c>
      <c r="D4" s="12" t="s">
        <v>2592</v>
      </c>
      <c r="E4" s="29" t="s">
        <v>491</v>
      </c>
      <c r="F4" s="46" t="s">
        <v>2593</v>
      </c>
      <c r="G4" s="46">
        <v>9078032969</v>
      </c>
      <c r="H4" s="47" t="s">
        <v>2583</v>
      </c>
      <c r="I4" s="47" t="s">
        <v>2584</v>
      </c>
      <c r="J4" s="7" t="s">
        <v>942</v>
      </c>
      <c r="K4" s="7" t="s">
        <v>942</v>
      </c>
      <c r="L4" s="7" t="s">
        <v>975</v>
      </c>
      <c r="M4" s="7" t="s">
        <v>2594</v>
      </c>
      <c r="N4" s="51">
        <v>29926</v>
      </c>
      <c r="O4" s="7" t="s">
        <v>945</v>
      </c>
      <c r="P4" s="7" t="s">
        <v>946</v>
      </c>
      <c r="Q4" s="7" t="s">
        <v>963</v>
      </c>
      <c r="R4" s="7" t="s">
        <v>2595</v>
      </c>
      <c r="S4" s="59">
        <v>93</v>
      </c>
      <c r="T4" s="7" t="s">
        <v>1011</v>
      </c>
      <c r="U4" s="7"/>
      <c r="V4" s="7" t="s">
        <v>2596</v>
      </c>
      <c r="W4" s="7"/>
      <c r="X4" s="7" t="s">
        <v>953</v>
      </c>
      <c r="Y4" s="7" t="s">
        <v>536</v>
      </c>
      <c r="Z4" s="7" t="s">
        <v>2597</v>
      </c>
      <c r="AA4" s="7" t="s">
        <v>2598</v>
      </c>
      <c r="AB4" s="7" t="s">
        <v>2599</v>
      </c>
      <c r="AC4" s="6" t="s">
        <v>398</v>
      </c>
      <c r="AD4" s="6" t="s">
        <v>398</v>
      </c>
      <c r="AE4" s="6" t="s">
        <v>398</v>
      </c>
      <c r="AF4" s="6" t="s">
        <v>398</v>
      </c>
      <c r="AG4" s="6" t="s">
        <v>398</v>
      </c>
      <c r="AH4" s="6">
        <v>42</v>
      </c>
      <c r="AI4" s="6">
        <v>42</v>
      </c>
      <c r="AJ4" s="59">
        <v>42</v>
      </c>
      <c r="AK4" s="59">
        <v>42</v>
      </c>
      <c r="AL4" s="6" t="s">
        <v>398</v>
      </c>
      <c r="AM4" s="6" t="s">
        <v>398</v>
      </c>
      <c r="AN4" s="6" t="s">
        <v>398</v>
      </c>
    </row>
    <row r="5" ht="15.75" customHeight="1" spans="1:40">
      <c r="A5" s="6" t="s">
        <v>2576</v>
      </c>
      <c r="B5" s="45" t="s">
        <v>576</v>
      </c>
      <c r="C5" s="4" t="s">
        <v>957</v>
      </c>
      <c r="D5" s="10" t="s">
        <v>92</v>
      </c>
      <c r="E5" s="29" t="s">
        <v>971</v>
      </c>
      <c r="F5" s="46" t="s">
        <v>2600</v>
      </c>
      <c r="G5" s="46">
        <v>2097318634</v>
      </c>
      <c r="H5" s="47" t="s">
        <v>957</v>
      </c>
      <c r="I5" s="47" t="s">
        <v>2601</v>
      </c>
      <c r="J5" s="7" t="s">
        <v>942</v>
      </c>
      <c r="K5" s="7" t="s">
        <v>942</v>
      </c>
      <c r="L5" s="7" t="s">
        <v>1068</v>
      </c>
      <c r="M5" s="7" t="s">
        <v>2602</v>
      </c>
      <c r="N5" s="51">
        <v>30532</v>
      </c>
      <c r="O5" s="7" t="s">
        <v>945</v>
      </c>
      <c r="P5" s="7" t="s">
        <v>946</v>
      </c>
      <c r="Q5" s="7" t="s">
        <v>963</v>
      </c>
      <c r="R5" s="7" t="s">
        <v>2603</v>
      </c>
      <c r="S5" s="59">
        <v>98</v>
      </c>
      <c r="T5" s="7" t="s">
        <v>965</v>
      </c>
      <c r="U5" s="7"/>
      <c r="V5" s="7" t="s">
        <v>2604</v>
      </c>
      <c r="W5" s="7" t="s">
        <v>2605</v>
      </c>
      <c r="X5" s="7" t="s">
        <v>953</v>
      </c>
      <c r="Y5" s="7" t="s">
        <v>537</v>
      </c>
      <c r="Z5" s="7" t="s">
        <v>2606</v>
      </c>
      <c r="AA5" s="7" t="s">
        <v>2607</v>
      </c>
      <c r="AB5" s="7" t="s">
        <v>1086</v>
      </c>
      <c r="AC5" s="6" t="s">
        <v>406</v>
      </c>
      <c r="AD5" s="6" t="s">
        <v>406</v>
      </c>
      <c r="AE5" s="6" t="s">
        <v>406</v>
      </c>
      <c r="AF5" s="6" t="s">
        <v>406</v>
      </c>
      <c r="AG5" s="6" t="s">
        <v>406</v>
      </c>
      <c r="AH5" s="6">
        <v>42</v>
      </c>
      <c r="AI5" s="6">
        <v>42</v>
      </c>
      <c r="AJ5" s="59">
        <v>42</v>
      </c>
      <c r="AK5" s="59">
        <v>43</v>
      </c>
      <c r="AL5" s="6" t="s">
        <v>406</v>
      </c>
      <c r="AM5" s="6" t="s">
        <v>406</v>
      </c>
      <c r="AN5" s="6" t="s">
        <v>406</v>
      </c>
    </row>
    <row r="6" ht="15.75" customHeight="1" spans="1:40">
      <c r="A6" s="6"/>
      <c r="B6" s="45"/>
      <c r="C6" s="4"/>
      <c r="D6" s="12" t="s">
        <v>256</v>
      </c>
      <c r="E6" s="29" t="s">
        <v>491</v>
      </c>
      <c r="F6" s="46" t="s">
        <v>2608</v>
      </c>
      <c r="G6" s="46"/>
      <c r="H6" s="46"/>
      <c r="I6" s="47"/>
      <c r="J6" s="47"/>
      <c r="K6" s="47"/>
      <c r="L6" s="46"/>
      <c r="M6" s="46"/>
      <c r="N6" s="52"/>
      <c r="O6" s="46"/>
      <c r="P6" s="46"/>
      <c r="Q6" s="46"/>
      <c r="R6" s="60"/>
      <c r="S6" s="46"/>
      <c r="T6" s="46"/>
      <c r="U6" s="46"/>
      <c r="V6" s="47"/>
      <c r="W6" s="47"/>
      <c r="X6" s="46"/>
      <c r="Y6" s="46"/>
      <c r="Z6" s="46"/>
      <c r="AA6" s="46"/>
      <c r="AB6" s="46"/>
      <c r="AC6" s="46"/>
      <c r="AD6" s="46"/>
      <c r="AE6" s="46"/>
      <c r="AF6" s="46"/>
      <c r="AG6" s="46"/>
      <c r="AH6" s="46"/>
      <c r="AI6" s="46"/>
      <c r="AJ6" s="46"/>
      <c r="AK6" s="46"/>
      <c r="AL6" s="46"/>
      <c r="AM6" s="46"/>
      <c r="AN6" s="46"/>
    </row>
    <row r="7" ht="15.75" customHeight="1" spans="1:40">
      <c r="A7" s="6" t="s">
        <v>2576</v>
      </c>
      <c r="B7" s="45" t="s">
        <v>520</v>
      </c>
      <c r="C7" s="4" t="s">
        <v>957</v>
      </c>
      <c r="D7" s="12" t="s">
        <v>2609</v>
      </c>
      <c r="E7" s="29" t="s">
        <v>971</v>
      </c>
      <c r="F7" s="46" t="s">
        <v>2610</v>
      </c>
      <c r="G7" s="46">
        <v>2036098321</v>
      </c>
      <c r="H7" s="47" t="s">
        <v>2611</v>
      </c>
      <c r="I7" s="4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row>
    <row r="8" ht="15.75" customHeight="1" spans="1:40">
      <c r="A8" s="6" t="s">
        <v>2576</v>
      </c>
      <c r="B8" s="45" t="s">
        <v>542</v>
      </c>
      <c r="C8" s="4" t="s">
        <v>957</v>
      </c>
      <c r="D8" s="12" t="s">
        <v>2612</v>
      </c>
      <c r="E8" s="29" t="s">
        <v>971</v>
      </c>
      <c r="F8" s="46" t="s">
        <v>2613</v>
      </c>
      <c r="G8" s="46">
        <v>4081296206</v>
      </c>
      <c r="H8" s="46" t="s">
        <v>2611</v>
      </c>
      <c r="I8" s="47"/>
      <c r="J8" s="47"/>
      <c r="K8" s="47"/>
      <c r="L8" s="46" t="s">
        <v>975</v>
      </c>
      <c r="M8" s="46" t="s">
        <v>2614</v>
      </c>
      <c r="N8" s="52">
        <v>29987</v>
      </c>
      <c r="O8" s="46" t="s">
        <v>945</v>
      </c>
      <c r="P8" s="46" t="s">
        <v>1041</v>
      </c>
      <c r="Q8" s="46" t="s">
        <v>963</v>
      </c>
      <c r="R8" s="60" t="s">
        <v>2615</v>
      </c>
      <c r="S8" s="46">
        <v>70</v>
      </c>
      <c r="T8" s="46" t="s">
        <v>1011</v>
      </c>
      <c r="U8" s="46" t="s">
        <v>2616</v>
      </c>
      <c r="V8" s="47"/>
      <c r="W8" s="47"/>
      <c r="X8" s="46" t="s">
        <v>953</v>
      </c>
      <c r="Y8" s="46" t="s">
        <v>542</v>
      </c>
      <c r="Z8" s="46" t="s">
        <v>2617</v>
      </c>
      <c r="AA8" s="46" t="s">
        <v>2618</v>
      </c>
      <c r="AB8" s="46" t="s">
        <v>2619</v>
      </c>
      <c r="AC8" s="46" t="s">
        <v>396</v>
      </c>
      <c r="AD8" s="46" t="s">
        <v>396</v>
      </c>
      <c r="AE8" s="46" t="s">
        <v>396</v>
      </c>
      <c r="AF8" s="46" t="s">
        <v>396</v>
      </c>
      <c r="AG8" s="46" t="s">
        <v>396</v>
      </c>
      <c r="AH8" s="46">
        <v>40</v>
      </c>
      <c r="AI8" s="46">
        <v>40</v>
      </c>
      <c r="AJ8" s="46">
        <v>40</v>
      </c>
      <c r="AK8" s="46">
        <v>40</v>
      </c>
      <c r="AL8" s="46" t="s">
        <v>396</v>
      </c>
      <c r="AM8" s="46" t="s">
        <v>396</v>
      </c>
      <c r="AN8" s="46" t="s">
        <v>396</v>
      </c>
    </row>
    <row r="9" ht="15.75" customHeight="1" spans="1:40">
      <c r="A9" s="6" t="s">
        <v>2576</v>
      </c>
      <c r="B9" s="45" t="s">
        <v>523</v>
      </c>
      <c r="C9" s="4" t="s">
        <v>957</v>
      </c>
      <c r="D9" s="12" t="s">
        <v>2620</v>
      </c>
      <c r="E9" s="29" t="s">
        <v>971</v>
      </c>
      <c r="F9" s="46" t="s">
        <v>2621</v>
      </c>
      <c r="G9" s="46">
        <v>4132440068</v>
      </c>
      <c r="H9" s="47" t="s">
        <v>2622</v>
      </c>
      <c r="I9" s="47" t="s">
        <v>942</v>
      </c>
      <c r="J9" s="47" t="s">
        <v>942</v>
      </c>
      <c r="K9" s="47" t="s">
        <v>941</v>
      </c>
      <c r="L9" s="47" t="s">
        <v>1068</v>
      </c>
      <c r="M9" s="47" t="s">
        <v>2623</v>
      </c>
      <c r="N9" s="53">
        <v>37857</v>
      </c>
      <c r="O9" s="47" t="s">
        <v>1028</v>
      </c>
      <c r="P9" s="47" t="s">
        <v>2624</v>
      </c>
      <c r="Q9" s="47" t="s">
        <v>2349</v>
      </c>
      <c r="R9" s="47" t="s">
        <v>2625</v>
      </c>
      <c r="S9" s="47">
        <v>68</v>
      </c>
      <c r="T9" s="47" t="s">
        <v>1030</v>
      </c>
      <c r="U9" s="47" t="s">
        <v>2626</v>
      </c>
      <c r="V9" s="47" t="s">
        <v>2627</v>
      </c>
      <c r="W9" s="47" t="s">
        <v>2627</v>
      </c>
      <c r="X9" s="47" t="s">
        <v>953</v>
      </c>
      <c r="Y9" s="47" t="s">
        <v>2628</v>
      </c>
      <c r="Z9" s="47" t="s">
        <v>2629</v>
      </c>
      <c r="AA9" s="47" t="s">
        <v>2630</v>
      </c>
      <c r="AB9" s="47" t="s">
        <v>2631</v>
      </c>
      <c r="AC9" s="47" t="s">
        <v>396</v>
      </c>
      <c r="AD9" s="47" t="s">
        <v>396</v>
      </c>
      <c r="AE9" s="47" t="s">
        <v>396</v>
      </c>
      <c r="AF9" s="47" t="s">
        <v>396</v>
      </c>
      <c r="AG9" s="47" t="s">
        <v>396</v>
      </c>
      <c r="AH9" s="47" t="s">
        <v>396</v>
      </c>
      <c r="AI9" s="47">
        <v>39</v>
      </c>
      <c r="AJ9" s="47">
        <v>39</v>
      </c>
      <c r="AK9" s="47">
        <v>39</v>
      </c>
      <c r="AL9" s="47">
        <v>39</v>
      </c>
      <c r="AM9" s="47" t="s">
        <v>396</v>
      </c>
      <c r="AN9" s="47">
        <v>52</v>
      </c>
    </row>
    <row r="10" ht="15.75" customHeight="1" spans="1:40">
      <c r="A10" s="6" t="s">
        <v>2576</v>
      </c>
      <c r="B10" s="45" t="s">
        <v>577</v>
      </c>
      <c r="C10" s="4" t="s">
        <v>957</v>
      </c>
      <c r="D10" s="10" t="s">
        <v>257</v>
      </c>
      <c r="E10" s="29" t="s">
        <v>491</v>
      </c>
      <c r="F10" s="46" t="s">
        <v>2632</v>
      </c>
      <c r="G10" s="46">
        <v>1104159882</v>
      </c>
      <c r="H10" s="47" t="s">
        <v>2043</v>
      </c>
      <c r="I10" s="47" t="s">
        <v>2633</v>
      </c>
      <c r="J10" s="7" t="s">
        <v>942</v>
      </c>
      <c r="K10" s="7" t="s">
        <v>942</v>
      </c>
      <c r="L10" s="7" t="s">
        <v>943</v>
      </c>
      <c r="M10" s="7" t="s">
        <v>2634</v>
      </c>
      <c r="N10" s="51">
        <v>34875</v>
      </c>
      <c r="O10" s="7" t="s">
        <v>945</v>
      </c>
      <c r="P10" s="7" t="s">
        <v>946</v>
      </c>
      <c r="Q10" s="7" t="s">
        <v>963</v>
      </c>
      <c r="R10" s="7" t="s">
        <v>2635</v>
      </c>
      <c r="S10" s="59">
        <v>75</v>
      </c>
      <c r="T10" s="7" t="s">
        <v>1011</v>
      </c>
      <c r="U10" s="7"/>
      <c r="V10" s="7" t="s">
        <v>2636</v>
      </c>
      <c r="W10" s="47" t="s">
        <v>2637</v>
      </c>
      <c r="X10" s="7" t="s">
        <v>953</v>
      </c>
      <c r="Y10" s="7" t="s">
        <v>577</v>
      </c>
      <c r="Z10" s="7" t="s">
        <v>2638</v>
      </c>
      <c r="AA10" s="7" t="s">
        <v>2639</v>
      </c>
      <c r="AB10" s="7" t="s">
        <v>2640</v>
      </c>
      <c r="AC10" s="6" t="s">
        <v>396</v>
      </c>
      <c r="AD10" s="6" t="s">
        <v>396</v>
      </c>
      <c r="AE10" s="6" t="s">
        <v>396</v>
      </c>
      <c r="AF10" s="6" t="s">
        <v>406</v>
      </c>
      <c r="AG10" s="6" t="s">
        <v>396</v>
      </c>
      <c r="AH10" s="6">
        <v>41</v>
      </c>
      <c r="AI10" s="6">
        <v>41</v>
      </c>
      <c r="AJ10" s="59">
        <v>41</v>
      </c>
      <c r="AK10" s="59">
        <v>41</v>
      </c>
      <c r="AL10" s="6" t="s">
        <v>396</v>
      </c>
      <c r="AM10" s="6" t="s">
        <v>396</v>
      </c>
      <c r="AN10" s="6" t="s">
        <v>406</v>
      </c>
    </row>
    <row r="11" ht="15.75" customHeight="1" spans="1:40">
      <c r="A11" s="6" t="s">
        <v>2576</v>
      </c>
      <c r="B11" s="45" t="s">
        <v>558</v>
      </c>
      <c r="C11" s="4" t="s">
        <v>957</v>
      </c>
      <c r="D11" s="12" t="s">
        <v>2641</v>
      </c>
      <c r="E11" s="29" t="s">
        <v>971</v>
      </c>
      <c r="F11" s="46" t="s">
        <v>2642</v>
      </c>
      <c r="G11" s="46">
        <v>1074187525</v>
      </c>
      <c r="H11" s="47" t="s">
        <v>2643</v>
      </c>
      <c r="I11" s="47" t="s">
        <v>2644</v>
      </c>
      <c r="J11" s="7" t="s">
        <v>942</v>
      </c>
      <c r="K11" s="7" t="s">
        <v>942</v>
      </c>
      <c r="L11" s="7" t="s">
        <v>975</v>
      </c>
      <c r="M11" s="7" t="s">
        <v>2645</v>
      </c>
      <c r="N11" s="51">
        <v>28654</v>
      </c>
      <c r="O11" s="7" t="s">
        <v>945</v>
      </c>
      <c r="P11" s="7" t="s">
        <v>1257</v>
      </c>
      <c r="Q11" s="7" t="s">
        <v>963</v>
      </c>
      <c r="R11" s="7" t="s">
        <v>2646</v>
      </c>
      <c r="S11" s="59">
        <v>85</v>
      </c>
      <c r="T11" s="7" t="s">
        <v>1030</v>
      </c>
      <c r="U11" s="7"/>
      <c r="V11" s="7" t="s">
        <v>2647</v>
      </c>
      <c r="W11" s="7"/>
      <c r="X11" s="7" t="s">
        <v>953</v>
      </c>
      <c r="Y11" s="7" t="s">
        <v>558</v>
      </c>
      <c r="Z11" s="7" t="s">
        <v>2648</v>
      </c>
      <c r="AA11" s="7" t="s">
        <v>2649</v>
      </c>
      <c r="AB11" s="7" t="s">
        <v>2650</v>
      </c>
      <c r="AC11" s="7" t="s">
        <v>406</v>
      </c>
      <c r="AD11" s="7" t="s">
        <v>406</v>
      </c>
      <c r="AE11" s="6" t="s">
        <v>406</v>
      </c>
      <c r="AF11" s="6" t="s">
        <v>398</v>
      </c>
      <c r="AG11" s="6" t="s">
        <v>396</v>
      </c>
      <c r="AH11" s="6">
        <v>42</v>
      </c>
      <c r="AI11" s="6">
        <v>42</v>
      </c>
      <c r="AJ11" s="59">
        <v>42</v>
      </c>
      <c r="AK11" s="59">
        <v>42</v>
      </c>
      <c r="AL11" s="7" t="s">
        <v>406</v>
      </c>
      <c r="AM11" s="7" t="s">
        <v>406</v>
      </c>
      <c r="AN11" s="7" t="s">
        <v>406</v>
      </c>
    </row>
    <row r="12" ht="15.75" customHeight="1" spans="1:40">
      <c r="A12" s="6" t="s">
        <v>2576</v>
      </c>
      <c r="B12" s="45" t="s">
        <v>552</v>
      </c>
      <c r="C12" s="4" t="s">
        <v>957</v>
      </c>
      <c r="D12" s="10" t="s">
        <v>258</v>
      </c>
      <c r="E12" s="29" t="s">
        <v>491</v>
      </c>
      <c r="F12" s="46" t="s">
        <v>2651</v>
      </c>
      <c r="G12" s="46">
        <v>1100069853</v>
      </c>
      <c r="H12" s="47" t="s">
        <v>2652</v>
      </c>
      <c r="I12" s="47" t="s">
        <v>2653</v>
      </c>
      <c r="J12" s="7" t="s">
        <v>941</v>
      </c>
      <c r="K12" s="7" t="s">
        <v>942</v>
      </c>
      <c r="L12" s="7" t="s">
        <v>975</v>
      </c>
      <c r="M12" s="7" t="s">
        <v>2654</v>
      </c>
      <c r="N12" s="51">
        <v>32530</v>
      </c>
      <c r="O12" s="7" t="s">
        <v>945</v>
      </c>
      <c r="P12" s="7" t="s">
        <v>946</v>
      </c>
      <c r="Q12" s="7" t="s">
        <v>1245</v>
      </c>
      <c r="R12" s="7" t="s">
        <v>2655</v>
      </c>
      <c r="S12" s="59">
        <v>80</v>
      </c>
      <c r="T12" s="7" t="s">
        <v>965</v>
      </c>
      <c r="U12" s="7"/>
      <c r="V12" s="7" t="s">
        <v>2656</v>
      </c>
      <c r="W12" s="7" t="s">
        <v>2657</v>
      </c>
      <c r="X12" s="7" t="s">
        <v>953</v>
      </c>
      <c r="Y12" s="7" t="s">
        <v>552</v>
      </c>
      <c r="Z12" s="7" t="s">
        <v>2658</v>
      </c>
      <c r="AA12" s="7" t="s">
        <v>2659</v>
      </c>
      <c r="AB12" s="7" t="s">
        <v>1086</v>
      </c>
      <c r="AC12" s="7" t="s">
        <v>396</v>
      </c>
      <c r="AD12" s="7" t="s">
        <v>396</v>
      </c>
      <c r="AE12" s="6" t="s">
        <v>396</v>
      </c>
      <c r="AF12" s="6" t="s">
        <v>396</v>
      </c>
      <c r="AG12" s="6" t="s">
        <v>396</v>
      </c>
      <c r="AH12" s="6">
        <v>40</v>
      </c>
      <c r="AI12" s="6">
        <v>40</v>
      </c>
      <c r="AJ12" s="59">
        <v>40</v>
      </c>
      <c r="AK12" s="59">
        <v>40</v>
      </c>
      <c r="AL12" s="7" t="s">
        <v>396</v>
      </c>
      <c r="AM12" s="7" t="s">
        <v>396</v>
      </c>
      <c r="AN12" s="7" t="s">
        <v>396</v>
      </c>
    </row>
    <row r="13" ht="15.75" customHeight="1" spans="1:40">
      <c r="A13" s="6" t="s">
        <v>2576</v>
      </c>
      <c r="B13" s="45" t="s">
        <v>2660</v>
      </c>
      <c r="C13" s="4" t="s">
        <v>655</v>
      </c>
      <c r="D13" s="10" t="s">
        <v>2661</v>
      </c>
      <c r="E13" s="29" t="s">
        <v>971</v>
      </c>
      <c r="F13" s="46">
        <v>77121228068</v>
      </c>
      <c r="G13" s="46">
        <v>7045553257</v>
      </c>
      <c r="H13" s="46" t="s">
        <v>2662</v>
      </c>
      <c r="I13" s="47"/>
      <c r="J13" s="7"/>
      <c r="K13" s="7"/>
      <c r="L13" s="7"/>
      <c r="M13" s="7"/>
      <c r="N13" s="54">
        <v>26936</v>
      </c>
      <c r="O13" s="6" t="s">
        <v>945</v>
      </c>
      <c r="P13" s="7"/>
      <c r="Q13" s="7"/>
      <c r="R13" s="7"/>
      <c r="S13" s="7"/>
      <c r="T13" s="7"/>
      <c r="U13" s="7"/>
      <c r="V13" s="7"/>
      <c r="W13" s="47"/>
      <c r="X13" s="47"/>
      <c r="Y13" s="46" t="s">
        <v>535</v>
      </c>
      <c r="Z13" s="47"/>
      <c r="AA13" s="7"/>
      <c r="AB13" s="7"/>
      <c r="AC13" s="7"/>
      <c r="AD13" s="7"/>
      <c r="AE13" s="7"/>
      <c r="AF13" s="7"/>
      <c r="AG13" s="6" t="s">
        <v>406</v>
      </c>
      <c r="AH13" s="6">
        <v>42</v>
      </c>
      <c r="AI13" s="7"/>
      <c r="AJ13" s="7"/>
      <c r="AK13" s="7"/>
      <c r="AL13" s="6" t="s">
        <v>406</v>
      </c>
      <c r="AM13" s="6" t="s">
        <v>406</v>
      </c>
      <c r="AN13" s="6" t="s">
        <v>406</v>
      </c>
    </row>
    <row r="14" ht="15.75" customHeight="1" spans="1:40">
      <c r="A14" s="6" t="s">
        <v>2576</v>
      </c>
      <c r="B14" s="45" t="s">
        <v>523</v>
      </c>
      <c r="C14" s="4" t="s">
        <v>957</v>
      </c>
      <c r="D14" s="12" t="s">
        <v>2663</v>
      </c>
      <c r="E14" s="29" t="s">
        <v>971</v>
      </c>
      <c r="F14" s="46" t="s">
        <v>2664</v>
      </c>
      <c r="G14" s="46">
        <v>1122156332</v>
      </c>
      <c r="H14" s="47" t="s">
        <v>2665</v>
      </c>
      <c r="I14" s="47" t="s">
        <v>2666</v>
      </c>
      <c r="J14" s="47"/>
      <c r="K14" s="47"/>
      <c r="L14" s="47"/>
      <c r="M14" s="47"/>
      <c r="N14" s="53"/>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row>
    <row r="15" ht="15.75" customHeight="1" spans="1:40">
      <c r="A15" s="6" t="s">
        <v>2576</v>
      </c>
      <c r="B15" s="45" t="s">
        <v>552</v>
      </c>
      <c r="C15" s="4" t="s">
        <v>957</v>
      </c>
      <c r="D15" s="12" t="s">
        <v>2667</v>
      </c>
      <c r="E15" s="29" t="s">
        <v>491</v>
      </c>
      <c r="F15" s="46" t="s">
        <v>2668</v>
      </c>
      <c r="G15" s="46">
        <v>8070542471</v>
      </c>
      <c r="H15" s="47" t="s">
        <v>2652</v>
      </c>
      <c r="I15" s="47" t="s">
        <v>2669</v>
      </c>
      <c r="J15" s="7" t="s">
        <v>941</v>
      </c>
      <c r="K15" s="7" t="s">
        <v>942</v>
      </c>
      <c r="L15" s="7" t="s">
        <v>975</v>
      </c>
      <c r="M15" s="7" t="s">
        <v>2670</v>
      </c>
      <c r="N15" s="55">
        <v>29138</v>
      </c>
      <c r="O15" s="7" t="s">
        <v>1028</v>
      </c>
      <c r="P15" s="7" t="s">
        <v>1257</v>
      </c>
      <c r="Q15" s="7" t="s">
        <v>963</v>
      </c>
      <c r="R15" s="7" t="s">
        <v>2671</v>
      </c>
      <c r="S15" s="59">
        <v>56</v>
      </c>
      <c r="T15" s="7" t="s">
        <v>1369</v>
      </c>
      <c r="U15" s="7"/>
      <c r="V15" s="7" t="s">
        <v>2672</v>
      </c>
      <c r="W15" s="7" t="s">
        <v>2673</v>
      </c>
      <c r="X15" s="7" t="s">
        <v>953</v>
      </c>
      <c r="Y15" s="7" t="s">
        <v>552</v>
      </c>
      <c r="Z15" s="7" t="s">
        <v>2658</v>
      </c>
      <c r="AA15" s="7" t="s">
        <v>2674</v>
      </c>
      <c r="AB15" s="7" t="s">
        <v>1086</v>
      </c>
      <c r="AC15" s="7" t="s">
        <v>395</v>
      </c>
      <c r="AD15" s="7" t="s">
        <v>395</v>
      </c>
      <c r="AE15" s="6" t="s">
        <v>395</v>
      </c>
      <c r="AF15" s="6" t="s">
        <v>395</v>
      </c>
      <c r="AG15" s="6" t="s">
        <v>395</v>
      </c>
      <c r="AH15" s="6">
        <v>37</v>
      </c>
      <c r="AI15" s="6">
        <v>36</v>
      </c>
      <c r="AJ15" s="59">
        <v>36</v>
      </c>
      <c r="AK15" s="59">
        <v>36</v>
      </c>
      <c r="AL15" s="7" t="s">
        <v>395</v>
      </c>
      <c r="AM15" s="7" t="s">
        <v>395</v>
      </c>
      <c r="AN15" s="7" t="s">
        <v>395</v>
      </c>
    </row>
    <row r="16" ht="15.75" customHeight="1" spans="1:40">
      <c r="A16" s="6" t="s">
        <v>2576</v>
      </c>
      <c r="B16" s="45" t="s">
        <v>576</v>
      </c>
      <c r="C16" s="4" t="s">
        <v>957</v>
      </c>
      <c r="D16" s="10" t="s">
        <v>95</v>
      </c>
      <c r="E16" s="29" t="s">
        <v>971</v>
      </c>
      <c r="F16" s="46" t="s">
        <v>2675</v>
      </c>
      <c r="G16" s="46">
        <v>1101204624</v>
      </c>
      <c r="H16" s="47" t="s">
        <v>957</v>
      </c>
      <c r="I16" s="47" t="s">
        <v>2676</v>
      </c>
      <c r="J16" s="7" t="s">
        <v>942</v>
      </c>
      <c r="K16" s="7" t="s">
        <v>942</v>
      </c>
      <c r="L16" s="7" t="s">
        <v>1068</v>
      </c>
      <c r="M16" s="7" t="s">
        <v>2677</v>
      </c>
      <c r="N16" s="51">
        <v>36602</v>
      </c>
      <c r="O16" s="7" t="s">
        <v>1028</v>
      </c>
      <c r="P16" s="7" t="s">
        <v>946</v>
      </c>
      <c r="Q16" s="7" t="s">
        <v>963</v>
      </c>
      <c r="R16" s="7" t="s">
        <v>2678</v>
      </c>
      <c r="S16" s="59">
        <v>50</v>
      </c>
      <c r="T16" s="7" t="s">
        <v>1369</v>
      </c>
      <c r="U16" s="7"/>
      <c r="V16" s="7" t="s">
        <v>2679</v>
      </c>
      <c r="W16" s="7" t="s">
        <v>2680</v>
      </c>
      <c r="X16" s="7" t="s">
        <v>953</v>
      </c>
      <c r="Y16" s="7" t="s">
        <v>576</v>
      </c>
      <c r="Z16" s="7" t="s">
        <v>2589</v>
      </c>
      <c r="AA16" s="7" t="s">
        <v>2681</v>
      </c>
      <c r="AB16" s="7" t="s">
        <v>1086</v>
      </c>
      <c r="AC16" s="6" t="s">
        <v>395</v>
      </c>
      <c r="AD16" s="6" t="s">
        <v>395</v>
      </c>
      <c r="AE16" s="6" t="s">
        <v>395</v>
      </c>
      <c r="AF16" s="6" t="s">
        <v>395</v>
      </c>
      <c r="AG16" s="6" t="s">
        <v>395</v>
      </c>
      <c r="AH16" s="6">
        <v>35</v>
      </c>
      <c r="AI16" s="6">
        <v>35</v>
      </c>
      <c r="AJ16" s="59">
        <v>35</v>
      </c>
      <c r="AK16" s="59">
        <v>35</v>
      </c>
      <c r="AL16" s="6" t="s">
        <v>395</v>
      </c>
      <c r="AM16" s="6" t="s">
        <v>395</v>
      </c>
      <c r="AN16" s="6" t="s">
        <v>395</v>
      </c>
    </row>
    <row r="17" ht="15.75" customHeight="1" spans="1:40">
      <c r="A17" s="6" t="s">
        <v>2576</v>
      </c>
      <c r="B17" s="45" t="s">
        <v>548</v>
      </c>
      <c r="C17" s="4" t="s">
        <v>957</v>
      </c>
      <c r="D17" s="12" t="s">
        <v>2682</v>
      </c>
      <c r="E17" s="29" t="s">
        <v>971</v>
      </c>
      <c r="F17" s="46" t="s">
        <v>2683</v>
      </c>
      <c r="G17" s="46">
        <v>6057916675</v>
      </c>
      <c r="H17" s="47" t="s">
        <v>2579</v>
      </c>
      <c r="I17" s="47" t="s">
        <v>2684</v>
      </c>
      <c r="J17" s="7" t="s">
        <v>941</v>
      </c>
      <c r="K17" s="7" t="s">
        <v>942</v>
      </c>
      <c r="L17" s="7" t="s">
        <v>943</v>
      </c>
      <c r="M17" s="7" t="s">
        <v>2685</v>
      </c>
      <c r="N17" s="51">
        <v>27791</v>
      </c>
      <c r="O17" s="7" t="s">
        <v>1028</v>
      </c>
      <c r="P17" s="7" t="s">
        <v>946</v>
      </c>
      <c r="Q17" s="7" t="s">
        <v>963</v>
      </c>
      <c r="R17" s="7" t="s">
        <v>2686</v>
      </c>
      <c r="S17" s="59">
        <v>75</v>
      </c>
      <c r="T17" s="7" t="s">
        <v>1044</v>
      </c>
      <c r="U17" s="47" t="s">
        <v>2687</v>
      </c>
      <c r="V17" s="47" t="s">
        <v>2687</v>
      </c>
      <c r="W17" s="47" t="s">
        <v>2687</v>
      </c>
      <c r="X17" s="47" t="s">
        <v>2688</v>
      </c>
      <c r="Y17" s="7" t="s">
        <v>548</v>
      </c>
      <c r="Z17" s="47" t="s">
        <v>2689</v>
      </c>
      <c r="AA17" s="7" t="s">
        <v>2690</v>
      </c>
      <c r="AB17" s="7" t="s">
        <v>2690</v>
      </c>
      <c r="AC17" s="7" t="s">
        <v>396</v>
      </c>
      <c r="AD17" s="7" t="s">
        <v>396</v>
      </c>
      <c r="AE17" s="6" t="s">
        <v>396</v>
      </c>
      <c r="AF17" s="6" t="s">
        <v>396</v>
      </c>
      <c r="AG17" s="6" t="s">
        <v>396</v>
      </c>
      <c r="AH17" s="6">
        <v>35</v>
      </c>
      <c r="AI17" s="6">
        <v>35</v>
      </c>
      <c r="AJ17" s="59">
        <v>35</v>
      </c>
      <c r="AK17" s="59">
        <v>35</v>
      </c>
      <c r="AL17" s="7" t="s">
        <v>396</v>
      </c>
      <c r="AM17" s="7" t="s">
        <v>396</v>
      </c>
      <c r="AN17" s="7" t="s">
        <v>396</v>
      </c>
    </row>
    <row r="18" ht="15.75" customHeight="1" spans="1:40">
      <c r="A18" s="6"/>
      <c r="B18" s="45"/>
      <c r="C18" s="4"/>
      <c r="D18" s="12" t="s">
        <v>2691</v>
      </c>
      <c r="E18" s="29" t="s">
        <v>491</v>
      </c>
      <c r="F18" s="46" t="s">
        <v>2692</v>
      </c>
      <c r="G18" s="46"/>
      <c r="H18" s="47"/>
      <c r="I18" s="47"/>
      <c r="J18" s="7"/>
      <c r="K18" s="7"/>
      <c r="L18" s="7"/>
      <c r="M18" s="7"/>
      <c r="N18" s="15"/>
      <c r="O18" s="7"/>
      <c r="P18" s="7"/>
      <c r="Q18" s="7"/>
      <c r="R18" s="7"/>
      <c r="S18" s="59"/>
      <c r="T18" s="7"/>
      <c r="U18" s="7"/>
      <c r="V18" s="7"/>
      <c r="W18" s="7"/>
      <c r="X18" s="47"/>
      <c r="Y18" s="7"/>
      <c r="Z18" s="47"/>
      <c r="AA18" s="7"/>
      <c r="AB18" s="7"/>
      <c r="AC18" s="7"/>
      <c r="AD18" s="7"/>
      <c r="AE18" s="6"/>
      <c r="AF18" s="6"/>
      <c r="AG18" s="6"/>
      <c r="AH18" s="6"/>
      <c r="AI18" s="6"/>
      <c r="AJ18" s="59"/>
      <c r="AK18" s="59"/>
      <c r="AL18" s="7"/>
      <c r="AM18" s="7"/>
      <c r="AN18" s="7"/>
    </row>
    <row r="19" ht="15.75" customHeight="1" spans="1:40">
      <c r="A19" s="6" t="s">
        <v>2576</v>
      </c>
      <c r="B19" s="45" t="s">
        <v>548</v>
      </c>
      <c r="C19" s="4" t="s">
        <v>957</v>
      </c>
      <c r="D19" s="12" t="s">
        <v>2693</v>
      </c>
      <c r="E19" s="29" t="s">
        <v>971</v>
      </c>
      <c r="F19" s="46" t="s">
        <v>2694</v>
      </c>
      <c r="G19" s="46">
        <v>9099646722</v>
      </c>
      <c r="H19" s="47" t="s">
        <v>2579</v>
      </c>
      <c r="I19" s="47" t="s">
        <v>2695</v>
      </c>
      <c r="J19" s="7" t="s">
        <v>942</v>
      </c>
      <c r="K19" s="7" t="s">
        <v>942</v>
      </c>
      <c r="L19" s="7" t="s">
        <v>1102</v>
      </c>
      <c r="M19" s="7" t="s">
        <v>2696</v>
      </c>
      <c r="N19" s="246" t="s">
        <v>2697</v>
      </c>
      <c r="O19" s="7" t="s">
        <v>1028</v>
      </c>
      <c r="P19" s="7" t="s">
        <v>946</v>
      </c>
      <c r="Q19" s="7" t="s">
        <v>1245</v>
      </c>
      <c r="R19" s="7" t="s">
        <v>2698</v>
      </c>
      <c r="S19" s="59">
        <v>55</v>
      </c>
      <c r="T19" s="7" t="s">
        <v>1208</v>
      </c>
      <c r="U19" s="7" t="s">
        <v>2699</v>
      </c>
      <c r="V19" s="7" t="s">
        <v>2699</v>
      </c>
      <c r="W19" s="7" t="s">
        <v>2700</v>
      </c>
      <c r="X19" s="47" t="s">
        <v>2688</v>
      </c>
      <c r="Y19" s="7" t="s">
        <v>548</v>
      </c>
      <c r="Z19" s="47" t="s">
        <v>2689</v>
      </c>
      <c r="AA19" s="7" t="s">
        <v>2701</v>
      </c>
      <c r="AB19" s="7" t="s">
        <v>2702</v>
      </c>
      <c r="AC19" s="7" t="s">
        <v>396</v>
      </c>
      <c r="AD19" s="7" t="s">
        <v>396</v>
      </c>
      <c r="AE19" s="6" t="s">
        <v>396</v>
      </c>
      <c r="AF19" s="6" t="s">
        <v>395</v>
      </c>
      <c r="AG19" s="6" t="s">
        <v>395</v>
      </c>
      <c r="AH19" s="6">
        <v>35</v>
      </c>
      <c r="AI19" s="6">
        <v>35</v>
      </c>
      <c r="AJ19" s="59">
        <v>35</v>
      </c>
      <c r="AK19" s="59">
        <v>35</v>
      </c>
      <c r="AL19" s="7" t="s">
        <v>395</v>
      </c>
      <c r="AM19" s="7" t="s">
        <v>395</v>
      </c>
      <c r="AN19" s="7" t="s">
        <v>395</v>
      </c>
    </row>
    <row r="20" ht="15.75" customHeight="1" spans="1:40">
      <c r="A20" s="6" t="s">
        <v>2576</v>
      </c>
      <c r="B20" s="45" t="s">
        <v>546</v>
      </c>
      <c r="C20" s="4" t="s">
        <v>957</v>
      </c>
      <c r="D20" s="12" t="s">
        <v>2703</v>
      </c>
      <c r="E20" s="29" t="s">
        <v>971</v>
      </c>
      <c r="F20" s="46"/>
      <c r="G20" s="47"/>
      <c r="H20" s="47"/>
      <c r="I20" s="47"/>
      <c r="J20" s="47"/>
      <c r="K20" s="47"/>
      <c r="L20" s="47"/>
      <c r="M20" s="47"/>
      <c r="N20" s="52">
        <v>27236</v>
      </c>
      <c r="O20" s="46" t="s">
        <v>1028</v>
      </c>
      <c r="P20" s="47"/>
      <c r="Q20" s="47"/>
      <c r="R20" s="47"/>
      <c r="S20" s="47"/>
      <c r="T20" s="47"/>
      <c r="U20" s="47"/>
      <c r="V20" s="47"/>
      <c r="W20" s="47"/>
      <c r="X20" s="47"/>
      <c r="Y20" s="47"/>
      <c r="Z20" s="47"/>
      <c r="AA20" s="47"/>
      <c r="AB20" s="47"/>
      <c r="AC20" s="47"/>
      <c r="AD20" s="47"/>
      <c r="AE20" s="47"/>
      <c r="AF20" s="47"/>
      <c r="AG20" s="46" t="s">
        <v>396</v>
      </c>
      <c r="AH20" s="46">
        <v>37</v>
      </c>
      <c r="AI20" s="47"/>
      <c r="AJ20" s="47"/>
      <c r="AK20" s="47"/>
      <c r="AL20" s="46" t="s">
        <v>396</v>
      </c>
      <c r="AM20" s="46" t="s">
        <v>396</v>
      </c>
      <c r="AN20" s="46" t="s">
        <v>396</v>
      </c>
    </row>
    <row r="21" ht="15.75" customHeight="1" spans="1:40">
      <c r="A21" s="6" t="s">
        <v>2576</v>
      </c>
      <c r="B21" s="45" t="s">
        <v>558</v>
      </c>
      <c r="C21" s="4" t="s">
        <v>957</v>
      </c>
      <c r="D21" s="10" t="s">
        <v>97</v>
      </c>
      <c r="E21" s="29" t="s">
        <v>971</v>
      </c>
      <c r="F21" s="46" t="s">
        <v>2704</v>
      </c>
      <c r="G21" s="46">
        <v>1105440141</v>
      </c>
      <c r="H21" s="47" t="s">
        <v>2705</v>
      </c>
      <c r="I21" s="47" t="s">
        <v>2706</v>
      </c>
      <c r="J21" s="7" t="s">
        <v>942</v>
      </c>
      <c r="K21" s="7" t="s">
        <v>942</v>
      </c>
      <c r="L21" s="7" t="s">
        <v>975</v>
      </c>
      <c r="M21" s="7" t="s">
        <v>2707</v>
      </c>
      <c r="N21" s="55">
        <v>35024</v>
      </c>
      <c r="O21" s="7" t="s">
        <v>945</v>
      </c>
      <c r="P21" s="7" t="s">
        <v>946</v>
      </c>
      <c r="Q21" s="7" t="s">
        <v>1245</v>
      </c>
      <c r="R21" s="7" t="s">
        <v>2708</v>
      </c>
      <c r="S21" s="59">
        <v>90</v>
      </c>
      <c r="T21" s="7" t="s">
        <v>965</v>
      </c>
      <c r="U21" s="7"/>
      <c r="V21" s="7" t="s">
        <v>2709</v>
      </c>
      <c r="W21" s="7"/>
      <c r="X21" s="7" t="s">
        <v>953</v>
      </c>
      <c r="Y21" s="7" t="s">
        <v>558</v>
      </c>
      <c r="Z21" s="7" t="s">
        <v>2648</v>
      </c>
      <c r="AA21" s="7" t="s">
        <v>2710</v>
      </c>
      <c r="AB21" s="7" t="s">
        <v>2711</v>
      </c>
      <c r="AC21" s="7" t="s">
        <v>406</v>
      </c>
      <c r="AD21" s="7" t="s">
        <v>406</v>
      </c>
      <c r="AE21" s="6" t="s">
        <v>406</v>
      </c>
      <c r="AF21" s="6" t="s">
        <v>406</v>
      </c>
      <c r="AG21" s="6" t="s">
        <v>406</v>
      </c>
      <c r="AH21" s="6">
        <v>44</v>
      </c>
      <c r="AI21" s="6">
        <v>44</v>
      </c>
      <c r="AJ21" s="59">
        <v>44</v>
      </c>
      <c r="AK21" s="59">
        <v>44</v>
      </c>
      <c r="AL21" s="7" t="s">
        <v>406</v>
      </c>
      <c r="AM21" s="7" t="s">
        <v>406</v>
      </c>
      <c r="AN21" s="7" t="s">
        <v>406</v>
      </c>
    </row>
    <row r="22" ht="15.75" customHeight="1" spans="1:40">
      <c r="A22" s="6" t="s">
        <v>2576</v>
      </c>
      <c r="B22" s="45" t="s">
        <v>551</v>
      </c>
      <c r="C22" s="4" t="s">
        <v>957</v>
      </c>
      <c r="D22" s="10" t="s">
        <v>99</v>
      </c>
      <c r="E22" s="29" t="s">
        <v>971</v>
      </c>
      <c r="F22" s="46" t="s">
        <v>2712</v>
      </c>
      <c r="G22" s="46">
        <v>4084302266</v>
      </c>
      <c r="H22" s="47" t="s">
        <v>939</v>
      </c>
      <c r="I22" s="47" t="s">
        <v>2713</v>
      </c>
      <c r="J22" s="7" t="s">
        <v>942</v>
      </c>
      <c r="K22" s="7" t="s">
        <v>942</v>
      </c>
      <c r="L22" s="7" t="s">
        <v>943</v>
      </c>
      <c r="M22" s="7" t="s">
        <v>2714</v>
      </c>
      <c r="N22" s="51">
        <v>30861</v>
      </c>
      <c r="O22" s="7" t="s">
        <v>945</v>
      </c>
      <c r="P22" s="7" t="s">
        <v>946</v>
      </c>
      <c r="Q22" s="7" t="s">
        <v>963</v>
      </c>
      <c r="R22" s="7" t="s">
        <v>2715</v>
      </c>
      <c r="S22" s="59">
        <v>86</v>
      </c>
      <c r="T22" s="7" t="s">
        <v>950</v>
      </c>
      <c r="U22" s="7"/>
      <c r="V22" s="7" t="s">
        <v>2716</v>
      </c>
      <c r="W22" s="7"/>
      <c r="X22" s="7" t="s">
        <v>953</v>
      </c>
      <c r="Y22" s="7" t="s">
        <v>551</v>
      </c>
      <c r="Z22" s="59">
        <v>99830000</v>
      </c>
      <c r="AA22" s="7" t="s">
        <v>2717</v>
      </c>
      <c r="AB22" s="7" t="s">
        <v>2718</v>
      </c>
      <c r="AC22" s="7" t="s">
        <v>398</v>
      </c>
      <c r="AD22" s="7" t="s">
        <v>398</v>
      </c>
      <c r="AE22" s="6" t="s">
        <v>398</v>
      </c>
      <c r="AF22" s="6" t="s">
        <v>398</v>
      </c>
      <c r="AG22" s="6" t="s">
        <v>398</v>
      </c>
      <c r="AH22" s="6">
        <v>42</v>
      </c>
      <c r="AI22" s="6">
        <v>42</v>
      </c>
      <c r="AJ22" s="59">
        <v>42</v>
      </c>
      <c r="AK22" s="59">
        <v>42</v>
      </c>
      <c r="AL22" s="7" t="s">
        <v>406</v>
      </c>
      <c r="AM22" s="7" t="s">
        <v>406</v>
      </c>
      <c r="AN22" s="7" t="s">
        <v>396</v>
      </c>
    </row>
    <row r="23" ht="15.75" customHeight="1" spans="1:40">
      <c r="A23" s="6" t="s">
        <v>2576</v>
      </c>
      <c r="B23" s="45" t="s">
        <v>548</v>
      </c>
      <c r="C23" s="4" t="s">
        <v>957</v>
      </c>
      <c r="D23" s="12" t="s">
        <v>2719</v>
      </c>
      <c r="E23" s="29" t="s">
        <v>491</v>
      </c>
      <c r="F23" s="6" t="s">
        <v>2720</v>
      </c>
      <c r="G23" s="6">
        <v>1098402959</v>
      </c>
      <c r="H23" s="7" t="s">
        <v>2721</v>
      </c>
      <c r="I23" s="7" t="s">
        <v>2722</v>
      </c>
      <c r="J23" s="7" t="s">
        <v>941</v>
      </c>
      <c r="K23" s="7" t="s">
        <v>942</v>
      </c>
      <c r="L23" s="7" t="s">
        <v>975</v>
      </c>
      <c r="M23" s="7" t="s">
        <v>2723</v>
      </c>
      <c r="N23" s="51">
        <v>34368</v>
      </c>
      <c r="O23" s="7" t="s">
        <v>945</v>
      </c>
      <c r="P23" s="7" t="s">
        <v>946</v>
      </c>
      <c r="Q23" s="7" t="s">
        <v>1245</v>
      </c>
      <c r="R23" s="7" t="s">
        <v>2724</v>
      </c>
      <c r="S23" s="59">
        <v>62</v>
      </c>
      <c r="T23" s="7" t="s">
        <v>1030</v>
      </c>
      <c r="U23" s="59">
        <v>54999643210</v>
      </c>
      <c r="V23" s="59">
        <v>54999643210</v>
      </c>
      <c r="W23" s="7" t="s">
        <v>2725</v>
      </c>
      <c r="X23" s="7" t="s">
        <v>2688</v>
      </c>
      <c r="Y23" s="7" t="s">
        <v>548</v>
      </c>
      <c r="Z23" s="7" t="s">
        <v>2689</v>
      </c>
      <c r="AA23" s="7" t="s">
        <v>2726</v>
      </c>
      <c r="AB23" s="7" t="s">
        <v>1086</v>
      </c>
      <c r="AC23" s="7" t="s">
        <v>395</v>
      </c>
      <c r="AD23" s="7" t="s">
        <v>395</v>
      </c>
      <c r="AE23" s="7" t="s">
        <v>395</v>
      </c>
      <c r="AF23" s="7" t="s">
        <v>395</v>
      </c>
      <c r="AG23" s="7" t="s">
        <v>395</v>
      </c>
      <c r="AH23" s="59">
        <v>39</v>
      </c>
      <c r="AI23" s="59">
        <v>39</v>
      </c>
      <c r="AJ23" s="59">
        <v>39</v>
      </c>
      <c r="AK23" s="59">
        <v>39</v>
      </c>
      <c r="AL23" s="7" t="s">
        <v>395</v>
      </c>
      <c r="AM23" s="7" t="s">
        <v>395</v>
      </c>
      <c r="AN23" s="7" t="s">
        <v>395</v>
      </c>
    </row>
    <row r="24" ht="15.75" customHeight="1" spans="1:40">
      <c r="A24" s="6" t="s">
        <v>2576</v>
      </c>
      <c r="B24" s="45" t="s">
        <v>546</v>
      </c>
      <c r="C24" s="4" t="s">
        <v>957</v>
      </c>
      <c r="D24" s="12" t="s">
        <v>2727</v>
      </c>
      <c r="E24" s="29" t="s">
        <v>491</v>
      </c>
      <c r="F24" s="46" t="s">
        <v>2728</v>
      </c>
      <c r="G24" s="47"/>
      <c r="H24" s="47"/>
      <c r="I24" s="47"/>
      <c r="J24" s="47"/>
      <c r="K24" s="47"/>
      <c r="L24" s="47"/>
      <c r="M24" s="47"/>
      <c r="N24" s="52">
        <v>36302</v>
      </c>
      <c r="O24" s="46" t="s">
        <v>945</v>
      </c>
      <c r="P24" s="47"/>
      <c r="Q24" s="47"/>
      <c r="R24" s="47"/>
      <c r="S24" s="47"/>
      <c r="T24" s="47"/>
      <c r="U24" s="47"/>
      <c r="V24" s="47"/>
      <c r="W24" s="47"/>
      <c r="X24" s="47"/>
      <c r="Y24" s="47"/>
      <c r="Z24" s="47"/>
      <c r="AA24" s="47"/>
      <c r="AB24" s="47"/>
      <c r="AC24" s="47"/>
      <c r="AD24" s="47"/>
      <c r="AE24" s="47"/>
      <c r="AF24" s="47"/>
      <c r="AG24" s="46" t="s">
        <v>406</v>
      </c>
      <c r="AH24" s="46">
        <v>42</v>
      </c>
      <c r="AI24" s="47"/>
      <c r="AJ24" s="47"/>
      <c r="AK24" s="47"/>
      <c r="AL24" s="46" t="s">
        <v>406</v>
      </c>
      <c r="AM24" s="46" t="s">
        <v>406</v>
      </c>
      <c r="AN24" s="46" t="s">
        <v>406</v>
      </c>
    </row>
    <row r="25" ht="15.75" customHeight="1" spans="1:40">
      <c r="A25" s="6" t="s">
        <v>2576</v>
      </c>
      <c r="B25" s="45" t="s">
        <v>534</v>
      </c>
      <c r="C25" s="4" t="s">
        <v>957</v>
      </c>
      <c r="D25" s="12" t="s">
        <v>76</v>
      </c>
      <c r="E25" s="29" t="s">
        <v>971</v>
      </c>
      <c r="F25" s="46"/>
      <c r="G25" s="47"/>
      <c r="H25" s="47"/>
      <c r="I25" s="47"/>
      <c r="J25" s="47"/>
      <c r="K25" s="47"/>
      <c r="L25" s="47"/>
      <c r="M25" s="47"/>
      <c r="N25" s="52">
        <v>35572</v>
      </c>
      <c r="O25" s="46" t="s">
        <v>945</v>
      </c>
      <c r="P25" s="47"/>
      <c r="Q25" s="47"/>
      <c r="R25" s="47"/>
      <c r="S25" s="47"/>
      <c r="T25" s="47"/>
      <c r="U25" s="47"/>
      <c r="V25" s="47"/>
      <c r="W25" s="47"/>
      <c r="X25" s="47"/>
      <c r="Y25" s="46" t="s">
        <v>534</v>
      </c>
      <c r="Z25" s="47"/>
      <c r="AA25" s="47"/>
      <c r="AB25" s="47"/>
      <c r="AC25" s="47"/>
      <c r="AD25" s="47"/>
      <c r="AE25" s="47"/>
      <c r="AF25" s="47"/>
      <c r="AG25" s="46" t="s">
        <v>406</v>
      </c>
      <c r="AH25" s="46">
        <v>41</v>
      </c>
      <c r="AI25" s="47"/>
      <c r="AJ25" s="47"/>
      <c r="AK25" s="47"/>
      <c r="AL25" s="46" t="s">
        <v>406</v>
      </c>
      <c r="AM25" s="46" t="s">
        <v>406</v>
      </c>
      <c r="AN25" s="46" t="s">
        <v>406</v>
      </c>
    </row>
    <row r="26" ht="15.75" customHeight="1" spans="1:40">
      <c r="A26" s="6" t="s">
        <v>2576</v>
      </c>
      <c r="B26" s="45" t="s">
        <v>576</v>
      </c>
      <c r="C26" s="4" t="s">
        <v>957</v>
      </c>
      <c r="D26" s="12" t="s">
        <v>2729</v>
      </c>
      <c r="E26" s="29" t="s">
        <v>491</v>
      </c>
      <c r="F26" s="46" t="s">
        <v>2730</v>
      </c>
      <c r="G26" s="46">
        <v>2116423040</v>
      </c>
      <c r="H26" s="47" t="s">
        <v>957</v>
      </c>
      <c r="I26" s="47" t="s">
        <v>2601</v>
      </c>
      <c r="J26" s="7" t="s">
        <v>942</v>
      </c>
      <c r="K26" s="7" t="s">
        <v>942</v>
      </c>
      <c r="L26" s="7" t="s">
        <v>975</v>
      </c>
      <c r="M26" s="7" t="s">
        <v>2731</v>
      </c>
      <c r="N26" s="51">
        <v>28262</v>
      </c>
      <c r="O26" s="7" t="s">
        <v>1028</v>
      </c>
      <c r="P26" s="7" t="s">
        <v>946</v>
      </c>
      <c r="Q26" s="7" t="s">
        <v>963</v>
      </c>
      <c r="R26" s="7" t="s">
        <v>2732</v>
      </c>
      <c r="S26" s="59">
        <v>68</v>
      </c>
      <c r="T26" s="7" t="s">
        <v>1369</v>
      </c>
      <c r="U26" s="7"/>
      <c r="V26" s="7" t="s">
        <v>2733</v>
      </c>
      <c r="W26" s="7" t="s">
        <v>2734</v>
      </c>
      <c r="X26" s="7" t="s">
        <v>953</v>
      </c>
      <c r="Y26" s="7" t="s">
        <v>576</v>
      </c>
      <c r="Z26" s="7" t="s">
        <v>2589</v>
      </c>
      <c r="AA26" s="7" t="s">
        <v>2735</v>
      </c>
      <c r="AB26" s="7" t="s">
        <v>2736</v>
      </c>
      <c r="AC26" s="6" t="s">
        <v>396</v>
      </c>
      <c r="AD26" s="6" t="s">
        <v>396</v>
      </c>
      <c r="AE26" s="6" t="s">
        <v>396</v>
      </c>
      <c r="AF26" s="6" t="s">
        <v>396</v>
      </c>
      <c r="AG26" s="6" t="s">
        <v>396</v>
      </c>
      <c r="AH26" s="6">
        <v>35</v>
      </c>
      <c r="AI26" s="6">
        <v>35</v>
      </c>
      <c r="AJ26" s="59">
        <v>35</v>
      </c>
      <c r="AK26" s="59">
        <v>35</v>
      </c>
      <c r="AL26" s="6" t="s">
        <v>396</v>
      </c>
      <c r="AM26" s="6" t="s">
        <v>396</v>
      </c>
      <c r="AN26" s="6" t="s">
        <v>396</v>
      </c>
    </row>
    <row r="27" ht="15.75" customHeight="1" spans="1:40">
      <c r="A27" s="6" t="s">
        <v>2576</v>
      </c>
      <c r="B27" s="45" t="s">
        <v>523</v>
      </c>
      <c r="C27" s="4" t="s">
        <v>957</v>
      </c>
      <c r="D27" s="12" t="s">
        <v>2737</v>
      </c>
      <c r="E27" s="29" t="s">
        <v>971</v>
      </c>
      <c r="F27" s="46" t="s">
        <v>2738</v>
      </c>
      <c r="G27" s="46" t="s">
        <v>2739</v>
      </c>
      <c r="H27" s="47" t="s">
        <v>2665</v>
      </c>
      <c r="I27" s="47" t="s">
        <v>2740</v>
      </c>
      <c r="J27" s="47"/>
      <c r="K27" s="47"/>
      <c r="L27" s="47"/>
      <c r="M27" s="47"/>
      <c r="N27" s="53"/>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row>
    <row r="28" ht="15.75" customHeight="1" spans="1:40">
      <c r="A28" s="6" t="s">
        <v>2576</v>
      </c>
      <c r="B28" s="45" t="s">
        <v>558</v>
      </c>
      <c r="C28" s="4" t="s">
        <v>957</v>
      </c>
      <c r="D28" s="12" t="s">
        <v>259</v>
      </c>
      <c r="E28" s="29" t="s">
        <v>491</v>
      </c>
      <c r="F28" s="46" t="s">
        <v>2741</v>
      </c>
      <c r="G28" s="46">
        <v>2119951024</v>
      </c>
      <c r="H28" s="47" t="s">
        <v>2742</v>
      </c>
      <c r="I28" s="47" t="s">
        <v>2743</v>
      </c>
      <c r="J28" s="7" t="s">
        <v>942</v>
      </c>
      <c r="K28" s="7" t="s">
        <v>942</v>
      </c>
      <c r="L28" s="7" t="s">
        <v>943</v>
      </c>
      <c r="M28" s="7" t="s">
        <v>2744</v>
      </c>
      <c r="N28" s="51">
        <v>30809</v>
      </c>
      <c r="O28" s="7" t="s">
        <v>1028</v>
      </c>
      <c r="P28" s="7" t="s">
        <v>946</v>
      </c>
      <c r="Q28" s="7" t="s">
        <v>963</v>
      </c>
      <c r="R28" s="7" t="s">
        <v>2745</v>
      </c>
      <c r="S28" s="59">
        <v>76</v>
      </c>
      <c r="T28" s="7" t="s">
        <v>1030</v>
      </c>
      <c r="U28" s="7"/>
      <c r="V28" s="7" t="s">
        <v>2746</v>
      </c>
      <c r="W28" s="7"/>
      <c r="X28" s="7" t="s">
        <v>953</v>
      </c>
      <c r="Y28" s="7" t="s">
        <v>558</v>
      </c>
      <c r="Z28" s="7" t="s">
        <v>2648</v>
      </c>
      <c r="AA28" s="7" t="s">
        <v>2747</v>
      </c>
      <c r="AB28" s="7" t="s">
        <v>2748</v>
      </c>
      <c r="AC28" s="7" t="s">
        <v>406</v>
      </c>
      <c r="AD28" s="7" t="s">
        <v>406</v>
      </c>
      <c r="AE28" s="6" t="s">
        <v>406</v>
      </c>
      <c r="AF28" s="6" t="s">
        <v>406</v>
      </c>
      <c r="AG28" s="6" t="s">
        <v>406</v>
      </c>
      <c r="AH28" s="6">
        <v>37</v>
      </c>
      <c r="AI28" s="6">
        <v>37</v>
      </c>
      <c r="AJ28" s="59">
        <v>37</v>
      </c>
      <c r="AK28" s="59">
        <v>37</v>
      </c>
      <c r="AL28" s="7" t="s">
        <v>406</v>
      </c>
      <c r="AM28" s="7" t="s">
        <v>406</v>
      </c>
      <c r="AN28" s="7" t="s">
        <v>396</v>
      </c>
    </row>
    <row r="29" ht="15.75" customHeight="1" spans="1:40">
      <c r="A29" s="6" t="s">
        <v>2576</v>
      </c>
      <c r="B29" s="45" t="s">
        <v>520</v>
      </c>
      <c r="C29" s="4" t="s">
        <v>957</v>
      </c>
      <c r="D29" s="12" t="s">
        <v>2749</v>
      </c>
      <c r="E29" s="29" t="s">
        <v>971</v>
      </c>
      <c r="F29" s="46" t="s">
        <v>2750</v>
      </c>
      <c r="G29" s="46">
        <v>7046068248</v>
      </c>
      <c r="H29" s="47" t="s">
        <v>2611</v>
      </c>
      <c r="I29" s="4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row>
    <row r="30" ht="15.75" customHeight="1" spans="1:40">
      <c r="A30" s="6" t="s">
        <v>2576</v>
      </c>
      <c r="B30" s="45" t="s">
        <v>2751</v>
      </c>
      <c r="C30" s="4" t="s">
        <v>655</v>
      </c>
      <c r="D30" s="10" t="s">
        <v>2752</v>
      </c>
      <c r="E30" s="29" t="s">
        <v>490</v>
      </c>
      <c r="F30" s="46" t="s">
        <v>2753</v>
      </c>
      <c r="G30" s="46">
        <v>6085545462</v>
      </c>
      <c r="H30" s="46" t="s">
        <v>2662</v>
      </c>
      <c r="I30" s="47"/>
      <c r="J30" s="7"/>
      <c r="K30" s="7"/>
      <c r="L30" s="7"/>
      <c r="M30" s="7"/>
      <c r="N30" s="56">
        <v>30753</v>
      </c>
      <c r="O30" s="6" t="s">
        <v>945</v>
      </c>
      <c r="P30" s="7"/>
      <c r="Q30" s="7"/>
      <c r="R30" s="7"/>
      <c r="S30" s="7"/>
      <c r="T30" s="7"/>
      <c r="U30" s="7"/>
      <c r="V30" s="7"/>
      <c r="W30" s="47"/>
      <c r="X30" s="47"/>
      <c r="Y30" s="46" t="s">
        <v>525</v>
      </c>
      <c r="Z30" s="62"/>
      <c r="AA30" s="7"/>
      <c r="AB30" s="7"/>
      <c r="AC30" s="7"/>
      <c r="AD30" s="7"/>
      <c r="AE30" s="7"/>
      <c r="AF30" s="7"/>
      <c r="AG30" s="6" t="s">
        <v>406</v>
      </c>
      <c r="AH30" s="6">
        <v>39</v>
      </c>
      <c r="AI30" s="7"/>
      <c r="AJ30" s="7"/>
      <c r="AK30" s="7"/>
      <c r="AL30" s="6" t="s">
        <v>396</v>
      </c>
      <c r="AM30" s="6" t="s">
        <v>396</v>
      </c>
      <c r="AN30" s="6" t="s">
        <v>396</v>
      </c>
    </row>
    <row r="31" ht="15.75" customHeight="1" spans="1:40">
      <c r="A31" s="6" t="s">
        <v>2576</v>
      </c>
      <c r="B31" s="45" t="s">
        <v>551</v>
      </c>
      <c r="C31" s="4" t="s">
        <v>957</v>
      </c>
      <c r="D31" s="12" t="s">
        <v>2754</v>
      </c>
      <c r="E31" s="29" t="s">
        <v>971</v>
      </c>
      <c r="F31" s="46" t="s">
        <v>2755</v>
      </c>
      <c r="G31" s="46">
        <v>7100628044</v>
      </c>
      <c r="H31" s="47" t="s">
        <v>939</v>
      </c>
      <c r="I31" s="47" t="s">
        <v>2713</v>
      </c>
      <c r="J31" s="7" t="s">
        <v>942</v>
      </c>
      <c r="K31" s="7" t="s">
        <v>942</v>
      </c>
      <c r="L31" s="7" t="s">
        <v>975</v>
      </c>
      <c r="M31" s="7" t="s">
        <v>2756</v>
      </c>
      <c r="N31" s="55">
        <v>33203</v>
      </c>
      <c r="O31" s="7" t="s">
        <v>945</v>
      </c>
      <c r="P31" s="7" t="s">
        <v>946</v>
      </c>
      <c r="Q31" s="7" t="s">
        <v>963</v>
      </c>
      <c r="R31" s="7" t="s">
        <v>2757</v>
      </c>
      <c r="S31" s="59">
        <v>116</v>
      </c>
      <c r="T31" s="7" t="s">
        <v>950</v>
      </c>
      <c r="U31" s="7"/>
      <c r="V31" s="7" t="s">
        <v>2758</v>
      </c>
      <c r="W31" s="7"/>
      <c r="X31" s="7" t="s">
        <v>953</v>
      </c>
      <c r="Y31" s="7" t="s">
        <v>551</v>
      </c>
      <c r="Z31" s="59">
        <v>99830000</v>
      </c>
      <c r="AA31" s="7" t="s">
        <v>2759</v>
      </c>
      <c r="AB31" s="7" t="s">
        <v>2760</v>
      </c>
      <c r="AC31" s="7" t="s">
        <v>398</v>
      </c>
      <c r="AD31" s="7" t="s">
        <v>398</v>
      </c>
      <c r="AE31" s="6" t="s">
        <v>398</v>
      </c>
      <c r="AF31" s="6" t="s">
        <v>398</v>
      </c>
      <c r="AG31" s="6" t="s">
        <v>398</v>
      </c>
      <c r="AH31" s="6">
        <v>46</v>
      </c>
      <c r="AI31" s="6">
        <v>42</v>
      </c>
      <c r="AJ31" s="59">
        <v>42</v>
      </c>
      <c r="AK31" s="59">
        <v>42</v>
      </c>
      <c r="AL31" s="7" t="s">
        <v>398</v>
      </c>
      <c r="AM31" s="7" t="s">
        <v>398</v>
      </c>
      <c r="AN31" s="63" t="s">
        <v>396</v>
      </c>
    </row>
    <row r="32" ht="15.75" customHeight="1" spans="1:40">
      <c r="A32" s="6" t="s">
        <v>2576</v>
      </c>
      <c r="B32" s="45" t="s">
        <v>2761</v>
      </c>
      <c r="C32" s="4" t="s">
        <v>655</v>
      </c>
      <c r="D32" s="10" t="s">
        <v>2762</v>
      </c>
      <c r="E32" s="29" t="s">
        <v>971</v>
      </c>
      <c r="F32" s="46" t="s">
        <v>2763</v>
      </c>
      <c r="G32" s="46">
        <v>8038449776</v>
      </c>
      <c r="H32" s="46" t="s">
        <v>2662</v>
      </c>
      <c r="I32" s="47"/>
      <c r="J32" s="7"/>
      <c r="K32" s="7"/>
      <c r="L32" s="7"/>
      <c r="M32" s="7"/>
      <c r="N32" s="54">
        <v>25407</v>
      </c>
      <c r="O32" s="6" t="s">
        <v>945</v>
      </c>
      <c r="P32" s="7"/>
      <c r="Q32" s="7"/>
      <c r="R32" s="7"/>
      <c r="S32" s="7"/>
      <c r="T32" s="7"/>
      <c r="U32" s="7"/>
      <c r="V32" s="7"/>
      <c r="W32" s="47"/>
      <c r="X32" s="47"/>
      <c r="Y32" s="46" t="s">
        <v>521</v>
      </c>
      <c r="Z32" s="47"/>
      <c r="AA32" s="7"/>
      <c r="AB32" s="7"/>
      <c r="AC32" s="7"/>
      <c r="AD32" s="7"/>
      <c r="AE32" s="7"/>
      <c r="AF32" s="7"/>
      <c r="AG32" s="6" t="s">
        <v>396</v>
      </c>
      <c r="AH32" s="6">
        <v>40</v>
      </c>
      <c r="AI32" s="7"/>
      <c r="AJ32" s="7"/>
      <c r="AK32" s="7"/>
      <c r="AL32" s="6" t="s">
        <v>396</v>
      </c>
      <c r="AM32" s="6" t="s">
        <v>396</v>
      </c>
      <c r="AN32" s="6" t="s">
        <v>396</v>
      </c>
    </row>
    <row r="33" ht="15.75" customHeight="1" spans="1:40">
      <c r="A33" s="6" t="s">
        <v>2576</v>
      </c>
      <c r="B33" s="45" t="s">
        <v>576</v>
      </c>
      <c r="C33" s="4" t="s">
        <v>957</v>
      </c>
      <c r="D33" s="10" t="s">
        <v>260</v>
      </c>
      <c r="E33" s="29" t="s">
        <v>491</v>
      </c>
      <c r="F33" s="46" t="s">
        <v>2764</v>
      </c>
      <c r="G33" s="46">
        <v>3126135429</v>
      </c>
      <c r="H33" s="47" t="s">
        <v>957</v>
      </c>
      <c r="I33" s="47" t="s">
        <v>2765</v>
      </c>
      <c r="J33" s="7" t="s">
        <v>942</v>
      </c>
      <c r="K33" s="7" t="s">
        <v>942</v>
      </c>
      <c r="L33" s="7" t="s">
        <v>943</v>
      </c>
      <c r="M33" s="7" t="s">
        <v>2766</v>
      </c>
      <c r="N33" s="51">
        <v>36646</v>
      </c>
      <c r="O33" s="7" t="s">
        <v>945</v>
      </c>
      <c r="P33" s="7" t="s">
        <v>946</v>
      </c>
      <c r="Q33" s="7" t="s">
        <v>947</v>
      </c>
      <c r="R33" s="7" t="s">
        <v>2767</v>
      </c>
      <c r="S33" s="59">
        <v>90</v>
      </c>
      <c r="T33" s="7" t="s">
        <v>1154</v>
      </c>
      <c r="U33" s="7"/>
      <c r="V33" s="7" t="s">
        <v>2768</v>
      </c>
      <c r="W33" s="7" t="s">
        <v>2769</v>
      </c>
      <c r="X33" s="7" t="s">
        <v>953</v>
      </c>
      <c r="Y33" s="7" t="s">
        <v>644</v>
      </c>
      <c r="Z33" s="7" t="s">
        <v>2589</v>
      </c>
      <c r="AA33" s="7" t="s">
        <v>2770</v>
      </c>
      <c r="AB33" s="7" t="s">
        <v>2771</v>
      </c>
      <c r="AC33" s="6" t="s">
        <v>406</v>
      </c>
      <c r="AD33" s="6" t="s">
        <v>406</v>
      </c>
      <c r="AE33" s="6" t="s">
        <v>406</v>
      </c>
      <c r="AF33" s="6" t="s">
        <v>406</v>
      </c>
      <c r="AG33" s="6" t="s">
        <v>406</v>
      </c>
      <c r="AH33" s="6">
        <v>41</v>
      </c>
      <c r="AI33" s="6">
        <v>41</v>
      </c>
      <c r="AJ33" s="59">
        <v>41</v>
      </c>
      <c r="AK33" s="59">
        <v>41</v>
      </c>
      <c r="AL33" s="6" t="s">
        <v>406</v>
      </c>
      <c r="AM33" s="6" t="s">
        <v>406</v>
      </c>
      <c r="AN33" s="6" t="s">
        <v>406</v>
      </c>
    </row>
    <row r="34" ht="15.75" customHeight="1" spans="1:40">
      <c r="A34" s="6" t="s">
        <v>2576</v>
      </c>
      <c r="B34" s="45" t="s">
        <v>520</v>
      </c>
      <c r="C34" s="4" t="s">
        <v>957</v>
      </c>
      <c r="D34" s="12" t="s">
        <v>2772</v>
      </c>
      <c r="E34" s="29" t="s">
        <v>971</v>
      </c>
      <c r="F34" s="46" t="s">
        <v>2773</v>
      </c>
      <c r="G34" s="46">
        <v>9105431846</v>
      </c>
      <c r="H34" s="47" t="s">
        <v>2611</v>
      </c>
      <c r="I34" s="4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row>
    <row r="35" ht="15.75" customHeight="1" spans="1:40">
      <c r="A35" s="6" t="s">
        <v>2576</v>
      </c>
      <c r="B35" s="45" t="s">
        <v>577</v>
      </c>
      <c r="C35" s="4" t="s">
        <v>957</v>
      </c>
      <c r="D35" s="12" t="s">
        <v>2774</v>
      </c>
      <c r="E35" s="29" t="s">
        <v>971</v>
      </c>
      <c r="F35" s="46" t="s">
        <v>2775</v>
      </c>
      <c r="G35" s="46" t="s">
        <v>2776</v>
      </c>
      <c r="H35" s="47" t="s">
        <v>2043</v>
      </c>
      <c r="I35" s="47" t="s">
        <v>2633</v>
      </c>
      <c r="J35" s="7" t="s">
        <v>942</v>
      </c>
      <c r="K35" s="7" t="s">
        <v>942</v>
      </c>
      <c r="L35" s="7" t="s">
        <v>1026</v>
      </c>
      <c r="M35" s="7" t="s">
        <v>1091</v>
      </c>
      <c r="N35" s="55">
        <v>30301</v>
      </c>
      <c r="O35" s="7" t="s">
        <v>945</v>
      </c>
      <c r="P35" s="7" t="s">
        <v>946</v>
      </c>
      <c r="Q35" s="7" t="s">
        <v>963</v>
      </c>
      <c r="R35" s="7" t="s">
        <v>2777</v>
      </c>
      <c r="S35" s="59">
        <v>92</v>
      </c>
      <c r="T35" s="7" t="s">
        <v>1011</v>
      </c>
      <c r="U35" s="7"/>
      <c r="V35" s="7" t="s">
        <v>2778</v>
      </c>
      <c r="W35" s="7" t="s">
        <v>2637</v>
      </c>
      <c r="X35" s="7" t="s">
        <v>953</v>
      </c>
      <c r="Y35" s="7" t="s">
        <v>577</v>
      </c>
      <c r="Z35" s="7" t="s">
        <v>2638</v>
      </c>
      <c r="AA35" s="7" t="s">
        <v>2779</v>
      </c>
      <c r="AB35" s="7" t="s">
        <v>1086</v>
      </c>
      <c r="AC35" s="6" t="s">
        <v>398</v>
      </c>
      <c r="AD35" s="6" t="s">
        <v>398</v>
      </c>
      <c r="AE35" s="6" t="s">
        <v>398</v>
      </c>
      <c r="AF35" s="6" t="s">
        <v>398</v>
      </c>
      <c r="AG35" s="6" t="s">
        <v>399</v>
      </c>
      <c r="AH35" s="6">
        <v>40</v>
      </c>
      <c r="AI35" s="6">
        <v>40</v>
      </c>
      <c r="AJ35" s="59">
        <v>40</v>
      </c>
      <c r="AK35" s="59">
        <v>41</v>
      </c>
      <c r="AL35" s="6" t="s">
        <v>398</v>
      </c>
      <c r="AM35" s="6" t="s">
        <v>398</v>
      </c>
      <c r="AN35" s="6" t="s">
        <v>406</v>
      </c>
    </row>
    <row r="36" ht="15.75" customHeight="1" spans="1:40">
      <c r="A36" s="6" t="s">
        <v>2576</v>
      </c>
      <c r="B36" s="45" t="s">
        <v>520</v>
      </c>
      <c r="C36" s="4" t="s">
        <v>957</v>
      </c>
      <c r="D36" s="12" t="s">
        <v>2780</v>
      </c>
      <c r="E36" s="29" t="s">
        <v>971</v>
      </c>
      <c r="F36" s="46" t="s">
        <v>2781</v>
      </c>
      <c r="G36" s="46">
        <v>5082087321</v>
      </c>
      <c r="H36" s="47" t="s">
        <v>2611</v>
      </c>
      <c r="I36" s="4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row>
    <row r="37" ht="15.75" customHeight="1" spans="1:40">
      <c r="A37" s="6" t="s">
        <v>2576</v>
      </c>
      <c r="B37" s="45" t="s">
        <v>576</v>
      </c>
      <c r="C37" s="4" t="s">
        <v>957</v>
      </c>
      <c r="D37" s="10" t="s">
        <v>2782</v>
      </c>
      <c r="E37" s="29" t="s">
        <v>491</v>
      </c>
      <c r="F37" s="46" t="s">
        <v>2783</v>
      </c>
      <c r="G37" s="46">
        <v>8111530393</v>
      </c>
      <c r="H37" s="47" t="s">
        <v>957</v>
      </c>
      <c r="I37" s="47" t="s">
        <v>2784</v>
      </c>
      <c r="J37" s="7" t="s">
        <v>942</v>
      </c>
      <c r="K37" s="7" t="s">
        <v>942</v>
      </c>
      <c r="L37" s="7" t="s">
        <v>943</v>
      </c>
      <c r="M37" s="7" t="s">
        <v>2785</v>
      </c>
      <c r="N37" s="55">
        <v>35353</v>
      </c>
      <c r="O37" s="7" t="s">
        <v>945</v>
      </c>
      <c r="P37" s="7" t="s">
        <v>946</v>
      </c>
      <c r="Q37" s="7" t="s">
        <v>963</v>
      </c>
      <c r="R37" s="7" t="s">
        <v>2786</v>
      </c>
      <c r="S37" s="59">
        <v>82</v>
      </c>
      <c r="T37" s="7" t="s">
        <v>965</v>
      </c>
      <c r="U37" s="7"/>
      <c r="V37" s="7" t="s">
        <v>2787</v>
      </c>
      <c r="W37" s="7" t="s">
        <v>2788</v>
      </c>
      <c r="X37" s="7" t="s">
        <v>953</v>
      </c>
      <c r="Y37" s="7" t="s">
        <v>576</v>
      </c>
      <c r="Z37" s="7" t="s">
        <v>2589</v>
      </c>
      <c r="AA37" s="7" t="s">
        <v>2789</v>
      </c>
      <c r="AB37" s="7" t="s">
        <v>2591</v>
      </c>
      <c r="AC37" s="6" t="s">
        <v>406</v>
      </c>
      <c r="AD37" s="6" t="s">
        <v>406</v>
      </c>
      <c r="AE37" s="6" t="s">
        <v>406</v>
      </c>
      <c r="AF37" s="6" t="s">
        <v>406</v>
      </c>
      <c r="AG37" s="6" t="s">
        <v>396</v>
      </c>
      <c r="AH37" s="6">
        <v>42</v>
      </c>
      <c r="AI37" s="6">
        <v>42</v>
      </c>
      <c r="AJ37" s="59">
        <v>42</v>
      </c>
      <c r="AK37" s="59">
        <v>42</v>
      </c>
      <c r="AL37" s="6" t="s">
        <v>396</v>
      </c>
      <c r="AM37" s="6" t="s">
        <v>396</v>
      </c>
      <c r="AN37" s="6" t="s">
        <v>396</v>
      </c>
    </row>
    <row r="38" ht="15.75" customHeight="1" spans="1:40">
      <c r="A38" s="6" t="s">
        <v>2576</v>
      </c>
      <c r="B38" s="45" t="s">
        <v>548</v>
      </c>
      <c r="C38" s="4" t="s">
        <v>957</v>
      </c>
      <c r="D38" s="12" t="s">
        <v>2790</v>
      </c>
      <c r="E38" s="29" t="s">
        <v>971</v>
      </c>
      <c r="F38" s="46" t="s">
        <v>2791</v>
      </c>
      <c r="G38" s="46">
        <v>41547575808</v>
      </c>
      <c r="H38" s="47" t="s">
        <v>939</v>
      </c>
      <c r="I38" s="47" t="s">
        <v>2792</v>
      </c>
      <c r="J38" s="47" t="s">
        <v>942</v>
      </c>
      <c r="K38" s="47" t="s">
        <v>942</v>
      </c>
      <c r="L38" s="47" t="s">
        <v>975</v>
      </c>
      <c r="M38" s="53" t="s">
        <v>2793</v>
      </c>
      <c r="N38" s="57">
        <v>34428</v>
      </c>
      <c r="O38" s="47" t="s">
        <v>1028</v>
      </c>
      <c r="P38" s="47" t="s">
        <v>946</v>
      </c>
      <c r="Q38" s="47" t="s">
        <v>1245</v>
      </c>
      <c r="R38" s="47" t="s">
        <v>2794</v>
      </c>
      <c r="S38" s="61">
        <v>85</v>
      </c>
      <c r="T38" s="47" t="s">
        <v>1011</v>
      </c>
      <c r="U38" s="61">
        <v>54996104472</v>
      </c>
      <c r="V38" s="47" t="s">
        <v>2795</v>
      </c>
      <c r="W38" s="61">
        <v>54996104472</v>
      </c>
      <c r="X38" s="47" t="s">
        <v>2688</v>
      </c>
      <c r="Y38" s="47" t="s">
        <v>548</v>
      </c>
      <c r="Z38" s="47" t="s">
        <v>2689</v>
      </c>
      <c r="AA38" s="47" t="s">
        <v>2796</v>
      </c>
      <c r="AB38" s="47" t="s">
        <v>1086</v>
      </c>
      <c r="AC38" s="47" t="s">
        <v>406</v>
      </c>
      <c r="AD38" s="47" t="s">
        <v>406</v>
      </c>
      <c r="AE38" s="47" t="s">
        <v>396</v>
      </c>
      <c r="AF38" s="47" t="s">
        <v>406</v>
      </c>
      <c r="AG38" s="47" t="s">
        <v>406</v>
      </c>
      <c r="AH38" s="61">
        <v>38</v>
      </c>
      <c r="AI38" s="61">
        <v>38</v>
      </c>
      <c r="AJ38" s="61">
        <v>38</v>
      </c>
      <c r="AK38" s="61">
        <v>38</v>
      </c>
      <c r="AL38" s="47" t="s">
        <v>396</v>
      </c>
      <c r="AM38" s="47" t="s">
        <v>396</v>
      </c>
      <c r="AN38" s="47" t="s">
        <v>396</v>
      </c>
    </row>
    <row r="39" ht="15.75" customHeight="1" spans="1:40">
      <c r="A39" s="6" t="s">
        <v>2576</v>
      </c>
      <c r="B39" s="45" t="s">
        <v>523</v>
      </c>
      <c r="C39" s="4" t="s">
        <v>957</v>
      </c>
      <c r="D39" s="12" t="s">
        <v>2797</v>
      </c>
      <c r="E39" s="29" t="s">
        <v>491</v>
      </c>
      <c r="F39" s="46" t="s">
        <v>2798</v>
      </c>
      <c r="G39" s="46">
        <v>7104167081</v>
      </c>
      <c r="H39" s="47" t="s">
        <v>939</v>
      </c>
      <c r="I39" s="47" t="s">
        <v>2799</v>
      </c>
      <c r="J39" s="47" t="s">
        <v>941</v>
      </c>
      <c r="K39" s="47" t="s">
        <v>941</v>
      </c>
      <c r="L39" s="47" t="s">
        <v>1068</v>
      </c>
      <c r="M39" s="47" t="s">
        <v>2800</v>
      </c>
      <c r="N39" s="53">
        <v>33401</v>
      </c>
      <c r="O39" s="47" t="s">
        <v>2801</v>
      </c>
      <c r="P39" s="47" t="s">
        <v>2624</v>
      </c>
      <c r="Q39" s="47" t="s">
        <v>963</v>
      </c>
      <c r="R39" s="47" t="s">
        <v>2802</v>
      </c>
      <c r="S39" s="47">
        <v>58</v>
      </c>
      <c r="T39" s="47" t="s">
        <v>1369</v>
      </c>
      <c r="U39" s="47" t="s">
        <v>2627</v>
      </c>
      <c r="V39" s="47" t="s">
        <v>2803</v>
      </c>
      <c r="W39" s="47" t="s">
        <v>2627</v>
      </c>
      <c r="X39" s="47" t="s">
        <v>953</v>
      </c>
      <c r="Y39" s="47" t="s">
        <v>2628</v>
      </c>
      <c r="Z39" s="47" t="s">
        <v>2629</v>
      </c>
      <c r="AA39" s="47" t="s">
        <v>2630</v>
      </c>
      <c r="AB39" s="47" t="s">
        <v>2631</v>
      </c>
      <c r="AC39" s="47" t="s">
        <v>396</v>
      </c>
      <c r="AD39" s="47" t="s">
        <v>396</v>
      </c>
      <c r="AE39" s="47" t="s">
        <v>396</v>
      </c>
      <c r="AF39" s="47" t="s">
        <v>396</v>
      </c>
      <c r="AG39" s="47" t="s">
        <v>396</v>
      </c>
      <c r="AH39" s="47" t="s">
        <v>396</v>
      </c>
      <c r="AI39" s="47">
        <v>36</v>
      </c>
      <c r="AJ39" s="47">
        <v>36</v>
      </c>
      <c r="AK39" s="47">
        <v>36</v>
      </c>
      <c r="AL39" s="47">
        <v>36</v>
      </c>
      <c r="AM39" s="47" t="s">
        <v>396</v>
      </c>
      <c r="AN39" s="47">
        <v>52</v>
      </c>
    </row>
    <row r="40" ht="15.75" customHeight="1" spans="1:40">
      <c r="A40" s="6" t="s">
        <v>2576</v>
      </c>
      <c r="B40" s="45" t="s">
        <v>523</v>
      </c>
      <c r="C40" s="4" t="s">
        <v>957</v>
      </c>
      <c r="D40" s="12" t="s">
        <v>2804</v>
      </c>
      <c r="E40" s="29" t="s">
        <v>971</v>
      </c>
      <c r="F40" s="46" t="s">
        <v>2805</v>
      </c>
      <c r="G40" s="46">
        <v>7098405454</v>
      </c>
      <c r="H40" s="47" t="s">
        <v>2806</v>
      </c>
      <c r="I40" s="47" t="s">
        <v>2807</v>
      </c>
      <c r="J40" s="47" t="s">
        <v>941</v>
      </c>
      <c r="K40" s="47" t="s">
        <v>941</v>
      </c>
      <c r="L40" s="47" t="s">
        <v>2808</v>
      </c>
      <c r="M40" s="47" t="s">
        <v>2809</v>
      </c>
      <c r="N40" s="53">
        <v>32895</v>
      </c>
      <c r="O40" s="47" t="s">
        <v>2801</v>
      </c>
      <c r="P40" s="47" t="s">
        <v>2624</v>
      </c>
      <c r="Q40" s="47" t="s">
        <v>1245</v>
      </c>
      <c r="R40" s="47" t="s">
        <v>2810</v>
      </c>
      <c r="S40" s="47">
        <v>68</v>
      </c>
      <c r="T40" s="47" t="s">
        <v>1044</v>
      </c>
      <c r="U40" s="47" t="s">
        <v>2811</v>
      </c>
      <c r="V40" s="47"/>
      <c r="W40" s="47"/>
      <c r="X40" s="47" t="s">
        <v>953</v>
      </c>
      <c r="Y40" s="47" t="s">
        <v>2628</v>
      </c>
      <c r="Z40" s="47" t="s">
        <v>2629</v>
      </c>
      <c r="AA40" s="47" t="s">
        <v>2630</v>
      </c>
      <c r="AB40" s="47" t="s">
        <v>2812</v>
      </c>
      <c r="AC40" s="47" t="s">
        <v>396</v>
      </c>
      <c r="AD40" s="47" t="s">
        <v>396</v>
      </c>
      <c r="AE40" s="47" t="s">
        <v>396</v>
      </c>
      <c r="AF40" s="47" t="s">
        <v>396</v>
      </c>
      <c r="AG40" s="47" t="s">
        <v>396</v>
      </c>
      <c r="AH40" s="47" t="s">
        <v>396</v>
      </c>
      <c r="AI40" s="47">
        <v>38</v>
      </c>
      <c r="AJ40" s="47">
        <v>38</v>
      </c>
      <c r="AK40" s="47">
        <v>38</v>
      </c>
      <c r="AL40" s="47">
        <v>38</v>
      </c>
      <c r="AM40" s="47" t="s">
        <v>396</v>
      </c>
      <c r="AN40" s="47">
        <v>52</v>
      </c>
    </row>
    <row r="41" ht="15.75" customHeight="1" spans="1:40">
      <c r="A41" s="6" t="s">
        <v>2576</v>
      </c>
      <c r="B41" s="45" t="s">
        <v>576</v>
      </c>
      <c r="C41" s="4" t="s">
        <v>957</v>
      </c>
      <c r="D41" s="12" t="s">
        <v>2813</v>
      </c>
      <c r="E41" s="29" t="s">
        <v>971</v>
      </c>
      <c r="F41" s="46" t="s">
        <v>2814</v>
      </c>
      <c r="G41" s="46">
        <v>5120820369</v>
      </c>
      <c r="H41" s="47" t="s">
        <v>2583</v>
      </c>
      <c r="I41" s="47" t="s">
        <v>2584</v>
      </c>
      <c r="J41" s="7" t="s">
        <v>942</v>
      </c>
      <c r="K41" s="7" t="s">
        <v>942</v>
      </c>
      <c r="L41" s="7" t="s">
        <v>943</v>
      </c>
      <c r="M41" s="7" t="s">
        <v>2815</v>
      </c>
      <c r="N41" s="51">
        <v>36458</v>
      </c>
      <c r="O41" s="7" t="s">
        <v>1028</v>
      </c>
      <c r="P41" s="7" t="s">
        <v>1104</v>
      </c>
      <c r="Q41" s="7" t="s">
        <v>963</v>
      </c>
      <c r="R41" s="7" t="s">
        <v>2816</v>
      </c>
      <c r="S41" s="59">
        <v>65</v>
      </c>
      <c r="T41" s="7" t="s">
        <v>1369</v>
      </c>
      <c r="U41" s="7"/>
      <c r="V41" s="7" t="s">
        <v>2817</v>
      </c>
      <c r="W41" s="7" t="s">
        <v>2818</v>
      </c>
      <c r="X41" s="7" t="s">
        <v>953</v>
      </c>
      <c r="Y41" s="7" t="s">
        <v>576</v>
      </c>
      <c r="Z41" s="7" t="s">
        <v>2589</v>
      </c>
      <c r="AA41" s="7" t="s">
        <v>2819</v>
      </c>
      <c r="AB41" s="7" t="s">
        <v>2820</v>
      </c>
      <c r="AC41" s="6" t="s">
        <v>396</v>
      </c>
      <c r="AD41" s="6" t="s">
        <v>396</v>
      </c>
      <c r="AE41" s="6" t="s">
        <v>396</v>
      </c>
      <c r="AF41" s="6" t="s">
        <v>406</v>
      </c>
      <c r="AG41" s="6" t="s">
        <v>396</v>
      </c>
      <c r="AH41" s="6">
        <v>37</v>
      </c>
      <c r="AI41" s="6">
        <v>37</v>
      </c>
      <c r="AJ41" s="59">
        <v>37</v>
      </c>
      <c r="AK41" s="59">
        <v>37</v>
      </c>
      <c r="AL41" s="6" t="s">
        <v>396</v>
      </c>
      <c r="AM41" s="6" t="s">
        <v>396</v>
      </c>
      <c r="AN41" s="6" t="s">
        <v>396</v>
      </c>
    </row>
    <row r="42" ht="15.75" customHeight="1" spans="1:40">
      <c r="A42" s="6" t="s">
        <v>2576</v>
      </c>
      <c r="B42" s="45" t="s">
        <v>520</v>
      </c>
      <c r="C42" s="4" t="s">
        <v>957</v>
      </c>
      <c r="D42" s="12" t="s">
        <v>2821</v>
      </c>
      <c r="E42" s="29" t="s">
        <v>971</v>
      </c>
      <c r="F42" s="46" t="s">
        <v>2822</v>
      </c>
      <c r="G42" s="46">
        <v>4084300955</v>
      </c>
      <c r="H42" s="47" t="s">
        <v>2611</v>
      </c>
      <c r="I42" s="4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row>
    <row r="43" ht="15.75" customHeight="1" spans="1:40">
      <c r="A43" s="6" t="s">
        <v>2576</v>
      </c>
      <c r="B43" s="45" t="s">
        <v>551</v>
      </c>
      <c r="C43" s="4" t="s">
        <v>957</v>
      </c>
      <c r="D43" s="10" t="s">
        <v>2823</v>
      </c>
      <c r="E43" s="29" t="s">
        <v>491</v>
      </c>
      <c r="F43" s="46" t="s">
        <v>2824</v>
      </c>
      <c r="G43" s="46">
        <v>5032263237</v>
      </c>
      <c r="H43" s="47" t="s">
        <v>2825</v>
      </c>
      <c r="I43" s="47" t="s">
        <v>2826</v>
      </c>
      <c r="J43" s="7" t="s">
        <v>942</v>
      </c>
      <c r="K43" s="7" t="s">
        <v>942</v>
      </c>
      <c r="L43" s="7" t="s">
        <v>943</v>
      </c>
      <c r="M43" s="7" t="s">
        <v>2827</v>
      </c>
      <c r="N43" s="51">
        <v>24154</v>
      </c>
      <c r="O43" s="7" t="s">
        <v>945</v>
      </c>
      <c r="P43" s="7" t="s">
        <v>946</v>
      </c>
      <c r="Q43" s="7" t="s">
        <v>963</v>
      </c>
      <c r="R43" s="7" t="s">
        <v>2828</v>
      </c>
      <c r="S43" s="59">
        <v>107</v>
      </c>
      <c r="T43" s="7" t="s">
        <v>950</v>
      </c>
      <c r="U43" s="7"/>
      <c r="V43" s="7" t="s">
        <v>2829</v>
      </c>
      <c r="W43" s="7"/>
      <c r="X43" s="7" t="s">
        <v>953</v>
      </c>
      <c r="Y43" s="7" t="s">
        <v>551</v>
      </c>
      <c r="Z43" s="59">
        <v>9983000</v>
      </c>
      <c r="AA43" s="7" t="s">
        <v>2830</v>
      </c>
      <c r="AB43" s="7" t="s">
        <v>1178</v>
      </c>
      <c r="AC43" s="7" t="s">
        <v>398</v>
      </c>
      <c r="AD43" s="7" t="s">
        <v>398</v>
      </c>
      <c r="AE43" s="6" t="s">
        <v>398</v>
      </c>
      <c r="AF43" s="6" t="s">
        <v>398</v>
      </c>
      <c r="AG43" s="6" t="s">
        <v>398</v>
      </c>
      <c r="AH43" s="6">
        <v>48</v>
      </c>
      <c r="AI43" s="6">
        <v>46</v>
      </c>
      <c r="AJ43" s="59">
        <v>44</v>
      </c>
      <c r="AK43" s="59">
        <v>44</v>
      </c>
      <c r="AL43" s="7" t="s">
        <v>398</v>
      </c>
      <c r="AM43" s="7" t="s">
        <v>398</v>
      </c>
      <c r="AN43" s="7" t="s">
        <v>406</v>
      </c>
    </row>
    <row r="44" ht="15.75" customHeight="1" spans="1:40">
      <c r="A44" s="6" t="s">
        <v>2576</v>
      </c>
      <c r="B44" s="45" t="s">
        <v>552</v>
      </c>
      <c r="C44" s="4" t="s">
        <v>957</v>
      </c>
      <c r="D44" s="12" t="s">
        <v>2831</v>
      </c>
      <c r="E44" s="29" t="s">
        <v>971</v>
      </c>
      <c r="F44" s="46" t="s">
        <v>2832</v>
      </c>
      <c r="G44" s="46">
        <v>8098586343</v>
      </c>
      <c r="H44" s="47" t="s">
        <v>2833</v>
      </c>
      <c r="I44" s="47" t="s">
        <v>2834</v>
      </c>
      <c r="J44" s="7" t="s">
        <v>941</v>
      </c>
      <c r="K44" s="7" t="s">
        <v>942</v>
      </c>
      <c r="L44" s="7" t="s">
        <v>975</v>
      </c>
      <c r="M44" s="7" t="s">
        <v>2835</v>
      </c>
      <c r="N44" s="55">
        <v>33887</v>
      </c>
      <c r="O44" s="7" t="s">
        <v>1028</v>
      </c>
      <c r="P44" s="7" t="s">
        <v>946</v>
      </c>
      <c r="Q44" s="7" t="s">
        <v>947</v>
      </c>
      <c r="R44" s="7" t="s">
        <v>2836</v>
      </c>
      <c r="S44" s="59">
        <v>59</v>
      </c>
      <c r="T44" s="7" t="s">
        <v>1369</v>
      </c>
      <c r="U44" s="7"/>
      <c r="V44" s="7" t="s">
        <v>2837</v>
      </c>
      <c r="W44" s="7" t="s">
        <v>2838</v>
      </c>
      <c r="X44" s="7" t="s">
        <v>953</v>
      </c>
      <c r="Y44" s="7" t="s">
        <v>552</v>
      </c>
      <c r="Z44" s="7" t="s">
        <v>2658</v>
      </c>
      <c r="AA44" s="7" t="s">
        <v>2839</v>
      </c>
      <c r="AB44" s="7" t="s">
        <v>1086</v>
      </c>
      <c r="AC44" s="7" t="s">
        <v>396</v>
      </c>
      <c r="AD44" s="7" t="s">
        <v>396</v>
      </c>
      <c r="AE44" s="6" t="s">
        <v>395</v>
      </c>
      <c r="AF44" s="6" t="s">
        <v>395</v>
      </c>
      <c r="AG44" s="6" t="s">
        <v>396</v>
      </c>
      <c r="AH44" s="6">
        <v>34</v>
      </c>
      <c r="AI44" s="6">
        <v>33</v>
      </c>
      <c r="AJ44" s="59">
        <v>34</v>
      </c>
      <c r="AK44" s="59">
        <v>34</v>
      </c>
      <c r="AL44" s="7" t="s">
        <v>395</v>
      </c>
      <c r="AM44" s="7" t="s">
        <v>395</v>
      </c>
      <c r="AN44" s="7" t="s">
        <v>395</v>
      </c>
    </row>
    <row r="45" ht="15.75" customHeight="1" spans="1:40">
      <c r="A45" s="6" t="s">
        <v>2576</v>
      </c>
      <c r="B45" s="45" t="s">
        <v>576</v>
      </c>
      <c r="C45" s="4" t="s">
        <v>957</v>
      </c>
      <c r="D45" s="12" t="s">
        <v>2840</v>
      </c>
      <c r="E45" s="29" t="s">
        <v>491</v>
      </c>
      <c r="F45" s="46" t="s">
        <v>2841</v>
      </c>
      <c r="G45" s="48">
        <v>8098273661</v>
      </c>
      <c r="H45" s="47" t="s">
        <v>2842</v>
      </c>
      <c r="I45" s="47" t="s">
        <v>2843</v>
      </c>
      <c r="J45" s="7" t="s">
        <v>941</v>
      </c>
      <c r="K45" s="7" t="s">
        <v>941</v>
      </c>
      <c r="L45" s="7" t="s">
        <v>943</v>
      </c>
      <c r="M45" s="7" t="s">
        <v>2844</v>
      </c>
      <c r="N45" s="51">
        <v>33051</v>
      </c>
      <c r="O45" s="7" t="s">
        <v>945</v>
      </c>
      <c r="P45" s="7" t="s">
        <v>946</v>
      </c>
      <c r="Q45" s="7" t="s">
        <v>1245</v>
      </c>
      <c r="R45" s="7" t="s">
        <v>2845</v>
      </c>
      <c r="S45" s="59">
        <v>107</v>
      </c>
      <c r="T45" s="7" t="s">
        <v>965</v>
      </c>
      <c r="U45" s="7"/>
      <c r="V45" s="7" t="s">
        <v>2846</v>
      </c>
      <c r="W45" s="7" t="s">
        <v>2847</v>
      </c>
      <c r="X45" s="7" t="s">
        <v>953</v>
      </c>
      <c r="Y45" s="7" t="s">
        <v>576</v>
      </c>
      <c r="Z45" s="7" t="s">
        <v>2589</v>
      </c>
      <c r="AA45" s="7" t="s">
        <v>2848</v>
      </c>
      <c r="AB45" s="7" t="s">
        <v>2849</v>
      </c>
      <c r="AC45" s="6" t="s">
        <v>398</v>
      </c>
      <c r="AD45" s="6" t="s">
        <v>398</v>
      </c>
      <c r="AE45" s="6" t="s">
        <v>398</v>
      </c>
      <c r="AF45" s="6" t="s">
        <v>398</v>
      </c>
      <c r="AG45" s="6" t="s">
        <v>398</v>
      </c>
      <c r="AH45" s="6">
        <v>44</v>
      </c>
      <c r="AI45" s="6">
        <v>44</v>
      </c>
      <c r="AJ45" s="59">
        <v>44</v>
      </c>
      <c r="AK45" s="59">
        <v>44</v>
      </c>
      <c r="AL45" s="6" t="s">
        <v>398</v>
      </c>
      <c r="AM45" s="6" t="s">
        <v>398</v>
      </c>
      <c r="AN45" s="6" t="s">
        <v>398</v>
      </c>
    </row>
    <row r="46" ht="15.75" customHeight="1" spans="1:40">
      <c r="A46" s="6" t="s">
        <v>2576</v>
      </c>
      <c r="B46" s="45" t="s">
        <v>2850</v>
      </c>
      <c r="C46" s="4" t="s">
        <v>655</v>
      </c>
      <c r="D46" s="10" t="s">
        <v>2851</v>
      </c>
      <c r="E46" s="29" t="s">
        <v>491</v>
      </c>
      <c r="F46" s="46" t="s">
        <v>2852</v>
      </c>
      <c r="G46" s="46">
        <v>52153347</v>
      </c>
      <c r="H46" s="46" t="s">
        <v>2662</v>
      </c>
      <c r="I46" s="47"/>
      <c r="J46" s="7"/>
      <c r="K46" s="7"/>
      <c r="L46" s="7"/>
      <c r="M46" s="7"/>
      <c r="N46" s="56">
        <v>32055</v>
      </c>
      <c r="O46" s="6" t="s">
        <v>945</v>
      </c>
      <c r="P46" s="7"/>
      <c r="Q46" s="7"/>
      <c r="R46" s="7"/>
      <c r="S46" s="7"/>
      <c r="T46" s="7"/>
      <c r="U46" s="7"/>
      <c r="V46" s="7"/>
      <c r="W46" s="47"/>
      <c r="X46" s="47"/>
      <c r="Y46" s="46" t="s">
        <v>547</v>
      </c>
      <c r="Z46" s="47"/>
      <c r="AA46" s="7"/>
      <c r="AB46" s="7"/>
      <c r="AC46" s="7"/>
      <c r="AD46" s="7"/>
      <c r="AE46" s="7"/>
      <c r="AF46" s="7"/>
      <c r="AG46" s="6" t="s">
        <v>396</v>
      </c>
      <c r="AH46" s="6">
        <v>39</v>
      </c>
      <c r="AI46" s="7"/>
      <c r="AJ46" s="7"/>
      <c r="AK46" s="7"/>
      <c r="AL46" s="6" t="s">
        <v>396</v>
      </c>
      <c r="AM46" s="6" t="s">
        <v>396</v>
      </c>
      <c r="AN46" s="6" t="s">
        <v>396</v>
      </c>
    </row>
    <row r="47" ht="15.75" customHeight="1" spans="1:40">
      <c r="A47" s="6" t="s">
        <v>2576</v>
      </c>
      <c r="B47" s="45" t="s">
        <v>576</v>
      </c>
      <c r="C47" s="4" t="s">
        <v>957</v>
      </c>
      <c r="D47" s="10" t="s">
        <v>2853</v>
      </c>
      <c r="E47" s="29" t="s">
        <v>491</v>
      </c>
      <c r="F47" s="46" t="s">
        <v>2854</v>
      </c>
      <c r="G47" s="46">
        <v>4029604396</v>
      </c>
      <c r="H47" s="47" t="s">
        <v>2855</v>
      </c>
      <c r="I47" s="47" t="s">
        <v>2784</v>
      </c>
      <c r="J47" s="7" t="s">
        <v>942</v>
      </c>
      <c r="K47" s="7" t="s">
        <v>942</v>
      </c>
      <c r="L47" s="7" t="s">
        <v>1068</v>
      </c>
      <c r="M47" s="7" t="s">
        <v>2856</v>
      </c>
      <c r="N47" s="51">
        <v>24538</v>
      </c>
      <c r="O47" s="7" t="s">
        <v>945</v>
      </c>
      <c r="P47" s="7" t="s">
        <v>946</v>
      </c>
      <c r="Q47" s="7" t="s">
        <v>963</v>
      </c>
      <c r="R47" s="7" t="s">
        <v>2857</v>
      </c>
      <c r="S47" s="59">
        <v>92</v>
      </c>
      <c r="T47" s="7" t="s">
        <v>965</v>
      </c>
      <c r="U47" s="7"/>
      <c r="V47" s="7" t="s">
        <v>2858</v>
      </c>
      <c r="W47" s="7" t="s">
        <v>2859</v>
      </c>
      <c r="X47" s="7" t="s">
        <v>953</v>
      </c>
      <c r="Y47" s="7" t="s">
        <v>576</v>
      </c>
      <c r="Z47" s="7" t="s">
        <v>2589</v>
      </c>
      <c r="AA47" s="7" t="s">
        <v>2860</v>
      </c>
      <c r="AB47" s="7" t="s">
        <v>2736</v>
      </c>
      <c r="AC47" s="6" t="s">
        <v>398</v>
      </c>
      <c r="AD47" s="6" t="s">
        <v>398</v>
      </c>
      <c r="AE47" s="6" t="s">
        <v>398</v>
      </c>
      <c r="AF47" s="6" t="s">
        <v>398</v>
      </c>
      <c r="AG47" s="6" t="s">
        <v>398</v>
      </c>
      <c r="AH47" s="6">
        <v>41</v>
      </c>
      <c r="AI47" s="6">
        <v>41</v>
      </c>
      <c r="AJ47" s="59">
        <v>41</v>
      </c>
      <c r="AK47" s="59">
        <v>41</v>
      </c>
      <c r="AL47" s="6" t="s">
        <v>398</v>
      </c>
      <c r="AM47" s="6" t="s">
        <v>398</v>
      </c>
      <c r="AN47" s="6" t="s">
        <v>398</v>
      </c>
    </row>
    <row r="48" ht="15.75" customHeight="1" spans="1:40">
      <c r="A48" s="6"/>
      <c r="B48" s="45"/>
      <c r="C48" s="4"/>
      <c r="D48" s="12" t="s">
        <v>2861</v>
      </c>
      <c r="E48" s="29" t="s">
        <v>491</v>
      </c>
      <c r="F48" s="46" t="s">
        <v>2862</v>
      </c>
      <c r="G48" s="46"/>
      <c r="H48" s="46"/>
      <c r="I48" s="47"/>
      <c r="J48" s="47"/>
      <c r="K48" s="47"/>
      <c r="L48" s="46"/>
      <c r="M48" s="46"/>
      <c r="N48" s="52"/>
      <c r="O48" s="46"/>
      <c r="P48" s="46"/>
      <c r="Q48" s="46"/>
      <c r="R48" s="60"/>
      <c r="S48" s="46"/>
      <c r="T48" s="46"/>
      <c r="U48" s="46"/>
      <c r="V48" s="47"/>
      <c r="W48" s="47"/>
      <c r="X48" s="46"/>
      <c r="Y48" s="46"/>
      <c r="Z48" s="46"/>
      <c r="AA48" s="46"/>
      <c r="AB48" s="46"/>
      <c r="AC48" s="46"/>
      <c r="AD48" s="46"/>
      <c r="AE48" s="46"/>
      <c r="AF48" s="46"/>
      <c r="AG48" s="46"/>
      <c r="AH48" s="46"/>
      <c r="AI48" s="46"/>
      <c r="AJ48" s="46"/>
      <c r="AK48" s="46"/>
      <c r="AL48" s="46"/>
      <c r="AM48" s="46"/>
      <c r="AN48" s="46"/>
    </row>
    <row r="49" ht="15.75" customHeight="1" spans="1:40">
      <c r="A49" s="6" t="s">
        <v>2576</v>
      </c>
      <c r="B49" s="45" t="s">
        <v>558</v>
      </c>
      <c r="C49" s="4" t="s">
        <v>957</v>
      </c>
      <c r="D49" s="10" t="s">
        <v>2863</v>
      </c>
      <c r="E49" s="29" t="s">
        <v>971</v>
      </c>
      <c r="F49" s="46" t="s">
        <v>2864</v>
      </c>
      <c r="G49" s="46">
        <v>3037690249</v>
      </c>
      <c r="H49" s="47" t="s">
        <v>2705</v>
      </c>
      <c r="I49" s="47" t="s">
        <v>2865</v>
      </c>
      <c r="J49" s="7" t="s">
        <v>942</v>
      </c>
      <c r="K49" s="7" t="s">
        <v>942</v>
      </c>
      <c r="L49" s="7"/>
      <c r="M49" s="7"/>
      <c r="N49" s="7"/>
      <c r="O49" s="7"/>
      <c r="P49" s="7"/>
      <c r="Q49" s="7"/>
      <c r="R49" s="7"/>
      <c r="S49" s="7"/>
      <c r="T49" s="7"/>
      <c r="U49" s="7"/>
      <c r="V49" s="7"/>
      <c r="W49" s="7"/>
      <c r="X49" s="7" t="s">
        <v>953</v>
      </c>
      <c r="Y49" s="7" t="s">
        <v>558</v>
      </c>
      <c r="Z49" s="7" t="s">
        <v>2648</v>
      </c>
      <c r="AA49" s="7"/>
      <c r="AB49" s="7"/>
      <c r="AC49" s="7"/>
      <c r="AD49" s="7"/>
      <c r="AE49" s="7"/>
      <c r="AF49" s="7"/>
      <c r="AG49" s="6" t="s">
        <v>406</v>
      </c>
      <c r="AH49" s="6">
        <v>40</v>
      </c>
      <c r="AI49" s="7"/>
      <c r="AJ49" s="7"/>
      <c r="AK49" s="7"/>
      <c r="AL49" s="7" t="s">
        <v>406</v>
      </c>
      <c r="AM49" s="7" t="s">
        <v>406</v>
      </c>
      <c r="AN49" s="7" t="s">
        <v>406</v>
      </c>
    </row>
    <row r="50" ht="15.75" customHeight="1" spans="1:40">
      <c r="A50" s="6" t="s">
        <v>2576</v>
      </c>
      <c r="B50" s="46" t="s">
        <v>552</v>
      </c>
      <c r="C50" s="4" t="s">
        <v>957</v>
      </c>
      <c r="D50" s="12" t="s">
        <v>2866</v>
      </c>
      <c r="E50" s="29" t="s">
        <v>491</v>
      </c>
      <c r="F50" s="46" t="s">
        <v>2867</v>
      </c>
      <c r="G50" s="46">
        <v>2087498529</v>
      </c>
      <c r="H50" s="47" t="s">
        <v>2868</v>
      </c>
      <c r="I50" s="47" t="s">
        <v>2869</v>
      </c>
      <c r="J50" s="7" t="s">
        <v>942</v>
      </c>
      <c r="K50" s="7" t="s">
        <v>942</v>
      </c>
      <c r="L50" s="7" t="s">
        <v>975</v>
      </c>
      <c r="M50" s="7" t="s">
        <v>2870</v>
      </c>
      <c r="N50" s="51">
        <v>28768</v>
      </c>
      <c r="O50" s="7" t="s">
        <v>945</v>
      </c>
      <c r="P50" s="7" t="s">
        <v>946</v>
      </c>
      <c r="Q50" s="7" t="s">
        <v>963</v>
      </c>
      <c r="R50" s="7"/>
      <c r="S50" s="59">
        <v>90</v>
      </c>
      <c r="T50" s="7" t="s">
        <v>1011</v>
      </c>
      <c r="U50" s="7"/>
      <c r="V50" s="7" t="s">
        <v>2871</v>
      </c>
      <c r="W50" s="7" t="s">
        <v>2872</v>
      </c>
      <c r="X50" s="7" t="s">
        <v>953</v>
      </c>
      <c r="Y50" s="7" t="s">
        <v>552</v>
      </c>
      <c r="Z50" s="7" t="s">
        <v>2658</v>
      </c>
      <c r="AA50" s="7" t="s">
        <v>2873</v>
      </c>
      <c r="AB50" s="7" t="s">
        <v>1086</v>
      </c>
      <c r="AC50" s="7" t="s">
        <v>398</v>
      </c>
      <c r="AD50" s="7" t="s">
        <v>398</v>
      </c>
      <c r="AE50" s="6" t="s">
        <v>398</v>
      </c>
      <c r="AF50" s="6" t="s">
        <v>398</v>
      </c>
      <c r="AG50" s="6" t="s">
        <v>398</v>
      </c>
      <c r="AH50" s="6">
        <v>42</v>
      </c>
      <c r="AI50" s="6">
        <v>41</v>
      </c>
      <c r="AJ50" s="59">
        <v>41</v>
      </c>
      <c r="AK50" s="59">
        <v>41</v>
      </c>
      <c r="AL50" s="7" t="s">
        <v>398</v>
      </c>
      <c r="AM50" s="7" t="s">
        <v>398</v>
      </c>
      <c r="AN50" s="7" t="s">
        <v>406</v>
      </c>
    </row>
    <row r="51" ht="15.75" customHeight="1" spans="1:40">
      <c r="A51" s="6" t="s">
        <v>2576</v>
      </c>
      <c r="B51" s="46" t="s">
        <v>551</v>
      </c>
      <c r="C51" s="4" t="s">
        <v>957</v>
      </c>
      <c r="D51" s="12" t="s">
        <v>2874</v>
      </c>
      <c r="E51" s="29" t="s">
        <v>971</v>
      </c>
      <c r="F51" s="46" t="s">
        <v>2875</v>
      </c>
      <c r="G51" s="46">
        <v>4070626538</v>
      </c>
      <c r="H51" s="47" t="s">
        <v>939</v>
      </c>
      <c r="I51" s="47" t="s">
        <v>2876</v>
      </c>
      <c r="J51" s="7" t="s">
        <v>942</v>
      </c>
      <c r="K51" s="7" t="s">
        <v>942</v>
      </c>
      <c r="L51" s="7" t="s">
        <v>975</v>
      </c>
      <c r="M51" s="7" t="s">
        <v>2877</v>
      </c>
      <c r="N51" s="55">
        <v>28786</v>
      </c>
      <c r="O51" s="7" t="s">
        <v>945</v>
      </c>
      <c r="P51" s="7" t="s">
        <v>946</v>
      </c>
      <c r="Q51" s="7" t="s">
        <v>963</v>
      </c>
      <c r="R51" s="7" t="s">
        <v>2878</v>
      </c>
      <c r="S51" s="59">
        <v>70</v>
      </c>
      <c r="T51" s="7" t="s">
        <v>1030</v>
      </c>
      <c r="U51" s="7"/>
      <c r="V51" s="7" t="s">
        <v>2879</v>
      </c>
      <c r="W51" s="7"/>
      <c r="X51" s="7" t="s">
        <v>953</v>
      </c>
      <c r="Y51" s="7" t="s">
        <v>551</v>
      </c>
      <c r="Z51" s="59">
        <v>99830000</v>
      </c>
      <c r="AA51" s="7" t="s">
        <v>2880</v>
      </c>
      <c r="AB51" s="7" t="s">
        <v>1178</v>
      </c>
      <c r="AC51" s="7" t="s">
        <v>406</v>
      </c>
      <c r="AD51" s="7" t="s">
        <v>406</v>
      </c>
      <c r="AE51" s="6" t="s">
        <v>406</v>
      </c>
      <c r="AF51" s="6" t="s">
        <v>396</v>
      </c>
      <c r="AG51" s="6" t="s">
        <v>406</v>
      </c>
      <c r="AH51" s="6">
        <v>41</v>
      </c>
      <c r="AI51" s="6">
        <v>41</v>
      </c>
      <c r="AJ51" s="59">
        <v>41</v>
      </c>
      <c r="AK51" s="59">
        <v>41</v>
      </c>
      <c r="AL51" s="7" t="s">
        <v>396</v>
      </c>
      <c r="AM51" s="7" t="s">
        <v>396</v>
      </c>
      <c r="AN51" s="7" t="s">
        <v>396</v>
      </c>
    </row>
    <row r="52" ht="15.75" customHeight="1" spans="1:40">
      <c r="A52" s="6" t="s">
        <v>2576</v>
      </c>
      <c r="B52" s="46" t="s">
        <v>577</v>
      </c>
      <c r="C52" s="4" t="s">
        <v>957</v>
      </c>
      <c r="D52" s="10" t="s">
        <v>266</v>
      </c>
      <c r="E52" s="29" t="s">
        <v>491</v>
      </c>
      <c r="F52" s="46" t="s">
        <v>2881</v>
      </c>
      <c r="G52" s="46">
        <v>6090497634</v>
      </c>
      <c r="H52" s="47" t="s">
        <v>2043</v>
      </c>
      <c r="I52" s="47" t="s">
        <v>2882</v>
      </c>
      <c r="J52" s="7" t="s">
        <v>942</v>
      </c>
      <c r="K52" s="7" t="s">
        <v>942</v>
      </c>
      <c r="L52" s="7" t="s">
        <v>975</v>
      </c>
      <c r="M52" s="7" t="s">
        <v>2130</v>
      </c>
      <c r="N52" s="51">
        <v>31193</v>
      </c>
      <c r="O52" s="7" t="s">
        <v>945</v>
      </c>
      <c r="P52" s="7" t="s">
        <v>946</v>
      </c>
      <c r="Q52" s="7" t="s">
        <v>963</v>
      </c>
      <c r="R52" s="7" t="s">
        <v>2883</v>
      </c>
      <c r="S52" s="59">
        <v>87</v>
      </c>
      <c r="T52" s="7" t="s">
        <v>965</v>
      </c>
      <c r="U52" s="7"/>
      <c r="V52" s="7" t="s">
        <v>2884</v>
      </c>
      <c r="W52" s="47" t="s">
        <v>2637</v>
      </c>
      <c r="X52" s="7" t="s">
        <v>953</v>
      </c>
      <c r="Y52" s="47" t="s">
        <v>577</v>
      </c>
      <c r="Z52" s="7" t="s">
        <v>2638</v>
      </c>
      <c r="AA52" s="7" t="s">
        <v>2885</v>
      </c>
      <c r="AB52" s="7" t="s">
        <v>2886</v>
      </c>
      <c r="AC52" s="6" t="s">
        <v>406</v>
      </c>
      <c r="AD52" s="6" t="s">
        <v>406</v>
      </c>
      <c r="AE52" s="6" t="s">
        <v>406</v>
      </c>
      <c r="AF52" s="6" t="s">
        <v>406</v>
      </c>
      <c r="AG52" s="6" t="s">
        <v>406</v>
      </c>
      <c r="AH52" s="6">
        <v>43</v>
      </c>
      <c r="AI52" s="6">
        <v>42</v>
      </c>
      <c r="AJ52" s="59">
        <v>42</v>
      </c>
      <c r="AK52" s="59">
        <v>42</v>
      </c>
      <c r="AL52" s="6" t="s">
        <v>406</v>
      </c>
      <c r="AM52" s="6" t="s">
        <v>406</v>
      </c>
      <c r="AN52" s="6" t="s">
        <v>406</v>
      </c>
    </row>
    <row r="53" ht="15.75" customHeight="1" spans="1:40">
      <c r="A53" s="6" t="s">
        <v>2576</v>
      </c>
      <c r="B53" s="46" t="s">
        <v>548</v>
      </c>
      <c r="C53" s="4" t="s">
        <v>957</v>
      </c>
      <c r="D53" s="12" t="s">
        <v>2887</v>
      </c>
      <c r="E53" s="29" t="s">
        <v>971</v>
      </c>
      <c r="F53" s="46" t="s">
        <v>2888</v>
      </c>
      <c r="G53" s="46">
        <v>7064705069</v>
      </c>
      <c r="H53" s="47" t="s">
        <v>2889</v>
      </c>
      <c r="I53" s="47" t="s">
        <v>2890</v>
      </c>
      <c r="J53" s="7"/>
      <c r="K53" s="7" t="s">
        <v>942</v>
      </c>
      <c r="L53" s="7"/>
      <c r="M53" s="7"/>
      <c r="N53" s="16"/>
      <c r="O53" s="7" t="s">
        <v>945</v>
      </c>
      <c r="P53" s="7"/>
      <c r="Q53" s="7"/>
      <c r="R53" s="7"/>
      <c r="S53" s="7"/>
      <c r="T53" s="7"/>
      <c r="U53" s="7"/>
      <c r="V53" s="7"/>
      <c r="W53" s="7"/>
      <c r="X53" s="7"/>
      <c r="Y53" s="7"/>
      <c r="Z53" s="7"/>
      <c r="AA53" s="7"/>
      <c r="AB53" s="7"/>
      <c r="AC53" s="7"/>
      <c r="AD53" s="7"/>
      <c r="AE53" s="7"/>
      <c r="AF53" s="7"/>
      <c r="AG53" s="7"/>
      <c r="AH53" s="7"/>
      <c r="AI53" s="7"/>
      <c r="AJ53" s="7"/>
      <c r="AK53" s="7"/>
      <c r="AL53" s="7"/>
      <c r="AM53" s="7"/>
      <c r="AN53" s="7"/>
    </row>
    <row r="54" ht="15.75" customHeight="1" spans="1:40">
      <c r="A54" s="6" t="s">
        <v>2576</v>
      </c>
      <c r="B54" s="46" t="s">
        <v>509</v>
      </c>
      <c r="C54" s="4" t="s">
        <v>957</v>
      </c>
      <c r="D54" s="10" t="s">
        <v>267</v>
      </c>
      <c r="E54" s="29" t="s">
        <v>491</v>
      </c>
      <c r="F54" s="46" t="s">
        <v>2891</v>
      </c>
      <c r="G54" s="46">
        <v>1083813863</v>
      </c>
      <c r="H54" s="47" t="s">
        <v>2892</v>
      </c>
      <c r="I54" s="47" t="s">
        <v>2893</v>
      </c>
      <c r="J54" s="7" t="s">
        <v>941</v>
      </c>
      <c r="K54" s="7" t="s">
        <v>942</v>
      </c>
      <c r="L54" s="7" t="s">
        <v>943</v>
      </c>
      <c r="M54" s="7" t="s">
        <v>2894</v>
      </c>
      <c r="N54" s="51">
        <v>29923</v>
      </c>
      <c r="O54" s="7" t="s">
        <v>945</v>
      </c>
      <c r="P54" s="7" t="s">
        <v>946</v>
      </c>
      <c r="Q54" s="7" t="s">
        <v>963</v>
      </c>
      <c r="R54" s="7" t="s">
        <v>2895</v>
      </c>
      <c r="S54" s="59">
        <v>76</v>
      </c>
      <c r="T54" s="7" t="s">
        <v>1011</v>
      </c>
      <c r="U54" s="7"/>
      <c r="V54" s="7" t="s">
        <v>2896</v>
      </c>
      <c r="W54" s="7" t="s">
        <v>2896</v>
      </c>
      <c r="X54" s="7" t="s">
        <v>953</v>
      </c>
      <c r="Y54" s="7" t="s">
        <v>509</v>
      </c>
      <c r="Z54" s="59">
        <v>99770000</v>
      </c>
      <c r="AA54" s="7" t="s">
        <v>2897</v>
      </c>
      <c r="AB54" s="7" t="s">
        <v>2898</v>
      </c>
      <c r="AC54" s="7" t="s">
        <v>406</v>
      </c>
      <c r="AD54" s="7" t="s">
        <v>406</v>
      </c>
      <c r="AE54" s="6" t="s">
        <v>406</v>
      </c>
      <c r="AF54" s="6" t="s">
        <v>406</v>
      </c>
      <c r="AG54" s="6" t="s">
        <v>406</v>
      </c>
      <c r="AH54" s="6">
        <v>41</v>
      </c>
      <c r="AI54" s="6">
        <v>40</v>
      </c>
      <c r="AJ54" s="59">
        <v>40</v>
      </c>
      <c r="AK54" s="59">
        <v>40</v>
      </c>
      <c r="AL54" s="7" t="s">
        <v>406</v>
      </c>
      <c r="AM54" s="7" t="s">
        <v>406</v>
      </c>
      <c r="AN54" s="7" t="s">
        <v>406</v>
      </c>
    </row>
    <row r="55" ht="15.75" customHeight="1" spans="1:40">
      <c r="A55" s="6" t="s">
        <v>2576</v>
      </c>
      <c r="B55" s="46" t="s">
        <v>546</v>
      </c>
      <c r="C55" s="4" t="s">
        <v>957</v>
      </c>
      <c r="D55" s="12" t="s">
        <v>2899</v>
      </c>
      <c r="E55" s="29" t="s">
        <v>971</v>
      </c>
      <c r="F55" s="46"/>
      <c r="G55" s="47"/>
      <c r="H55" s="47"/>
      <c r="I55" s="47"/>
      <c r="J55" s="47"/>
      <c r="K55" s="47"/>
      <c r="L55" s="47"/>
      <c r="M55" s="47"/>
      <c r="N55" s="52">
        <v>29818</v>
      </c>
      <c r="O55" s="46" t="s">
        <v>945</v>
      </c>
      <c r="P55" s="47"/>
      <c r="Q55" s="47"/>
      <c r="R55" s="47"/>
      <c r="S55" s="47"/>
      <c r="T55" s="47"/>
      <c r="U55" s="47"/>
      <c r="V55" s="47"/>
      <c r="W55" s="47"/>
      <c r="X55" s="47"/>
      <c r="Y55" s="47"/>
      <c r="Z55" s="47"/>
      <c r="AA55" s="47"/>
      <c r="AB55" s="47"/>
      <c r="AC55" s="47"/>
      <c r="AD55" s="47"/>
      <c r="AE55" s="47"/>
      <c r="AF55" s="47"/>
      <c r="AG55" s="46" t="s">
        <v>396</v>
      </c>
      <c r="AH55" s="46">
        <v>36</v>
      </c>
      <c r="AI55" s="47"/>
      <c r="AJ55" s="47"/>
      <c r="AK55" s="47"/>
      <c r="AL55" s="46" t="s">
        <v>396</v>
      </c>
      <c r="AM55" s="46" t="s">
        <v>396</v>
      </c>
      <c r="AN55" s="46" t="s">
        <v>396</v>
      </c>
    </row>
    <row r="56" ht="15.75" customHeight="1" spans="1:40">
      <c r="A56" s="6" t="s">
        <v>2576</v>
      </c>
      <c r="B56" s="45" t="s">
        <v>577</v>
      </c>
      <c r="C56" s="4" t="s">
        <v>957</v>
      </c>
      <c r="D56" s="10" t="s">
        <v>2900</v>
      </c>
      <c r="E56" s="29" t="s">
        <v>491</v>
      </c>
      <c r="F56" s="46" t="s">
        <v>2901</v>
      </c>
      <c r="G56" s="46">
        <v>2097504936</v>
      </c>
      <c r="H56" s="47" t="s">
        <v>2043</v>
      </c>
      <c r="I56" s="47" t="s">
        <v>2633</v>
      </c>
      <c r="J56" s="7" t="s">
        <v>942</v>
      </c>
      <c r="K56" s="7" t="s">
        <v>942</v>
      </c>
      <c r="L56" s="7" t="s">
        <v>1080</v>
      </c>
      <c r="M56" s="7" t="s">
        <v>2902</v>
      </c>
      <c r="N56" s="55">
        <v>32435</v>
      </c>
      <c r="O56" s="7" t="s">
        <v>945</v>
      </c>
      <c r="P56" s="7" t="s">
        <v>946</v>
      </c>
      <c r="Q56" s="7"/>
      <c r="R56" s="7" t="s">
        <v>2903</v>
      </c>
      <c r="S56" s="59">
        <v>86</v>
      </c>
      <c r="T56" s="7" t="s">
        <v>1011</v>
      </c>
      <c r="U56" s="7"/>
      <c r="V56" s="7" t="s">
        <v>2904</v>
      </c>
      <c r="W56" s="47" t="s">
        <v>2637</v>
      </c>
      <c r="X56" s="7" t="s">
        <v>953</v>
      </c>
      <c r="Y56" s="47" t="s">
        <v>577</v>
      </c>
      <c r="Z56" s="47" t="s">
        <v>2638</v>
      </c>
      <c r="AA56" s="7" t="s">
        <v>2905</v>
      </c>
      <c r="AB56" s="7" t="s">
        <v>1086</v>
      </c>
      <c r="AC56" s="6" t="s">
        <v>406</v>
      </c>
      <c r="AD56" s="6" t="s">
        <v>406</v>
      </c>
      <c r="AE56" s="6" t="s">
        <v>406</v>
      </c>
      <c r="AF56" s="6" t="s">
        <v>406</v>
      </c>
      <c r="AG56" s="6" t="s">
        <v>406</v>
      </c>
      <c r="AH56" s="6">
        <v>41</v>
      </c>
      <c r="AI56" s="6">
        <v>40</v>
      </c>
      <c r="AJ56" s="59">
        <v>40</v>
      </c>
      <c r="AK56" s="59">
        <v>40</v>
      </c>
      <c r="AL56" s="6" t="s">
        <v>406</v>
      </c>
      <c r="AM56" s="6" t="s">
        <v>406</v>
      </c>
      <c r="AN56" s="6" t="s">
        <v>396</v>
      </c>
    </row>
    <row r="57" ht="15.75" customHeight="1" spans="1:40">
      <c r="A57" s="6" t="s">
        <v>2576</v>
      </c>
      <c r="B57" s="45" t="s">
        <v>546</v>
      </c>
      <c r="C57" s="4" t="s">
        <v>957</v>
      </c>
      <c r="D57" s="12" t="s">
        <v>2906</v>
      </c>
      <c r="E57" s="29" t="s">
        <v>971</v>
      </c>
      <c r="F57" s="46"/>
      <c r="G57" s="47"/>
      <c r="H57" s="47"/>
      <c r="I57" s="47"/>
      <c r="J57" s="47"/>
      <c r="K57" s="47"/>
      <c r="L57" s="47"/>
      <c r="M57" s="47"/>
      <c r="N57" s="52">
        <v>31846</v>
      </c>
      <c r="O57" s="46" t="s">
        <v>945</v>
      </c>
      <c r="P57" s="47"/>
      <c r="Q57" s="47"/>
      <c r="R57" s="47"/>
      <c r="S57" s="47"/>
      <c r="T57" s="47"/>
      <c r="U57" s="47"/>
      <c r="V57" s="47"/>
      <c r="W57" s="47"/>
      <c r="X57" s="47"/>
      <c r="Y57" s="47"/>
      <c r="Z57" s="47"/>
      <c r="AA57" s="47"/>
      <c r="AB57" s="47"/>
      <c r="AC57" s="47"/>
      <c r="AD57" s="47"/>
      <c r="AE57" s="47"/>
      <c r="AF57" s="47"/>
      <c r="AG57" s="46" t="s">
        <v>396</v>
      </c>
      <c r="AH57" s="46">
        <v>37</v>
      </c>
      <c r="AI57" s="47"/>
      <c r="AJ57" s="47"/>
      <c r="AK57" s="47"/>
      <c r="AL57" s="46" t="s">
        <v>396</v>
      </c>
      <c r="AM57" s="46" t="s">
        <v>396</v>
      </c>
      <c r="AN57" s="46" t="s">
        <v>396</v>
      </c>
    </row>
    <row r="58" ht="18" customHeight="1" spans="1:40">
      <c r="A58" s="6" t="s">
        <v>2576</v>
      </c>
      <c r="B58" s="45" t="s">
        <v>548</v>
      </c>
      <c r="C58" s="4" t="s">
        <v>957</v>
      </c>
      <c r="D58" s="12" t="s">
        <v>2907</v>
      </c>
      <c r="E58" s="29" t="s">
        <v>491</v>
      </c>
      <c r="F58" s="6" t="s">
        <v>2908</v>
      </c>
      <c r="G58" s="29">
        <v>6766947</v>
      </c>
      <c r="H58" s="7" t="s">
        <v>939</v>
      </c>
      <c r="I58" s="7" t="s">
        <v>2909</v>
      </c>
      <c r="J58" s="7" t="s">
        <v>941</v>
      </c>
      <c r="K58" s="7" t="s">
        <v>942</v>
      </c>
      <c r="L58" s="7" t="s">
        <v>975</v>
      </c>
      <c r="M58" s="7" t="s">
        <v>2910</v>
      </c>
      <c r="N58" s="51">
        <v>29657</v>
      </c>
      <c r="O58" s="7" t="s">
        <v>1028</v>
      </c>
      <c r="P58" s="7" t="s">
        <v>946</v>
      </c>
      <c r="Q58" s="7" t="s">
        <v>1227</v>
      </c>
      <c r="R58" s="7" t="s">
        <v>2911</v>
      </c>
      <c r="S58" s="59">
        <v>57</v>
      </c>
      <c r="T58" s="7" t="s">
        <v>1208</v>
      </c>
      <c r="U58" s="7" t="s">
        <v>2912</v>
      </c>
      <c r="V58" s="7" t="s">
        <v>2912</v>
      </c>
      <c r="W58" s="7" t="s">
        <v>2912</v>
      </c>
      <c r="X58" s="7" t="s">
        <v>2688</v>
      </c>
      <c r="Y58" s="7" t="s">
        <v>548</v>
      </c>
      <c r="Z58" s="7" t="s">
        <v>2689</v>
      </c>
      <c r="AA58" s="7" t="s">
        <v>2913</v>
      </c>
      <c r="AB58" s="7" t="s">
        <v>2914</v>
      </c>
      <c r="AC58" s="7" t="s">
        <v>396</v>
      </c>
      <c r="AD58" s="7" t="s">
        <v>396</v>
      </c>
      <c r="AE58" s="7" t="s">
        <v>396</v>
      </c>
      <c r="AF58" s="7" t="s">
        <v>396</v>
      </c>
      <c r="AG58" s="7" t="s">
        <v>396</v>
      </c>
      <c r="AH58" s="59">
        <v>35</v>
      </c>
      <c r="AI58" s="59">
        <v>35</v>
      </c>
      <c r="AJ58" s="59">
        <v>35</v>
      </c>
      <c r="AK58" s="59">
        <v>35</v>
      </c>
      <c r="AL58" s="7" t="s">
        <v>396</v>
      </c>
      <c r="AM58" s="7" t="s">
        <v>396</v>
      </c>
      <c r="AN58" s="7" t="s">
        <v>396</v>
      </c>
    </row>
    <row r="59" ht="15.75" customHeight="1" spans="1:40">
      <c r="A59" s="6" t="s">
        <v>2576</v>
      </c>
      <c r="B59" s="45" t="s">
        <v>509</v>
      </c>
      <c r="C59" s="4" t="s">
        <v>957</v>
      </c>
      <c r="D59" s="10" t="s">
        <v>103</v>
      </c>
      <c r="E59" s="29" t="s">
        <v>491</v>
      </c>
      <c r="F59" s="46" t="s">
        <v>2915</v>
      </c>
      <c r="G59" s="46">
        <v>1103474878</v>
      </c>
      <c r="H59" s="47" t="s">
        <v>986</v>
      </c>
      <c r="I59" s="47" t="s">
        <v>2916</v>
      </c>
      <c r="J59" s="7" t="s">
        <v>942</v>
      </c>
      <c r="K59" s="7" t="s">
        <v>942</v>
      </c>
      <c r="L59" s="7" t="s">
        <v>975</v>
      </c>
      <c r="M59" s="7" t="s">
        <v>2179</v>
      </c>
      <c r="N59" s="55">
        <v>31738</v>
      </c>
      <c r="O59" s="7" t="s">
        <v>945</v>
      </c>
      <c r="P59" s="7" t="s">
        <v>1041</v>
      </c>
      <c r="Q59" s="7" t="s">
        <v>963</v>
      </c>
      <c r="R59" s="7" t="s">
        <v>2917</v>
      </c>
      <c r="S59" s="59">
        <v>105</v>
      </c>
      <c r="T59" s="7" t="s">
        <v>1011</v>
      </c>
      <c r="U59" s="7"/>
      <c r="V59" s="7" t="s">
        <v>2918</v>
      </c>
      <c r="W59" s="7" t="s">
        <v>2918</v>
      </c>
      <c r="X59" s="7" t="s">
        <v>953</v>
      </c>
      <c r="Y59" s="7" t="s">
        <v>509</v>
      </c>
      <c r="Z59" s="59">
        <v>99770000</v>
      </c>
      <c r="AA59" s="7" t="s">
        <v>2919</v>
      </c>
      <c r="AB59" s="7" t="s">
        <v>2920</v>
      </c>
      <c r="AC59" s="7" t="s">
        <v>398</v>
      </c>
      <c r="AD59" s="7" t="s">
        <v>398</v>
      </c>
      <c r="AE59" s="6" t="s">
        <v>398</v>
      </c>
      <c r="AF59" s="6" t="s">
        <v>398</v>
      </c>
      <c r="AG59" s="6" t="s">
        <v>398</v>
      </c>
      <c r="AH59" s="6">
        <v>42</v>
      </c>
      <c r="AI59" s="6">
        <v>42</v>
      </c>
      <c r="AJ59" s="59">
        <v>42</v>
      </c>
      <c r="AK59" s="59">
        <v>42</v>
      </c>
      <c r="AL59" s="7" t="s">
        <v>398</v>
      </c>
      <c r="AM59" s="7" t="s">
        <v>398</v>
      </c>
      <c r="AN59" s="7" t="s">
        <v>398</v>
      </c>
    </row>
    <row r="60" ht="15.75" customHeight="1" spans="1:40">
      <c r="A60" s="6" t="s">
        <v>2576</v>
      </c>
      <c r="B60" s="45" t="s">
        <v>2660</v>
      </c>
      <c r="C60" s="4" t="s">
        <v>655</v>
      </c>
      <c r="D60" s="10" t="s">
        <v>2921</v>
      </c>
      <c r="E60" s="29" t="s">
        <v>971</v>
      </c>
      <c r="F60" s="46">
        <v>82800340053</v>
      </c>
      <c r="G60" s="46">
        <v>1066101146</v>
      </c>
      <c r="H60" s="46" t="s">
        <v>2662</v>
      </c>
      <c r="I60" s="47"/>
      <c r="J60" s="7"/>
      <c r="K60" s="7"/>
      <c r="L60" s="7"/>
      <c r="M60" s="7"/>
      <c r="N60" s="54">
        <v>31220</v>
      </c>
      <c r="O60" s="6" t="s">
        <v>945</v>
      </c>
      <c r="P60" s="7"/>
      <c r="Q60" s="7"/>
      <c r="R60" s="7"/>
      <c r="S60" s="7"/>
      <c r="T60" s="7"/>
      <c r="U60" s="7"/>
      <c r="V60" s="7"/>
      <c r="W60" s="47"/>
      <c r="X60" s="47"/>
      <c r="Y60" s="46" t="s">
        <v>535</v>
      </c>
      <c r="Z60" s="47"/>
      <c r="AA60" s="7"/>
      <c r="AB60" s="7"/>
      <c r="AC60" s="7"/>
      <c r="AD60" s="7"/>
      <c r="AE60" s="7"/>
      <c r="AF60" s="7"/>
      <c r="AG60" s="6" t="s">
        <v>406</v>
      </c>
      <c r="AH60" s="6">
        <v>40</v>
      </c>
      <c r="AI60" s="7"/>
      <c r="AJ60" s="7"/>
      <c r="AK60" s="7"/>
      <c r="AL60" s="6" t="s">
        <v>406</v>
      </c>
      <c r="AM60" s="6" t="s">
        <v>406</v>
      </c>
      <c r="AN60" s="6" t="s">
        <v>406</v>
      </c>
    </row>
    <row r="61" ht="15.75" customHeight="1" spans="1:40">
      <c r="A61" s="6" t="s">
        <v>2576</v>
      </c>
      <c r="B61" s="45" t="s">
        <v>523</v>
      </c>
      <c r="C61" s="4" t="s">
        <v>957</v>
      </c>
      <c r="D61" s="12" t="s">
        <v>269</v>
      </c>
      <c r="E61" s="29" t="s">
        <v>491</v>
      </c>
      <c r="F61" s="46" t="s">
        <v>2922</v>
      </c>
      <c r="G61" s="46" t="s">
        <v>2923</v>
      </c>
      <c r="H61" s="47" t="s">
        <v>2924</v>
      </c>
      <c r="I61" s="47" t="s">
        <v>2925</v>
      </c>
      <c r="J61" s="47" t="s">
        <v>941</v>
      </c>
      <c r="K61" s="47" t="s">
        <v>941</v>
      </c>
      <c r="L61" s="47" t="s">
        <v>975</v>
      </c>
      <c r="M61" s="47" t="s">
        <v>2926</v>
      </c>
      <c r="N61" s="58">
        <v>35044</v>
      </c>
      <c r="O61" s="47" t="s">
        <v>396</v>
      </c>
      <c r="P61" s="47" t="s">
        <v>2927</v>
      </c>
      <c r="Q61" s="47" t="s">
        <v>963</v>
      </c>
      <c r="R61" s="47" t="s">
        <v>2928</v>
      </c>
      <c r="S61" s="47">
        <v>142</v>
      </c>
      <c r="T61" s="47" t="s">
        <v>2929</v>
      </c>
      <c r="U61" s="47" t="s">
        <v>2930</v>
      </c>
      <c r="V61" s="47" t="s">
        <v>2931</v>
      </c>
      <c r="W61" s="47" t="s">
        <v>2930</v>
      </c>
      <c r="X61" s="47" t="s">
        <v>953</v>
      </c>
      <c r="Y61" s="47" t="s">
        <v>2628</v>
      </c>
      <c r="Z61" s="47" t="s">
        <v>2629</v>
      </c>
      <c r="AA61" s="47" t="s">
        <v>2932</v>
      </c>
      <c r="AB61" s="47" t="s">
        <v>2933</v>
      </c>
      <c r="AC61" s="47" t="s">
        <v>2934</v>
      </c>
      <c r="AD61" s="47" t="s">
        <v>2934</v>
      </c>
      <c r="AE61" s="47" t="s">
        <v>2934</v>
      </c>
      <c r="AF61" s="47" t="s">
        <v>2934</v>
      </c>
      <c r="AG61" s="47" t="s">
        <v>2934</v>
      </c>
      <c r="AH61" s="47" t="s">
        <v>2934</v>
      </c>
      <c r="AI61" s="47">
        <v>46</v>
      </c>
      <c r="AJ61" s="47">
        <v>46</v>
      </c>
      <c r="AK61" s="47">
        <v>46</v>
      </c>
      <c r="AL61" s="47">
        <v>46</v>
      </c>
      <c r="AM61" s="47" t="s">
        <v>2934</v>
      </c>
      <c r="AN61" s="47">
        <v>62</v>
      </c>
    </row>
    <row r="62" ht="15.75" customHeight="1" spans="1:40">
      <c r="A62" s="6" t="s">
        <v>2576</v>
      </c>
      <c r="B62" s="45" t="s">
        <v>552</v>
      </c>
      <c r="C62" s="4" t="s">
        <v>957</v>
      </c>
      <c r="D62" s="10" t="s">
        <v>2935</v>
      </c>
      <c r="E62" s="29" t="s">
        <v>491</v>
      </c>
      <c r="F62" s="46" t="s">
        <v>2936</v>
      </c>
      <c r="G62" s="46">
        <v>8081511522</v>
      </c>
      <c r="H62" s="47" t="s">
        <v>2937</v>
      </c>
      <c r="I62" s="47" t="s">
        <v>2938</v>
      </c>
      <c r="J62" s="7" t="s">
        <v>941</v>
      </c>
      <c r="K62" s="7" t="s">
        <v>942</v>
      </c>
      <c r="L62" s="7" t="s">
        <v>1080</v>
      </c>
      <c r="M62" s="7" t="s">
        <v>2939</v>
      </c>
      <c r="N62" s="51">
        <v>31577</v>
      </c>
      <c r="O62" s="7" t="s">
        <v>1028</v>
      </c>
      <c r="P62" s="7" t="s">
        <v>946</v>
      </c>
      <c r="Q62" s="7" t="s">
        <v>1245</v>
      </c>
      <c r="R62" s="7" t="s">
        <v>2940</v>
      </c>
      <c r="S62" s="59">
        <v>63</v>
      </c>
      <c r="T62" s="7" t="s">
        <v>1369</v>
      </c>
      <c r="U62" s="7"/>
      <c r="V62" s="7" t="s">
        <v>2941</v>
      </c>
      <c r="W62" s="7" t="s">
        <v>2942</v>
      </c>
      <c r="X62" s="7" t="s">
        <v>953</v>
      </c>
      <c r="Y62" s="7" t="s">
        <v>552</v>
      </c>
      <c r="Z62" s="7" t="s">
        <v>2658</v>
      </c>
      <c r="AA62" s="7" t="s">
        <v>2943</v>
      </c>
      <c r="AB62" s="7" t="s">
        <v>1086</v>
      </c>
      <c r="AC62" s="7" t="s">
        <v>395</v>
      </c>
      <c r="AD62" s="7" t="s">
        <v>395</v>
      </c>
      <c r="AE62" s="6" t="s">
        <v>395</v>
      </c>
      <c r="AF62" s="6" t="s">
        <v>395</v>
      </c>
      <c r="AG62" s="6" t="s">
        <v>395</v>
      </c>
      <c r="AH62" s="6">
        <v>36</v>
      </c>
      <c r="AI62" s="6">
        <v>36</v>
      </c>
      <c r="AJ62" s="59">
        <v>36</v>
      </c>
      <c r="AK62" s="59">
        <v>36</v>
      </c>
      <c r="AL62" s="7" t="s">
        <v>395</v>
      </c>
      <c r="AM62" s="7" t="s">
        <v>395</v>
      </c>
      <c r="AN62" s="7" t="s">
        <v>395</v>
      </c>
    </row>
    <row r="63" ht="15.75" customHeight="1" spans="1:40">
      <c r="A63" s="6" t="s">
        <v>2576</v>
      </c>
      <c r="B63" s="45" t="s">
        <v>523</v>
      </c>
      <c r="C63" s="4" t="s">
        <v>957</v>
      </c>
      <c r="D63" s="12" t="s">
        <v>2944</v>
      </c>
      <c r="E63" s="29" t="s">
        <v>971</v>
      </c>
      <c r="F63" s="46" t="s">
        <v>2945</v>
      </c>
      <c r="G63" s="46">
        <v>2089029901</v>
      </c>
      <c r="H63" s="47" t="s">
        <v>2665</v>
      </c>
      <c r="I63" s="47" t="s">
        <v>2946</v>
      </c>
      <c r="J63" s="47"/>
      <c r="K63" s="47"/>
      <c r="L63" s="47"/>
      <c r="M63" s="47"/>
      <c r="N63" s="58"/>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row>
    <row r="64" ht="15.75" customHeight="1" spans="1:40">
      <c r="A64" s="39"/>
      <c r="B64" s="49"/>
      <c r="C64" s="4"/>
      <c r="D64" s="35" t="s">
        <v>2947</v>
      </c>
      <c r="E64" s="39" t="s">
        <v>491</v>
      </c>
      <c r="F64" s="39" t="s">
        <v>2948</v>
      </c>
      <c r="G64" s="39"/>
      <c r="H64" s="39"/>
      <c r="I64" s="39"/>
      <c r="J64" s="6"/>
      <c r="K64" s="6"/>
      <c r="L64" s="6"/>
      <c r="M64" s="6"/>
      <c r="N64" s="6"/>
      <c r="O64" s="6"/>
      <c r="P64" s="6"/>
      <c r="Q64" s="6"/>
      <c r="R64" s="6"/>
      <c r="S64" s="6"/>
      <c r="T64" s="6"/>
      <c r="U64" s="6"/>
      <c r="V64" s="6"/>
      <c r="W64" s="39"/>
      <c r="X64" s="39"/>
      <c r="Y64" s="39"/>
      <c r="Z64" s="39"/>
      <c r="AA64" s="6"/>
      <c r="AB64" s="6"/>
      <c r="AC64" s="6"/>
      <c r="AD64" s="6"/>
      <c r="AE64" s="6"/>
      <c r="AF64" s="6"/>
      <c r="AG64" s="6"/>
      <c r="AH64" s="6"/>
      <c r="AI64" s="6"/>
      <c r="AJ64" s="6"/>
      <c r="AK64" s="6"/>
      <c r="AL64" s="6"/>
      <c r="AM64" s="6"/>
      <c r="AN64" s="6"/>
    </row>
    <row r="65" ht="15.75" customHeight="1" spans="1:40">
      <c r="A65" s="6" t="s">
        <v>2576</v>
      </c>
      <c r="B65" s="45" t="s">
        <v>552</v>
      </c>
      <c r="C65" s="4" t="s">
        <v>957</v>
      </c>
      <c r="D65" s="10" t="s">
        <v>271</v>
      </c>
      <c r="E65" s="29" t="s">
        <v>491</v>
      </c>
      <c r="F65" s="46" t="s">
        <v>2949</v>
      </c>
      <c r="G65" s="46">
        <v>9112148664</v>
      </c>
      <c r="H65" s="47" t="s">
        <v>2950</v>
      </c>
      <c r="I65" s="47" t="s">
        <v>2951</v>
      </c>
      <c r="J65" s="7" t="s">
        <v>941</v>
      </c>
      <c r="K65" s="7" t="s">
        <v>942</v>
      </c>
      <c r="L65" s="7" t="s">
        <v>2952</v>
      </c>
      <c r="M65" s="7" t="s">
        <v>2953</v>
      </c>
      <c r="N65" s="51">
        <v>34758</v>
      </c>
      <c r="O65" s="7" t="s">
        <v>945</v>
      </c>
      <c r="P65" s="7" t="s">
        <v>946</v>
      </c>
      <c r="Q65" s="7" t="s">
        <v>963</v>
      </c>
      <c r="R65" s="7" t="s">
        <v>2954</v>
      </c>
      <c r="S65" s="59">
        <v>105</v>
      </c>
      <c r="T65" s="7" t="s">
        <v>950</v>
      </c>
      <c r="U65" s="7"/>
      <c r="V65" s="7" t="s">
        <v>2955</v>
      </c>
      <c r="W65" s="7" t="s">
        <v>2941</v>
      </c>
      <c r="X65" s="7" t="s">
        <v>953</v>
      </c>
      <c r="Y65" s="7" t="s">
        <v>552</v>
      </c>
      <c r="Z65" s="7" t="s">
        <v>2658</v>
      </c>
      <c r="AA65" s="7" t="s">
        <v>2943</v>
      </c>
      <c r="AB65" s="7" t="s">
        <v>1086</v>
      </c>
      <c r="AC65" s="7" t="s">
        <v>398</v>
      </c>
      <c r="AD65" s="7" t="s">
        <v>398</v>
      </c>
      <c r="AE65" s="6" t="s">
        <v>398</v>
      </c>
      <c r="AF65" s="6" t="s">
        <v>398</v>
      </c>
      <c r="AG65" s="6" t="s">
        <v>398</v>
      </c>
      <c r="AH65" s="6">
        <v>45</v>
      </c>
      <c r="AI65" s="6">
        <v>44</v>
      </c>
      <c r="AJ65" s="59">
        <v>44</v>
      </c>
      <c r="AK65" s="59">
        <v>44</v>
      </c>
      <c r="AL65" s="7" t="s">
        <v>398</v>
      </c>
      <c r="AM65" s="7" t="s">
        <v>398</v>
      </c>
      <c r="AN65" s="7" t="s">
        <v>406</v>
      </c>
    </row>
    <row r="66" ht="15.75" customHeight="1" spans="1:40">
      <c r="A66" s="6" t="s">
        <v>2576</v>
      </c>
      <c r="B66" s="45" t="s">
        <v>556</v>
      </c>
      <c r="C66" s="4" t="s">
        <v>957</v>
      </c>
      <c r="D66" s="12" t="s">
        <v>2956</v>
      </c>
      <c r="E66" s="29" t="s">
        <v>971</v>
      </c>
      <c r="F66" s="46" t="s">
        <v>2957</v>
      </c>
      <c r="G66" s="47"/>
      <c r="H66" s="47"/>
      <c r="I66" s="47"/>
      <c r="J66" s="7"/>
      <c r="K66" s="7"/>
      <c r="L66" s="7"/>
      <c r="M66" s="7"/>
      <c r="N66" s="15"/>
      <c r="O66" s="7"/>
      <c r="P66" s="7"/>
      <c r="Q66" s="7"/>
      <c r="R66" s="7" t="s">
        <v>2958</v>
      </c>
      <c r="S66" s="7"/>
      <c r="T66" s="7"/>
      <c r="U66" s="7"/>
      <c r="V66" s="7"/>
      <c r="W66" s="7"/>
      <c r="X66" s="7"/>
      <c r="Y66" s="7"/>
      <c r="Z66" s="7"/>
      <c r="AA66" s="7"/>
      <c r="AB66" s="7"/>
      <c r="AC66" s="7"/>
      <c r="AD66" s="7"/>
      <c r="AE66" s="7"/>
      <c r="AF66" s="7"/>
      <c r="AG66" s="6" t="s">
        <v>395</v>
      </c>
      <c r="AH66" s="6">
        <v>39</v>
      </c>
      <c r="AI66" s="7"/>
      <c r="AJ66" s="7"/>
      <c r="AK66" s="7"/>
      <c r="AL66" s="7" t="s">
        <v>395</v>
      </c>
      <c r="AM66" s="7" t="s">
        <v>395</v>
      </c>
      <c r="AN66" s="7" t="s">
        <v>395</v>
      </c>
    </row>
    <row r="67" ht="15.75" customHeight="1" spans="1:40">
      <c r="A67" s="6" t="s">
        <v>2576</v>
      </c>
      <c r="B67" s="45" t="s">
        <v>552</v>
      </c>
      <c r="C67" s="4" t="s">
        <v>957</v>
      </c>
      <c r="D67" s="12" t="s">
        <v>2959</v>
      </c>
      <c r="E67" s="29" t="s">
        <v>971</v>
      </c>
      <c r="F67" s="46" t="s">
        <v>2960</v>
      </c>
      <c r="G67" s="46">
        <v>4110532761</v>
      </c>
      <c r="H67" s="47" t="s">
        <v>2652</v>
      </c>
      <c r="I67" s="47" t="s">
        <v>2834</v>
      </c>
      <c r="J67" s="7" t="s">
        <v>942</v>
      </c>
      <c r="K67" s="7" t="s">
        <v>942</v>
      </c>
      <c r="L67" s="7" t="s">
        <v>943</v>
      </c>
      <c r="M67" s="7" t="s">
        <v>2961</v>
      </c>
      <c r="N67" s="55">
        <v>33168</v>
      </c>
      <c r="O67" s="7" t="s">
        <v>1028</v>
      </c>
      <c r="P67" s="7" t="s">
        <v>946</v>
      </c>
      <c r="Q67" s="7" t="s">
        <v>963</v>
      </c>
      <c r="R67" s="7"/>
      <c r="S67" s="59">
        <v>67</v>
      </c>
      <c r="T67" s="7" t="s">
        <v>1208</v>
      </c>
      <c r="U67" s="7"/>
      <c r="V67" s="7" t="s">
        <v>2962</v>
      </c>
      <c r="W67" s="7"/>
      <c r="X67" s="7" t="s">
        <v>953</v>
      </c>
      <c r="Y67" s="7" t="s">
        <v>552</v>
      </c>
      <c r="Z67" s="7" t="s">
        <v>2658</v>
      </c>
      <c r="AA67" s="7" t="s">
        <v>2963</v>
      </c>
      <c r="AB67" s="7" t="s">
        <v>1086</v>
      </c>
      <c r="AC67" s="7" t="s">
        <v>396</v>
      </c>
      <c r="AD67" s="7" t="s">
        <v>396</v>
      </c>
      <c r="AE67" s="6" t="s">
        <v>396</v>
      </c>
      <c r="AF67" s="6" t="s">
        <v>396</v>
      </c>
      <c r="AG67" s="6" t="s">
        <v>396</v>
      </c>
      <c r="AH67" s="6">
        <v>36</v>
      </c>
      <c r="AI67" s="6">
        <v>36</v>
      </c>
      <c r="AJ67" s="59">
        <v>36</v>
      </c>
      <c r="AK67" s="59">
        <v>36</v>
      </c>
      <c r="AL67" s="7" t="s">
        <v>396</v>
      </c>
      <c r="AM67" s="7" t="s">
        <v>396</v>
      </c>
      <c r="AN67" s="7" t="s">
        <v>396</v>
      </c>
    </row>
    <row r="68" ht="15.75" customHeight="1" spans="1:40">
      <c r="A68" s="6" t="s">
        <v>2576</v>
      </c>
      <c r="B68" s="45" t="s">
        <v>542</v>
      </c>
      <c r="C68" s="4" t="s">
        <v>957</v>
      </c>
      <c r="D68" s="12" t="s">
        <v>2964</v>
      </c>
      <c r="E68" s="29" t="s">
        <v>971</v>
      </c>
      <c r="F68" s="46" t="s">
        <v>2965</v>
      </c>
      <c r="G68" s="64">
        <v>6068795027</v>
      </c>
      <c r="H68" s="46" t="s">
        <v>2611</v>
      </c>
      <c r="I68" s="47"/>
      <c r="J68" s="47"/>
      <c r="K68" s="47"/>
      <c r="L68" s="46" t="s">
        <v>975</v>
      </c>
      <c r="M68" s="46" t="s">
        <v>2966</v>
      </c>
      <c r="N68" s="65">
        <v>28488</v>
      </c>
      <c r="O68" s="46" t="s">
        <v>396</v>
      </c>
      <c r="P68" s="46" t="s">
        <v>2967</v>
      </c>
      <c r="Q68" s="46" t="s">
        <v>2968</v>
      </c>
      <c r="R68" s="46" t="s">
        <v>2615</v>
      </c>
      <c r="S68" s="46">
        <v>94</v>
      </c>
      <c r="T68" s="46" t="s">
        <v>1011</v>
      </c>
      <c r="U68" s="46" t="s">
        <v>2969</v>
      </c>
      <c r="V68" s="47"/>
      <c r="W68" s="47"/>
      <c r="X68" s="46" t="s">
        <v>953</v>
      </c>
      <c r="Y68" s="46" t="s">
        <v>542</v>
      </c>
      <c r="Z68" s="46" t="s">
        <v>2617</v>
      </c>
      <c r="AA68" s="46" t="s">
        <v>2970</v>
      </c>
      <c r="AB68" s="46" t="s">
        <v>2971</v>
      </c>
      <c r="AC68" s="46" t="s">
        <v>406</v>
      </c>
      <c r="AD68" s="46" t="s">
        <v>398</v>
      </c>
      <c r="AE68" s="46" t="s">
        <v>398</v>
      </c>
      <c r="AF68" s="46" t="s">
        <v>398</v>
      </c>
      <c r="AG68" s="46" t="s">
        <v>406</v>
      </c>
      <c r="AH68" s="46">
        <v>41</v>
      </c>
      <c r="AI68" s="46">
        <v>41</v>
      </c>
      <c r="AJ68" s="46">
        <v>41</v>
      </c>
      <c r="AK68" s="46">
        <v>41</v>
      </c>
      <c r="AL68" s="46" t="s">
        <v>398</v>
      </c>
      <c r="AM68" s="46" t="s">
        <v>398</v>
      </c>
      <c r="AN68" s="46" t="s">
        <v>398</v>
      </c>
    </row>
    <row r="69" ht="15.75" customHeight="1" spans="1:40">
      <c r="A69" s="6" t="s">
        <v>2576</v>
      </c>
      <c r="B69" s="45" t="s">
        <v>523</v>
      </c>
      <c r="C69" s="4" t="s">
        <v>957</v>
      </c>
      <c r="D69" s="12" t="s">
        <v>2972</v>
      </c>
      <c r="E69" s="29" t="s">
        <v>971</v>
      </c>
      <c r="F69" s="46" t="s">
        <v>2973</v>
      </c>
      <c r="G69" s="46" t="s">
        <v>2974</v>
      </c>
      <c r="H69" s="47" t="s">
        <v>939</v>
      </c>
      <c r="I69" s="47" t="s">
        <v>2975</v>
      </c>
      <c r="J69" s="47" t="s">
        <v>942</v>
      </c>
      <c r="K69" s="47" t="s">
        <v>942</v>
      </c>
      <c r="L69" s="47" t="s">
        <v>975</v>
      </c>
      <c r="M69" s="47" t="s">
        <v>2976</v>
      </c>
      <c r="N69" s="58">
        <v>29575</v>
      </c>
      <c r="O69" s="47" t="s">
        <v>396</v>
      </c>
      <c r="P69" s="47" t="s">
        <v>2967</v>
      </c>
      <c r="Q69" s="47" t="s">
        <v>963</v>
      </c>
      <c r="R69" s="47" t="s">
        <v>2977</v>
      </c>
      <c r="S69" s="47">
        <v>89</v>
      </c>
      <c r="T69" s="47" t="s">
        <v>965</v>
      </c>
      <c r="U69" s="47"/>
      <c r="V69" s="47" t="s">
        <v>2978</v>
      </c>
      <c r="W69" s="47" t="s">
        <v>2979</v>
      </c>
      <c r="X69" s="47" t="s">
        <v>2980</v>
      </c>
      <c r="Y69" s="47" t="s">
        <v>2981</v>
      </c>
      <c r="Z69" s="47">
        <v>89711012</v>
      </c>
      <c r="AA69" s="47" t="s">
        <v>2982</v>
      </c>
      <c r="AB69" s="47" t="s">
        <v>2983</v>
      </c>
      <c r="AC69" s="47" t="s">
        <v>398</v>
      </c>
      <c r="AD69" s="47" t="s">
        <v>398</v>
      </c>
      <c r="AE69" s="47" t="s">
        <v>406</v>
      </c>
      <c r="AF69" s="47" t="s">
        <v>398</v>
      </c>
      <c r="AG69" s="47" t="s">
        <v>398</v>
      </c>
      <c r="AH69" s="47" t="s">
        <v>406</v>
      </c>
      <c r="AI69" s="47">
        <v>43</v>
      </c>
      <c r="AJ69" s="47">
        <v>43</v>
      </c>
      <c r="AK69" s="47">
        <v>43</v>
      </c>
      <c r="AL69" s="47">
        <v>43</v>
      </c>
      <c r="AM69" s="47" t="s">
        <v>406</v>
      </c>
      <c r="AN69" s="47">
        <v>58</v>
      </c>
    </row>
    <row r="70" ht="15.75" customHeight="1" spans="1:40">
      <c r="A70" s="6" t="s">
        <v>2576</v>
      </c>
      <c r="B70" s="45" t="s">
        <v>548</v>
      </c>
      <c r="C70" s="4" t="s">
        <v>957</v>
      </c>
      <c r="D70" s="12" t="s">
        <v>2984</v>
      </c>
      <c r="E70" s="29" t="s">
        <v>971</v>
      </c>
      <c r="F70" s="6" t="s">
        <v>2985</v>
      </c>
      <c r="G70" s="6">
        <v>5118876548</v>
      </c>
      <c r="H70" s="7" t="s">
        <v>939</v>
      </c>
      <c r="I70" s="7" t="s">
        <v>2986</v>
      </c>
      <c r="J70" s="7" t="s">
        <v>941</v>
      </c>
      <c r="K70" s="7" t="s">
        <v>942</v>
      </c>
      <c r="L70" s="7" t="s">
        <v>943</v>
      </c>
      <c r="M70" s="7" t="s">
        <v>2987</v>
      </c>
      <c r="N70" s="51">
        <v>37063</v>
      </c>
      <c r="O70" s="7" t="s">
        <v>945</v>
      </c>
      <c r="P70" s="7" t="s">
        <v>946</v>
      </c>
      <c r="Q70" s="7" t="s">
        <v>1245</v>
      </c>
      <c r="R70" s="7" t="s">
        <v>2988</v>
      </c>
      <c r="S70" s="59">
        <v>90</v>
      </c>
      <c r="T70" s="7" t="s">
        <v>1011</v>
      </c>
      <c r="U70" s="7" t="s">
        <v>2989</v>
      </c>
      <c r="V70" s="7" t="s">
        <v>2990</v>
      </c>
      <c r="W70" s="7" t="s">
        <v>2989</v>
      </c>
      <c r="X70" s="7" t="s">
        <v>2688</v>
      </c>
      <c r="Y70" s="7" t="s">
        <v>548</v>
      </c>
      <c r="Z70" s="7" t="s">
        <v>2689</v>
      </c>
      <c r="AA70" s="7" t="s">
        <v>2991</v>
      </c>
      <c r="AB70" s="7" t="s">
        <v>2640</v>
      </c>
      <c r="AC70" s="7" t="s">
        <v>398</v>
      </c>
      <c r="AD70" s="7" t="s">
        <v>406</v>
      </c>
      <c r="AE70" s="7" t="s">
        <v>398</v>
      </c>
      <c r="AF70" s="7" t="s">
        <v>398</v>
      </c>
      <c r="AG70" s="7" t="s">
        <v>406</v>
      </c>
      <c r="AH70" s="59">
        <v>42</v>
      </c>
      <c r="AI70" s="59">
        <v>42</v>
      </c>
      <c r="AJ70" s="59">
        <v>41</v>
      </c>
      <c r="AK70" s="59">
        <v>41</v>
      </c>
      <c r="AL70" s="7" t="s">
        <v>398</v>
      </c>
      <c r="AM70" s="7" t="s">
        <v>406</v>
      </c>
      <c r="AN70" s="7" t="s">
        <v>406</v>
      </c>
    </row>
    <row r="71" ht="15.75" customHeight="1" spans="1:40">
      <c r="A71" s="6" t="s">
        <v>2576</v>
      </c>
      <c r="B71" s="45" t="s">
        <v>546</v>
      </c>
      <c r="C71" s="4" t="s">
        <v>957</v>
      </c>
      <c r="D71" s="12" t="s">
        <v>2992</v>
      </c>
      <c r="E71" s="29" t="s">
        <v>971</v>
      </c>
      <c r="F71" s="46"/>
      <c r="G71" s="47"/>
      <c r="H71" s="47"/>
      <c r="I71" s="47"/>
      <c r="J71" s="47"/>
      <c r="K71" s="47"/>
      <c r="L71" s="47"/>
      <c r="M71" s="47"/>
      <c r="N71" s="52">
        <v>32243</v>
      </c>
      <c r="O71" s="46" t="s">
        <v>1028</v>
      </c>
      <c r="P71" s="47"/>
      <c r="Q71" s="47"/>
      <c r="R71" s="47"/>
      <c r="S71" s="47"/>
      <c r="T71" s="47"/>
      <c r="U71" s="47"/>
      <c r="V71" s="47"/>
      <c r="W71" s="47"/>
      <c r="X71" s="47"/>
      <c r="Y71" s="47"/>
      <c r="Z71" s="47"/>
      <c r="AA71" s="47"/>
      <c r="AB71" s="47"/>
      <c r="AC71" s="47"/>
      <c r="AD71" s="47"/>
      <c r="AE71" s="47"/>
      <c r="AF71" s="47"/>
      <c r="AG71" s="46" t="s">
        <v>406</v>
      </c>
      <c r="AH71" s="46">
        <v>39</v>
      </c>
      <c r="AI71" s="47"/>
      <c r="AJ71" s="47"/>
      <c r="AK71" s="47"/>
      <c r="AL71" s="46" t="s">
        <v>398</v>
      </c>
      <c r="AM71" s="46" t="s">
        <v>398</v>
      </c>
      <c r="AN71" s="46" t="s">
        <v>398</v>
      </c>
    </row>
    <row r="72" ht="15.75" customHeight="1" spans="1:40">
      <c r="A72" s="6" t="s">
        <v>2576</v>
      </c>
      <c r="B72" s="45" t="s">
        <v>2850</v>
      </c>
      <c r="C72" s="4" t="s">
        <v>655</v>
      </c>
      <c r="D72" s="10" t="s">
        <v>2993</v>
      </c>
      <c r="E72" s="29" t="s">
        <v>491</v>
      </c>
      <c r="F72" s="46" t="s">
        <v>2994</v>
      </c>
      <c r="G72" s="46">
        <v>1097279391</v>
      </c>
      <c r="H72" s="46" t="s">
        <v>2662</v>
      </c>
      <c r="I72" s="47"/>
      <c r="J72" s="7"/>
      <c r="K72" s="7"/>
      <c r="L72" s="7"/>
      <c r="M72" s="7"/>
      <c r="N72" s="54">
        <v>32415</v>
      </c>
      <c r="O72" s="6" t="s">
        <v>945</v>
      </c>
      <c r="P72" s="7"/>
      <c r="Q72" s="7"/>
      <c r="R72" s="7"/>
      <c r="S72" s="7"/>
      <c r="T72" s="7"/>
      <c r="U72" s="7"/>
      <c r="V72" s="7"/>
      <c r="W72" s="47"/>
      <c r="X72" s="47"/>
      <c r="Y72" s="46" t="s">
        <v>547</v>
      </c>
      <c r="Z72" s="47"/>
      <c r="AA72" s="7"/>
      <c r="AB72" s="7"/>
      <c r="AC72" s="7"/>
      <c r="AD72" s="7"/>
      <c r="AE72" s="7"/>
      <c r="AF72" s="7"/>
      <c r="AG72" s="6" t="s">
        <v>396</v>
      </c>
      <c r="AH72" s="6">
        <v>39</v>
      </c>
      <c r="AI72" s="7"/>
      <c r="AJ72" s="7"/>
      <c r="AK72" s="7"/>
      <c r="AL72" s="6" t="s">
        <v>406</v>
      </c>
      <c r="AM72" s="6" t="s">
        <v>406</v>
      </c>
      <c r="AN72" s="6" t="s">
        <v>406</v>
      </c>
    </row>
    <row r="73" ht="15.75" customHeight="1" spans="1:40">
      <c r="A73" s="6" t="s">
        <v>2576</v>
      </c>
      <c r="B73" s="45" t="s">
        <v>509</v>
      </c>
      <c r="C73" s="4" t="s">
        <v>957</v>
      </c>
      <c r="D73" s="10" t="s">
        <v>272</v>
      </c>
      <c r="E73" s="29" t="s">
        <v>491</v>
      </c>
      <c r="F73" s="46" t="s">
        <v>2995</v>
      </c>
      <c r="G73" s="46">
        <v>6130402099</v>
      </c>
      <c r="H73" s="47" t="s">
        <v>986</v>
      </c>
      <c r="I73" s="47" t="s">
        <v>2916</v>
      </c>
      <c r="J73" s="7" t="s">
        <v>942</v>
      </c>
      <c r="K73" s="7" t="s">
        <v>942</v>
      </c>
      <c r="L73" s="7" t="s">
        <v>943</v>
      </c>
      <c r="M73" s="7" t="s">
        <v>2996</v>
      </c>
      <c r="N73" s="55">
        <v>37195</v>
      </c>
      <c r="O73" s="7" t="s">
        <v>945</v>
      </c>
      <c r="P73" s="7" t="s">
        <v>946</v>
      </c>
      <c r="Q73" s="7" t="s">
        <v>963</v>
      </c>
      <c r="R73" s="7" t="s">
        <v>2997</v>
      </c>
      <c r="S73" s="59">
        <v>130</v>
      </c>
      <c r="T73" s="7" t="s">
        <v>950</v>
      </c>
      <c r="U73" s="7"/>
      <c r="V73" s="7" t="s">
        <v>2998</v>
      </c>
      <c r="W73" s="7" t="s">
        <v>2998</v>
      </c>
      <c r="X73" s="7" t="s">
        <v>953</v>
      </c>
      <c r="Y73" s="7" t="s">
        <v>509</v>
      </c>
      <c r="Z73" s="59">
        <v>99770000</v>
      </c>
      <c r="AA73" s="7" t="s">
        <v>2999</v>
      </c>
      <c r="AB73" s="7" t="s">
        <v>3000</v>
      </c>
      <c r="AC73" s="7" t="s">
        <v>399</v>
      </c>
      <c r="AD73" s="7" t="s">
        <v>399</v>
      </c>
      <c r="AE73" s="6" t="s">
        <v>399</v>
      </c>
      <c r="AF73" s="6" t="s">
        <v>399</v>
      </c>
      <c r="AG73" s="6" t="s">
        <v>399</v>
      </c>
      <c r="AH73" s="6">
        <v>44</v>
      </c>
      <c r="AI73" s="6">
        <v>44</v>
      </c>
      <c r="AJ73" s="59">
        <v>44</v>
      </c>
      <c r="AK73" s="59">
        <v>44</v>
      </c>
      <c r="AL73" s="7" t="s">
        <v>399</v>
      </c>
      <c r="AM73" s="7" t="s">
        <v>399</v>
      </c>
      <c r="AN73" s="7" t="s">
        <v>399</v>
      </c>
    </row>
    <row r="74" ht="15.75" customHeight="1" spans="1:40">
      <c r="A74" s="6" t="s">
        <v>2576</v>
      </c>
      <c r="B74" s="45" t="s">
        <v>2660</v>
      </c>
      <c r="C74" s="4" t="s">
        <v>655</v>
      </c>
      <c r="D74" s="10" t="s">
        <v>85</v>
      </c>
      <c r="E74" s="29" t="s">
        <v>971</v>
      </c>
      <c r="F74" s="46">
        <v>82831548004</v>
      </c>
      <c r="G74" s="46">
        <v>1061095681</v>
      </c>
      <c r="H74" s="46" t="s">
        <v>2662</v>
      </c>
      <c r="I74" s="47"/>
      <c r="J74" s="7"/>
      <c r="K74" s="7"/>
      <c r="L74" s="7"/>
      <c r="M74" s="7"/>
      <c r="N74" s="66">
        <v>29520</v>
      </c>
      <c r="O74" s="6" t="s">
        <v>945</v>
      </c>
      <c r="P74" s="7"/>
      <c r="Q74" s="7"/>
      <c r="R74" s="7"/>
      <c r="S74" s="7"/>
      <c r="T74" s="7"/>
      <c r="U74" s="7"/>
      <c r="V74" s="7"/>
      <c r="W74" s="47"/>
      <c r="X74" s="47"/>
      <c r="Y74" s="46" t="s">
        <v>535</v>
      </c>
      <c r="Z74" s="47"/>
      <c r="AA74" s="7"/>
      <c r="AB74" s="7"/>
      <c r="AC74" s="7"/>
      <c r="AD74" s="7"/>
      <c r="AE74" s="7"/>
      <c r="AF74" s="7"/>
      <c r="AG74" s="6" t="s">
        <v>406</v>
      </c>
      <c r="AH74" s="6">
        <v>41</v>
      </c>
      <c r="AI74" s="7"/>
      <c r="AJ74" s="7"/>
      <c r="AK74" s="7"/>
      <c r="AL74" s="6" t="s">
        <v>406</v>
      </c>
      <c r="AM74" s="6" t="s">
        <v>406</v>
      </c>
      <c r="AN74" s="6" t="s">
        <v>406</v>
      </c>
    </row>
    <row r="75" ht="15.75" customHeight="1" spans="1:40">
      <c r="A75" s="6" t="s">
        <v>2576</v>
      </c>
      <c r="B75" s="45" t="s">
        <v>552</v>
      </c>
      <c r="C75" s="4" t="s">
        <v>957</v>
      </c>
      <c r="D75" s="10" t="s">
        <v>273</v>
      </c>
      <c r="E75" s="29" t="s">
        <v>491</v>
      </c>
      <c r="F75" s="46" t="s">
        <v>3001</v>
      </c>
      <c r="G75" s="46">
        <v>4099150106</v>
      </c>
      <c r="H75" s="47" t="s">
        <v>2924</v>
      </c>
      <c r="I75" s="47" t="s">
        <v>3002</v>
      </c>
      <c r="J75" s="7" t="s">
        <v>941</v>
      </c>
      <c r="K75" s="7" t="s">
        <v>942</v>
      </c>
      <c r="L75" s="7" t="s">
        <v>975</v>
      </c>
      <c r="M75" s="7" t="s">
        <v>3003</v>
      </c>
      <c r="N75" s="51">
        <v>32218</v>
      </c>
      <c r="O75" s="7" t="s">
        <v>945</v>
      </c>
      <c r="P75" s="7" t="s">
        <v>946</v>
      </c>
      <c r="Q75" s="7" t="s">
        <v>1245</v>
      </c>
      <c r="R75" s="7" t="s">
        <v>3004</v>
      </c>
      <c r="S75" s="59">
        <v>97</v>
      </c>
      <c r="T75" s="7" t="s">
        <v>965</v>
      </c>
      <c r="U75" s="7"/>
      <c r="V75" s="7" t="s">
        <v>3005</v>
      </c>
      <c r="W75" s="7" t="s">
        <v>3006</v>
      </c>
      <c r="X75" s="7" t="s">
        <v>953</v>
      </c>
      <c r="Y75" s="7" t="s">
        <v>552</v>
      </c>
      <c r="Z75" s="7" t="s">
        <v>2658</v>
      </c>
      <c r="AA75" s="7" t="s">
        <v>3007</v>
      </c>
      <c r="AB75" s="7" t="s">
        <v>1086</v>
      </c>
      <c r="AC75" s="7" t="s">
        <v>398</v>
      </c>
      <c r="AD75" s="7" t="s">
        <v>398</v>
      </c>
      <c r="AE75" s="6" t="s">
        <v>398</v>
      </c>
      <c r="AF75" s="6" t="s">
        <v>398</v>
      </c>
      <c r="AG75" s="6" t="s">
        <v>398</v>
      </c>
      <c r="AH75" s="6">
        <v>41</v>
      </c>
      <c r="AI75" s="6">
        <v>41</v>
      </c>
      <c r="AJ75" s="59">
        <v>41</v>
      </c>
      <c r="AK75" s="59">
        <v>41</v>
      </c>
      <c r="AL75" s="7" t="s">
        <v>398</v>
      </c>
      <c r="AM75" s="7" t="s">
        <v>398</v>
      </c>
      <c r="AN75" s="7" t="s">
        <v>406</v>
      </c>
    </row>
    <row r="76" spans="1:40">
      <c r="A76" s="6" t="s">
        <v>2576</v>
      </c>
      <c r="B76" s="45" t="s">
        <v>556</v>
      </c>
      <c r="C76" s="4" t="s">
        <v>957</v>
      </c>
      <c r="D76" s="12" t="s">
        <v>3008</v>
      </c>
      <c r="E76" s="29" t="s">
        <v>971</v>
      </c>
      <c r="F76" s="46" t="s">
        <v>3009</v>
      </c>
      <c r="G76" s="47"/>
      <c r="H76" s="47"/>
      <c r="I76" s="47"/>
      <c r="J76" s="7"/>
      <c r="K76" s="7"/>
      <c r="L76" s="7"/>
      <c r="M76" s="7"/>
      <c r="N76" s="15"/>
      <c r="O76" s="7"/>
      <c r="P76" s="7"/>
      <c r="Q76" s="7"/>
      <c r="R76" s="7" t="s">
        <v>3010</v>
      </c>
      <c r="S76" s="7"/>
      <c r="T76" s="7"/>
      <c r="U76" s="7"/>
      <c r="V76" s="7"/>
      <c r="W76" s="7"/>
      <c r="X76" s="7"/>
      <c r="Y76" s="7"/>
      <c r="Z76" s="7"/>
      <c r="AA76" s="7"/>
      <c r="AB76" s="7"/>
      <c r="AC76" s="7"/>
      <c r="AD76" s="7"/>
      <c r="AE76" s="7"/>
      <c r="AF76" s="7"/>
      <c r="AG76" s="6" t="s">
        <v>406</v>
      </c>
      <c r="AH76" s="6">
        <v>42</v>
      </c>
      <c r="AI76" s="7"/>
      <c r="AJ76" s="7"/>
      <c r="AK76" s="7"/>
      <c r="AL76" s="7" t="s">
        <v>406</v>
      </c>
      <c r="AM76" s="7" t="s">
        <v>406</v>
      </c>
      <c r="AN76" s="7" t="s">
        <v>406</v>
      </c>
    </row>
    <row r="77" ht="15.75" customHeight="1" spans="1:40">
      <c r="A77" s="6"/>
      <c r="B77" s="45"/>
      <c r="C77" s="4"/>
      <c r="D77" s="12" t="s">
        <v>274</v>
      </c>
      <c r="E77" s="29" t="s">
        <v>491</v>
      </c>
      <c r="F77" s="46" t="s">
        <v>3011</v>
      </c>
      <c r="G77" s="46"/>
      <c r="H77" s="46"/>
      <c r="I77" s="47"/>
      <c r="J77" s="47"/>
      <c r="K77" s="47"/>
      <c r="L77" s="46"/>
      <c r="M77" s="46"/>
      <c r="N77" s="52"/>
      <c r="O77" s="46"/>
      <c r="P77" s="46"/>
      <c r="Q77" s="46"/>
      <c r="R77" s="60"/>
      <c r="S77" s="46"/>
      <c r="T77" s="46"/>
      <c r="U77" s="46"/>
      <c r="V77" s="47"/>
      <c r="W77" s="47"/>
      <c r="X77" s="46"/>
      <c r="Y77" s="46"/>
      <c r="Z77" s="46"/>
      <c r="AA77" s="46"/>
      <c r="AB77" s="46"/>
      <c r="AC77" s="46"/>
      <c r="AD77" s="46"/>
      <c r="AE77" s="46"/>
      <c r="AF77" s="46"/>
      <c r="AG77" s="46"/>
      <c r="AH77" s="46"/>
      <c r="AI77" s="46"/>
      <c r="AJ77" s="46"/>
      <c r="AK77" s="46"/>
      <c r="AL77" s="46"/>
      <c r="AM77" s="46"/>
      <c r="AN77" s="46"/>
    </row>
    <row r="78" ht="15.75" customHeight="1" spans="1:40">
      <c r="A78" s="6" t="s">
        <v>2576</v>
      </c>
      <c r="B78" s="45" t="s">
        <v>523</v>
      </c>
      <c r="C78" s="4" t="s">
        <v>957</v>
      </c>
      <c r="D78" s="12" t="s">
        <v>3012</v>
      </c>
      <c r="E78" s="29" t="s">
        <v>971</v>
      </c>
      <c r="F78" s="46" t="s">
        <v>3013</v>
      </c>
      <c r="G78" s="46">
        <v>4099649181</v>
      </c>
      <c r="H78" s="47" t="s">
        <v>939</v>
      </c>
      <c r="I78" s="47" t="s">
        <v>3014</v>
      </c>
      <c r="J78" s="47" t="s">
        <v>941</v>
      </c>
      <c r="K78" s="47" t="s">
        <v>941</v>
      </c>
      <c r="L78" s="47" t="s">
        <v>975</v>
      </c>
      <c r="M78" s="47" t="s">
        <v>3015</v>
      </c>
      <c r="N78" s="58">
        <v>34619</v>
      </c>
      <c r="O78" s="47" t="s">
        <v>396</v>
      </c>
      <c r="P78" s="47" t="s">
        <v>2927</v>
      </c>
      <c r="Q78" s="47" t="s">
        <v>3016</v>
      </c>
      <c r="R78" s="47" t="s">
        <v>3017</v>
      </c>
      <c r="S78" s="47">
        <v>75</v>
      </c>
      <c r="T78" s="47" t="s">
        <v>1011</v>
      </c>
      <c r="U78" s="47"/>
      <c r="V78" s="47" t="s">
        <v>3018</v>
      </c>
      <c r="W78" s="47" t="s">
        <v>3019</v>
      </c>
      <c r="X78" s="47" t="s">
        <v>953</v>
      </c>
      <c r="Y78" s="47" t="s">
        <v>3020</v>
      </c>
      <c r="Z78" s="47" t="s">
        <v>3021</v>
      </c>
      <c r="AA78" s="47" t="s">
        <v>3022</v>
      </c>
      <c r="AB78" s="47" t="s">
        <v>3023</v>
      </c>
      <c r="AC78" s="47" t="s">
        <v>406</v>
      </c>
      <c r="AD78" s="47" t="s">
        <v>406</v>
      </c>
      <c r="AE78" s="47" t="s">
        <v>406</v>
      </c>
      <c r="AF78" s="47" t="s">
        <v>406</v>
      </c>
      <c r="AG78" s="47" t="s">
        <v>406</v>
      </c>
      <c r="AH78" s="47" t="s">
        <v>406</v>
      </c>
      <c r="AI78" s="47">
        <v>41</v>
      </c>
      <c r="AJ78" s="47">
        <v>41</v>
      </c>
      <c r="AK78" s="47">
        <v>41</v>
      </c>
      <c r="AL78" s="47">
        <v>41</v>
      </c>
      <c r="AM78" s="47" t="s">
        <v>406</v>
      </c>
      <c r="AN78" s="47">
        <v>56</v>
      </c>
    </row>
    <row r="79" ht="15.75" customHeight="1" spans="1:40">
      <c r="A79" s="6" t="s">
        <v>2576</v>
      </c>
      <c r="B79" s="45" t="s">
        <v>520</v>
      </c>
      <c r="C79" s="4" t="s">
        <v>957</v>
      </c>
      <c r="D79" s="12" t="s">
        <v>3024</v>
      </c>
      <c r="E79" s="29" t="s">
        <v>971</v>
      </c>
      <c r="F79" s="46" t="s">
        <v>3025</v>
      </c>
      <c r="G79" s="46">
        <v>3077927501</v>
      </c>
      <c r="H79" s="47" t="s">
        <v>2611</v>
      </c>
      <c r="I79" s="4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row>
    <row r="80" ht="15.75" customHeight="1" spans="1:40">
      <c r="A80" s="6" t="s">
        <v>2576</v>
      </c>
      <c r="B80" s="45" t="s">
        <v>534</v>
      </c>
      <c r="C80" s="4" t="s">
        <v>957</v>
      </c>
      <c r="D80" s="12" t="s">
        <v>87</v>
      </c>
      <c r="E80" s="29" t="s">
        <v>971</v>
      </c>
      <c r="F80" s="46"/>
      <c r="G80" s="47"/>
      <c r="H80" s="47"/>
      <c r="I80" s="47"/>
      <c r="J80" s="47"/>
      <c r="K80" s="47"/>
      <c r="L80" s="47"/>
      <c r="M80" s="47"/>
      <c r="N80" s="52">
        <v>32325</v>
      </c>
      <c r="O80" s="46" t="s">
        <v>945</v>
      </c>
      <c r="P80" s="47"/>
      <c r="Q80" s="47"/>
      <c r="R80" s="47"/>
      <c r="S80" s="47"/>
      <c r="T80" s="47"/>
      <c r="U80" s="47"/>
      <c r="V80" s="47"/>
      <c r="W80" s="47"/>
      <c r="X80" s="47"/>
      <c r="Y80" s="46" t="s">
        <v>534</v>
      </c>
      <c r="Z80" s="47"/>
      <c r="AA80" s="47"/>
      <c r="AB80" s="47"/>
      <c r="AC80" s="47"/>
      <c r="AD80" s="47"/>
      <c r="AE80" s="47"/>
      <c r="AF80" s="47"/>
      <c r="AG80" s="46" t="s">
        <v>406</v>
      </c>
      <c r="AH80" s="46">
        <v>41</v>
      </c>
      <c r="AI80" s="47"/>
      <c r="AJ80" s="47"/>
      <c r="AK80" s="47"/>
      <c r="AL80" s="46" t="s">
        <v>406</v>
      </c>
      <c r="AM80" s="46" t="s">
        <v>406</v>
      </c>
      <c r="AN80" s="46" t="s">
        <v>406</v>
      </c>
    </row>
    <row r="81" ht="15.75" customHeight="1" spans="1:40">
      <c r="A81" s="6"/>
      <c r="B81" s="45"/>
      <c r="C81" s="4"/>
      <c r="D81" s="12" t="s">
        <v>275</v>
      </c>
      <c r="E81" s="29" t="s">
        <v>491</v>
      </c>
      <c r="F81" s="46" t="s">
        <v>3026</v>
      </c>
      <c r="G81" s="46"/>
      <c r="H81" s="46"/>
      <c r="I81" s="47"/>
      <c r="J81" s="47"/>
      <c r="K81" s="47"/>
      <c r="L81" s="46"/>
      <c r="M81" s="46"/>
      <c r="N81" s="52"/>
      <c r="O81" s="46"/>
      <c r="P81" s="46"/>
      <c r="Q81" s="46"/>
      <c r="R81" s="60"/>
      <c r="S81" s="46"/>
      <c r="T81" s="46"/>
      <c r="U81" s="46"/>
      <c r="V81" s="47"/>
      <c r="W81" s="47"/>
      <c r="X81" s="46"/>
      <c r="Y81" s="46"/>
      <c r="Z81" s="46"/>
      <c r="AA81" s="46"/>
      <c r="AB81" s="46"/>
      <c r="AC81" s="46"/>
      <c r="AD81" s="46"/>
      <c r="AE81" s="46"/>
      <c r="AF81" s="46"/>
      <c r="AG81" s="46"/>
      <c r="AH81" s="46"/>
      <c r="AI81" s="46"/>
      <c r="AJ81" s="46"/>
      <c r="AK81" s="46"/>
      <c r="AL81" s="46"/>
      <c r="AM81" s="46"/>
      <c r="AN81" s="46"/>
    </row>
    <row r="82" ht="15.75" customHeight="1" spans="1:40">
      <c r="A82" s="6" t="s">
        <v>2576</v>
      </c>
      <c r="B82" s="45" t="s">
        <v>548</v>
      </c>
      <c r="C82" s="4" t="s">
        <v>957</v>
      </c>
      <c r="D82" s="12" t="s">
        <v>3027</v>
      </c>
      <c r="E82" s="29" t="s">
        <v>491</v>
      </c>
      <c r="F82" s="6" t="s">
        <v>3028</v>
      </c>
      <c r="G82" s="29">
        <v>3084303324</v>
      </c>
      <c r="H82" s="7" t="s">
        <v>3029</v>
      </c>
      <c r="I82" s="7" t="s">
        <v>3030</v>
      </c>
      <c r="J82" s="7" t="s">
        <v>941</v>
      </c>
      <c r="K82" s="7" t="s">
        <v>942</v>
      </c>
      <c r="L82" s="7" t="s">
        <v>943</v>
      </c>
      <c r="M82" s="7" t="s">
        <v>3031</v>
      </c>
      <c r="N82" s="51">
        <v>30438</v>
      </c>
      <c r="O82" s="7" t="s">
        <v>945</v>
      </c>
      <c r="P82" s="7" t="s">
        <v>946</v>
      </c>
      <c r="Q82" s="7" t="s">
        <v>963</v>
      </c>
      <c r="R82" s="7" t="s">
        <v>3032</v>
      </c>
      <c r="S82" s="59">
        <v>85</v>
      </c>
      <c r="T82" s="7" t="s">
        <v>1011</v>
      </c>
      <c r="U82" s="7" t="s">
        <v>3033</v>
      </c>
      <c r="V82" s="7" t="s">
        <v>3034</v>
      </c>
      <c r="W82" s="7" t="s">
        <v>3035</v>
      </c>
      <c r="X82" s="7" t="s">
        <v>2688</v>
      </c>
      <c r="Y82" s="7" t="s">
        <v>548</v>
      </c>
      <c r="Z82" s="7" t="s">
        <v>2689</v>
      </c>
      <c r="AA82" s="7" t="s">
        <v>3036</v>
      </c>
      <c r="AB82" s="7" t="s">
        <v>1086</v>
      </c>
      <c r="AC82" s="7" t="s">
        <v>406</v>
      </c>
      <c r="AD82" s="7" t="s">
        <v>396</v>
      </c>
      <c r="AE82" s="7" t="s">
        <v>396</v>
      </c>
      <c r="AF82" s="7" t="s">
        <v>406</v>
      </c>
      <c r="AG82" s="7" t="s">
        <v>406</v>
      </c>
      <c r="AH82" s="59">
        <v>40</v>
      </c>
      <c r="AI82" s="59">
        <v>40</v>
      </c>
      <c r="AJ82" s="59">
        <v>40</v>
      </c>
      <c r="AK82" s="59">
        <v>42</v>
      </c>
      <c r="AL82" s="7" t="s">
        <v>406</v>
      </c>
      <c r="AM82" s="7" t="s">
        <v>396</v>
      </c>
      <c r="AN82" s="7" t="s">
        <v>406</v>
      </c>
    </row>
    <row r="83" ht="15.75" customHeight="1" spans="1:40">
      <c r="A83" s="6" t="s">
        <v>2576</v>
      </c>
      <c r="B83" s="45" t="s">
        <v>548</v>
      </c>
      <c r="C83" s="4" t="s">
        <v>957</v>
      </c>
      <c r="D83" s="12" t="s">
        <v>3037</v>
      </c>
      <c r="E83" s="29" t="s">
        <v>971</v>
      </c>
      <c r="F83" s="6" t="s">
        <v>3038</v>
      </c>
      <c r="G83" s="6">
        <v>9064704092</v>
      </c>
      <c r="H83" s="7" t="s">
        <v>939</v>
      </c>
      <c r="I83" s="7" t="s">
        <v>3039</v>
      </c>
      <c r="J83" s="7" t="s">
        <v>941</v>
      </c>
      <c r="K83" s="7" t="s">
        <v>941</v>
      </c>
      <c r="L83" s="7" t="s">
        <v>943</v>
      </c>
      <c r="M83" s="7" t="s">
        <v>2191</v>
      </c>
      <c r="N83" s="51">
        <v>29749</v>
      </c>
      <c r="O83" s="7" t="s">
        <v>945</v>
      </c>
      <c r="P83" s="7" t="s">
        <v>946</v>
      </c>
      <c r="Q83" s="7" t="s">
        <v>1227</v>
      </c>
      <c r="R83" s="7" t="s">
        <v>3040</v>
      </c>
      <c r="S83" s="59">
        <v>85</v>
      </c>
      <c r="T83" s="7" t="s">
        <v>1011</v>
      </c>
      <c r="U83" s="7" t="s">
        <v>3041</v>
      </c>
      <c r="V83" s="7" t="s">
        <v>3042</v>
      </c>
      <c r="W83" s="7" t="s">
        <v>3043</v>
      </c>
      <c r="X83" s="7" t="s">
        <v>2688</v>
      </c>
      <c r="Y83" s="7" t="s">
        <v>3020</v>
      </c>
      <c r="Z83" s="7" t="s">
        <v>3044</v>
      </c>
      <c r="AA83" s="7" t="s">
        <v>3045</v>
      </c>
      <c r="AB83" s="7" t="s">
        <v>3046</v>
      </c>
      <c r="AC83" s="7" t="s">
        <v>406</v>
      </c>
      <c r="AD83" s="7" t="s">
        <v>406</v>
      </c>
      <c r="AE83" s="7" t="s">
        <v>406</v>
      </c>
      <c r="AF83" s="7" t="s">
        <v>406</v>
      </c>
      <c r="AG83" s="7" t="s">
        <v>406</v>
      </c>
      <c r="AH83" s="59">
        <v>40</v>
      </c>
      <c r="AI83" s="59">
        <v>40</v>
      </c>
      <c r="AJ83" s="59">
        <v>40</v>
      </c>
      <c r="AK83" s="59">
        <v>41</v>
      </c>
      <c r="AL83" s="7" t="s">
        <v>406</v>
      </c>
      <c r="AM83" s="7" t="s">
        <v>406</v>
      </c>
      <c r="AN83" s="7" t="s">
        <v>406</v>
      </c>
    </row>
    <row r="84" ht="15.75" customHeight="1" spans="1:40">
      <c r="A84" s="39"/>
      <c r="B84" s="49"/>
      <c r="C84" s="4"/>
      <c r="D84" s="35" t="s">
        <v>3047</v>
      </c>
      <c r="E84" s="39" t="s">
        <v>491</v>
      </c>
      <c r="F84" s="39" t="s">
        <v>3048</v>
      </c>
      <c r="G84" s="39"/>
      <c r="H84" s="39"/>
      <c r="I84" s="39"/>
      <c r="J84" s="6"/>
      <c r="K84" s="6"/>
      <c r="L84" s="6"/>
      <c r="M84" s="6"/>
      <c r="N84" s="6"/>
      <c r="O84" s="6"/>
      <c r="P84" s="6"/>
      <c r="Q84" s="6"/>
      <c r="R84" s="6"/>
      <c r="S84" s="6"/>
      <c r="T84" s="6"/>
      <c r="U84" s="6"/>
      <c r="V84" s="6"/>
      <c r="W84" s="39"/>
      <c r="X84" s="39"/>
      <c r="Y84" s="39"/>
      <c r="Z84" s="39"/>
      <c r="AA84" s="6"/>
      <c r="AB84" s="6"/>
      <c r="AC84" s="6"/>
      <c r="AD84" s="6"/>
      <c r="AE84" s="6"/>
      <c r="AF84" s="6"/>
      <c r="AG84" s="6"/>
      <c r="AH84" s="6"/>
      <c r="AI84" s="6"/>
      <c r="AJ84" s="6"/>
      <c r="AK84" s="6"/>
      <c r="AL84" s="6"/>
      <c r="AM84" s="6"/>
      <c r="AN84" s="6"/>
    </row>
    <row r="85" ht="15.75" customHeight="1" spans="1:40">
      <c r="A85" s="6" t="s">
        <v>2576</v>
      </c>
      <c r="B85" s="45" t="s">
        <v>509</v>
      </c>
      <c r="C85" s="4" t="s">
        <v>957</v>
      </c>
      <c r="D85" s="10" t="s">
        <v>3049</v>
      </c>
      <c r="E85" s="29" t="s">
        <v>971</v>
      </c>
      <c r="F85" s="46" t="s">
        <v>3050</v>
      </c>
      <c r="G85" s="46">
        <v>6089026675</v>
      </c>
      <c r="H85" s="47" t="s">
        <v>986</v>
      </c>
      <c r="I85" s="47" t="s">
        <v>2916</v>
      </c>
      <c r="J85" s="7" t="s">
        <v>942</v>
      </c>
      <c r="K85" s="7" t="s">
        <v>942</v>
      </c>
      <c r="L85" s="7" t="s">
        <v>1068</v>
      </c>
      <c r="M85" s="7" t="s">
        <v>3051</v>
      </c>
      <c r="N85" s="51">
        <v>32547</v>
      </c>
      <c r="O85" s="7" t="s">
        <v>945</v>
      </c>
      <c r="P85" s="7" t="s">
        <v>946</v>
      </c>
      <c r="Q85" s="7" t="s">
        <v>1245</v>
      </c>
      <c r="R85" s="7" t="s">
        <v>3052</v>
      </c>
      <c r="S85" s="59">
        <v>107</v>
      </c>
      <c r="T85" s="7" t="s">
        <v>950</v>
      </c>
      <c r="U85" s="7"/>
      <c r="V85" s="7" t="s">
        <v>3053</v>
      </c>
      <c r="W85" s="7" t="s">
        <v>3053</v>
      </c>
      <c r="X85" s="7" t="s">
        <v>953</v>
      </c>
      <c r="Y85" s="7" t="s">
        <v>509</v>
      </c>
      <c r="Z85" s="59">
        <v>99770000</v>
      </c>
      <c r="AA85" s="7" t="s">
        <v>3054</v>
      </c>
      <c r="AB85" s="7" t="s">
        <v>3055</v>
      </c>
      <c r="AC85" s="7" t="s">
        <v>398</v>
      </c>
      <c r="AD85" s="7" t="s">
        <v>398</v>
      </c>
      <c r="AE85" s="6" t="s">
        <v>398</v>
      </c>
      <c r="AF85" s="6" t="s">
        <v>398</v>
      </c>
      <c r="AG85" s="6" t="s">
        <v>398</v>
      </c>
      <c r="AH85" s="6">
        <v>44</v>
      </c>
      <c r="AI85" s="6">
        <v>44</v>
      </c>
      <c r="AJ85" s="59">
        <v>44</v>
      </c>
      <c r="AK85" s="59">
        <v>44</v>
      </c>
      <c r="AL85" s="7" t="s">
        <v>398</v>
      </c>
      <c r="AM85" s="7" t="s">
        <v>398</v>
      </c>
      <c r="AN85" s="7" t="s">
        <v>398</v>
      </c>
    </row>
    <row r="86" ht="15.75" customHeight="1" spans="1:40">
      <c r="A86" s="6" t="s">
        <v>2576</v>
      </c>
      <c r="B86" s="45" t="s">
        <v>523</v>
      </c>
      <c r="C86" s="4" t="s">
        <v>957</v>
      </c>
      <c r="D86" s="12" t="s">
        <v>3056</v>
      </c>
      <c r="E86" s="29" t="s">
        <v>971</v>
      </c>
      <c r="F86" s="46" t="s">
        <v>3038</v>
      </c>
      <c r="G86" s="46">
        <v>9064704092</v>
      </c>
      <c r="H86" s="47" t="s">
        <v>2665</v>
      </c>
      <c r="I86" s="47" t="s">
        <v>3057</v>
      </c>
      <c r="J86" s="47"/>
      <c r="K86" s="47"/>
      <c r="L86" s="47"/>
      <c r="M86" s="47"/>
      <c r="N86" s="53"/>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row>
    <row r="87" ht="15.75" customHeight="1" spans="1:40">
      <c r="A87" s="6" t="s">
        <v>2576</v>
      </c>
      <c r="B87" s="45" t="s">
        <v>576</v>
      </c>
      <c r="C87" s="4" t="s">
        <v>957</v>
      </c>
      <c r="D87" s="12" t="s">
        <v>3058</v>
      </c>
      <c r="E87" s="29" t="s">
        <v>491</v>
      </c>
      <c r="F87" s="46" t="s">
        <v>3059</v>
      </c>
      <c r="G87" s="46">
        <v>112832624</v>
      </c>
      <c r="H87" s="47" t="s">
        <v>2583</v>
      </c>
      <c r="I87" s="47" t="s">
        <v>2584</v>
      </c>
      <c r="J87" s="7" t="s">
        <v>942</v>
      </c>
      <c r="K87" s="7" t="s">
        <v>942</v>
      </c>
      <c r="L87" s="7" t="s">
        <v>1080</v>
      </c>
      <c r="M87" s="7" t="s">
        <v>3060</v>
      </c>
      <c r="N87" s="51">
        <v>38631</v>
      </c>
      <c r="O87" s="7" t="s">
        <v>1028</v>
      </c>
      <c r="P87" s="7" t="s">
        <v>946</v>
      </c>
      <c r="Q87" s="7" t="s">
        <v>963</v>
      </c>
      <c r="R87" s="7" t="s">
        <v>3061</v>
      </c>
      <c r="S87" s="59">
        <v>70</v>
      </c>
      <c r="T87" s="7" t="s">
        <v>1044</v>
      </c>
      <c r="U87" s="7"/>
      <c r="V87" s="7" t="s">
        <v>3062</v>
      </c>
      <c r="W87" s="7" t="s">
        <v>3063</v>
      </c>
      <c r="X87" s="7" t="s">
        <v>953</v>
      </c>
      <c r="Y87" s="7" t="s">
        <v>576</v>
      </c>
      <c r="Z87" s="7" t="s">
        <v>2589</v>
      </c>
      <c r="AA87" s="7" t="s">
        <v>3064</v>
      </c>
      <c r="AB87" s="7" t="s">
        <v>2736</v>
      </c>
      <c r="AC87" s="6" t="s">
        <v>406</v>
      </c>
      <c r="AD87" s="6" t="s">
        <v>396</v>
      </c>
      <c r="AE87" s="6" t="s">
        <v>396</v>
      </c>
      <c r="AF87" s="6" t="s">
        <v>396</v>
      </c>
      <c r="AG87" s="6" t="s">
        <v>396</v>
      </c>
      <c r="AH87" s="6">
        <v>39</v>
      </c>
      <c r="AI87" s="6">
        <v>39</v>
      </c>
      <c r="AJ87" s="59">
        <v>39</v>
      </c>
      <c r="AK87" s="59">
        <v>39</v>
      </c>
      <c r="AL87" s="6" t="s">
        <v>396</v>
      </c>
      <c r="AM87" s="6" t="s">
        <v>396</v>
      </c>
      <c r="AN87" s="6" t="s">
        <v>396</v>
      </c>
    </row>
    <row r="88" ht="15.75" customHeight="1" spans="1:40">
      <c r="A88" s="6" t="s">
        <v>2576</v>
      </c>
      <c r="B88" s="45" t="s">
        <v>552</v>
      </c>
      <c r="C88" s="4" t="s">
        <v>957</v>
      </c>
      <c r="D88" s="12" t="s">
        <v>3065</v>
      </c>
      <c r="E88" s="29" t="s">
        <v>971</v>
      </c>
      <c r="F88" s="46" t="s">
        <v>3066</v>
      </c>
      <c r="G88" s="46">
        <v>9076538363</v>
      </c>
      <c r="H88" s="47" t="s">
        <v>2652</v>
      </c>
      <c r="I88" s="47" t="s">
        <v>3067</v>
      </c>
      <c r="J88" s="7" t="s">
        <v>941</v>
      </c>
      <c r="K88" s="7" t="s">
        <v>942</v>
      </c>
      <c r="L88" s="7" t="s">
        <v>975</v>
      </c>
      <c r="M88" s="7" t="s">
        <v>3068</v>
      </c>
      <c r="N88" s="51">
        <v>31122</v>
      </c>
      <c r="O88" s="7" t="s">
        <v>945</v>
      </c>
      <c r="P88" s="7" t="s">
        <v>946</v>
      </c>
      <c r="Q88" s="7" t="s">
        <v>963</v>
      </c>
      <c r="R88" s="7"/>
      <c r="S88" s="59">
        <v>110</v>
      </c>
      <c r="T88" s="7" t="s">
        <v>1154</v>
      </c>
      <c r="U88" s="7"/>
      <c r="V88" s="7" t="s">
        <v>3069</v>
      </c>
      <c r="W88" s="7"/>
      <c r="X88" s="7" t="s">
        <v>953</v>
      </c>
      <c r="Y88" s="7" t="s">
        <v>552</v>
      </c>
      <c r="Z88" s="7" t="s">
        <v>2658</v>
      </c>
      <c r="AA88" s="7" t="s">
        <v>3070</v>
      </c>
      <c r="AB88" s="7" t="s">
        <v>1086</v>
      </c>
      <c r="AC88" s="7" t="s">
        <v>398</v>
      </c>
      <c r="AD88" s="7" t="s">
        <v>398</v>
      </c>
      <c r="AE88" s="6" t="s">
        <v>398</v>
      </c>
      <c r="AF88" s="6" t="s">
        <v>398</v>
      </c>
      <c r="AG88" s="6" t="s">
        <v>398</v>
      </c>
      <c r="AH88" s="6">
        <v>43</v>
      </c>
      <c r="AI88" s="6">
        <v>43</v>
      </c>
      <c r="AJ88" s="59">
        <v>43</v>
      </c>
      <c r="AK88" s="59">
        <v>43</v>
      </c>
      <c r="AL88" s="7" t="s">
        <v>398</v>
      </c>
      <c r="AM88" s="7" t="s">
        <v>398</v>
      </c>
      <c r="AN88" s="7" t="s">
        <v>406</v>
      </c>
    </row>
    <row r="89" ht="15.75" customHeight="1" spans="1:40">
      <c r="A89" s="6" t="s">
        <v>2576</v>
      </c>
      <c r="B89" s="45" t="s">
        <v>548</v>
      </c>
      <c r="C89" s="4" t="s">
        <v>957</v>
      </c>
      <c r="D89" s="12" t="s">
        <v>3071</v>
      </c>
      <c r="E89" s="29" t="s">
        <v>971</v>
      </c>
      <c r="F89" s="6">
        <v>42845467087</v>
      </c>
      <c r="G89" s="6">
        <v>1033745256</v>
      </c>
      <c r="H89" s="7" t="s">
        <v>3072</v>
      </c>
      <c r="I89" s="7" t="s">
        <v>3073</v>
      </c>
      <c r="J89" s="7" t="s">
        <v>941</v>
      </c>
      <c r="K89" s="7" t="s">
        <v>942</v>
      </c>
      <c r="L89" s="7" t="s">
        <v>975</v>
      </c>
      <c r="M89" s="7" t="s">
        <v>3074</v>
      </c>
      <c r="N89" s="51">
        <v>24179</v>
      </c>
      <c r="O89" s="7" t="s">
        <v>945</v>
      </c>
      <c r="P89" s="7" t="s">
        <v>946</v>
      </c>
      <c r="Q89" s="7" t="s">
        <v>963</v>
      </c>
      <c r="R89" s="7" t="s">
        <v>3075</v>
      </c>
      <c r="S89" s="59">
        <v>85</v>
      </c>
      <c r="T89" s="7" t="s">
        <v>965</v>
      </c>
      <c r="U89" s="7" t="s">
        <v>3076</v>
      </c>
      <c r="V89" s="7" t="s">
        <v>3077</v>
      </c>
      <c r="W89" s="7" t="s">
        <v>3076</v>
      </c>
      <c r="X89" s="7" t="s">
        <v>2688</v>
      </c>
      <c r="Y89" s="7" t="s">
        <v>548</v>
      </c>
      <c r="Z89" s="7" t="s">
        <v>2689</v>
      </c>
      <c r="AA89" s="7" t="s">
        <v>3078</v>
      </c>
      <c r="AB89" s="7" t="s">
        <v>1086</v>
      </c>
      <c r="AC89" s="7" t="s">
        <v>406</v>
      </c>
      <c r="AD89" s="7" t="s">
        <v>406</v>
      </c>
      <c r="AE89" s="7" t="s">
        <v>406</v>
      </c>
      <c r="AF89" s="7" t="s">
        <v>406</v>
      </c>
      <c r="AG89" s="7" t="s">
        <v>406</v>
      </c>
      <c r="AH89" s="59">
        <v>43</v>
      </c>
      <c r="AI89" s="59">
        <v>43</v>
      </c>
      <c r="AJ89" s="59">
        <v>43</v>
      </c>
      <c r="AK89" s="59">
        <v>44</v>
      </c>
      <c r="AL89" s="7" t="s">
        <v>406</v>
      </c>
      <c r="AM89" s="7" t="s">
        <v>406</v>
      </c>
      <c r="AN89" s="7" t="s">
        <v>406</v>
      </c>
    </row>
    <row r="90" ht="15.75" customHeight="1" spans="1:40">
      <c r="A90" s="6" t="s">
        <v>2576</v>
      </c>
      <c r="B90" s="45" t="s">
        <v>546</v>
      </c>
      <c r="C90" s="4" t="s">
        <v>957</v>
      </c>
      <c r="D90" s="12" t="s">
        <v>3079</v>
      </c>
      <c r="E90" s="29" t="s">
        <v>971</v>
      </c>
      <c r="F90" s="46"/>
      <c r="G90" s="47"/>
      <c r="H90" s="47"/>
      <c r="I90" s="47"/>
      <c r="J90" s="47"/>
      <c r="K90" s="47"/>
      <c r="L90" s="47"/>
      <c r="M90" s="47"/>
      <c r="N90" s="52">
        <v>32679</v>
      </c>
      <c r="O90" s="46" t="s">
        <v>945</v>
      </c>
      <c r="P90" s="47"/>
      <c r="Q90" s="47"/>
      <c r="R90" s="47"/>
      <c r="S90" s="47"/>
      <c r="T90" s="47"/>
      <c r="U90" s="47"/>
      <c r="V90" s="47"/>
      <c r="W90" s="47"/>
      <c r="X90" s="47"/>
      <c r="Y90" s="47"/>
      <c r="Z90" s="47"/>
      <c r="AA90" s="47"/>
      <c r="AB90" s="47"/>
      <c r="AC90" s="47"/>
      <c r="AD90" s="47"/>
      <c r="AE90" s="47"/>
      <c r="AF90" s="47"/>
      <c r="AG90" s="46" t="s">
        <v>396</v>
      </c>
      <c r="AH90" s="46">
        <v>40</v>
      </c>
      <c r="AI90" s="47"/>
      <c r="AJ90" s="47"/>
      <c r="AK90" s="47"/>
      <c r="AL90" s="46" t="s">
        <v>396</v>
      </c>
      <c r="AM90" s="46" t="s">
        <v>396</v>
      </c>
      <c r="AN90" s="46" t="s">
        <v>396</v>
      </c>
    </row>
    <row r="91" ht="15.75" customHeight="1" spans="1:40">
      <c r="A91" s="6" t="s">
        <v>2576</v>
      </c>
      <c r="B91" s="45" t="s">
        <v>523</v>
      </c>
      <c r="C91" s="4" t="s">
        <v>957</v>
      </c>
      <c r="D91" s="12" t="s">
        <v>3080</v>
      </c>
      <c r="E91" s="29" t="s">
        <v>971</v>
      </c>
      <c r="F91" s="46" t="s">
        <v>3081</v>
      </c>
      <c r="G91" s="46">
        <v>4050124892</v>
      </c>
      <c r="H91" s="47" t="s">
        <v>2665</v>
      </c>
      <c r="I91" s="47" t="s">
        <v>3082</v>
      </c>
      <c r="J91" s="47" t="s">
        <v>941</v>
      </c>
      <c r="K91" s="47" t="s">
        <v>942</v>
      </c>
      <c r="L91" s="47" t="s">
        <v>943</v>
      </c>
      <c r="M91" s="47" t="s">
        <v>3083</v>
      </c>
      <c r="N91" s="53">
        <v>26438</v>
      </c>
      <c r="O91" s="47" t="s">
        <v>396</v>
      </c>
      <c r="P91" s="47" t="s">
        <v>2624</v>
      </c>
      <c r="Q91" s="47" t="s">
        <v>963</v>
      </c>
      <c r="R91" s="47" t="s">
        <v>3084</v>
      </c>
      <c r="S91" s="47">
        <v>91</v>
      </c>
      <c r="T91" s="47" t="s">
        <v>965</v>
      </c>
      <c r="U91" s="47" t="s">
        <v>3085</v>
      </c>
      <c r="V91" s="47" t="s">
        <v>3086</v>
      </c>
      <c r="W91" s="47" t="s">
        <v>3087</v>
      </c>
      <c r="X91" s="47" t="s">
        <v>953</v>
      </c>
      <c r="Y91" s="47" t="s">
        <v>3088</v>
      </c>
      <c r="Z91" s="47" t="s">
        <v>3089</v>
      </c>
      <c r="AA91" s="47" t="s">
        <v>3090</v>
      </c>
      <c r="AB91" s="47" t="s">
        <v>2273</v>
      </c>
      <c r="AC91" s="47" t="s">
        <v>406</v>
      </c>
      <c r="AD91" s="47" t="s">
        <v>406</v>
      </c>
      <c r="AE91" s="47" t="s">
        <v>406</v>
      </c>
      <c r="AF91" s="47" t="s">
        <v>406</v>
      </c>
      <c r="AG91" s="47" t="s">
        <v>398</v>
      </c>
      <c r="AH91" s="47" t="s">
        <v>406</v>
      </c>
      <c r="AI91" s="47">
        <v>41</v>
      </c>
      <c r="AJ91" s="47">
        <v>41</v>
      </c>
      <c r="AK91" s="47">
        <v>41</v>
      </c>
      <c r="AL91" s="47">
        <v>41</v>
      </c>
      <c r="AM91" s="47" t="s">
        <v>406</v>
      </c>
      <c r="AN91" s="47">
        <v>52</v>
      </c>
    </row>
    <row r="92" ht="15.75" customHeight="1" spans="1:40">
      <c r="A92" s="6" t="s">
        <v>2576</v>
      </c>
      <c r="B92" s="45" t="s">
        <v>523</v>
      </c>
      <c r="C92" s="4" t="s">
        <v>957</v>
      </c>
      <c r="D92" s="12" t="s">
        <v>3091</v>
      </c>
      <c r="E92" s="29" t="s">
        <v>971</v>
      </c>
      <c r="F92" s="46" t="s">
        <v>3092</v>
      </c>
      <c r="G92" s="46">
        <v>3051134303</v>
      </c>
      <c r="H92" s="47" t="s">
        <v>3093</v>
      </c>
      <c r="I92" s="47" t="s">
        <v>3094</v>
      </c>
      <c r="J92" s="47" t="s">
        <v>941</v>
      </c>
      <c r="K92" s="47" t="s">
        <v>941</v>
      </c>
      <c r="L92" s="47" t="s">
        <v>1080</v>
      </c>
      <c r="M92" s="47" t="s">
        <v>3095</v>
      </c>
      <c r="N92" s="53">
        <v>26448</v>
      </c>
      <c r="O92" s="47" t="s">
        <v>396</v>
      </c>
      <c r="P92" s="47" t="s">
        <v>2927</v>
      </c>
      <c r="Q92" s="47" t="s">
        <v>963</v>
      </c>
      <c r="R92" s="47" t="s">
        <v>3096</v>
      </c>
      <c r="S92" s="47">
        <v>97</v>
      </c>
      <c r="T92" s="47" t="s">
        <v>950</v>
      </c>
      <c r="U92" s="47" t="s">
        <v>3097</v>
      </c>
      <c r="V92" s="47" t="s">
        <v>3097</v>
      </c>
      <c r="W92" s="47" t="s">
        <v>3097</v>
      </c>
      <c r="X92" s="47" t="s">
        <v>953</v>
      </c>
      <c r="Y92" s="47" t="s">
        <v>2628</v>
      </c>
      <c r="Z92" s="47" t="s">
        <v>2629</v>
      </c>
      <c r="AA92" s="47" t="s">
        <v>3098</v>
      </c>
      <c r="AB92" s="47" t="s">
        <v>2273</v>
      </c>
      <c r="AC92" s="47" t="s">
        <v>398</v>
      </c>
      <c r="AD92" s="47" t="s">
        <v>398</v>
      </c>
      <c r="AE92" s="47" t="s">
        <v>406</v>
      </c>
      <c r="AF92" s="47" t="s">
        <v>398</v>
      </c>
      <c r="AG92" s="47" t="s">
        <v>398</v>
      </c>
      <c r="AH92" s="47" t="s">
        <v>398</v>
      </c>
      <c r="AI92" s="47">
        <v>42</v>
      </c>
      <c r="AJ92" s="47">
        <v>42</v>
      </c>
      <c r="AK92" s="47">
        <v>42</v>
      </c>
      <c r="AL92" s="47">
        <v>42</v>
      </c>
      <c r="AM92" s="47" t="s">
        <v>398</v>
      </c>
      <c r="AN92" s="47">
        <v>58</v>
      </c>
    </row>
    <row r="93" ht="15.75" customHeight="1" spans="1:40">
      <c r="A93" s="6" t="s">
        <v>2576</v>
      </c>
      <c r="B93" s="45" t="s">
        <v>523</v>
      </c>
      <c r="C93" s="4" t="s">
        <v>957</v>
      </c>
      <c r="D93" s="12" t="s">
        <v>3099</v>
      </c>
      <c r="E93" s="29" t="s">
        <v>971</v>
      </c>
      <c r="F93" s="46" t="s">
        <v>3100</v>
      </c>
      <c r="G93" s="46">
        <v>1105796708</v>
      </c>
      <c r="H93" s="47" t="s">
        <v>2665</v>
      </c>
      <c r="I93" s="47" t="s">
        <v>3101</v>
      </c>
      <c r="J93" s="47"/>
      <c r="K93" s="47"/>
      <c r="L93" s="47"/>
      <c r="M93" s="47"/>
      <c r="N93" s="58"/>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row>
    <row r="94" ht="15.75" customHeight="1" spans="1:40">
      <c r="A94" s="6" t="s">
        <v>2576</v>
      </c>
      <c r="B94" s="45" t="s">
        <v>2660</v>
      </c>
      <c r="C94" s="4" t="s">
        <v>655</v>
      </c>
      <c r="D94" s="10" t="s">
        <v>89</v>
      </c>
      <c r="E94" s="29" t="s">
        <v>971</v>
      </c>
      <c r="F94" s="46">
        <v>845407023</v>
      </c>
      <c r="G94" s="46">
        <v>5084747228</v>
      </c>
      <c r="H94" s="46" t="s">
        <v>2662</v>
      </c>
      <c r="I94" s="47"/>
      <c r="J94" s="7"/>
      <c r="K94" s="7"/>
      <c r="L94" s="7"/>
      <c r="M94" s="7"/>
      <c r="N94" s="56">
        <v>33824</v>
      </c>
      <c r="O94" s="6" t="s">
        <v>945</v>
      </c>
      <c r="P94" s="7"/>
      <c r="Q94" s="7"/>
      <c r="R94" s="7"/>
      <c r="S94" s="7"/>
      <c r="T94" s="7"/>
      <c r="U94" s="7"/>
      <c r="V94" s="7"/>
      <c r="W94" s="47"/>
      <c r="X94" s="47"/>
      <c r="Y94" s="46" t="s">
        <v>535</v>
      </c>
      <c r="Z94" s="47"/>
      <c r="AA94" s="7"/>
      <c r="AB94" s="7"/>
      <c r="AC94" s="7"/>
      <c r="AD94" s="7"/>
      <c r="AE94" s="7"/>
      <c r="AF94" s="7"/>
      <c r="AG94" s="6" t="s">
        <v>398</v>
      </c>
      <c r="AH94" s="6">
        <v>43</v>
      </c>
      <c r="AI94" s="7"/>
      <c r="AJ94" s="7"/>
      <c r="AK94" s="7"/>
      <c r="AL94" s="6" t="s">
        <v>398</v>
      </c>
      <c r="AM94" s="6" t="s">
        <v>398</v>
      </c>
      <c r="AN94" s="6" t="s">
        <v>398</v>
      </c>
    </row>
    <row r="95" ht="15.75" customHeight="1" spans="1:40">
      <c r="A95" s="6" t="s">
        <v>2576</v>
      </c>
      <c r="B95" s="45" t="s">
        <v>546</v>
      </c>
      <c r="C95" s="4" t="s">
        <v>957</v>
      </c>
      <c r="D95" s="12" t="s">
        <v>3102</v>
      </c>
      <c r="E95" s="29" t="s">
        <v>971</v>
      </c>
      <c r="F95" s="46"/>
      <c r="G95" s="47"/>
      <c r="H95" s="47"/>
      <c r="I95" s="47"/>
      <c r="J95" s="47"/>
      <c r="K95" s="47"/>
      <c r="L95" s="47"/>
      <c r="M95" s="47"/>
      <c r="N95" s="52">
        <v>31544</v>
      </c>
      <c r="O95" s="46" t="s">
        <v>945</v>
      </c>
      <c r="P95" s="47"/>
      <c r="Q95" s="47"/>
      <c r="R95" s="47"/>
      <c r="S95" s="47"/>
      <c r="T95" s="47"/>
      <c r="U95" s="47"/>
      <c r="V95" s="47"/>
      <c r="W95" s="47"/>
      <c r="X95" s="47"/>
      <c r="Y95" s="47"/>
      <c r="Z95" s="47"/>
      <c r="AA95" s="47"/>
      <c r="AB95" s="47"/>
      <c r="AC95" s="47"/>
      <c r="AD95" s="47"/>
      <c r="AE95" s="47"/>
      <c r="AF95" s="47"/>
      <c r="AG95" s="46" t="s">
        <v>395</v>
      </c>
      <c r="AH95" s="46">
        <v>39</v>
      </c>
      <c r="AI95" s="47"/>
      <c r="AJ95" s="47"/>
      <c r="AK95" s="47"/>
      <c r="AL95" s="46" t="s">
        <v>396</v>
      </c>
      <c r="AM95" s="46" t="s">
        <v>396</v>
      </c>
      <c r="AN95" s="46" t="s">
        <v>396</v>
      </c>
    </row>
    <row r="96" ht="15.75" customHeight="1" spans="1:40">
      <c r="A96" s="6" t="s">
        <v>2576</v>
      </c>
      <c r="B96" s="45" t="s">
        <v>509</v>
      </c>
      <c r="C96" s="4" t="s">
        <v>957</v>
      </c>
      <c r="D96" s="10" t="s">
        <v>3103</v>
      </c>
      <c r="E96" s="29" t="s">
        <v>491</v>
      </c>
      <c r="F96" s="46" t="s">
        <v>3104</v>
      </c>
      <c r="G96" s="46">
        <v>2093561229</v>
      </c>
      <c r="H96" s="47" t="s">
        <v>986</v>
      </c>
      <c r="I96" s="47" t="s">
        <v>2916</v>
      </c>
      <c r="J96" s="7" t="s">
        <v>942</v>
      </c>
      <c r="K96" s="7" t="s">
        <v>942</v>
      </c>
      <c r="L96" s="7" t="s">
        <v>1068</v>
      </c>
      <c r="M96" s="7" t="s">
        <v>3105</v>
      </c>
      <c r="N96" s="51">
        <v>34234</v>
      </c>
      <c r="O96" s="7" t="s">
        <v>945</v>
      </c>
      <c r="P96" s="7" t="s">
        <v>946</v>
      </c>
      <c r="Q96" s="7" t="s">
        <v>963</v>
      </c>
      <c r="R96" s="7" t="s">
        <v>3106</v>
      </c>
      <c r="S96" s="59">
        <v>80</v>
      </c>
      <c r="T96" s="7" t="s">
        <v>1030</v>
      </c>
      <c r="U96" s="7"/>
      <c r="V96" s="7" t="s">
        <v>3107</v>
      </c>
      <c r="W96" s="7" t="s">
        <v>3107</v>
      </c>
      <c r="X96" s="7" t="s">
        <v>953</v>
      </c>
      <c r="Y96" s="7" t="s">
        <v>509</v>
      </c>
      <c r="Z96" s="59">
        <v>99770000</v>
      </c>
      <c r="AA96" s="7" t="s">
        <v>3108</v>
      </c>
      <c r="AB96" s="7" t="s">
        <v>1086</v>
      </c>
      <c r="AC96" s="7" t="s">
        <v>396</v>
      </c>
      <c r="AD96" s="7" t="s">
        <v>396</v>
      </c>
      <c r="AE96" s="6" t="s">
        <v>396</v>
      </c>
      <c r="AF96" s="6" t="s">
        <v>396</v>
      </c>
      <c r="AG96" s="6" t="s">
        <v>396</v>
      </c>
      <c r="AH96" s="6">
        <v>40</v>
      </c>
      <c r="AI96" s="6">
        <v>40</v>
      </c>
      <c r="AJ96" s="59">
        <v>40</v>
      </c>
      <c r="AK96" s="59">
        <v>40</v>
      </c>
      <c r="AL96" s="7" t="s">
        <v>396</v>
      </c>
      <c r="AM96" s="7" t="s">
        <v>396</v>
      </c>
      <c r="AN96" s="7" t="s">
        <v>396</v>
      </c>
    </row>
    <row r="97" ht="15.75" customHeight="1" spans="1:40">
      <c r="A97" s="6" t="s">
        <v>2576</v>
      </c>
      <c r="B97" s="45" t="s">
        <v>551</v>
      </c>
      <c r="C97" s="4" t="s">
        <v>957</v>
      </c>
      <c r="D97" s="10" t="s">
        <v>3109</v>
      </c>
      <c r="E97" s="29" t="s">
        <v>491</v>
      </c>
      <c r="F97" s="46" t="s">
        <v>3110</v>
      </c>
      <c r="G97" s="46">
        <v>7077701675</v>
      </c>
      <c r="H97" s="47" t="s">
        <v>939</v>
      </c>
      <c r="I97" s="47" t="s">
        <v>3111</v>
      </c>
      <c r="J97" s="7" t="s">
        <v>942</v>
      </c>
      <c r="K97" s="7" t="s">
        <v>942</v>
      </c>
      <c r="L97" s="7" t="s">
        <v>975</v>
      </c>
      <c r="M97" s="7" t="s">
        <v>3112</v>
      </c>
      <c r="N97" s="51">
        <v>29334</v>
      </c>
      <c r="O97" s="7" t="s">
        <v>1028</v>
      </c>
      <c r="P97" s="7" t="s">
        <v>946</v>
      </c>
      <c r="Q97" s="7" t="s">
        <v>947</v>
      </c>
      <c r="R97" s="7" t="s">
        <v>2757</v>
      </c>
      <c r="S97" s="59">
        <v>77</v>
      </c>
      <c r="T97" s="7" t="s">
        <v>1011</v>
      </c>
      <c r="U97" s="7"/>
      <c r="V97" s="7" t="s">
        <v>3113</v>
      </c>
      <c r="W97" s="7"/>
      <c r="X97" s="7" t="s">
        <v>953</v>
      </c>
      <c r="Y97" s="7" t="s">
        <v>551</v>
      </c>
      <c r="Z97" s="59">
        <v>99830000</v>
      </c>
      <c r="AA97" s="7" t="s">
        <v>3114</v>
      </c>
      <c r="AB97" s="7" t="s">
        <v>1178</v>
      </c>
      <c r="AC97" s="7" t="s">
        <v>406</v>
      </c>
      <c r="AD97" s="7" t="s">
        <v>406</v>
      </c>
      <c r="AE97" s="6" t="s">
        <v>398</v>
      </c>
      <c r="AF97" s="6" t="s">
        <v>406</v>
      </c>
      <c r="AG97" s="6" t="s">
        <v>406</v>
      </c>
      <c r="AH97" s="6">
        <v>42</v>
      </c>
      <c r="AI97" s="6">
        <v>42</v>
      </c>
      <c r="AJ97" s="59">
        <v>42</v>
      </c>
      <c r="AK97" s="59">
        <v>42</v>
      </c>
      <c r="AL97" s="7" t="s">
        <v>406</v>
      </c>
      <c r="AM97" s="7" t="s">
        <v>406</v>
      </c>
      <c r="AN97" s="7" t="s">
        <v>406</v>
      </c>
    </row>
    <row r="98" ht="15.75" customHeight="1" spans="1:40">
      <c r="A98" s="6" t="s">
        <v>2576</v>
      </c>
      <c r="B98" s="45" t="s">
        <v>2660</v>
      </c>
      <c r="C98" s="4" t="s">
        <v>655</v>
      </c>
      <c r="D98" s="10" t="s">
        <v>94</v>
      </c>
      <c r="E98" s="29" t="s">
        <v>971</v>
      </c>
      <c r="F98" s="46">
        <v>2558699083</v>
      </c>
      <c r="G98" s="46">
        <v>9097314729</v>
      </c>
      <c r="H98" s="46" t="s">
        <v>2662</v>
      </c>
      <c r="I98" s="47"/>
      <c r="J98" s="7"/>
      <c r="K98" s="7"/>
      <c r="L98" s="7"/>
      <c r="M98" s="7"/>
      <c r="N98" s="56">
        <v>33824</v>
      </c>
      <c r="O98" s="6" t="s">
        <v>945</v>
      </c>
      <c r="P98" s="7"/>
      <c r="Q98" s="7"/>
      <c r="R98" s="7"/>
      <c r="S98" s="7"/>
      <c r="T98" s="7"/>
      <c r="U98" s="7"/>
      <c r="V98" s="7"/>
      <c r="W98" s="47"/>
      <c r="X98" s="47"/>
      <c r="Y98" s="46" t="s">
        <v>535</v>
      </c>
      <c r="Z98" s="47"/>
      <c r="AA98" s="7"/>
      <c r="AB98" s="7"/>
      <c r="AC98" s="7"/>
      <c r="AD98" s="7"/>
      <c r="AE98" s="7"/>
      <c r="AF98" s="7"/>
      <c r="AG98" s="6" t="s">
        <v>406</v>
      </c>
      <c r="AH98" s="6">
        <v>41</v>
      </c>
      <c r="AI98" s="7"/>
      <c r="AJ98" s="7"/>
      <c r="AK98" s="7"/>
      <c r="AL98" s="6" t="s">
        <v>406</v>
      </c>
      <c r="AM98" s="6" t="s">
        <v>406</v>
      </c>
      <c r="AN98" s="6" t="s">
        <v>406</v>
      </c>
    </row>
    <row r="99" ht="15.75" customHeight="1" spans="1:40">
      <c r="A99" s="6" t="s">
        <v>2576</v>
      </c>
      <c r="B99" s="45" t="s">
        <v>520</v>
      </c>
      <c r="C99" s="4" t="s">
        <v>957</v>
      </c>
      <c r="D99" s="12" t="s">
        <v>3115</v>
      </c>
      <c r="E99" s="29" t="s">
        <v>971</v>
      </c>
      <c r="F99" s="46" t="s">
        <v>3116</v>
      </c>
      <c r="G99" s="46">
        <v>3010829624</v>
      </c>
      <c r="H99" s="47" t="s">
        <v>2611</v>
      </c>
      <c r="I99" s="4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row>
    <row r="100" ht="15.75" customHeight="1" spans="1:40">
      <c r="A100" s="6" t="s">
        <v>2576</v>
      </c>
      <c r="B100" s="45" t="s">
        <v>548</v>
      </c>
      <c r="C100" s="4" t="s">
        <v>957</v>
      </c>
      <c r="D100" s="12" t="s">
        <v>3117</v>
      </c>
      <c r="E100" s="29" t="s">
        <v>971</v>
      </c>
      <c r="F100" s="46" t="s">
        <v>3118</v>
      </c>
      <c r="G100" s="46">
        <v>6055861246</v>
      </c>
      <c r="H100" s="47" t="s">
        <v>2579</v>
      </c>
      <c r="I100" s="47" t="s">
        <v>3119</v>
      </c>
      <c r="J100" s="7" t="s">
        <v>942</v>
      </c>
      <c r="K100" s="7" t="s">
        <v>942</v>
      </c>
      <c r="L100" s="7" t="s">
        <v>975</v>
      </c>
      <c r="M100" s="7" t="s">
        <v>3120</v>
      </c>
      <c r="N100" s="55">
        <v>25183</v>
      </c>
      <c r="O100" s="7" t="s">
        <v>945</v>
      </c>
      <c r="P100" s="7" t="s">
        <v>946</v>
      </c>
      <c r="Q100" s="7" t="s">
        <v>1245</v>
      </c>
      <c r="R100" s="7" t="s">
        <v>3121</v>
      </c>
      <c r="S100" s="59">
        <v>82</v>
      </c>
      <c r="T100" s="7" t="s">
        <v>965</v>
      </c>
      <c r="U100" s="7" t="s">
        <v>3122</v>
      </c>
      <c r="V100" s="7" t="s">
        <v>942</v>
      </c>
      <c r="W100" s="7"/>
      <c r="X100" s="7" t="s">
        <v>2688</v>
      </c>
      <c r="Y100" s="7" t="s">
        <v>548</v>
      </c>
      <c r="Z100" s="7" t="s">
        <v>2689</v>
      </c>
      <c r="AA100" s="7" t="s">
        <v>3123</v>
      </c>
      <c r="AB100" s="7" t="s">
        <v>1086</v>
      </c>
      <c r="AC100" s="7" t="s">
        <v>398</v>
      </c>
      <c r="AD100" s="7" t="s">
        <v>406</v>
      </c>
      <c r="AE100" s="6" t="s">
        <v>398</v>
      </c>
      <c r="AF100" s="6" t="s">
        <v>398</v>
      </c>
      <c r="AG100" s="6" t="s">
        <v>398</v>
      </c>
      <c r="AH100" s="6">
        <v>42</v>
      </c>
      <c r="AI100" s="6">
        <v>42</v>
      </c>
      <c r="AJ100" s="59">
        <v>42</v>
      </c>
      <c r="AK100" s="59">
        <v>44</v>
      </c>
      <c r="AL100" s="7" t="s">
        <v>398</v>
      </c>
      <c r="AM100" s="7" t="s">
        <v>398</v>
      </c>
      <c r="AN100" s="7" t="s">
        <v>406</v>
      </c>
    </row>
    <row r="101" ht="15.75" customHeight="1" spans="1:40">
      <c r="A101" s="6" t="s">
        <v>2576</v>
      </c>
      <c r="B101" s="45" t="s">
        <v>556</v>
      </c>
      <c r="C101" s="4" t="s">
        <v>957</v>
      </c>
      <c r="D101" s="12" t="s">
        <v>3124</v>
      </c>
      <c r="E101" s="29" t="s">
        <v>491</v>
      </c>
      <c r="F101" s="46" t="s">
        <v>3125</v>
      </c>
      <c r="G101" s="47"/>
      <c r="H101" s="47"/>
      <c r="I101" s="47"/>
      <c r="J101" s="7"/>
      <c r="K101" s="7"/>
      <c r="L101" s="7"/>
      <c r="M101" s="7"/>
      <c r="N101" s="15"/>
      <c r="O101" s="7"/>
      <c r="P101" s="7"/>
      <c r="Q101" s="7"/>
      <c r="R101" s="7" t="s">
        <v>3126</v>
      </c>
      <c r="S101" s="7"/>
      <c r="T101" s="7"/>
      <c r="U101" s="7"/>
      <c r="V101" s="7"/>
      <c r="W101" s="7"/>
      <c r="X101" s="7"/>
      <c r="Y101" s="7"/>
      <c r="Z101" s="7"/>
      <c r="AA101" s="7"/>
      <c r="AB101" s="7"/>
      <c r="AC101" s="7"/>
      <c r="AD101" s="7"/>
      <c r="AE101" s="7"/>
      <c r="AF101" s="7"/>
      <c r="AG101" s="6" t="s">
        <v>396</v>
      </c>
      <c r="AH101" s="6">
        <v>39</v>
      </c>
      <c r="AI101" s="7"/>
      <c r="AJ101" s="7"/>
      <c r="AK101" s="7"/>
      <c r="AL101" s="7" t="s">
        <v>396</v>
      </c>
      <c r="AM101" s="7" t="s">
        <v>396</v>
      </c>
      <c r="AN101" s="7" t="s">
        <v>396</v>
      </c>
    </row>
    <row r="102" ht="15.75" customHeight="1" spans="1:40">
      <c r="A102" s="6" t="s">
        <v>2576</v>
      </c>
      <c r="B102" s="45" t="s">
        <v>556</v>
      </c>
      <c r="C102" s="4" t="s">
        <v>957</v>
      </c>
      <c r="D102" s="12" t="s">
        <v>3127</v>
      </c>
      <c r="E102" s="29" t="s">
        <v>971</v>
      </c>
      <c r="F102" s="46" t="s">
        <v>3128</v>
      </c>
      <c r="G102" s="47"/>
      <c r="H102" s="47"/>
      <c r="I102" s="47"/>
      <c r="J102" s="7"/>
      <c r="K102" s="7"/>
      <c r="L102" s="7"/>
      <c r="M102" s="7"/>
      <c r="N102" s="15"/>
      <c r="O102" s="7"/>
      <c r="P102" s="7"/>
      <c r="Q102" s="7"/>
      <c r="R102" s="7" t="s">
        <v>3129</v>
      </c>
      <c r="S102" s="7"/>
      <c r="T102" s="7"/>
      <c r="U102" s="7"/>
      <c r="V102" s="7"/>
      <c r="W102" s="7"/>
      <c r="X102" s="7"/>
      <c r="Y102" s="7"/>
      <c r="Z102" s="7"/>
      <c r="AA102" s="7"/>
      <c r="AB102" s="7"/>
      <c r="AC102" s="7"/>
      <c r="AD102" s="7"/>
      <c r="AE102" s="7"/>
      <c r="AF102" s="7"/>
      <c r="AG102" s="6" t="s">
        <v>396</v>
      </c>
      <c r="AH102" s="6">
        <v>41</v>
      </c>
      <c r="AI102" s="7"/>
      <c r="AJ102" s="7"/>
      <c r="AK102" s="7"/>
      <c r="AL102" s="7" t="s">
        <v>396</v>
      </c>
      <c r="AM102" s="7" t="s">
        <v>396</v>
      </c>
      <c r="AN102" s="7" t="s">
        <v>396</v>
      </c>
    </row>
    <row r="103" ht="15.75" customHeight="1" spans="1:40">
      <c r="A103" s="6" t="s">
        <v>2576</v>
      </c>
      <c r="B103" s="45" t="s">
        <v>546</v>
      </c>
      <c r="C103" s="4" t="s">
        <v>957</v>
      </c>
      <c r="D103" s="12" t="s">
        <v>3130</v>
      </c>
      <c r="E103" s="29" t="s">
        <v>971</v>
      </c>
      <c r="F103" s="46"/>
      <c r="G103" s="47"/>
      <c r="H103" s="47"/>
      <c r="I103" s="47"/>
      <c r="J103" s="47"/>
      <c r="K103" s="47"/>
      <c r="L103" s="47"/>
      <c r="M103" s="47"/>
      <c r="N103" s="52">
        <v>30831</v>
      </c>
      <c r="O103" s="46" t="s">
        <v>945</v>
      </c>
      <c r="P103" s="47"/>
      <c r="Q103" s="47"/>
      <c r="R103" s="47"/>
      <c r="S103" s="47"/>
      <c r="T103" s="47"/>
      <c r="U103" s="47"/>
      <c r="V103" s="47"/>
      <c r="W103" s="47"/>
      <c r="X103" s="47"/>
      <c r="Y103" s="47"/>
      <c r="Z103" s="47"/>
      <c r="AA103" s="47"/>
      <c r="AB103" s="47"/>
      <c r="AC103" s="47"/>
      <c r="AD103" s="47"/>
      <c r="AE103" s="47"/>
      <c r="AF103" s="47"/>
      <c r="AG103" s="46" t="s">
        <v>396</v>
      </c>
      <c r="AH103" s="46">
        <v>38</v>
      </c>
      <c r="AI103" s="47"/>
      <c r="AJ103" s="47"/>
      <c r="AK103" s="47"/>
      <c r="AL103" s="46" t="s">
        <v>396</v>
      </c>
      <c r="AM103" s="46" t="s">
        <v>396</v>
      </c>
      <c r="AN103" s="46" t="s">
        <v>396</v>
      </c>
    </row>
    <row r="104" ht="15.75" customHeight="1" spans="1:40">
      <c r="A104" s="6" t="s">
        <v>2576</v>
      </c>
      <c r="B104" s="45" t="s">
        <v>2850</v>
      </c>
      <c r="C104" s="4" t="s">
        <v>655</v>
      </c>
      <c r="D104" s="10" t="s">
        <v>3131</v>
      </c>
      <c r="E104" s="29" t="s">
        <v>971</v>
      </c>
      <c r="F104" s="46" t="s">
        <v>3132</v>
      </c>
      <c r="G104" s="46">
        <v>1090403691</v>
      </c>
      <c r="H104" s="46" t="s">
        <v>2662</v>
      </c>
      <c r="I104" s="47"/>
      <c r="J104" s="7"/>
      <c r="K104" s="7"/>
      <c r="L104" s="7"/>
      <c r="M104" s="7"/>
      <c r="N104" s="56">
        <v>30714</v>
      </c>
      <c r="O104" s="6" t="s">
        <v>945</v>
      </c>
      <c r="P104" s="7"/>
      <c r="Q104" s="7"/>
      <c r="R104" s="7"/>
      <c r="S104" s="7"/>
      <c r="T104" s="7"/>
      <c r="U104" s="7"/>
      <c r="V104" s="7"/>
      <c r="W104" s="47"/>
      <c r="X104" s="47"/>
      <c r="Y104" s="46" t="s">
        <v>547</v>
      </c>
      <c r="Z104" s="47"/>
      <c r="AA104" s="7"/>
      <c r="AB104" s="7"/>
      <c r="AC104" s="7"/>
      <c r="AD104" s="7"/>
      <c r="AE104" s="7"/>
      <c r="AF104" s="7"/>
      <c r="AG104" s="6" t="s">
        <v>396</v>
      </c>
      <c r="AH104" s="6">
        <v>39</v>
      </c>
      <c r="AI104" s="7"/>
      <c r="AJ104" s="7"/>
      <c r="AK104" s="7"/>
      <c r="AL104" s="6" t="s">
        <v>396</v>
      </c>
      <c r="AM104" s="6" t="s">
        <v>396</v>
      </c>
      <c r="AN104" s="6" t="s">
        <v>396</v>
      </c>
    </row>
    <row r="105" ht="15.75" customHeight="1" spans="1:40">
      <c r="A105" s="6" t="s">
        <v>2576</v>
      </c>
      <c r="B105" s="45" t="s">
        <v>520</v>
      </c>
      <c r="C105" s="4" t="s">
        <v>957</v>
      </c>
      <c r="D105" s="12" t="s">
        <v>3133</v>
      </c>
      <c r="E105" s="29" t="s">
        <v>971</v>
      </c>
      <c r="F105" s="46" t="s">
        <v>3134</v>
      </c>
      <c r="G105" s="46">
        <v>1082085968</v>
      </c>
      <c r="H105" s="47" t="s">
        <v>2611</v>
      </c>
      <c r="I105" s="4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row>
    <row r="106" ht="15.75" customHeight="1" spans="1:40">
      <c r="A106" s="6" t="s">
        <v>2576</v>
      </c>
      <c r="B106" s="45" t="s">
        <v>576</v>
      </c>
      <c r="C106" s="4" t="s">
        <v>957</v>
      </c>
      <c r="D106" s="12" t="s">
        <v>3135</v>
      </c>
      <c r="E106" s="29" t="s">
        <v>491</v>
      </c>
      <c r="F106" s="46" t="s">
        <v>3136</v>
      </c>
      <c r="G106" s="46">
        <v>2099843126</v>
      </c>
      <c r="H106" s="47" t="s">
        <v>2583</v>
      </c>
      <c r="I106" s="47" t="s">
        <v>2584</v>
      </c>
      <c r="J106" s="7" t="s">
        <v>942</v>
      </c>
      <c r="K106" s="7" t="s">
        <v>942</v>
      </c>
      <c r="L106" s="7" t="s">
        <v>943</v>
      </c>
      <c r="M106" s="7" t="s">
        <v>3137</v>
      </c>
      <c r="N106" s="51">
        <v>31216</v>
      </c>
      <c r="O106" s="7" t="s">
        <v>945</v>
      </c>
      <c r="P106" s="7" t="s">
        <v>946</v>
      </c>
      <c r="Q106" s="7" t="s">
        <v>963</v>
      </c>
      <c r="R106" s="7" t="s">
        <v>3138</v>
      </c>
      <c r="S106" s="59">
        <v>123</v>
      </c>
      <c r="T106" s="7" t="s">
        <v>1011</v>
      </c>
      <c r="U106" s="7"/>
      <c r="V106" s="7" t="s">
        <v>3139</v>
      </c>
      <c r="W106" s="7"/>
      <c r="X106" s="7" t="s">
        <v>953</v>
      </c>
      <c r="Y106" s="7" t="s">
        <v>537</v>
      </c>
      <c r="Z106" s="7" t="s">
        <v>2606</v>
      </c>
      <c r="AA106" s="7" t="s">
        <v>3140</v>
      </c>
      <c r="AB106" s="7" t="s">
        <v>3141</v>
      </c>
      <c r="AC106" s="6" t="s">
        <v>399</v>
      </c>
      <c r="AD106" s="6" t="s">
        <v>399</v>
      </c>
      <c r="AE106" s="6" t="s">
        <v>399</v>
      </c>
      <c r="AF106" s="6" t="s">
        <v>399</v>
      </c>
      <c r="AG106" s="6" t="s">
        <v>399</v>
      </c>
      <c r="AH106" s="6">
        <v>42</v>
      </c>
      <c r="AI106" s="6">
        <v>42</v>
      </c>
      <c r="AJ106" s="59">
        <v>42</v>
      </c>
      <c r="AK106" s="59">
        <v>42</v>
      </c>
      <c r="AL106" s="6" t="s">
        <v>399</v>
      </c>
      <c r="AM106" s="6" t="s">
        <v>399</v>
      </c>
      <c r="AN106" s="6" t="s">
        <v>399</v>
      </c>
    </row>
    <row r="107" ht="15.75" customHeight="1" spans="1:40">
      <c r="A107" s="6" t="s">
        <v>2576</v>
      </c>
      <c r="B107" s="45" t="s">
        <v>558</v>
      </c>
      <c r="C107" s="4" t="s">
        <v>957</v>
      </c>
      <c r="D107" s="10" t="s">
        <v>276</v>
      </c>
      <c r="E107" s="29" t="s">
        <v>491</v>
      </c>
      <c r="F107" s="46" t="s">
        <v>3142</v>
      </c>
      <c r="G107" s="46">
        <v>8045556878</v>
      </c>
      <c r="H107" s="47" t="s">
        <v>2705</v>
      </c>
      <c r="I107" s="47" t="s">
        <v>3143</v>
      </c>
      <c r="J107" s="7" t="s">
        <v>942</v>
      </c>
      <c r="K107" s="7" t="s">
        <v>942</v>
      </c>
      <c r="L107" s="7" t="s">
        <v>975</v>
      </c>
      <c r="M107" s="7" t="s">
        <v>3144</v>
      </c>
      <c r="N107" s="51">
        <v>27705</v>
      </c>
      <c r="O107" s="7" t="s">
        <v>945</v>
      </c>
      <c r="P107" s="7" t="s">
        <v>946</v>
      </c>
      <c r="Q107" s="7" t="s">
        <v>1227</v>
      </c>
      <c r="R107" s="7" t="s">
        <v>3145</v>
      </c>
      <c r="S107" s="59">
        <v>98</v>
      </c>
      <c r="T107" s="7" t="s">
        <v>965</v>
      </c>
      <c r="U107" s="7"/>
      <c r="V107" s="7" t="s">
        <v>3146</v>
      </c>
      <c r="W107" s="7"/>
      <c r="X107" s="7" t="s">
        <v>953</v>
      </c>
      <c r="Y107" s="7" t="s">
        <v>558</v>
      </c>
      <c r="Z107" s="7" t="s">
        <v>2648</v>
      </c>
      <c r="AA107" s="7" t="s">
        <v>3147</v>
      </c>
      <c r="AB107" s="7" t="s">
        <v>3148</v>
      </c>
      <c r="AC107" s="7" t="s">
        <v>398</v>
      </c>
      <c r="AD107" s="7" t="s">
        <v>398</v>
      </c>
      <c r="AE107" s="6" t="s">
        <v>398</v>
      </c>
      <c r="AF107" s="6" t="s">
        <v>398</v>
      </c>
      <c r="AG107" s="6" t="s">
        <v>398</v>
      </c>
      <c r="AH107" s="6">
        <v>40</v>
      </c>
      <c r="AI107" s="6">
        <v>40</v>
      </c>
      <c r="AJ107" s="59">
        <v>40</v>
      </c>
      <c r="AK107" s="59">
        <v>40</v>
      </c>
      <c r="AL107" s="7" t="s">
        <v>398</v>
      </c>
      <c r="AM107" s="7" t="s">
        <v>398</v>
      </c>
      <c r="AN107" s="7" t="s">
        <v>398</v>
      </c>
    </row>
    <row r="108" ht="15.75" customHeight="1" spans="1:40">
      <c r="A108" s="6" t="s">
        <v>2576</v>
      </c>
      <c r="B108" s="45" t="s">
        <v>548</v>
      </c>
      <c r="C108" s="4" t="s">
        <v>957</v>
      </c>
      <c r="D108" s="12" t="s">
        <v>3149</v>
      </c>
      <c r="E108" s="29" t="s">
        <v>971</v>
      </c>
      <c r="F108" s="6" t="s">
        <v>3150</v>
      </c>
      <c r="G108" s="6">
        <v>4081234314</v>
      </c>
      <c r="H108" s="7" t="s">
        <v>939</v>
      </c>
      <c r="I108" s="7" t="s">
        <v>3151</v>
      </c>
      <c r="J108" s="7" t="s">
        <v>941</v>
      </c>
      <c r="K108" s="7" t="s">
        <v>942</v>
      </c>
      <c r="L108" s="7" t="s">
        <v>1026</v>
      </c>
      <c r="M108" s="7" t="s">
        <v>3152</v>
      </c>
      <c r="N108" s="51">
        <v>29333</v>
      </c>
      <c r="O108" s="7" t="s">
        <v>945</v>
      </c>
      <c r="P108" s="7" t="s">
        <v>1041</v>
      </c>
      <c r="Q108" s="7" t="s">
        <v>963</v>
      </c>
      <c r="R108" s="7" t="s">
        <v>3153</v>
      </c>
      <c r="S108" s="59">
        <v>87</v>
      </c>
      <c r="T108" s="7" t="s">
        <v>965</v>
      </c>
      <c r="U108" s="59">
        <v>5435461246</v>
      </c>
      <c r="V108" s="7" t="s">
        <v>3154</v>
      </c>
      <c r="W108" s="59">
        <v>190</v>
      </c>
      <c r="X108" s="7" t="s">
        <v>2688</v>
      </c>
      <c r="Y108" s="7" t="s">
        <v>548</v>
      </c>
      <c r="Z108" s="7" t="s">
        <v>2689</v>
      </c>
      <c r="AA108" s="7" t="s">
        <v>3155</v>
      </c>
      <c r="AB108" s="7" t="s">
        <v>3156</v>
      </c>
      <c r="AC108" s="7" t="s">
        <v>396</v>
      </c>
      <c r="AD108" s="7" t="s">
        <v>396</v>
      </c>
      <c r="AE108" s="7" t="s">
        <v>396</v>
      </c>
      <c r="AF108" s="7" t="s">
        <v>396</v>
      </c>
      <c r="AG108" s="7" t="s">
        <v>396</v>
      </c>
      <c r="AH108" s="59">
        <v>40</v>
      </c>
      <c r="AI108" s="59">
        <v>40</v>
      </c>
      <c r="AJ108" s="59">
        <v>40</v>
      </c>
      <c r="AK108" s="59">
        <v>40</v>
      </c>
      <c r="AL108" s="7" t="s">
        <v>396</v>
      </c>
      <c r="AM108" s="7" t="s">
        <v>396</v>
      </c>
      <c r="AN108" s="7" t="s">
        <v>396</v>
      </c>
    </row>
    <row r="109" ht="15.75" customHeight="1" spans="1:40">
      <c r="A109" s="6" t="s">
        <v>2576</v>
      </c>
      <c r="B109" s="45" t="s">
        <v>548</v>
      </c>
      <c r="C109" s="4" t="s">
        <v>957</v>
      </c>
      <c r="D109" s="12" t="s">
        <v>3157</v>
      </c>
      <c r="E109" s="29" t="s">
        <v>971</v>
      </c>
      <c r="F109" s="6" t="s">
        <v>3158</v>
      </c>
      <c r="G109" s="6">
        <v>1046764476</v>
      </c>
      <c r="H109" s="7" t="s">
        <v>3159</v>
      </c>
      <c r="I109" s="7" t="s">
        <v>3160</v>
      </c>
      <c r="J109" s="7" t="s">
        <v>941</v>
      </c>
      <c r="K109" s="7" t="s">
        <v>942</v>
      </c>
      <c r="L109" s="7" t="s">
        <v>943</v>
      </c>
      <c r="M109" s="7" t="s">
        <v>3161</v>
      </c>
      <c r="N109" s="51">
        <v>25408</v>
      </c>
      <c r="O109" s="7" t="s">
        <v>945</v>
      </c>
      <c r="P109" s="7" t="s">
        <v>946</v>
      </c>
      <c r="Q109" s="7" t="s">
        <v>963</v>
      </c>
      <c r="R109" s="7" t="s">
        <v>3162</v>
      </c>
      <c r="S109" s="59">
        <v>96</v>
      </c>
      <c r="T109" s="7" t="s">
        <v>1011</v>
      </c>
      <c r="U109" s="7" t="s">
        <v>3163</v>
      </c>
      <c r="V109" s="7" t="s">
        <v>3163</v>
      </c>
      <c r="W109" s="7" t="s">
        <v>3164</v>
      </c>
      <c r="X109" s="7" t="s">
        <v>2688</v>
      </c>
      <c r="Y109" s="7" t="s">
        <v>548</v>
      </c>
      <c r="Z109" s="7" t="s">
        <v>2689</v>
      </c>
      <c r="AA109" s="7" t="s">
        <v>3165</v>
      </c>
      <c r="AB109" s="7" t="s">
        <v>2640</v>
      </c>
      <c r="AC109" s="7" t="s">
        <v>398</v>
      </c>
      <c r="AD109" s="7" t="s">
        <v>398</v>
      </c>
      <c r="AE109" s="7" t="s">
        <v>398</v>
      </c>
      <c r="AF109" s="7" t="s">
        <v>398</v>
      </c>
      <c r="AG109" s="7" t="s">
        <v>398</v>
      </c>
      <c r="AH109" s="59">
        <v>42</v>
      </c>
      <c r="AI109" s="59">
        <v>42</v>
      </c>
      <c r="AJ109" s="59">
        <v>42</v>
      </c>
      <c r="AK109" s="59">
        <v>42</v>
      </c>
      <c r="AL109" s="7" t="s">
        <v>398</v>
      </c>
      <c r="AM109" s="7" t="s">
        <v>398</v>
      </c>
      <c r="AN109" s="7" t="s">
        <v>406</v>
      </c>
    </row>
    <row r="110" ht="15.75" customHeight="1" spans="1:40">
      <c r="A110" s="6" t="s">
        <v>2576</v>
      </c>
      <c r="B110" s="45" t="s">
        <v>551</v>
      </c>
      <c r="C110" s="4" t="s">
        <v>957</v>
      </c>
      <c r="D110" s="12" t="s">
        <v>3166</v>
      </c>
      <c r="E110" s="29" t="s">
        <v>971</v>
      </c>
      <c r="F110" s="46" t="s">
        <v>3167</v>
      </c>
      <c r="G110" s="46">
        <v>7076101612</v>
      </c>
      <c r="H110" s="47" t="s">
        <v>939</v>
      </c>
      <c r="I110" s="47" t="s">
        <v>2713</v>
      </c>
      <c r="J110" s="7" t="s">
        <v>942</v>
      </c>
      <c r="K110" s="7" t="s">
        <v>942</v>
      </c>
      <c r="L110" s="7" t="s">
        <v>943</v>
      </c>
      <c r="M110" s="7" t="s">
        <v>3168</v>
      </c>
      <c r="N110" s="51">
        <v>31178</v>
      </c>
      <c r="O110" s="7" t="s">
        <v>945</v>
      </c>
      <c r="P110" s="7" t="s">
        <v>946</v>
      </c>
      <c r="Q110" s="7" t="s">
        <v>1245</v>
      </c>
      <c r="R110" s="7" t="s">
        <v>3169</v>
      </c>
      <c r="S110" s="59">
        <v>110</v>
      </c>
      <c r="T110" s="7" t="s">
        <v>1011</v>
      </c>
      <c r="U110" s="7"/>
      <c r="V110" s="7" t="s">
        <v>3170</v>
      </c>
      <c r="W110" s="7"/>
      <c r="X110" s="7" t="s">
        <v>953</v>
      </c>
      <c r="Y110" s="7" t="s">
        <v>551</v>
      </c>
      <c r="Z110" s="59">
        <v>99830000</v>
      </c>
      <c r="AA110" s="7" t="s">
        <v>3171</v>
      </c>
      <c r="AB110" s="7" t="s">
        <v>1178</v>
      </c>
      <c r="AC110" s="7" t="s">
        <v>399</v>
      </c>
      <c r="AD110" s="7" t="s">
        <v>399</v>
      </c>
      <c r="AE110" s="6" t="s">
        <v>399</v>
      </c>
      <c r="AF110" s="6" t="s">
        <v>399</v>
      </c>
      <c r="AG110" s="6" t="s">
        <v>399</v>
      </c>
      <c r="AH110" s="6">
        <v>46</v>
      </c>
      <c r="AI110" s="6">
        <v>46</v>
      </c>
      <c r="AJ110" s="59">
        <v>46</v>
      </c>
      <c r="AK110" s="59">
        <v>46</v>
      </c>
      <c r="AL110" s="7" t="s">
        <v>399</v>
      </c>
      <c r="AM110" s="7" t="s">
        <v>399</v>
      </c>
      <c r="AN110" s="7" t="s">
        <v>406</v>
      </c>
    </row>
    <row r="111" ht="15.75" customHeight="1" spans="1:40">
      <c r="A111" s="6" t="s">
        <v>2576</v>
      </c>
      <c r="B111" s="45" t="s">
        <v>576</v>
      </c>
      <c r="C111" s="4" t="s">
        <v>957</v>
      </c>
      <c r="D111" s="12" t="s">
        <v>277</v>
      </c>
      <c r="E111" s="29" t="s">
        <v>491</v>
      </c>
      <c r="F111" s="46" t="s">
        <v>3172</v>
      </c>
      <c r="G111" s="46">
        <v>8089316841</v>
      </c>
      <c r="H111" s="47" t="s">
        <v>3173</v>
      </c>
      <c r="I111" s="47" t="s">
        <v>3174</v>
      </c>
      <c r="J111" s="7" t="s">
        <v>941</v>
      </c>
      <c r="K111" s="7" t="s">
        <v>941</v>
      </c>
      <c r="L111" s="7" t="s">
        <v>1080</v>
      </c>
      <c r="M111" s="7" t="s">
        <v>3175</v>
      </c>
      <c r="N111" s="55">
        <v>32098</v>
      </c>
      <c r="O111" s="7" t="s">
        <v>945</v>
      </c>
      <c r="P111" s="7" t="s">
        <v>1104</v>
      </c>
      <c r="Q111" s="7" t="s">
        <v>963</v>
      </c>
      <c r="R111" s="7" t="s">
        <v>3176</v>
      </c>
      <c r="S111" s="59">
        <v>109</v>
      </c>
      <c r="T111" s="7" t="s">
        <v>1154</v>
      </c>
      <c r="U111" s="7"/>
      <c r="V111" s="7" t="s">
        <v>3177</v>
      </c>
      <c r="W111" s="7" t="s">
        <v>3178</v>
      </c>
      <c r="X111" s="7" t="s">
        <v>953</v>
      </c>
      <c r="Y111" s="7" t="s">
        <v>576</v>
      </c>
      <c r="Z111" s="7" t="s">
        <v>2589</v>
      </c>
      <c r="AA111" s="7" t="s">
        <v>3179</v>
      </c>
      <c r="AB111" s="7" t="s">
        <v>2849</v>
      </c>
      <c r="AC111" s="6" t="s">
        <v>399</v>
      </c>
      <c r="AD111" s="6" t="s">
        <v>399</v>
      </c>
      <c r="AE111" s="6" t="s">
        <v>399</v>
      </c>
      <c r="AF111" s="6" t="s">
        <v>399</v>
      </c>
      <c r="AG111" s="6" t="s">
        <v>399</v>
      </c>
      <c r="AH111" s="6">
        <v>43</v>
      </c>
      <c r="AI111" s="6">
        <v>43</v>
      </c>
      <c r="AJ111" s="59">
        <v>43</v>
      </c>
      <c r="AK111" s="59">
        <v>43</v>
      </c>
      <c r="AL111" s="6" t="s">
        <v>399</v>
      </c>
      <c r="AM111" s="6" t="s">
        <v>399</v>
      </c>
      <c r="AN111" s="6" t="s">
        <v>398</v>
      </c>
    </row>
    <row r="112" ht="15.75" customHeight="1" spans="1:40">
      <c r="A112" s="6" t="s">
        <v>2576</v>
      </c>
      <c r="B112" s="45" t="s">
        <v>548</v>
      </c>
      <c r="C112" s="4" t="s">
        <v>957</v>
      </c>
      <c r="D112" s="12" t="s">
        <v>3180</v>
      </c>
      <c r="E112" s="29" t="s">
        <v>491</v>
      </c>
      <c r="F112" s="6" t="s">
        <v>3181</v>
      </c>
      <c r="G112" s="6">
        <v>7081233269</v>
      </c>
      <c r="H112" s="7" t="s">
        <v>3182</v>
      </c>
      <c r="I112" s="7" t="s">
        <v>3183</v>
      </c>
      <c r="J112" s="7" t="s">
        <v>941</v>
      </c>
      <c r="K112" s="7" t="s">
        <v>942</v>
      </c>
      <c r="L112" s="7" t="s">
        <v>975</v>
      </c>
      <c r="M112" s="7" t="s">
        <v>3184</v>
      </c>
      <c r="N112" s="55">
        <v>31316</v>
      </c>
      <c r="O112" s="7" t="s">
        <v>945</v>
      </c>
      <c r="P112" s="7" t="s">
        <v>946</v>
      </c>
      <c r="Q112" s="7" t="s">
        <v>947</v>
      </c>
      <c r="R112" s="7" t="s">
        <v>3185</v>
      </c>
      <c r="S112" s="59">
        <v>61</v>
      </c>
      <c r="T112" s="7" t="s">
        <v>1011</v>
      </c>
      <c r="U112" s="7" t="s">
        <v>3186</v>
      </c>
      <c r="V112" s="7" t="s">
        <v>3187</v>
      </c>
      <c r="W112" s="7" t="s">
        <v>3188</v>
      </c>
      <c r="X112" s="7" t="s">
        <v>2688</v>
      </c>
      <c r="Y112" s="7" t="s">
        <v>548</v>
      </c>
      <c r="Z112" s="7" t="s">
        <v>2689</v>
      </c>
      <c r="AA112" s="7" t="s">
        <v>3189</v>
      </c>
      <c r="AB112" s="7" t="s">
        <v>1086</v>
      </c>
      <c r="AC112" s="7" t="s">
        <v>396</v>
      </c>
      <c r="AD112" s="7" t="s">
        <v>396</v>
      </c>
      <c r="AE112" s="7" t="s">
        <v>396</v>
      </c>
      <c r="AF112" s="7" t="s">
        <v>396</v>
      </c>
      <c r="AG112" s="7" t="s">
        <v>396</v>
      </c>
      <c r="AH112" s="59">
        <v>40</v>
      </c>
      <c r="AI112" s="59">
        <v>40</v>
      </c>
      <c r="AJ112" s="59">
        <v>40</v>
      </c>
      <c r="AK112" s="59">
        <v>41</v>
      </c>
      <c r="AL112" s="7" t="s">
        <v>396</v>
      </c>
      <c r="AM112" s="7" t="s">
        <v>396</v>
      </c>
      <c r="AN112" s="7" t="s">
        <v>396</v>
      </c>
    </row>
    <row r="113" ht="15.75" customHeight="1" spans="1:40">
      <c r="A113" s="6" t="s">
        <v>2576</v>
      </c>
      <c r="B113" s="45" t="s">
        <v>576</v>
      </c>
      <c r="C113" s="4" t="s">
        <v>957</v>
      </c>
      <c r="D113" s="12" t="s">
        <v>3190</v>
      </c>
      <c r="E113" s="29" t="s">
        <v>971</v>
      </c>
      <c r="F113" s="46" t="s">
        <v>3191</v>
      </c>
      <c r="G113" s="46">
        <v>4120715621</v>
      </c>
      <c r="H113" s="47" t="s">
        <v>2583</v>
      </c>
      <c r="I113" s="47" t="s">
        <v>2584</v>
      </c>
      <c r="J113" s="7" t="s">
        <v>942</v>
      </c>
      <c r="K113" s="7" t="s">
        <v>942</v>
      </c>
      <c r="L113" s="7" t="s">
        <v>1080</v>
      </c>
      <c r="M113" s="7" t="s">
        <v>3192</v>
      </c>
      <c r="N113" s="51">
        <v>38362</v>
      </c>
      <c r="O113" s="7" t="s">
        <v>945</v>
      </c>
      <c r="P113" s="7" t="s">
        <v>946</v>
      </c>
      <c r="Q113" s="7" t="s">
        <v>963</v>
      </c>
      <c r="R113" s="7" t="s">
        <v>3193</v>
      </c>
      <c r="S113" s="59">
        <v>63</v>
      </c>
      <c r="T113" s="7" t="s">
        <v>965</v>
      </c>
      <c r="U113" s="7"/>
      <c r="V113" s="7" t="s">
        <v>3194</v>
      </c>
      <c r="W113" s="7" t="s">
        <v>3195</v>
      </c>
      <c r="X113" s="7" t="s">
        <v>953</v>
      </c>
      <c r="Y113" s="7" t="s">
        <v>576</v>
      </c>
      <c r="Z113" s="7" t="s">
        <v>2589</v>
      </c>
      <c r="AA113" s="7" t="s">
        <v>3196</v>
      </c>
      <c r="AB113" s="7" t="s">
        <v>1086</v>
      </c>
      <c r="AC113" s="6" t="s">
        <v>396</v>
      </c>
      <c r="AD113" s="6" t="s">
        <v>396</v>
      </c>
      <c r="AE113" s="6" t="s">
        <v>396</v>
      </c>
      <c r="AF113" s="6" t="s">
        <v>396</v>
      </c>
      <c r="AG113" s="6" t="s">
        <v>396</v>
      </c>
      <c r="AH113" s="6">
        <v>40</v>
      </c>
      <c r="AI113" s="6">
        <v>40</v>
      </c>
      <c r="AJ113" s="59">
        <v>40</v>
      </c>
      <c r="AK113" s="59">
        <v>40</v>
      </c>
      <c r="AL113" s="6" t="s">
        <v>396</v>
      </c>
      <c r="AM113" s="6" t="s">
        <v>396</v>
      </c>
      <c r="AN113" s="6" t="s">
        <v>396</v>
      </c>
    </row>
    <row r="114" ht="15.75" customHeight="1" spans="1:40">
      <c r="A114" s="6" t="s">
        <v>2576</v>
      </c>
      <c r="B114" s="45" t="s">
        <v>520</v>
      </c>
      <c r="C114" s="4" t="s">
        <v>957</v>
      </c>
      <c r="D114" s="12" t="s">
        <v>3197</v>
      </c>
      <c r="E114" s="29" t="s">
        <v>971</v>
      </c>
      <c r="F114" s="46" t="s">
        <v>3198</v>
      </c>
      <c r="G114" s="46">
        <v>1088779754</v>
      </c>
      <c r="H114" s="47" t="s">
        <v>2611</v>
      </c>
      <c r="I114" s="4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row>
    <row r="115" ht="15.75" customHeight="1" spans="1:40">
      <c r="A115" s="6" t="s">
        <v>2576</v>
      </c>
      <c r="B115" s="45" t="s">
        <v>548</v>
      </c>
      <c r="C115" s="4" t="s">
        <v>957</v>
      </c>
      <c r="D115" s="12" t="s">
        <v>3199</v>
      </c>
      <c r="E115" s="29" t="s">
        <v>971</v>
      </c>
      <c r="F115" s="46" t="s">
        <v>3200</v>
      </c>
      <c r="G115" s="46">
        <v>8097605094</v>
      </c>
      <c r="H115" s="47" t="s">
        <v>3201</v>
      </c>
      <c r="I115" s="47" t="s">
        <v>2890</v>
      </c>
      <c r="J115" s="7"/>
      <c r="K115" s="7" t="s">
        <v>942</v>
      </c>
      <c r="L115" s="7"/>
      <c r="M115" s="7"/>
      <c r="N115" s="15"/>
      <c r="O115" s="7" t="s">
        <v>1028</v>
      </c>
      <c r="P115" s="7"/>
      <c r="Q115" s="7"/>
      <c r="R115" s="7"/>
      <c r="S115" s="7"/>
      <c r="T115" s="7"/>
      <c r="U115" s="7"/>
      <c r="V115" s="7"/>
      <c r="W115" s="7"/>
      <c r="X115" s="7"/>
      <c r="Y115" s="7" t="s">
        <v>548</v>
      </c>
      <c r="Z115" s="7"/>
      <c r="AA115" s="7"/>
      <c r="AB115" s="7"/>
      <c r="AC115" s="7"/>
      <c r="AD115" s="7"/>
      <c r="AE115" s="7"/>
      <c r="AF115" s="7"/>
      <c r="AG115" s="7"/>
      <c r="AH115" s="7"/>
      <c r="AI115" s="7"/>
      <c r="AJ115" s="7"/>
      <c r="AK115" s="7"/>
      <c r="AL115" s="7"/>
      <c r="AM115" s="7"/>
      <c r="AN115" s="7"/>
    </row>
    <row r="116" ht="15.75" customHeight="1" spans="1:40">
      <c r="A116" s="6" t="s">
        <v>2576</v>
      </c>
      <c r="B116" s="45" t="s">
        <v>558</v>
      </c>
      <c r="C116" s="4" t="s">
        <v>957</v>
      </c>
      <c r="D116" s="10" t="s">
        <v>3202</v>
      </c>
      <c r="E116" s="29" t="s">
        <v>971</v>
      </c>
      <c r="F116" s="46"/>
      <c r="G116" s="47"/>
      <c r="H116" s="47"/>
      <c r="I116" s="47"/>
      <c r="J116" s="7"/>
      <c r="K116" s="7"/>
      <c r="L116" s="7"/>
      <c r="M116" s="7"/>
      <c r="N116" s="15"/>
      <c r="O116" s="7"/>
      <c r="P116" s="7"/>
      <c r="Q116" s="7"/>
      <c r="R116" s="7"/>
      <c r="S116" s="7"/>
      <c r="T116" s="7"/>
      <c r="U116" s="7"/>
      <c r="V116" s="7"/>
      <c r="W116" s="7"/>
      <c r="X116" s="7"/>
      <c r="Y116" s="7"/>
      <c r="Z116" s="7"/>
      <c r="AA116" s="7"/>
      <c r="AB116" s="7"/>
      <c r="AC116" s="7"/>
      <c r="AD116" s="7"/>
      <c r="AE116" s="7"/>
      <c r="AF116" s="7"/>
      <c r="AG116" s="6" t="s">
        <v>398</v>
      </c>
      <c r="AH116" s="6">
        <v>40</v>
      </c>
      <c r="AI116" s="7"/>
      <c r="AJ116" s="7"/>
      <c r="AK116" s="7"/>
      <c r="AL116" s="7" t="s">
        <v>398</v>
      </c>
      <c r="AM116" s="7" t="s">
        <v>398</v>
      </c>
      <c r="AN116" s="7" t="s">
        <v>398</v>
      </c>
    </row>
    <row r="117" ht="15.75" customHeight="1" spans="1:40">
      <c r="A117" s="39"/>
      <c r="B117" s="49"/>
      <c r="C117" s="4"/>
      <c r="D117" s="35" t="s">
        <v>3203</v>
      </c>
      <c r="E117" s="39" t="s">
        <v>491</v>
      </c>
      <c r="F117" s="39" t="s">
        <v>3204</v>
      </c>
      <c r="G117" s="39"/>
      <c r="H117" s="39"/>
      <c r="I117" s="39"/>
      <c r="J117" s="6"/>
      <c r="K117" s="6"/>
      <c r="L117" s="6"/>
      <c r="M117" s="6"/>
      <c r="N117" s="6"/>
      <c r="O117" s="6"/>
      <c r="P117" s="6"/>
      <c r="Q117" s="6"/>
      <c r="R117" s="6"/>
      <c r="S117" s="6"/>
      <c r="T117" s="6"/>
      <c r="U117" s="6"/>
      <c r="V117" s="6"/>
      <c r="W117" s="39"/>
      <c r="X117" s="39"/>
      <c r="Y117" s="39"/>
      <c r="Z117" s="39"/>
      <c r="AA117" s="6"/>
      <c r="AB117" s="6"/>
      <c r="AC117" s="6"/>
      <c r="AD117" s="6"/>
      <c r="AE117" s="6"/>
      <c r="AF117" s="6"/>
      <c r="AG117" s="6"/>
      <c r="AH117" s="6"/>
      <c r="AI117" s="6"/>
      <c r="AJ117" s="6"/>
      <c r="AK117" s="6"/>
      <c r="AL117" s="6"/>
      <c r="AM117" s="6"/>
      <c r="AN117" s="6"/>
    </row>
    <row r="118" ht="15.75" customHeight="1" spans="1:40">
      <c r="A118" s="6" t="s">
        <v>2576</v>
      </c>
      <c r="B118" s="45" t="s">
        <v>551</v>
      </c>
      <c r="C118" s="4" t="s">
        <v>957</v>
      </c>
      <c r="D118" s="12" t="s">
        <v>3205</v>
      </c>
      <c r="E118" s="29" t="s">
        <v>971</v>
      </c>
      <c r="F118" s="46" t="s">
        <v>3206</v>
      </c>
      <c r="G118" s="46">
        <v>3059432124</v>
      </c>
      <c r="H118" s="47" t="s">
        <v>939</v>
      </c>
      <c r="I118" s="47" t="s">
        <v>2713</v>
      </c>
      <c r="J118" s="7" t="s">
        <v>942</v>
      </c>
      <c r="K118" s="7" t="s">
        <v>942</v>
      </c>
      <c r="L118" s="7" t="s">
        <v>975</v>
      </c>
      <c r="M118" s="7" t="s">
        <v>2260</v>
      </c>
      <c r="N118" s="51">
        <v>28255</v>
      </c>
      <c r="O118" s="7" t="s">
        <v>945</v>
      </c>
      <c r="P118" s="7" t="s">
        <v>946</v>
      </c>
      <c r="Q118" s="7" t="s">
        <v>963</v>
      </c>
      <c r="R118" s="7" t="s">
        <v>3207</v>
      </c>
      <c r="S118" s="59">
        <v>68</v>
      </c>
      <c r="T118" s="7" t="s">
        <v>1044</v>
      </c>
      <c r="U118" s="7"/>
      <c r="V118" s="7" t="s">
        <v>3208</v>
      </c>
      <c r="W118" s="7"/>
      <c r="X118" s="7" t="s">
        <v>953</v>
      </c>
      <c r="Y118" s="7" t="s">
        <v>551</v>
      </c>
      <c r="Z118" s="59">
        <v>99830000</v>
      </c>
      <c r="AA118" s="7" t="s">
        <v>3209</v>
      </c>
      <c r="AB118" s="7" t="s">
        <v>1178</v>
      </c>
      <c r="AC118" s="7" t="s">
        <v>396</v>
      </c>
      <c r="AD118" s="7" t="s">
        <v>396</v>
      </c>
      <c r="AE118" s="6" t="s">
        <v>406</v>
      </c>
      <c r="AF118" s="6" t="s">
        <v>406</v>
      </c>
      <c r="AG118" s="6" t="s">
        <v>406</v>
      </c>
      <c r="AH118" s="6">
        <v>41</v>
      </c>
      <c r="AI118" s="6">
        <v>41</v>
      </c>
      <c r="AJ118" s="59">
        <v>41</v>
      </c>
      <c r="AK118" s="59">
        <v>41</v>
      </c>
      <c r="AL118" s="7" t="s">
        <v>396</v>
      </c>
      <c r="AM118" s="7" t="s">
        <v>396</v>
      </c>
      <c r="AN118" s="7" t="s">
        <v>396</v>
      </c>
    </row>
    <row r="119" ht="15.75" customHeight="1" spans="1:40">
      <c r="A119" s="6" t="s">
        <v>2576</v>
      </c>
      <c r="B119" s="45" t="s">
        <v>552</v>
      </c>
      <c r="C119" s="4" t="s">
        <v>957</v>
      </c>
      <c r="D119" s="12" t="s">
        <v>3210</v>
      </c>
      <c r="E119" s="29" t="s">
        <v>971</v>
      </c>
      <c r="F119" s="46" t="s">
        <v>3211</v>
      </c>
      <c r="G119" s="46">
        <v>1068372596</v>
      </c>
      <c r="H119" s="47" t="s">
        <v>3212</v>
      </c>
      <c r="I119" s="47"/>
      <c r="J119" s="7" t="s">
        <v>941</v>
      </c>
      <c r="K119" s="7" t="s">
        <v>942</v>
      </c>
      <c r="L119" s="7" t="s">
        <v>975</v>
      </c>
      <c r="M119" s="7" t="s">
        <v>3213</v>
      </c>
      <c r="N119" s="51">
        <v>28697</v>
      </c>
      <c r="O119" s="7" t="s">
        <v>945</v>
      </c>
      <c r="P119" s="7" t="s">
        <v>946</v>
      </c>
      <c r="Q119" s="7" t="s">
        <v>1245</v>
      </c>
      <c r="R119" s="7" t="s">
        <v>3214</v>
      </c>
      <c r="S119" s="59">
        <v>93</v>
      </c>
      <c r="T119" s="7" t="s">
        <v>1011</v>
      </c>
      <c r="U119" s="7"/>
      <c r="V119" s="7" t="s">
        <v>3215</v>
      </c>
      <c r="W119" s="7" t="s">
        <v>3216</v>
      </c>
      <c r="X119" s="7" t="s">
        <v>953</v>
      </c>
      <c r="Y119" s="7" t="s">
        <v>552</v>
      </c>
      <c r="Z119" s="7" t="s">
        <v>2658</v>
      </c>
      <c r="AA119" s="7" t="s">
        <v>3217</v>
      </c>
      <c r="AB119" s="7" t="s">
        <v>1086</v>
      </c>
      <c r="AC119" s="7" t="s">
        <v>406</v>
      </c>
      <c r="AD119" s="7" t="s">
        <v>406</v>
      </c>
      <c r="AE119" s="6" t="s">
        <v>406</v>
      </c>
      <c r="AF119" s="6" t="s">
        <v>406</v>
      </c>
      <c r="AG119" s="6" t="s">
        <v>406</v>
      </c>
      <c r="AH119" s="6">
        <v>42</v>
      </c>
      <c r="AI119" s="6">
        <v>42</v>
      </c>
      <c r="AJ119" s="59">
        <v>42</v>
      </c>
      <c r="AK119" s="59">
        <v>42</v>
      </c>
      <c r="AL119" s="7" t="s">
        <v>406</v>
      </c>
      <c r="AM119" s="7" t="s">
        <v>406</v>
      </c>
      <c r="AN119" s="7" t="s">
        <v>406</v>
      </c>
    </row>
    <row r="120" ht="15.75" customHeight="1" spans="1:40">
      <c r="A120" s="6" t="s">
        <v>2576</v>
      </c>
      <c r="B120" s="45" t="s">
        <v>556</v>
      </c>
      <c r="C120" s="4" t="s">
        <v>957</v>
      </c>
      <c r="D120" s="12" t="s">
        <v>3218</v>
      </c>
      <c r="E120" s="29" t="s">
        <v>971</v>
      </c>
      <c r="F120" s="46" t="s">
        <v>3219</v>
      </c>
      <c r="G120" s="47"/>
      <c r="H120" s="47"/>
      <c r="I120" s="47"/>
      <c r="J120" s="7"/>
      <c r="K120" s="7"/>
      <c r="L120" s="7"/>
      <c r="M120" s="7"/>
      <c r="N120" s="15"/>
      <c r="O120" s="7"/>
      <c r="P120" s="7"/>
      <c r="Q120" s="7"/>
      <c r="R120" s="7" t="s">
        <v>3220</v>
      </c>
      <c r="S120" s="7"/>
      <c r="T120" s="7"/>
      <c r="U120" s="7"/>
      <c r="V120" s="7"/>
      <c r="W120" s="7"/>
      <c r="X120" s="7"/>
      <c r="Y120" s="7"/>
      <c r="Z120" s="7"/>
      <c r="AA120" s="7"/>
      <c r="AB120" s="7"/>
      <c r="AC120" s="7"/>
      <c r="AD120" s="7"/>
      <c r="AE120" s="7"/>
      <c r="AF120" s="7"/>
      <c r="AG120" s="6" t="s">
        <v>399</v>
      </c>
      <c r="AH120" s="6">
        <v>43</v>
      </c>
      <c r="AI120" s="7"/>
      <c r="AJ120" s="7"/>
      <c r="AK120" s="7"/>
      <c r="AL120" s="7" t="s">
        <v>399</v>
      </c>
      <c r="AM120" s="7" t="s">
        <v>399</v>
      </c>
      <c r="AN120" s="7" t="s">
        <v>399</v>
      </c>
    </row>
    <row r="121" ht="15.75" customHeight="1" spans="1:40">
      <c r="A121" s="6" t="s">
        <v>2576</v>
      </c>
      <c r="B121" s="45" t="s">
        <v>509</v>
      </c>
      <c r="C121" s="4" t="s">
        <v>957</v>
      </c>
      <c r="D121" s="10" t="s">
        <v>278</v>
      </c>
      <c r="E121" s="29" t="s">
        <v>971</v>
      </c>
      <c r="F121" s="46" t="s">
        <v>3221</v>
      </c>
      <c r="G121" s="46">
        <v>9049718142</v>
      </c>
      <c r="H121" s="47" t="s">
        <v>986</v>
      </c>
      <c r="I121" s="47" t="s">
        <v>2916</v>
      </c>
      <c r="J121" s="7" t="s">
        <v>942</v>
      </c>
      <c r="K121" s="7" t="s">
        <v>942</v>
      </c>
      <c r="L121" s="7" t="s">
        <v>975</v>
      </c>
      <c r="M121" s="7" t="s">
        <v>3222</v>
      </c>
      <c r="N121" s="51">
        <v>30359</v>
      </c>
      <c r="O121" s="7" t="s">
        <v>945</v>
      </c>
      <c r="P121" s="7" t="s">
        <v>946</v>
      </c>
      <c r="Q121" s="7" t="s">
        <v>963</v>
      </c>
      <c r="R121" s="7" t="s">
        <v>3223</v>
      </c>
      <c r="S121" s="59">
        <v>82</v>
      </c>
      <c r="T121" s="7" t="s">
        <v>1030</v>
      </c>
      <c r="U121" s="7"/>
      <c r="V121" s="7" t="s">
        <v>3224</v>
      </c>
      <c r="W121" s="7" t="s">
        <v>3224</v>
      </c>
      <c r="X121" s="7" t="s">
        <v>953</v>
      </c>
      <c r="Y121" s="7" t="s">
        <v>509</v>
      </c>
      <c r="Z121" s="59">
        <v>99770000</v>
      </c>
      <c r="AA121" s="7" t="s">
        <v>3225</v>
      </c>
      <c r="AB121" s="7" t="s">
        <v>1086</v>
      </c>
      <c r="AC121" s="7" t="s">
        <v>406</v>
      </c>
      <c r="AD121" s="7" t="s">
        <v>406</v>
      </c>
      <c r="AE121" s="6" t="s">
        <v>406</v>
      </c>
      <c r="AF121" s="6" t="s">
        <v>395</v>
      </c>
      <c r="AG121" s="6" t="s">
        <v>406</v>
      </c>
      <c r="AH121" s="6">
        <v>42</v>
      </c>
      <c r="AI121" s="6">
        <v>42</v>
      </c>
      <c r="AJ121" s="59">
        <v>42</v>
      </c>
      <c r="AK121" s="59">
        <v>42</v>
      </c>
      <c r="AL121" s="7" t="s">
        <v>406</v>
      </c>
      <c r="AM121" s="7" t="s">
        <v>406</v>
      </c>
      <c r="AN121" s="7" t="s">
        <v>406</v>
      </c>
    </row>
    <row r="122" ht="15.75" customHeight="1" spans="1:40">
      <c r="A122" s="39"/>
      <c r="B122" s="49"/>
      <c r="C122" s="4"/>
      <c r="D122" s="35" t="s">
        <v>278</v>
      </c>
      <c r="E122" s="39" t="s">
        <v>491</v>
      </c>
      <c r="F122" s="39" t="s">
        <v>3226</v>
      </c>
      <c r="G122" s="39"/>
      <c r="H122" s="39"/>
      <c r="I122" s="39"/>
      <c r="J122" s="6"/>
      <c r="K122" s="6"/>
      <c r="L122" s="6"/>
      <c r="M122" s="6"/>
      <c r="N122" s="6"/>
      <c r="O122" s="6"/>
      <c r="P122" s="6"/>
      <c r="Q122" s="6"/>
      <c r="R122" s="6"/>
      <c r="S122" s="6"/>
      <c r="T122" s="6"/>
      <c r="U122" s="6"/>
      <c r="V122" s="6"/>
      <c r="W122" s="39"/>
      <c r="X122" s="39"/>
      <c r="Y122" s="39"/>
      <c r="Z122" s="39"/>
      <c r="AA122" s="6"/>
      <c r="AB122" s="6"/>
      <c r="AC122" s="6"/>
      <c r="AD122" s="6"/>
      <c r="AE122" s="6"/>
      <c r="AF122" s="6"/>
      <c r="AG122" s="6"/>
      <c r="AH122" s="6"/>
      <c r="AI122" s="6"/>
      <c r="AJ122" s="6"/>
      <c r="AK122" s="6"/>
      <c r="AL122" s="6"/>
      <c r="AM122" s="6"/>
      <c r="AN122" s="6"/>
    </row>
    <row r="123" ht="15.75" customHeight="1" spans="1:40">
      <c r="A123" s="6" t="s">
        <v>2576</v>
      </c>
      <c r="B123" s="45" t="s">
        <v>576</v>
      </c>
      <c r="C123" s="4" t="s">
        <v>957</v>
      </c>
      <c r="D123" s="12" t="s">
        <v>3227</v>
      </c>
      <c r="E123" s="29" t="s">
        <v>491</v>
      </c>
      <c r="F123" s="46" t="s">
        <v>3228</v>
      </c>
      <c r="G123" s="48" t="s">
        <v>3229</v>
      </c>
      <c r="H123" s="47" t="s">
        <v>3230</v>
      </c>
      <c r="I123" s="47" t="s">
        <v>3231</v>
      </c>
      <c r="J123" s="7" t="s">
        <v>941</v>
      </c>
      <c r="K123" s="7" t="s">
        <v>942</v>
      </c>
      <c r="L123" s="7" t="s">
        <v>975</v>
      </c>
      <c r="M123" s="7" t="s">
        <v>3232</v>
      </c>
      <c r="N123" s="55">
        <v>36460</v>
      </c>
      <c r="O123" s="7" t="s">
        <v>945</v>
      </c>
      <c r="P123" s="7" t="s">
        <v>946</v>
      </c>
      <c r="Q123" s="7" t="s">
        <v>1245</v>
      </c>
      <c r="R123" s="7" t="s">
        <v>3233</v>
      </c>
      <c r="S123" s="59">
        <v>71</v>
      </c>
      <c r="T123" s="7" t="s">
        <v>1011</v>
      </c>
      <c r="U123" s="7"/>
      <c r="V123" s="7" t="s">
        <v>3234</v>
      </c>
      <c r="W123" s="7" t="s">
        <v>3235</v>
      </c>
      <c r="X123" s="7" t="s">
        <v>953</v>
      </c>
      <c r="Y123" s="7" t="s">
        <v>576</v>
      </c>
      <c r="Z123" s="7" t="s">
        <v>2589</v>
      </c>
      <c r="AA123" s="7" t="s">
        <v>3236</v>
      </c>
      <c r="AB123" s="7" t="s">
        <v>3237</v>
      </c>
      <c r="AC123" s="6" t="s">
        <v>395</v>
      </c>
      <c r="AD123" s="6" t="s">
        <v>395</v>
      </c>
      <c r="AE123" s="6" t="s">
        <v>395</v>
      </c>
      <c r="AF123" s="6" t="s">
        <v>395</v>
      </c>
      <c r="AG123" s="6" t="s">
        <v>395</v>
      </c>
      <c r="AH123" s="6">
        <v>41</v>
      </c>
      <c r="AI123" s="6">
        <v>41</v>
      </c>
      <c r="AJ123" s="59">
        <v>41</v>
      </c>
      <c r="AK123" s="59">
        <v>41</v>
      </c>
      <c r="AL123" s="6" t="s">
        <v>395</v>
      </c>
      <c r="AM123" s="6" t="s">
        <v>395</v>
      </c>
      <c r="AN123" s="6" t="s">
        <v>395</v>
      </c>
    </row>
    <row r="124" ht="15.75" customHeight="1" spans="1:40">
      <c r="A124" s="6" t="s">
        <v>2576</v>
      </c>
      <c r="B124" s="45" t="s">
        <v>558</v>
      </c>
      <c r="C124" s="4" t="s">
        <v>957</v>
      </c>
      <c r="D124" s="10" t="s">
        <v>3238</v>
      </c>
      <c r="E124" s="29" t="s">
        <v>971</v>
      </c>
      <c r="F124" s="46"/>
      <c r="G124" s="47"/>
      <c r="H124" s="47"/>
      <c r="I124" s="47"/>
      <c r="J124" s="7"/>
      <c r="K124" s="7"/>
      <c r="L124" s="7"/>
      <c r="M124" s="7"/>
      <c r="N124" s="15"/>
      <c r="O124" s="7"/>
      <c r="P124" s="7"/>
      <c r="Q124" s="7"/>
      <c r="R124" s="7"/>
      <c r="S124" s="7"/>
      <c r="T124" s="7"/>
      <c r="U124" s="7"/>
      <c r="V124" s="7"/>
      <c r="W124" s="7"/>
      <c r="X124" s="7"/>
      <c r="Y124" s="7"/>
      <c r="Z124" s="7"/>
      <c r="AA124" s="7"/>
      <c r="AB124" s="7"/>
      <c r="AC124" s="7"/>
      <c r="AD124" s="7"/>
      <c r="AE124" s="7"/>
      <c r="AF124" s="7"/>
      <c r="AG124" s="6" t="s">
        <v>398</v>
      </c>
      <c r="AH124" s="6">
        <v>42</v>
      </c>
      <c r="AI124" s="7"/>
      <c r="AJ124" s="7"/>
      <c r="AK124" s="7"/>
      <c r="AL124" s="7" t="s">
        <v>406</v>
      </c>
      <c r="AM124" s="7" t="s">
        <v>406</v>
      </c>
      <c r="AN124" s="7" t="s">
        <v>406</v>
      </c>
    </row>
    <row r="125" ht="15.75" customHeight="1" spans="1:40">
      <c r="A125" s="6" t="s">
        <v>2576</v>
      </c>
      <c r="B125" s="45" t="s">
        <v>552</v>
      </c>
      <c r="C125" s="4" t="s">
        <v>957</v>
      </c>
      <c r="D125" s="12" t="s">
        <v>3239</v>
      </c>
      <c r="E125" s="29" t="s">
        <v>971</v>
      </c>
      <c r="F125" s="46" t="s">
        <v>3240</v>
      </c>
      <c r="G125" s="46">
        <v>8035003865</v>
      </c>
      <c r="H125" s="47" t="s">
        <v>2652</v>
      </c>
      <c r="I125" s="47" t="s">
        <v>3241</v>
      </c>
      <c r="J125" s="7" t="s">
        <v>941</v>
      </c>
      <c r="K125" s="7" t="s">
        <v>942</v>
      </c>
      <c r="L125" s="7" t="s">
        <v>1080</v>
      </c>
      <c r="M125" s="7" t="s">
        <v>3242</v>
      </c>
      <c r="N125" s="51">
        <v>24881</v>
      </c>
      <c r="O125" s="7" t="s">
        <v>945</v>
      </c>
      <c r="P125" s="7" t="s">
        <v>946</v>
      </c>
      <c r="Q125" s="7" t="s">
        <v>1245</v>
      </c>
      <c r="R125" s="7" t="s">
        <v>3243</v>
      </c>
      <c r="S125" s="59">
        <v>70</v>
      </c>
      <c r="T125" s="7" t="s">
        <v>1030</v>
      </c>
      <c r="U125" s="7"/>
      <c r="V125" s="7" t="s">
        <v>3244</v>
      </c>
      <c r="W125" s="7" t="s">
        <v>3245</v>
      </c>
      <c r="X125" s="7" t="s">
        <v>953</v>
      </c>
      <c r="Y125" s="7" t="s">
        <v>552</v>
      </c>
      <c r="Z125" s="7" t="s">
        <v>2658</v>
      </c>
      <c r="AA125" s="7" t="s">
        <v>3246</v>
      </c>
      <c r="AB125" s="7" t="s">
        <v>1086</v>
      </c>
      <c r="AC125" s="7" t="s">
        <v>396</v>
      </c>
      <c r="AD125" s="7" t="s">
        <v>396</v>
      </c>
      <c r="AE125" s="6" t="s">
        <v>396</v>
      </c>
      <c r="AF125" s="6" t="s">
        <v>396</v>
      </c>
      <c r="AG125" s="6" t="s">
        <v>396</v>
      </c>
      <c r="AH125" s="6">
        <v>42</v>
      </c>
      <c r="AI125" s="6">
        <v>41</v>
      </c>
      <c r="AJ125" s="59">
        <v>41</v>
      </c>
      <c r="AK125" s="59">
        <v>41</v>
      </c>
      <c r="AL125" s="7" t="s">
        <v>396</v>
      </c>
      <c r="AM125" s="7" t="s">
        <v>396</v>
      </c>
      <c r="AN125" s="7" t="s">
        <v>396</v>
      </c>
    </row>
    <row r="126" ht="15.75" customHeight="1" spans="1:40">
      <c r="A126" s="6" t="s">
        <v>2576</v>
      </c>
      <c r="B126" s="45" t="s">
        <v>520</v>
      </c>
      <c r="C126" s="4" t="s">
        <v>957</v>
      </c>
      <c r="D126" s="12" t="s">
        <v>3247</v>
      </c>
      <c r="E126" s="29" t="s">
        <v>971</v>
      </c>
      <c r="F126" s="46" t="s">
        <v>3248</v>
      </c>
      <c r="G126" s="46">
        <v>7088770974</v>
      </c>
      <c r="H126" s="47" t="s">
        <v>3249</v>
      </c>
      <c r="I126" s="47" t="s">
        <v>3250</v>
      </c>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row>
    <row r="127" ht="15.75" customHeight="1" spans="1:40">
      <c r="A127" s="6" t="s">
        <v>2576</v>
      </c>
      <c r="B127" s="45" t="s">
        <v>576</v>
      </c>
      <c r="C127" s="4" t="s">
        <v>957</v>
      </c>
      <c r="D127" s="10" t="s">
        <v>113</v>
      </c>
      <c r="E127" s="29" t="s">
        <v>971</v>
      </c>
      <c r="F127" s="46" t="s">
        <v>3251</v>
      </c>
      <c r="G127" s="46">
        <v>1110701156</v>
      </c>
      <c r="H127" s="47" t="s">
        <v>957</v>
      </c>
      <c r="I127" s="47" t="s">
        <v>3252</v>
      </c>
      <c r="J127" s="7" t="s">
        <v>942</v>
      </c>
      <c r="K127" s="7" t="s">
        <v>942</v>
      </c>
      <c r="L127" s="7" t="s">
        <v>975</v>
      </c>
      <c r="M127" s="7" t="s">
        <v>3253</v>
      </c>
      <c r="N127" s="55">
        <v>36522</v>
      </c>
      <c r="O127" s="7" t="s">
        <v>945</v>
      </c>
      <c r="P127" s="7" t="s">
        <v>946</v>
      </c>
      <c r="Q127" s="7" t="s">
        <v>1245</v>
      </c>
      <c r="R127" s="7" t="s">
        <v>3254</v>
      </c>
      <c r="S127" s="59">
        <v>86</v>
      </c>
      <c r="T127" s="7" t="s">
        <v>1011</v>
      </c>
      <c r="U127" s="7"/>
      <c r="V127" s="7" t="s">
        <v>3255</v>
      </c>
      <c r="W127" s="7" t="s">
        <v>3256</v>
      </c>
      <c r="X127" s="7" t="s">
        <v>953</v>
      </c>
      <c r="Y127" s="7" t="s">
        <v>576</v>
      </c>
      <c r="Z127" s="7" t="s">
        <v>2589</v>
      </c>
      <c r="AA127" s="7" t="s">
        <v>3257</v>
      </c>
      <c r="AB127" s="7" t="s">
        <v>3258</v>
      </c>
      <c r="AC127" s="6" t="s">
        <v>406</v>
      </c>
      <c r="AD127" s="6" t="s">
        <v>406</v>
      </c>
      <c r="AE127" s="6" t="s">
        <v>406</v>
      </c>
      <c r="AF127" s="6" t="s">
        <v>406</v>
      </c>
      <c r="AG127" s="6" t="s">
        <v>406</v>
      </c>
      <c r="AH127" s="6">
        <v>40</v>
      </c>
      <c r="AI127" s="6">
        <v>40</v>
      </c>
      <c r="AJ127" s="59">
        <v>40</v>
      </c>
      <c r="AK127" s="59">
        <v>40</v>
      </c>
      <c r="AL127" s="6" t="s">
        <v>406</v>
      </c>
      <c r="AM127" s="6" t="s">
        <v>406</v>
      </c>
      <c r="AN127" s="6" t="s">
        <v>406</v>
      </c>
    </row>
    <row r="128" ht="15.75" customHeight="1" spans="1:40">
      <c r="A128" s="6" t="s">
        <v>2576</v>
      </c>
      <c r="B128" s="45" t="s">
        <v>552</v>
      </c>
      <c r="C128" s="4" t="s">
        <v>957</v>
      </c>
      <c r="D128" s="12" t="s">
        <v>3259</v>
      </c>
      <c r="E128" s="29" t="s">
        <v>971</v>
      </c>
      <c r="F128" s="46" t="s">
        <v>3260</v>
      </c>
      <c r="G128" s="46">
        <v>2113614966</v>
      </c>
      <c r="H128" s="47" t="s">
        <v>2652</v>
      </c>
      <c r="I128" s="47"/>
      <c r="J128" s="7" t="s">
        <v>942</v>
      </c>
      <c r="K128" s="7" t="s">
        <v>942</v>
      </c>
      <c r="L128" s="7" t="s">
        <v>1068</v>
      </c>
      <c r="M128" s="7" t="s">
        <v>3261</v>
      </c>
      <c r="N128" s="55">
        <v>34300</v>
      </c>
      <c r="O128" s="7" t="s">
        <v>945</v>
      </c>
      <c r="P128" s="7" t="s">
        <v>1104</v>
      </c>
      <c r="Q128" s="7" t="s">
        <v>963</v>
      </c>
      <c r="R128" s="7"/>
      <c r="S128" s="59">
        <v>62</v>
      </c>
      <c r="T128" s="7" t="s">
        <v>1044</v>
      </c>
      <c r="U128" s="7"/>
      <c r="V128" s="7" t="s">
        <v>3262</v>
      </c>
      <c r="W128" s="7"/>
      <c r="X128" s="7" t="s">
        <v>953</v>
      </c>
      <c r="Y128" s="7" t="s">
        <v>511</v>
      </c>
      <c r="Z128" s="7" t="s">
        <v>3263</v>
      </c>
      <c r="AA128" s="7" t="s">
        <v>3264</v>
      </c>
      <c r="AB128" s="7" t="s">
        <v>1086</v>
      </c>
      <c r="AC128" s="7" t="s">
        <v>396</v>
      </c>
      <c r="AD128" s="7" t="s">
        <v>396</v>
      </c>
      <c r="AE128" s="6" t="s">
        <v>396</v>
      </c>
      <c r="AF128" s="6" t="s">
        <v>396</v>
      </c>
      <c r="AG128" s="6" t="s">
        <v>396</v>
      </c>
      <c r="AH128" s="6">
        <v>39</v>
      </c>
      <c r="AI128" s="6">
        <v>39</v>
      </c>
      <c r="AJ128" s="59">
        <v>39</v>
      </c>
      <c r="AK128" s="59">
        <v>39</v>
      </c>
      <c r="AL128" s="7" t="s">
        <v>396</v>
      </c>
      <c r="AM128" s="7" t="s">
        <v>396</v>
      </c>
      <c r="AN128" s="7" t="s">
        <v>396</v>
      </c>
    </row>
    <row r="129" ht="15.75" customHeight="1" spans="1:40">
      <c r="A129" s="6" t="s">
        <v>2576</v>
      </c>
      <c r="B129" s="45" t="s">
        <v>576</v>
      </c>
      <c r="C129" s="4" t="s">
        <v>957</v>
      </c>
      <c r="D129" s="12" t="s">
        <v>3265</v>
      </c>
      <c r="E129" s="29" t="s">
        <v>971</v>
      </c>
      <c r="F129" s="46" t="s">
        <v>3266</v>
      </c>
      <c r="G129" s="46">
        <v>5114518862</v>
      </c>
      <c r="H129" s="47" t="s">
        <v>2583</v>
      </c>
      <c r="I129" s="47" t="s">
        <v>2584</v>
      </c>
      <c r="J129" s="7" t="s">
        <v>942</v>
      </c>
      <c r="K129" s="7" t="s">
        <v>942</v>
      </c>
      <c r="L129" s="7" t="s">
        <v>943</v>
      </c>
      <c r="M129" s="7" t="s">
        <v>3267</v>
      </c>
      <c r="N129" s="51">
        <v>36931</v>
      </c>
      <c r="O129" s="7" t="s">
        <v>945</v>
      </c>
      <c r="P129" s="7" t="s">
        <v>946</v>
      </c>
      <c r="Q129" s="7" t="s">
        <v>963</v>
      </c>
      <c r="R129" s="7" t="s">
        <v>3268</v>
      </c>
      <c r="S129" s="59">
        <v>92</v>
      </c>
      <c r="T129" s="7" t="s">
        <v>965</v>
      </c>
      <c r="U129" s="7"/>
      <c r="V129" s="7" t="s">
        <v>3269</v>
      </c>
      <c r="W129" s="7" t="s">
        <v>3270</v>
      </c>
      <c r="X129" s="7" t="s">
        <v>953</v>
      </c>
      <c r="Y129" s="7" t="s">
        <v>576</v>
      </c>
      <c r="Z129" s="7" t="s">
        <v>2589</v>
      </c>
      <c r="AA129" s="7" t="s">
        <v>3271</v>
      </c>
      <c r="AB129" s="7" t="s">
        <v>2736</v>
      </c>
      <c r="AC129" s="6" t="s">
        <v>406</v>
      </c>
      <c r="AD129" s="6" t="s">
        <v>406</v>
      </c>
      <c r="AE129" s="6" t="s">
        <v>406</v>
      </c>
      <c r="AF129" s="6" t="s">
        <v>406</v>
      </c>
      <c r="AG129" s="6" t="s">
        <v>406</v>
      </c>
      <c r="AH129" s="6">
        <v>43</v>
      </c>
      <c r="AI129" s="6">
        <v>43</v>
      </c>
      <c r="AJ129" s="59">
        <v>43</v>
      </c>
      <c r="AK129" s="59">
        <v>43</v>
      </c>
      <c r="AL129" s="6" t="s">
        <v>406</v>
      </c>
      <c r="AM129" s="6" t="s">
        <v>406</v>
      </c>
      <c r="AN129" s="6" t="s">
        <v>406</v>
      </c>
    </row>
    <row r="130" ht="15.75" customHeight="1" spans="1:40">
      <c r="A130" s="6" t="s">
        <v>2576</v>
      </c>
      <c r="B130" s="45" t="s">
        <v>577</v>
      </c>
      <c r="C130" s="4" t="s">
        <v>957</v>
      </c>
      <c r="D130" s="10" t="s">
        <v>279</v>
      </c>
      <c r="E130" s="29" t="s">
        <v>491</v>
      </c>
      <c r="F130" s="46" t="s">
        <v>3272</v>
      </c>
      <c r="G130" s="46">
        <v>6111448566</v>
      </c>
      <c r="H130" s="47" t="s">
        <v>2043</v>
      </c>
      <c r="I130" s="47" t="s">
        <v>2633</v>
      </c>
      <c r="J130" s="7" t="s">
        <v>942</v>
      </c>
      <c r="K130" s="7" t="s">
        <v>942</v>
      </c>
      <c r="L130" s="7" t="s">
        <v>975</v>
      </c>
      <c r="M130" s="7" t="s">
        <v>1414</v>
      </c>
      <c r="N130" s="55">
        <v>35746</v>
      </c>
      <c r="O130" s="7" t="s">
        <v>945</v>
      </c>
      <c r="P130" s="7" t="s">
        <v>946</v>
      </c>
      <c r="Q130" s="7" t="s">
        <v>963</v>
      </c>
      <c r="R130" s="7" t="s">
        <v>3273</v>
      </c>
      <c r="S130" s="59">
        <v>75</v>
      </c>
      <c r="T130" s="7" t="s">
        <v>1011</v>
      </c>
      <c r="U130" s="7"/>
      <c r="V130" s="7" t="s">
        <v>3274</v>
      </c>
      <c r="W130" s="47" t="s">
        <v>2637</v>
      </c>
      <c r="X130" s="7" t="s">
        <v>953</v>
      </c>
      <c r="Y130" s="47" t="s">
        <v>577</v>
      </c>
      <c r="Z130" s="47" t="s">
        <v>2638</v>
      </c>
      <c r="AA130" s="7" t="s">
        <v>3275</v>
      </c>
      <c r="AB130" s="7" t="s">
        <v>1086</v>
      </c>
      <c r="AC130" s="6" t="s">
        <v>396</v>
      </c>
      <c r="AD130" s="6" t="s">
        <v>396</v>
      </c>
      <c r="AE130" s="6" t="s">
        <v>396</v>
      </c>
      <c r="AF130" s="6" t="s">
        <v>396</v>
      </c>
      <c r="AG130" s="6" t="s">
        <v>396</v>
      </c>
      <c r="AH130" s="6">
        <v>41</v>
      </c>
      <c r="AI130" s="6">
        <v>41</v>
      </c>
      <c r="AJ130" s="59">
        <v>41</v>
      </c>
      <c r="AK130" s="59">
        <v>41</v>
      </c>
      <c r="AL130" s="6" t="s">
        <v>396</v>
      </c>
      <c r="AM130" s="6" t="s">
        <v>396</v>
      </c>
      <c r="AN130" s="6" t="s">
        <v>396</v>
      </c>
    </row>
    <row r="131" ht="15.75" customHeight="1" spans="1:40">
      <c r="A131" s="6" t="s">
        <v>2576</v>
      </c>
      <c r="B131" s="45" t="s">
        <v>546</v>
      </c>
      <c r="C131" s="4" t="s">
        <v>957</v>
      </c>
      <c r="D131" s="12" t="s">
        <v>3276</v>
      </c>
      <c r="E131" s="29" t="s">
        <v>491</v>
      </c>
      <c r="F131" s="46"/>
      <c r="G131" s="47"/>
      <c r="H131" s="47"/>
      <c r="I131" s="47"/>
      <c r="J131" s="47"/>
      <c r="K131" s="47"/>
      <c r="L131" s="47"/>
      <c r="M131" s="47"/>
      <c r="N131" s="52">
        <v>25697</v>
      </c>
      <c r="O131" s="46" t="s">
        <v>945</v>
      </c>
      <c r="P131" s="47"/>
      <c r="Q131" s="47"/>
      <c r="R131" s="47"/>
      <c r="S131" s="47"/>
      <c r="T131" s="47"/>
      <c r="U131" s="47"/>
      <c r="V131" s="47"/>
      <c r="W131" s="47"/>
      <c r="X131" s="47"/>
      <c r="Y131" s="47"/>
      <c r="Z131" s="47"/>
      <c r="AA131" s="47"/>
      <c r="AB131" s="47"/>
      <c r="AC131" s="47"/>
      <c r="AD131" s="47"/>
      <c r="AE131" s="47"/>
      <c r="AF131" s="47"/>
      <c r="AG131" s="46" t="s">
        <v>399</v>
      </c>
      <c r="AH131" s="46">
        <v>43</v>
      </c>
      <c r="AI131" s="47"/>
      <c r="AJ131" s="47"/>
      <c r="AK131" s="47"/>
      <c r="AL131" s="46" t="s">
        <v>398</v>
      </c>
      <c r="AM131" s="46" t="s">
        <v>398</v>
      </c>
      <c r="AN131" s="46" t="s">
        <v>398</v>
      </c>
    </row>
    <row r="132" ht="15.75" customHeight="1" spans="1:40">
      <c r="A132" s="6" t="s">
        <v>2576</v>
      </c>
      <c r="B132" s="45" t="s">
        <v>577</v>
      </c>
      <c r="C132" s="4" t="s">
        <v>957</v>
      </c>
      <c r="D132" s="10" t="s">
        <v>280</v>
      </c>
      <c r="E132" s="29" t="s">
        <v>491</v>
      </c>
      <c r="F132" s="46" t="s">
        <v>3277</v>
      </c>
      <c r="G132" s="46">
        <v>1124358951</v>
      </c>
      <c r="H132" s="47" t="s">
        <v>2043</v>
      </c>
      <c r="I132" s="47" t="s">
        <v>2633</v>
      </c>
      <c r="J132" s="7" t="s">
        <v>942</v>
      </c>
      <c r="K132" s="7" t="s">
        <v>942</v>
      </c>
      <c r="L132" s="7" t="s">
        <v>1102</v>
      </c>
      <c r="M132" s="7" t="s">
        <v>3278</v>
      </c>
      <c r="N132" s="51">
        <v>37272</v>
      </c>
      <c r="O132" s="7" t="s">
        <v>945</v>
      </c>
      <c r="P132" s="7" t="s">
        <v>946</v>
      </c>
      <c r="Q132" s="7" t="s">
        <v>963</v>
      </c>
      <c r="R132" s="7" t="s">
        <v>3279</v>
      </c>
      <c r="S132" s="59">
        <v>85</v>
      </c>
      <c r="T132" s="7" t="s">
        <v>965</v>
      </c>
      <c r="U132" s="7"/>
      <c r="V132" s="7" t="s">
        <v>3280</v>
      </c>
      <c r="W132" s="47" t="s">
        <v>2637</v>
      </c>
      <c r="X132" s="7" t="s">
        <v>953</v>
      </c>
      <c r="Y132" s="47" t="s">
        <v>577</v>
      </c>
      <c r="Z132" s="47" t="s">
        <v>2638</v>
      </c>
      <c r="AA132" s="7" t="s">
        <v>3281</v>
      </c>
      <c r="AB132" s="7" t="s">
        <v>1086</v>
      </c>
      <c r="AC132" s="6" t="s">
        <v>406</v>
      </c>
      <c r="AD132" s="6" t="s">
        <v>396</v>
      </c>
      <c r="AE132" s="6" t="s">
        <v>406</v>
      </c>
      <c r="AF132" s="6" t="s">
        <v>406</v>
      </c>
      <c r="AG132" s="6" t="s">
        <v>406</v>
      </c>
      <c r="AH132" s="6">
        <v>41</v>
      </c>
      <c r="AI132" s="6">
        <v>41</v>
      </c>
      <c r="AJ132" s="59">
        <v>41</v>
      </c>
      <c r="AK132" s="59">
        <v>41</v>
      </c>
      <c r="AL132" s="6" t="s">
        <v>406</v>
      </c>
      <c r="AM132" s="6" t="s">
        <v>406</v>
      </c>
      <c r="AN132" s="6" t="s">
        <v>406</v>
      </c>
    </row>
    <row r="133" ht="15.75" customHeight="1" spans="1:40">
      <c r="A133" s="6" t="s">
        <v>2576</v>
      </c>
      <c r="B133" s="45" t="s">
        <v>523</v>
      </c>
      <c r="C133" s="4" t="s">
        <v>957</v>
      </c>
      <c r="D133" s="12" t="s">
        <v>3282</v>
      </c>
      <c r="E133" s="29" t="s">
        <v>971</v>
      </c>
      <c r="F133" s="46" t="s">
        <v>3283</v>
      </c>
      <c r="G133" s="46">
        <v>1113518169</v>
      </c>
      <c r="H133" s="47" t="s">
        <v>2665</v>
      </c>
      <c r="I133" s="47" t="s">
        <v>3284</v>
      </c>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c r="AK133" s="47"/>
      <c r="AL133" s="47"/>
      <c r="AM133" s="47"/>
      <c r="AN133" s="47"/>
    </row>
    <row r="134" ht="15.75" customHeight="1" spans="1:40">
      <c r="A134" s="6" t="s">
        <v>2576</v>
      </c>
      <c r="B134" s="45" t="s">
        <v>523</v>
      </c>
      <c r="C134" s="4" t="s">
        <v>957</v>
      </c>
      <c r="D134" s="12" t="s">
        <v>3285</v>
      </c>
      <c r="E134" s="29" t="s">
        <v>971</v>
      </c>
      <c r="F134" s="46" t="s">
        <v>3286</v>
      </c>
      <c r="G134" s="46" t="s">
        <v>3287</v>
      </c>
      <c r="H134" s="47" t="s">
        <v>939</v>
      </c>
      <c r="I134" s="47" t="s">
        <v>2799</v>
      </c>
      <c r="J134" s="47" t="s">
        <v>941</v>
      </c>
      <c r="K134" s="47" t="s">
        <v>941</v>
      </c>
      <c r="L134" s="47" t="s">
        <v>943</v>
      </c>
      <c r="M134" s="47" t="s">
        <v>3288</v>
      </c>
      <c r="N134" s="58">
        <v>32091</v>
      </c>
      <c r="O134" s="47" t="s">
        <v>2801</v>
      </c>
      <c r="P134" s="47" t="s">
        <v>2624</v>
      </c>
      <c r="Q134" s="47" t="s">
        <v>3289</v>
      </c>
      <c r="R134" s="47" t="s">
        <v>3290</v>
      </c>
      <c r="S134" s="47">
        <v>85</v>
      </c>
      <c r="T134" s="47">
        <v>1.66</v>
      </c>
      <c r="U134" s="47" t="s">
        <v>3291</v>
      </c>
      <c r="V134" s="47"/>
      <c r="W134" s="47"/>
      <c r="X134" s="47" t="s">
        <v>953</v>
      </c>
      <c r="Y134" s="47" t="s">
        <v>2628</v>
      </c>
      <c r="Z134" s="47" t="s">
        <v>2629</v>
      </c>
      <c r="AA134" s="47" t="s">
        <v>3292</v>
      </c>
      <c r="AB134" s="47" t="s">
        <v>1178</v>
      </c>
      <c r="AC134" s="47" t="s">
        <v>3293</v>
      </c>
      <c r="AD134" s="47" t="s">
        <v>399</v>
      </c>
      <c r="AE134" s="47" t="s">
        <v>398</v>
      </c>
      <c r="AF134" s="47" t="s">
        <v>399</v>
      </c>
      <c r="AG134" s="47" t="s">
        <v>399</v>
      </c>
      <c r="AH134" s="47" t="s">
        <v>399</v>
      </c>
      <c r="AI134" s="47">
        <v>36</v>
      </c>
      <c r="AJ134" s="47">
        <v>36</v>
      </c>
      <c r="AK134" s="47">
        <v>36</v>
      </c>
      <c r="AL134" s="47">
        <v>36</v>
      </c>
      <c r="AM134" s="47" t="s">
        <v>399</v>
      </c>
      <c r="AN134" s="47">
        <v>40</v>
      </c>
    </row>
    <row r="135" ht="15.75" customHeight="1" spans="1:40">
      <c r="A135" s="6" t="s">
        <v>2576</v>
      </c>
      <c r="B135" s="45" t="s">
        <v>523</v>
      </c>
      <c r="C135" s="4" t="s">
        <v>957</v>
      </c>
      <c r="D135" s="12" t="s">
        <v>3294</v>
      </c>
      <c r="E135" s="29" t="s">
        <v>971</v>
      </c>
      <c r="F135" s="46" t="s">
        <v>3295</v>
      </c>
      <c r="G135" s="46">
        <v>9022905021</v>
      </c>
      <c r="H135" s="47" t="s">
        <v>2665</v>
      </c>
      <c r="I135" s="47" t="s">
        <v>2740</v>
      </c>
      <c r="J135" s="47"/>
      <c r="K135" s="47"/>
      <c r="L135" s="47"/>
      <c r="M135" s="47"/>
      <c r="N135" s="47"/>
      <c r="O135" s="47"/>
      <c r="P135" s="47"/>
      <c r="Q135" s="47"/>
      <c r="R135" s="47"/>
      <c r="S135" s="47"/>
      <c r="T135" s="47"/>
      <c r="U135" s="47"/>
      <c r="V135" s="47"/>
      <c r="W135" s="47"/>
      <c r="X135" s="47"/>
      <c r="Y135" s="47"/>
      <c r="Z135" s="47"/>
      <c r="AA135" s="47"/>
      <c r="AB135" s="47"/>
      <c r="AC135" s="47"/>
      <c r="AD135" s="47"/>
      <c r="AE135" s="47"/>
      <c r="AF135" s="47"/>
      <c r="AG135" s="47"/>
      <c r="AH135" s="47"/>
      <c r="AI135" s="47"/>
      <c r="AJ135" s="47"/>
      <c r="AK135" s="47"/>
      <c r="AL135" s="47"/>
      <c r="AM135" s="47"/>
      <c r="AN135" s="47"/>
    </row>
    <row r="136" ht="15.75" customHeight="1" spans="1:40">
      <c r="A136" s="6" t="s">
        <v>2576</v>
      </c>
      <c r="B136" s="45" t="s">
        <v>534</v>
      </c>
      <c r="C136" s="4" t="s">
        <v>957</v>
      </c>
      <c r="D136" s="12" t="s">
        <v>100</v>
      </c>
      <c r="E136" s="29" t="s">
        <v>971</v>
      </c>
      <c r="F136" s="46"/>
      <c r="G136" s="47"/>
      <c r="H136" s="47"/>
      <c r="I136" s="47"/>
      <c r="J136" s="47"/>
      <c r="K136" s="47"/>
      <c r="L136" s="47"/>
      <c r="M136" s="47"/>
      <c r="N136" s="52">
        <v>26345</v>
      </c>
      <c r="O136" s="46" t="s">
        <v>945</v>
      </c>
      <c r="P136" s="47"/>
      <c r="Q136" s="47"/>
      <c r="R136" s="47"/>
      <c r="S136" s="47"/>
      <c r="T136" s="47"/>
      <c r="U136" s="47"/>
      <c r="V136" s="47"/>
      <c r="W136" s="47"/>
      <c r="X136" s="47"/>
      <c r="Y136" s="46" t="s">
        <v>534</v>
      </c>
      <c r="Z136" s="47"/>
      <c r="AA136" s="47"/>
      <c r="AB136" s="47"/>
      <c r="AC136" s="47"/>
      <c r="AD136" s="47"/>
      <c r="AE136" s="47"/>
      <c r="AF136" s="47"/>
      <c r="AG136" s="46" t="s">
        <v>406</v>
      </c>
      <c r="AH136" s="46">
        <v>41</v>
      </c>
      <c r="AI136" s="47"/>
      <c r="AJ136" s="47"/>
      <c r="AK136" s="47"/>
      <c r="AL136" s="46" t="s">
        <v>406</v>
      </c>
      <c r="AM136" s="46" t="s">
        <v>406</v>
      </c>
      <c r="AN136" s="46" t="s">
        <v>406</v>
      </c>
    </row>
    <row r="137" ht="15.75" customHeight="1" spans="1:40">
      <c r="A137" s="6" t="s">
        <v>2576</v>
      </c>
      <c r="B137" s="45" t="s">
        <v>534</v>
      </c>
      <c r="C137" s="4" t="s">
        <v>957</v>
      </c>
      <c r="D137" s="12" t="s">
        <v>102</v>
      </c>
      <c r="E137" s="29" t="s">
        <v>971</v>
      </c>
      <c r="F137" s="46"/>
      <c r="G137" s="47"/>
      <c r="H137" s="47"/>
      <c r="I137" s="47"/>
      <c r="J137" s="47"/>
      <c r="K137" s="47"/>
      <c r="L137" s="47"/>
      <c r="M137" s="47"/>
      <c r="N137" s="52">
        <v>29794</v>
      </c>
      <c r="O137" s="46" t="s">
        <v>945</v>
      </c>
      <c r="P137" s="47"/>
      <c r="Q137" s="47"/>
      <c r="R137" s="47"/>
      <c r="S137" s="47"/>
      <c r="T137" s="47"/>
      <c r="U137" s="47"/>
      <c r="V137" s="47"/>
      <c r="W137" s="47"/>
      <c r="X137" s="47"/>
      <c r="Y137" s="46" t="s">
        <v>534</v>
      </c>
      <c r="Z137" s="47"/>
      <c r="AA137" s="47"/>
      <c r="AB137" s="47"/>
      <c r="AC137" s="47"/>
      <c r="AD137" s="47"/>
      <c r="AE137" s="47"/>
      <c r="AF137" s="47"/>
      <c r="AG137" s="46" t="s">
        <v>395</v>
      </c>
      <c r="AH137" s="46">
        <v>39</v>
      </c>
      <c r="AI137" s="47"/>
      <c r="AJ137" s="47"/>
      <c r="AK137" s="47"/>
      <c r="AL137" s="46" t="s">
        <v>395</v>
      </c>
      <c r="AM137" s="46" t="s">
        <v>395</v>
      </c>
      <c r="AN137" s="46" t="s">
        <v>395</v>
      </c>
    </row>
    <row r="138" ht="15.75" customHeight="1" spans="1:40">
      <c r="A138" s="6" t="s">
        <v>2576</v>
      </c>
      <c r="B138" s="45" t="s">
        <v>523</v>
      </c>
      <c r="C138" s="4" t="s">
        <v>957</v>
      </c>
      <c r="D138" s="12" t="s">
        <v>3296</v>
      </c>
      <c r="E138" s="29" t="s">
        <v>971</v>
      </c>
      <c r="F138" s="46" t="s">
        <v>3297</v>
      </c>
      <c r="G138" s="46">
        <v>8056966081</v>
      </c>
      <c r="H138" s="47" t="s">
        <v>2665</v>
      </c>
      <c r="I138" s="47" t="s">
        <v>3298</v>
      </c>
      <c r="J138" s="47"/>
      <c r="K138" s="47"/>
      <c r="L138" s="47"/>
      <c r="M138" s="47"/>
      <c r="N138" s="53"/>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c r="AN138" s="47"/>
    </row>
    <row r="139" ht="15.75" customHeight="1" spans="1:40">
      <c r="A139" s="6" t="s">
        <v>2576</v>
      </c>
      <c r="B139" s="45" t="s">
        <v>552</v>
      </c>
      <c r="C139" s="4" t="s">
        <v>957</v>
      </c>
      <c r="D139" s="10" t="s">
        <v>3299</v>
      </c>
      <c r="E139" s="29" t="s">
        <v>491</v>
      </c>
      <c r="F139" s="46" t="s">
        <v>3300</v>
      </c>
      <c r="G139" s="46">
        <v>6090493609</v>
      </c>
      <c r="H139" s="47" t="s">
        <v>2652</v>
      </c>
      <c r="I139" s="47" t="s">
        <v>3301</v>
      </c>
      <c r="J139" s="7"/>
      <c r="K139" s="7"/>
      <c r="L139" s="7"/>
      <c r="M139" s="7"/>
      <c r="N139" s="16"/>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row>
    <row r="140" ht="15.75" customHeight="1" spans="1:40">
      <c r="A140" s="6" t="s">
        <v>2576</v>
      </c>
      <c r="B140" s="45" t="s">
        <v>551</v>
      </c>
      <c r="C140" s="4" t="s">
        <v>957</v>
      </c>
      <c r="D140" s="12" t="s">
        <v>3302</v>
      </c>
      <c r="E140" s="29" t="s">
        <v>971</v>
      </c>
      <c r="F140" s="46" t="s">
        <v>3303</v>
      </c>
      <c r="G140" s="46">
        <v>9078048981</v>
      </c>
      <c r="H140" s="47" t="s">
        <v>939</v>
      </c>
      <c r="I140" s="47" t="s">
        <v>2713</v>
      </c>
      <c r="J140" s="7" t="s">
        <v>942</v>
      </c>
      <c r="K140" s="7" t="s">
        <v>942</v>
      </c>
      <c r="L140" s="7" t="s">
        <v>1026</v>
      </c>
      <c r="M140" s="7" t="s">
        <v>3304</v>
      </c>
      <c r="N140" s="55">
        <v>31342</v>
      </c>
      <c r="O140" s="7" t="s">
        <v>945</v>
      </c>
      <c r="P140" s="7" t="s">
        <v>946</v>
      </c>
      <c r="Q140" s="7" t="s">
        <v>963</v>
      </c>
      <c r="R140" s="7" t="s">
        <v>3305</v>
      </c>
      <c r="S140" s="59">
        <v>84</v>
      </c>
      <c r="T140" s="7" t="s">
        <v>3306</v>
      </c>
      <c r="U140" s="7"/>
      <c r="V140" s="7" t="s">
        <v>3307</v>
      </c>
      <c r="W140" s="7"/>
      <c r="X140" s="7" t="s">
        <v>953</v>
      </c>
      <c r="Y140" s="7" t="s">
        <v>551</v>
      </c>
      <c r="Z140" s="59">
        <v>99830000</v>
      </c>
      <c r="AA140" s="63" t="s">
        <v>3308</v>
      </c>
      <c r="AB140" s="7" t="s">
        <v>1178</v>
      </c>
      <c r="AC140" s="7" t="s">
        <v>406</v>
      </c>
      <c r="AD140" s="7" t="s">
        <v>406</v>
      </c>
      <c r="AE140" s="6" t="s">
        <v>398</v>
      </c>
      <c r="AF140" s="6" t="s">
        <v>406</v>
      </c>
      <c r="AG140" s="6" t="s">
        <v>406</v>
      </c>
      <c r="AH140" s="6">
        <v>41</v>
      </c>
      <c r="AI140" s="6">
        <v>41</v>
      </c>
      <c r="AJ140" s="59">
        <v>41</v>
      </c>
      <c r="AK140" s="59">
        <v>41</v>
      </c>
      <c r="AL140" s="7" t="s">
        <v>406</v>
      </c>
      <c r="AM140" s="7" t="s">
        <v>406</v>
      </c>
      <c r="AN140" s="7" t="s">
        <v>406</v>
      </c>
    </row>
    <row r="141" ht="15.75" customHeight="1" spans="1:40">
      <c r="A141" s="6" t="s">
        <v>2576</v>
      </c>
      <c r="B141" s="45" t="s">
        <v>2761</v>
      </c>
      <c r="C141" s="4" t="s">
        <v>655</v>
      </c>
      <c r="D141" s="10" t="s">
        <v>3309</v>
      </c>
      <c r="E141" s="29" t="s">
        <v>971</v>
      </c>
      <c r="F141" s="46" t="s">
        <v>3310</v>
      </c>
      <c r="G141" s="46">
        <v>5039666648</v>
      </c>
      <c r="H141" s="46" t="s">
        <v>2662</v>
      </c>
      <c r="I141" s="47"/>
      <c r="J141" s="7"/>
      <c r="K141" s="7"/>
      <c r="L141" s="7"/>
      <c r="M141" s="7"/>
      <c r="N141" s="56">
        <v>24780</v>
      </c>
      <c r="O141" s="6" t="s">
        <v>945</v>
      </c>
      <c r="P141" s="7"/>
      <c r="Q141" s="7"/>
      <c r="R141" s="7"/>
      <c r="S141" s="7"/>
      <c r="T141" s="7"/>
      <c r="U141" s="7"/>
      <c r="V141" s="7"/>
      <c r="W141" s="47"/>
      <c r="X141" s="47"/>
      <c r="Y141" s="46" t="s">
        <v>521</v>
      </c>
      <c r="Z141" s="47"/>
      <c r="AA141" s="7"/>
      <c r="AB141" s="7"/>
      <c r="AC141" s="7"/>
      <c r="AD141" s="7"/>
      <c r="AE141" s="7"/>
      <c r="AF141" s="7"/>
      <c r="AG141" s="6" t="s">
        <v>396</v>
      </c>
      <c r="AH141" s="7"/>
      <c r="AI141" s="7"/>
      <c r="AJ141" s="7"/>
      <c r="AK141" s="7"/>
      <c r="AL141" s="6" t="s">
        <v>396</v>
      </c>
      <c r="AM141" s="6" t="s">
        <v>396</v>
      </c>
      <c r="AN141" s="6" t="s">
        <v>396</v>
      </c>
    </row>
    <row r="142" ht="15.75" customHeight="1" spans="1:40">
      <c r="A142" s="6" t="s">
        <v>2576</v>
      </c>
      <c r="B142" s="45" t="s">
        <v>542</v>
      </c>
      <c r="C142" s="4" t="s">
        <v>957</v>
      </c>
      <c r="D142" s="12" t="s">
        <v>3311</v>
      </c>
      <c r="E142" s="29" t="s">
        <v>971</v>
      </c>
      <c r="F142" s="46" t="s">
        <v>3312</v>
      </c>
      <c r="G142" s="47"/>
      <c r="H142" s="46" t="s">
        <v>2611</v>
      </c>
      <c r="I142" s="47"/>
      <c r="J142" s="47"/>
      <c r="K142" s="47"/>
      <c r="L142" s="47"/>
      <c r="M142" s="46" t="s">
        <v>3313</v>
      </c>
      <c r="N142" s="52">
        <v>26467</v>
      </c>
      <c r="O142" s="46" t="s">
        <v>396</v>
      </c>
      <c r="P142" s="46" t="s">
        <v>3314</v>
      </c>
      <c r="Q142" s="46" t="s">
        <v>2968</v>
      </c>
      <c r="R142" s="46" t="s">
        <v>3315</v>
      </c>
      <c r="S142" s="46">
        <v>70</v>
      </c>
      <c r="T142" s="46">
        <v>1.72</v>
      </c>
      <c r="U142" s="46" t="s">
        <v>3316</v>
      </c>
      <c r="V142" s="47"/>
      <c r="W142" s="47"/>
      <c r="X142" s="46" t="s">
        <v>953</v>
      </c>
      <c r="Y142" s="46" t="s">
        <v>542</v>
      </c>
      <c r="Z142" s="46" t="s">
        <v>2617</v>
      </c>
      <c r="AA142" s="46" t="s">
        <v>3317</v>
      </c>
      <c r="AB142" s="46" t="s">
        <v>3318</v>
      </c>
      <c r="AC142" s="46" t="s">
        <v>406</v>
      </c>
      <c r="AD142" s="46" t="s">
        <v>406</v>
      </c>
      <c r="AE142" s="46" t="s">
        <v>406</v>
      </c>
      <c r="AF142" s="46" t="s">
        <v>406</v>
      </c>
      <c r="AG142" s="46" t="s">
        <v>406</v>
      </c>
      <c r="AH142" s="46">
        <v>41</v>
      </c>
      <c r="AI142" s="46">
        <v>41</v>
      </c>
      <c r="AJ142" s="46">
        <v>41</v>
      </c>
      <c r="AK142" s="46">
        <v>41</v>
      </c>
      <c r="AL142" s="46" t="s">
        <v>406</v>
      </c>
      <c r="AM142" s="46" t="s">
        <v>406</v>
      </c>
      <c r="AN142" s="46" t="s">
        <v>406</v>
      </c>
    </row>
    <row r="143" ht="15.75" customHeight="1" spans="1:40">
      <c r="A143" s="6" t="s">
        <v>2576</v>
      </c>
      <c r="B143" s="45" t="s">
        <v>576</v>
      </c>
      <c r="C143" s="4" t="s">
        <v>957</v>
      </c>
      <c r="D143" s="12" t="s">
        <v>3319</v>
      </c>
      <c r="E143" s="29" t="s">
        <v>491</v>
      </c>
      <c r="F143" s="46" t="s">
        <v>3320</v>
      </c>
      <c r="G143" s="46">
        <v>1111083802</v>
      </c>
      <c r="H143" s="47" t="s">
        <v>957</v>
      </c>
      <c r="I143" s="47" t="s">
        <v>3321</v>
      </c>
      <c r="J143" s="7" t="s">
        <v>942</v>
      </c>
      <c r="K143" s="7" t="s">
        <v>942</v>
      </c>
      <c r="L143" s="7" t="s">
        <v>943</v>
      </c>
      <c r="M143" s="7" t="s">
        <v>3322</v>
      </c>
      <c r="N143" s="51">
        <v>33467</v>
      </c>
      <c r="O143" s="7" t="s">
        <v>1028</v>
      </c>
      <c r="P143" s="7" t="s">
        <v>946</v>
      </c>
      <c r="Q143" s="7" t="s">
        <v>963</v>
      </c>
      <c r="R143" s="7" t="s">
        <v>3323</v>
      </c>
      <c r="S143" s="59">
        <v>79</v>
      </c>
      <c r="T143" s="7" t="s">
        <v>1044</v>
      </c>
      <c r="U143" s="7"/>
      <c r="V143" s="7" t="s">
        <v>3324</v>
      </c>
      <c r="W143" s="7"/>
      <c r="X143" s="7" t="s">
        <v>953</v>
      </c>
      <c r="Y143" s="7" t="s">
        <v>576</v>
      </c>
      <c r="Z143" s="7" t="s">
        <v>2589</v>
      </c>
      <c r="AA143" s="7" t="s">
        <v>3325</v>
      </c>
      <c r="AB143" s="7" t="s">
        <v>2591</v>
      </c>
      <c r="AC143" s="6" t="s">
        <v>406</v>
      </c>
      <c r="AD143" s="6" t="s">
        <v>406</v>
      </c>
      <c r="AE143" s="6" t="s">
        <v>396</v>
      </c>
      <c r="AF143" s="6" t="s">
        <v>396</v>
      </c>
      <c r="AG143" s="6" t="s">
        <v>406</v>
      </c>
      <c r="AH143" s="6">
        <v>39</v>
      </c>
      <c r="AI143" s="6">
        <v>39</v>
      </c>
      <c r="AJ143" s="59">
        <v>39</v>
      </c>
      <c r="AK143" s="59">
        <v>39</v>
      </c>
      <c r="AL143" s="6" t="s">
        <v>396</v>
      </c>
      <c r="AM143" s="6" t="s">
        <v>396</v>
      </c>
      <c r="AN143" s="6" t="s">
        <v>406</v>
      </c>
    </row>
    <row r="144" ht="15.75" customHeight="1" spans="1:40">
      <c r="A144" s="6" t="s">
        <v>2576</v>
      </c>
      <c r="B144" s="45" t="s">
        <v>509</v>
      </c>
      <c r="C144" s="4" t="s">
        <v>957</v>
      </c>
      <c r="D144" s="10" t="s">
        <v>3326</v>
      </c>
      <c r="E144" s="29" t="s">
        <v>491</v>
      </c>
      <c r="F144" s="46" t="s">
        <v>3327</v>
      </c>
      <c r="G144" s="46">
        <v>1086030705</v>
      </c>
      <c r="H144" s="47" t="s">
        <v>986</v>
      </c>
      <c r="I144" s="47" t="s">
        <v>2916</v>
      </c>
      <c r="J144" s="7" t="s">
        <v>942</v>
      </c>
      <c r="K144" s="7" t="s">
        <v>942</v>
      </c>
      <c r="L144" s="7" t="s">
        <v>943</v>
      </c>
      <c r="M144" s="7" t="s">
        <v>3328</v>
      </c>
      <c r="N144" s="55">
        <v>31361</v>
      </c>
      <c r="O144" s="7" t="s">
        <v>945</v>
      </c>
      <c r="P144" s="7" t="s">
        <v>946</v>
      </c>
      <c r="Q144" s="7" t="s">
        <v>963</v>
      </c>
      <c r="R144" s="7" t="s">
        <v>3329</v>
      </c>
      <c r="S144" s="59">
        <v>102</v>
      </c>
      <c r="T144" s="7" t="s">
        <v>950</v>
      </c>
      <c r="U144" s="7"/>
      <c r="V144" s="7" t="s">
        <v>3330</v>
      </c>
      <c r="W144" s="7" t="s">
        <v>3330</v>
      </c>
      <c r="X144" s="7" t="s">
        <v>953</v>
      </c>
      <c r="Y144" s="7" t="s">
        <v>509</v>
      </c>
      <c r="Z144" s="59">
        <v>99770000</v>
      </c>
      <c r="AA144" s="7" t="s">
        <v>3331</v>
      </c>
      <c r="AB144" s="7" t="s">
        <v>3000</v>
      </c>
      <c r="AC144" s="7" t="s">
        <v>398</v>
      </c>
      <c r="AD144" s="7" t="s">
        <v>398</v>
      </c>
      <c r="AE144" s="6" t="s">
        <v>398</v>
      </c>
      <c r="AF144" s="6" t="s">
        <v>398</v>
      </c>
      <c r="AG144" s="6" t="s">
        <v>398</v>
      </c>
      <c r="AH144" s="6">
        <v>43</v>
      </c>
      <c r="AI144" s="6">
        <v>43</v>
      </c>
      <c r="AJ144" s="59">
        <v>43</v>
      </c>
      <c r="AK144" s="59">
        <v>43</v>
      </c>
      <c r="AL144" s="7" t="s">
        <v>398</v>
      </c>
      <c r="AM144" s="7" t="s">
        <v>398</v>
      </c>
      <c r="AN144" s="7" t="s">
        <v>398</v>
      </c>
    </row>
    <row r="145" ht="15.75" customHeight="1" spans="1:40">
      <c r="A145" s="6" t="s">
        <v>2576</v>
      </c>
      <c r="B145" s="45" t="s">
        <v>576</v>
      </c>
      <c r="C145" s="4" t="s">
        <v>957</v>
      </c>
      <c r="D145" s="10" t="s">
        <v>283</v>
      </c>
      <c r="E145" s="29" t="s">
        <v>491</v>
      </c>
      <c r="F145" s="46" t="s">
        <v>3332</v>
      </c>
      <c r="G145" s="46">
        <v>7101229057</v>
      </c>
      <c r="H145" s="47" t="s">
        <v>2855</v>
      </c>
      <c r="I145" s="47" t="s">
        <v>2784</v>
      </c>
      <c r="J145" s="7" t="s">
        <v>942</v>
      </c>
      <c r="K145" s="7" t="s">
        <v>942</v>
      </c>
      <c r="L145" s="7" t="s">
        <v>975</v>
      </c>
      <c r="M145" s="7" t="s">
        <v>3333</v>
      </c>
      <c r="N145" s="55">
        <v>32806</v>
      </c>
      <c r="O145" s="7" t="s">
        <v>945</v>
      </c>
      <c r="P145" s="7" t="s">
        <v>946</v>
      </c>
      <c r="Q145" s="7" t="s">
        <v>947</v>
      </c>
      <c r="R145" s="7" t="s">
        <v>3334</v>
      </c>
      <c r="S145" s="59">
        <v>106</v>
      </c>
      <c r="T145" s="7" t="s">
        <v>950</v>
      </c>
      <c r="U145" s="7"/>
      <c r="V145" s="7" t="s">
        <v>3335</v>
      </c>
      <c r="W145" s="7" t="s">
        <v>3336</v>
      </c>
      <c r="X145" s="7" t="s">
        <v>953</v>
      </c>
      <c r="Y145" s="7" t="s">
        <v>576</v>
      </c>
      <c r="Z145" s="7" t="s">
        <v>2589</v>
      </c>
      <c r="AA145" s="7" t="s">
        <v>3337</v>
      </c>
      <c r="AB145" s="7" t="s">
        <v>3237</v>
      </c>
      <c r="AC145" s="6" t="s">
        <v>398</v>
      </c>
      <c r="AD145" s="6" t="s">
        <v>398</v>
      </c>
      <c r="AE145" s="6" t="s">
        <v>398</v>
      </c>
      <c r="AF145" s="6" t="s">
        <v>398</v>
      </c>
      <c r="AG145" s="6" t="s">
        <v>398</v>
      </c>
      <c r="AH145" s="6">
        <v>43</v>
      </c>
      <c r="AI145" s="6">
        <v>43</v>
      </c>
      <c r="AJ145" s="59">
        <v>43</v>
      </c>
      <c r="AK145" s="59">
        <v>43</v>
      </c>
      <c r="AL145" s="6" t="s">
        <v>398</v>
      </c>
      <c r="AM145" s="6" t="s">
        <v>398</v>
      </c>
      <c r="AN145" s="6" t="s">
        <v>398</v>
      </c>
    </row>
    <row r="146" ht="15.75" customHeight="1" spans="1:40">
      <c r="A146" s="6" t="s">
        <v>2576</v>
      </c>
      <c r="B146" s="45" t="s">
        <v>576</v>
      </c>
      <c r="C146" s="4" t="s">
        <v>957</v>
      </c>
      <c r="D146" s="10" t="s">
        <v>3338</v>
      </c>
      <c r="E146" s="29" t="s">
        <v>971</v>
      </c>
      <c r="F146" s="46" t="s">
        <v>3339</v>
      </c>
      <c r="G146" s="46">
        <v>7103212093</v>
      </c>
      <c r="H146" s="47" t="s">
        <v>957</v>
      </c>
      <c r="I146" s="47" t="s">
        <v>3321</v>
      </c>
      <c r="J146" s="7" t="s">
        <v>942</v>
      </c>
      <c r="K146" s="7" t="s">
        <v>942</v>
      </c>
      <c r="L146" s="7" t="s">
        <v>975</v>
      </c>
      <c r="M146" s="7" t="s">
        <v>3340</v>
      </c>
      <c r="N146" s="51">
        <v>36661</v>
      </c>
      <c r="O146" s="7" t="s">
        <v>1028</v>
      </c>
      <c r="P146" s="7" t="s">
        <v>946</v>
      </c>
      <c r="Q146" s="7" t="s">
        <v>963</v>
      </c>
      <c r="R146" s="7" t="s">
        <v>3341</v>
      </c>
      <c r="S146" s="59">
        <v>60</v>
      </c>
      <c r="T146" s="7" t="s">
        <v>1044</v>
      </c>
      <c r="U146" s="7"/>
      <c r="V146" s="7" t="s">
        <v>3342</v>
      </c>
      <c r="W146" s="7"/>
      <c r="X146" s="7" t="s">
        <v>953</v>
      </c>
      <c r="Y146" s="7" t="s">
        <v>576</v>
      </c>
      <c r="Z146" s="7" t="s">
        <v>2589</v>
      </c>
      <c r="AA146" s="7" t="s">
        <v>3343</v>
      </c>
      <c r="AB146" s="7" t="s">
        <v>3141</v>
      </c>
      <c r="AC146" s="6" t="s">
        <v>396</v>
      </c>
      <c r="AD146" s="6" t="s">
        <v>396</v>
      </c>
      <c r="AE146" s="6" t="s">
        <v>396</v>
      </c>
      <c r="AF146" s="6" t="s">
        <v>396</v>
      </c>
      <c r="AG146" s="6" t="s">
        <v>396</v>
      </c>
      <c r="AH146" s="6">
        <v>39</v>
      </c>
      <c r="AI146" s="6">
        <v>39</v>
      </c>
      <c r="AJ146" s="59">
        <v>39</v>
      </c>
      <c r="AK146" s="59">
        <v>39</v>
      </c>
      <c r="AL146" s="6" t="s">
        <v>396</v>
      </c>
      <c r="AM146" s="6" t="s">
        <v>396</v>
      </c>
      <c r="AN146" s="6" t="s">
        <v>396</v>
      </c>
    </row>
    <row r="147" ht="15.75" customHeight="1" spans="1:40">
      <c r="A147" s="39"/>
      <c r="B147" s="49"/>
      <c r="C147" s="4"/>
      <c r="D147" s="35" t="s">
        <v>3344</v>
      </c>
      <c r="E147" s="39" t="s">
        <v>491</v>
      </c>
      <c r="F147" s="39" t="s">
        <v>3345</v>
      </c>
      <c r="G147" s="39"/>
      <c r="H147" s="39"/>
      <c r="I147" s="39"/>
      <c r="J147" s="6"/>
      <c r="K147" s="6"/>
      <c r="L147" s="6"/>
      <c r="M147" s="6"/>
      <c r="N147" s="6"/>
      <c r="O147" s="6"/>
      <c r="P147" s="6"/>
      <c r="Q147" s="6"/>
      <c r="R147" s="6"/>
      <c r="S147" s="6"/>
      <c r="T147" s="6"/>
      <c r="U147" s="6"/>
      <c r="V147" s="6"/>
      <c r="W147" s="39"/>
      <c r="X147" s="39"/>
      <c r="Y147" s="39"/>
      <c r="Z147" s="39"/>
      <c r="AA147" s="6"/>
      <c r="AB147" s="6"/>
      <c r="AC147" s="6"/>
      <c r="AD147" s="6"/>
      <c r="AE147" s="6"/>
      <c r="AF147" s="6"/>
      <c r="AG147" s="6"/>
      <c r="AH147" s="6"/>
      <c r="AI147" s="6"/>
      <c r="AJ147" s="6"/>
      <c r="AK147" s="6"/>
      <c r="AL147" s="6"/>
      <c r="AM147" s="6"/>
      <c r="AN147" s="6"/>
    </row>
    <row r="148" ht="15.75" customHeight="1" spans="1:40">
      <c r="A148" s="6" t="s">
        <v>2576</v>
      </c>
      <c r="B148" s="45" t="s">
        <v>558</v>
      </c>
      <c r="C148" s="4" t="s">
        <v>957</v>
      </c>
      <c r="D148" s="10" t="s">
        <v>3346</v>
      </c>
      <c r="E148" s="29" t="s">
        <v>971</v>
      </c>
      <c r="F148" s="46"/>
      <c r="G148" s="47"/>
      <c r="H148" s="47"/>
      <c r="I148" s="47"/>
      <c r="J148" s="7"/>
      <c r="K148" s="7"/>
      <c r="L148" s="7"/>
      <c r="M148" s="7"/>
      <c r="N148" s="15"/>
      <c r="O148" s="7"/>
      <c r="P148" s="7"/>
      <c r="Q148" s="7"/>
      <c r="R148" s="7"/>
      <c r="S148" s="7"/>
      <c r="T148" s="7"/>
      <c r="U148" s="7"/>
      <c r="V148" s="7"/>
      <c r="W148" s="7"/>
      <c r="X148" s="7"/>
      <c r="Y148" s="7"/>
      <c r="Z148" s="7"/>
      <c r="AA148" s="7"/>
      <c r="AB148" s="7"/>
      <c r="AC148" s="7"/>
      <c r="AD148" s="7"/>
      <c r="AE148" s="7"/>
      <c r="AF148" s="7"/>
      <c r="AG148" s="6" t="s">
        <v>398</v>
      </c>
      <c r="AH148" s="6">
        <v>40</v>
      </c>
      <c r="AI148" s="7"/>
      <c r="AJ148" s="7"/>
      <c r="AK148" s="7"/>
      <c r="AL148" s="7" t="s">
        <v>398</v>
      </c>
      <c r="AM148" s="7" t="s">
        <v>398</v>
      </c>
      <c r="AN148" s="7" t="s">
        <v>398</v>
      </c>
    </row>
    <row r="149" ht="15.75" customHeight="1" spans="1:40">
      <c r="A149" s="6" t="s">
        <v>2576</v>
      </c>
      <c r="B149" s="45" t="s">
        <v>552</v>
      </c>
      <c r="C149" s="4" t="s">
        <v>957</v>
      </c>
      <c r="D149" s="12" t="s">
        <v>3347</v>
      </c>
      <c r="E149" s="29" t="s">
        <v>491</v>
      </c>
      <c r="F149" s="46" t="s">
        <v>3348</v>
      </c>
      <c r="G149" s="46">
        <v>7073470697</v>
      </c>
      <c r="H149" s="47" t="s">
        <v>3349</v>
      </c>
      <c r="I149" s="47" t="s">
        <v>3350</v>
      </c>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row>
    <row r="150" ht="15.75" customHeight="1" spans="1:40">
      <c r="A150" s="6" t="s">
        <v>2576</v>
      </c>
      <c r="B150" s="45" t="s">
        <v>548</v>
      </c>
      <c r="C150" s="4" t="s">
        <v>957</v>
      </c>
      <c r="D150" s="12" t="s">
        <v>3351</v>
      </c>
      <c r="E150" s="29" t="s">
        <v>491</v>
      </c>
      <c r="F150" s="6" t="s">
        <v>3352</v>
      </c>
      <c r="G150" s="6">
        <v>1079144083</v>
      </c>
      <c r="H150" s="7" t="s">
        <v>3353</v>
      </c>
      <c r="I150" s="7" t="s">
        <v>3354</v>
      </c>
      <c r="J150" s="7" t="s">
        <v>942</v>
      </c>
      <c r="K150" s="7" t="s">
        <v>942</v>
      </c>
      <c r="L150" s="7" t="s">
        <v>975</v>
      </c>
      <c r="M150" s="7" t="s">
        <v>1232</v>
      </c>
      <c r="N150" s="51">
        <v>30545</v>
      </c>
      <c r="O150" s="7" t="s">
        <v>945</v>
      </c>
      <c r="P150" s="7" t="s">
        <v>946</v>
      </c>
      <c r="Q150" s="7" t="s">
        <v>1245</v>
      </c>
      <c r="R150" s="7" t="s">
        <v>3355</v>
      </c>
      <c r="S150" s="59">
        <v>98</v>
      </c>
      <c r="T150" s="7" t="s">
        <v>950</v>
      </c>
      <c r="U150" s="7" t="s">
        <v>3356</v>
      </c>
      <c r="V150" s="7" t="s">
        <v>3357</v>
      </c>
      <c r="W150" s="7" t="s">
        <v>3356</v>
      </c>
      <c r="X150" s="7" t="s">
        <v>2688</v>
      </c>
      <c r="Y150" s="7" t="s">
        <v>548</v>
      </c>
      <c r="Z150" s="7" t="s">
        <v>2689</v>
      </c>
      <c r="AA150" s="7" t="s">
        <v>3358</v>
      </c>
      <c r="AB150" s="7" t="s">
        <v>1086</v>
      </c>
      <c r="AC150" s="7" t="s">
        <v>406</v>
      </c>
      <c r="AD150" s="7" t="s">
        <v>406</v>
      </c>
      <c r="AE150" s="7" t="s">
        <v>406</v>
      </c>
      <c r="AF150" s="7" t="s">
        <v>406</v>
      </c>
      <c r="AG150" s="7" t="s">
        <v>406</v>
      </c>
      <c r="AH150" s="59">
        <v>42</v>
      </c>
      <c r="AI150" s="59">
        <v>42</v>
      </c>
      <c r="AJ150" s="59">
        <v>42</v>
      </c>
      <c r="AK150" s="59">
        <v>42</v>
      </c>
      <c r="AL150" s="7" t="s">
        <v>406</v>
      </c>
      <c r="AM150" s="7" t="s">
        <v>406</v>
      </c>
      <c r="AN150" s="7" t="s">
        <v>406</v>
      </c>
    </row>
    <row r="151" ht="15.75" customHeight="1" spans="1:40">
      <c r="A151" s="6" t="s">
        <v>2576</v>
      </c>
      <c r="B151" s="45" t="s">
        <v>523</v>
      </c>
      <c r="C151" s="4" t="s">
        <v>957</v>
      </c>
      <c r="D151" s="12" t="s">
        <v>3359</v>
      </c>
      <c r="E151" s="29" t="s">
        <v>971</v>
      </c>
      <c r="F151" s="46" t="s">
        <v>3360</v>
      </c>
      <c r="G151" s="46">
        <v>4111320091</v>
      </c>
      <c r="H151" s="47" t="s">
        <v>939</v>
      </c>
      <c r="I151" s="47" t="s">
        <v>3014</v>
      </c>
      <c r="J151" s="47" t="s">
        <v>941</v>
      </c>
      <c r="K151" s="47" t="s">
        <v>941</v>
      </c>
      <c r="L151" s="47" t="s">
        <v>943</v>
      </c>
      <c r="M151" s="47" t="s">
        <v>1391</v>
      </c>
      <c r="N151" s="53" t="s">
        <v>3361</v>
      </c>
      <c r="O151" s="47" t="s">
        <v>396</v>
      </c>
      <c r="P151" s="47" t="s">
        <v>3314</v>
      </c>
      <c r="Q151" s="47" t="s">
        <v>3362</v>
      </c>
      <c r="R151" s="47" t="s">
        <v>3363</v>
      </c>
      <c r="S151" s="47">
        <v>70</v>
      </c>
      <c r="T151" s="47">
        <v>1.71</v>
      </c>
      <c r="U151" s="47"/>
      <c r="V151" s="47" t="s">
        <v>3364</v>
      </c>
      <c r="W151" s="47" t="s">
        <v>3365</v>
      </c>
      <c r="X151" s="47" t="s">
        <v>953</v>
      </c>
      <c r="Y151" s="47" t="s">
        <v>2628</v>
      </c>
      <c r="Z151" s="47" t="s">
        <v>2629</v>
      </c>
      <c r="AA151" s="47" t="s">
        <v>3366</v>
      </c>
      <c r="AB151" s="47" t="s">
        <v>3367</v>
      </c>
      <c r="AC151" s="47" t="s">
        <v>396</v>
      </c>
      <c r="AD151" s="47" t="s">
        <v>396</v>
      </c>
      <c r="AE151" s="47" t="s">
        <v>396</v>
      </c>
      <c r="AF151" s="47" t="s">
        <v>396</v>
      </c>
      <c r="AG151" s="47" t="s">
        <v>396</v>
      </c>
      <c r="AH151" s="47" t="s">
        <v>396</v>
      </c>
      <c r="AI151" s="47">
        <v>40</v>
      </c>
      <c r="AJ151" s="47">
        <v>40</v>
      </c>
      <c r="AK151" s="47">
        <v>40</v>
      </c>
      <c r="AL151" s="47">
        <v>40</v>
      </c>
      <c r="AM151" s="47" t="s">
        <v>396</v>
      </c>
      <c r="AN151" s="47">
        <v>55</v>
      </c>
    </row>
    <row r="152" ht="15.75" customHeight="1" spans="1:40">
      <c r="A152" s="6" t="s">
        <v>2576</v>
      </c>
      <c r="B152" s="45" t="s">
        <v>558</v>
      </c>
      <c r="C152" s="4" t="s">
        <v>957</v>
      </c>
      <c r="D152" s="10" t="s">
        <v>3368</v>
      </c>
      <c r="E152" s="29" t="s">
        <v>971</v>
      </c>
      <c r="F152" s="46"/>
      <c r="G152" s="47"/>
      <c r="H152" s="47"/>
      <c r="I152" s="47"/>
      <c r="J152" s="7"/>
      <c r="K152" s="7"/>
      <c r="L152" s="7"/>
      <c r="M152" s="7"/>
      <c r="N152" s="15"/>
      <c r="O152" s="7"/>
      <c r="P152" s="7"/>
      <c r="Q152" s="7"/>
      <c r="R152" s="7"/>
      <c r="S152" s="7"/>
      <c r="T152" s="7"/>
      <c r="U152" s="7"/>
      <c r="V152" s="7"/>
      <c r="W152" s="7"/>
      <c r="X152" s="7"/>
      <c r="Y152" s="7"/>
      <c r="Z152" s="7"/>
      <c r="AA152" s="7"/>
      <c r="AB152" s="7"/>
      <c r="AC152" s="7"/>
      <c r="AD152" s="7"/>
      <c r="AE152" s="7"/>
      <c r="AF152" s="7"/>
      <c r="AG152" s="6" t="s">
        <v>398</v>
      </c>
      <c r="AH152" s="6">
        <v>40</v>
      </c>
      <c r="AI152" s="7"/>
      <c r="AJ152" s="7"/>
      <c r="AK152" s="7"/>
      <c r="AL152" s="7" t="s">
        <v>398</v>
      </c>
      <c r="AM152" s="7" t="s">
        <v>398</v>
      </c>
      <c r="AN152" s="7" t="s">
        <v>398</v>
      </c>
    </row>
    <row r="153" ht="15.75" customHeight="1" spans="1:40">
      <c r="A153" s="6" t="s">
        <v>2576</v>
      </c>
      <c r="B153" s="45" t="s">
        <v>523</v>
      </c>
      <c r="C153" s="4" t="s">
        <v>957</v>
      </c>
      <c r="D153" s="12" t="s">
        <v>117</v>
      </c>
      <c r="E153" s="29" t="s">
        <v>971</v>
      </c>
      <c r="F153" s="46" t="s">
        <v>3369</v>
      </c>
      <c r="G153" s="46" t="s">
        <v>3370</v>
      </c>
      <c r="H153" s="47" t="s">
        <v>2665</v>
      </c>
      <c r="I153" s="47" t="s">
        <v>3371</v>
      </c>
      <c r="J153" s="47" t="s">
        <v>941</v>
      </c>
      <c r="K153" s="47" t="s">
        <v>941</v>
      </c>
      <c r="L153" s="47" t="s">
        <v>975</v>
      </c>
      <c r="M153" s="47" t="s">
        <v>3372</v>
      </c>
      <c r="N153" s="53">
        <v>31278</v>
      </c>
      <c r="O153" s="47" t="s">
        <v>396</v>
      </c>
      <c r="P153" s="47" t="s">
        <v>2624</v>
      </c>
      <c r="Q153" s="47" t="s">
        <v>3373</v>
      </c>
      <c r="R153" s="47" t="s">
        <v>3374</v>
      </c>
      <c r="S153" s="47">
        <v>115</v>
      </c>
      <c r="T153" s="47">
        <v>185</v>
      </c>
      <c r="U153" s="47"/>
      <c r="V153" s="47" t="s">
        <v>3375</v>
      </c>
      <c r="W153" s="47" t="s">
        <v>3376</v>
      </c>
      <c r="X153" s="47" t="s">
        <v>953</v>
      </c>
      <c r="Y153" s="47" t="s">
        <v>2628</v>
      </c>
      <c r="Z153" s="47" t="s">
        <v>2629</v>
      </c>
      <c r="AA153" s="47" t="s">
        <v>3377</v>
      </c>
      <c r="AB153" s="47" t="s">
        <v>1178</v>
      </c>
      <c r="AC153" s="47" t="s">
        <v>398</v>
      </c>
      <c r="AD153" s="47" t="s">
        <v>398</v>
      </c>
      <c r="AE153" s="47" t="s">
        <v>398</v>
      </c>
      <c r="AF153" s="47" t="s">
        <v>398</v>
      </c>
      <c r="AG153" s="47" t="s">
        <v>398</v>
      </c>
      <c r="AH153" s="47" t="s">
        <v>398</v>
      </c>
      <c r="AI153" s="47">
        <v>44</v>
      </c>
      <c r="AJ153" s="47">
        <v>44</v>
      </c>
      <c r="AK153" s="47">
        <v>44</v>
      </c>
      <c r="AL153" s="47">
        <v>44</v>
      </c>
      <c r="AM153" s="47" t="s">
        <v>398</v>
      </c>
      <c r="AN153" s="47">
        <v>58</v>
      </c>
    </row>
    <row r="154" ht="15.75" customHeight="1" spans="1:40">
      <c r="A154" s="6" t="s">
        <v>2576</v>
      </c>
      <c r="B154" s="45" t="s">
        <v>542</v>
      </c>
      <c r="C154" s="4" t="s">
        <v>957</v>
      </c>
      <c r="D154" s="12" t="s">
        <v>3378</v>
      </c>
      <c r="E154" s="29" t="s">
        <v>971</v>
      </c>
      <c r="F154" s="46" t="s">
        <v>3379</v>
      </c>
      <c r="G154" s="46">
        <v>9062461224</v>
      </c>
      <c r="H154" s="46" t="s">
        <v>2611</v>
      </c>
      <c r="I154" s="47"/>
      <c r="J154" s="47"/>
      <c r="K154" s="47"/>
      <c r="L154" s="46" t="s">
        <v>943</v>
      </c>
      <c r="M154" s="46" t="s">
        <v>1535</v>
      </c>
      <c r="N154" s="52">
        <v>26777</v>
      </c>
      <c r="O154" s="46" t="s">
        <v>396</v>
      </c>
      <c r="P154" s="46" t="s">
        <v>2927</v>
      </c>
      <c r="Q154" s="46" t="s">
        <v>2269</v>
      </c>
      <c r="R154" s="46" t="s">
        <v>2615</v>
      </c>
      <c r="S154" s="46">
        <v>65</v>
      </c>
      <c r="T154" s="46">
        <v>1.7</v>
      </c>
      <c r="U154" s="46" t="s">
        <v>3380</v>
      </c>
      <c r="V154" s="47"/>
      <c r="W154" s="47"/>
      <c r="X154" s="46" t="s">
        <v>953</v>
      </c>
      <c r="Y154" s="46" t="s">
        <v>542</v>
      </c>
      <c r="Z154" s="46" t="s">
        <v>2617</v>
      </c>
      <c r="AA154" s="46" t="s">
        <v>3381</v>
      </c>
      <c r="AB154" s="46" t="s">
        <v>3382</v>
      </c>
      <c r="AC154" s="46" t="s">
        <v>396</v>
      </c>
      <c r="AD154" s="46" t="s">
        <v>396</v>
      </c>
      <c r="AE154" s="46" t="s">
        <v>396</v>
      </c>
      <c r="AF154" s="46" t="s">
        <v>396</v>
      </c>
      <c r="AG154" s="46" t="s">
        <v>396</v>
      </c>
      <c r="AH154" s="46">
        <v>40</v>
      </c>
      <c r="AI154" s="46">
        <v>40</v>
      </c>
      <c r="AJ154" s="46">
        <v>40</v>
      </c>
      <c r="AK154" s="46">
        <v>40</v>
      </c>
      <c r="AL154" s="46" t="s">
        <v>406</v>
      </c>
      <c r="AM154" s="46" t="s">
        <v>406</v>
      </c>
      <c r="AN154" s="46" t="s">
        <v>406</v>
      </c>
    </row>
    <row r="155" ht="15.75" customHeight="1" spans="1:40">
      <c r="A155" s="6" t="s">
        <v>2576</v>
      </c>
      <c r="B155" s="45" t="s">
        <v>577</v>
      </c>
      <c r="C155" s="4" t="s">
        <v>957</v>
      </c>
      <c r="D155" s="10" t="s">
        <v>284</v>
      </c>
      <c r="E155" s="29" t="s">
        <v>491</v>
      </c>
      <c r="F155" s="46" t="s">
        <v>3383</v>
      </c>
      <c r="G155" s="46">
        <v>4001710906</v>
      </c>
      <c r="H155" s="47" t="s">
        <v>2043</v>
      </c>
      <c r="I155" s="47" t="s">
        <v>2633</v>
      </c>
      <c r="J155" s="7" t="s">
        <v>942</v>
      </c>
      <c r="K155" s="7" t="s">
        <v>942</v>
      </c>
      <c r="L155" s="7" t="s">
        <v>975</v>
      </c>
      <c r="M155" s="7" t="s">
        <v>3384</v>
      </c>
      <c r="N155" s="55">
        <v>20082</v>
      </c>
      <c r="O155" s="7" t="s">
        <v>945</v>
      </c>
      <c r="P155" s="7" t="s">
        <v>946</v>
      </c>
      <c r="Q155" s="7" t="s">
        <v>963</v>
      </c>
      <c r="R155" s="7" t="s">
        <v>3385</v>
      </c>
      <c r="S155" s="59">
        <v>70</v>
      </c>
      <c r="T155" s="7" t="s">
        <v>1011</v>
      </c>
      <c r="U155" s="7"/>
      <c r="V155" s="7" t="s">
        <v>3386</v>
      </c>
      <c r="W155" s="47" t="s">
        <v>2637</v>
      </c>
      <c r="X155" s="7" t="s">
        <v>953</v>
      </c>
      <c r="Y155" s="47" t="s">
        <v>577</v>
      </c>
      <c r="Z155" s="47" t="s">
        <v>2638</v>
      </c>
      <c r="AA155" s="7" t="s">
        <v>3387</v>
      </c>
      <c r="AB155" s="7" t="s">
        <v>1086</v>
      </c>
      <c r="AC155" s="6" t="s">
        <v>396</v>
      </c>
      <c r="AD155" s="6" t="s">
        <v>406</v>
      </c>
      <c r="AE155" s="6" t="s">
        <v>396</v>
      </c>
      <c r="AF155" s="6" t="s">
        <v>396</v>
      </c>
      <c r="AG155" s="6" t="s">
        <v>396</v>
      </c>
      <c r="AH155" s="6">
        <v>43</v>
      </c>
      <c r="AI155" s="6">
        <v>43</v>
      </c>
      <c r="AJ155" s="59">
        <v>43</v>
      </c>
      <c r="AK155" s="59">
        <v>43</v>
      </c>
      <c r="AL155" s="6" t="s">
        <v>396</v>
      </c>
      <c r="AM155" s="6" t="s">
        <v>396</v>
      </c>
      <c r="AN155" s="6" t="s">
        <v>396</v>
      </c>
    </row>
    <row r="156" ht="15.75" customHeight="1" spans="1:40">
      <c r="A156" s="6" t="s">
        <v>2576</v>
      </c>
      <c r="B156" s="45" t="s">
        <v>576</v>
      </c>
      <c r="C156" s="4" t="s">
        <v>957</v>
      </c>
      <c r="D156" s="10" t="s">
        <v>285</v>
      </c>
      <c r="E156" s="29" t="s">
        <v>491</v>
      </c>
      <c r="F156" s="46" t="s">
        <v>3388</v>
      </c>
      <c r="G156" s="46">
        <v>5059144559</v>
      </c>
      <c r="H156" s="47" t="s">
        <v>2855</v>
      </c>
      <c r="I156" s="47" t="s">
        <v>2784</v>
      </c>
      <c r="J156" s="7" t="s">
        <v>942</v>
      </c>
      <c r="K156" s="7" t="s">
        <v>942</v>
      </c>
      <c r="L156" s="7" t="s">
        <v>943</v>
      </c>
      <c r="M156" s="7" t="s">
        <v>3389</v>
      </c>
      <c r="N156" s="51">
        <v>27294</v>
      </c>
      <c r="O156" s="7" t="s">
        <v>945</v>
      </c>
      <c r="P156" s="7" t="s">
        <v>946</v>
      </c>
      <c r="Q156" s="7" t="s">
        <v>963</v>
      </c>
      <c r="R156" s="7" t="s">
        <v>3390</v>
      </c>
      <c r="S156" s="59">
        <v>93</v>
      </c>
      <c r="T156" s="7" t="s">
        <v>1011</v>
      </c>
      <c r="U156" s="7"/>
      <c r="V156" s="7" t="s">
        <v>3391</v>
      </c>
      <c r="W156" s="7" t="s">
        <v>3392</v>
      </c>
      <c r="X156" s="7" t="s">
        <v>953</v>
      </c>
      <c r="Y156" s="7" t="s">
        <v>576</v>
      </c>
      <c r="Z156" s="7" t="s">
        <v>2589</v>
      </c>
      <c r="AA156" s="7" t="s">
        <v>3393</v>
      </c>
      <c r="AB156" s="7" t="s">
        <v>3394</v>
      </c>
      <c r="AC156" s="6" t="s">
        <v>406</v>
      </c>
      <c r="AD156" s="6" t="s">
        <v>406</v>
      </c>
      <c r="AE156" s="6" t="s">
        <v>406</v>
      </c>
      <c r="AF156" s="6" t="s">
        <v>406</v>
      </c>
      <c r="AG156" s="6" t="s">
        <v>406</v>
      </c>
      <c r="AH156" s="6">
        <v>43</v>
      </c>
      <c r="AI156" s="6">
        <v>43</v>
      </c>
      <c r="AJ156" s="59">
        <v>43</v>
      </c>
      <c r="AK156" s="59">
        <v>43</v>
      </c>
      <c r="AL156" s="6" t="s">
        <v>406</v>
      </c>
      <c r="AM156" s="6" t="s">
        <v>406</v>
      </c>
      <c r="AN156" s="6" t="s">
        <v>406</v>
      </c>
    </row>
    <row r="157" ht="15.75" customHeight="1" spans="1:40">
      <c r="A157" s="6" t="s">
        <v>2576</v>
      </c>
      <c r="B157" s="45" t="s">
        <v>551</v>
      </c>
      <c r="C157" s="4" t="s">
        <v>957</v>
      </c>
      <c r="D157" s="12" t="s">
        <v>3395</v>
      </c>
      <c r="E157" s="29" t="s">
        <v>971</v>
      </c>
      <c r="F157" s="46" t="s">
        <v>3396</v>
      </c>
      <c r="G157" s="46">
        <v>8014624277</v>
      </c>
      <c r="H157" s="47" t="s">
        <v>939</v>
      </c>
      <c r="I157" s="47" t="s">
        <v>3397</v>
      </c>
      <c r="J157" s="7" t="s">
        <v>942</v>
      </c>
      <c r="K157" s="7" t="s">
        <v>942</v>
      </c>
      <c r="L157" s="7" t="s">
        <v>943</v>
      </c>
      <c r="M157" s="7" t="s">
        <v>2179</v>
      </c>
      <c r="N157" s="51">
        <v>26097</v>
      </c>
      <c r="O157" s="7" t="s">
        <v>945</v>
      </c>
      <c r="P157" s="7" t="s">
        <v>1257</v>
      </c>
      <c r="Q157" s="7" t="s">
        <v>963</v>
      </c>
      <c r="R157" s="7" t="s">
        <v>3398</v>
      </c>
      <c r="S157" s="59">
        <v>88</v>
      </c>
      <c r="T157" s="7" t="s">
        <v>1011</v>
      </c>
      <c r="U157" s="7"/>
      <c r="V157" s="7" t="s">
        <v>3399</v>
      </c>
      <c r="W157" s="7"/>
      <c r="X157" s="7" t="s">
        <v>953</v>
      </c>
      <c r="Y157" s="7" t="s">
        <v>551</v>
      </c>
      <c r="Z157" s="59">
        <v>99830000</v>
      </c>
      <c r="AA157" s="7" t="s">
        <v>3400</v>
      </c>
      <c r="AB157" s="7" t="s">
        <v>1178</v>
      </c>
      <c r="AC157" s="7" t="s">
        <v>406</v>
      </c>
      <c r="AD157" s="7" t="s">
        <v>406</v>
      </c>
      <c r="AE157" s="6" t="s">
        <v>406</v>
      </c>
      <c r="AF157" s="6" t="s">
        <v>406</v>
      </c>
      <c r="AG157" s="6" t="s">
        <v>406</v>
      </c>
      <c r="AH157" s="6">
        <v>42</v>
      </c>
      <c r="AI157" s="6">
        <v>42</v>
      </c>
      <c r="AJ157" s="59">
        <v>42</v>
      </c>
      <c r="AK157" s="59">
        <v>42</v>
      </c>
      <c r="AL157" s="7" t="s">
        <v>406</v>
      </c>
      <c r="AM157" s="7" t="s">
        <v>406</v>
      </c>
      <c r="AN157" s="7" t="s">
        <v>406</v>
      </c>
    </row>
    <row r="158" ht="15.75" customHeight="1" spans="1:40">
      <c r="A158" s="6" t="s">
        <v>2576</v>
      </c>
      <c r="B158" s="45" t="s">
        <v>556</v>
      </c>
      <c r="C158" s="4" t="s">
        <v>957</v>
      </c>
      <c r="D158" s="12" t="s">
        <v>3401</v>
      </c>
      <c r="E158" s="29" t="s">
        <v>971</v>
      </c>
      <c r="F158" s="46" t="s">
        <v>3402</v>
      </c>
      <c r="G158" s="47"/>
      <c r="H158" s="47"/>
      <c r="I158" s="47"/>
      <c r="J158" s="7"/>
      <c r="K158" s="7"/>
      <c r="L158" s="7"/>
      <c r="M158" s="7"/>
      <c r="N158" s="15"/>
      <c r="O158" s="7"/>
      <c r="P158" s="7"/>
      <c r="Q158" s="7"/>
      <c r="R158" s="7" t="s">
        <v>3403</v>
      </c>
      <c r="S158" s="7"/>
      <c r="T158" s="7"/>
      <c r="U158" s="7"/>
      <c r="V158" s="7"/>
      <c r="W158" s="7"/>
      <c r="X158" s="7"/>
      <c r="Y158" s="7"/>
      <c r="Z158" s="7"/>
      <c r="AA158" s="7"/>
      <c r="AB158" s="7"/>
      <c r="AC158" s="7"/>
      <c r="AD158" s="7"/>
      <c r="AE158" s="7"/>
      <c r="AF158" s="7"/>
      <c r="AG158" s="6" t="s">
        <v>406</v>
      </c>
      <c r="AH158" s="6">
        <v>42</v>
      </c>
      <c r="AI158" s="7"/>
      <c r="AJ158" s="7"/>
      <c r="AK158" s="7"/>
      <c r="AL158" s="7" t="s">
        <v>406</v>
      </c>
      <c r="AM158" s="7" t="s">
        <v>406</v>
      </c>
      <c r="AN158" s="7" t="s">
        <v>406</v>
      </c>
    </row>
    <row r="159" ht="15.75" customHeight="1" spans="1:40">
      <c r="A159" s="6" t="s">
        <v>2576</v>
      </c>
      <c r="B159" s="45" t="s">
        <v>556</v>
      </c>
      <c r="C159" s="4" t="s">
        <v>957</v>
      </c>
      <c r="D159" s="12" t="s">
        <v>3404</v>
      </c>
      <c r="E159" s="29" t="s">
        <v>971</v>
      </c>
      <c r="F159" s="46" t="s">
        <v>3405</v>
      </c>
      <c r="G159" s="47"/>
      <c r="H159" s="47"/>
      <c r="I159" s="47"/>
      <c r="J159" s="7"/>
      <c r="K159" s="7"/>
      <c r="L159" s="7"/>
      <c r="M159" s="7"/>
      <c r="N159" s="15"/>
      <c r="O159" s="7"/>
      <c r="P159" s="7"/>
      <c r="Q159" s="7"/>
      <c r="R159" s="7" t="s">
        <v>3406</v>
      </c>
      <c r="S159" s="7"/>
      <c r="T159" s="7"/>
      <c r="U159" s="7"/>
      <c r="V159" s="7"/>
      <c r="W159" s="7"/>
      <c r="X159" s="7"/>
      <c r="Y159" s="7"/>
      <c r="Z159" s="7"/>
      <c r="AA159" s="7"/>
      <c r="AB159" s="7"/>
      <c r="AC159" s="7"/>
      <c r="AD159" s="7"/>
      <c r="AE159" s="7"/>
      <c r="AF159" s="7"/>
      <c r="AG159" s="6" t="s">
        <v>406</v>
      </c>
      <c r="AH159" s="6">
        <v>41</v>
      </c>
      <c r="AI159" s="7"/>
      <c r="AJ159" s="7"/>
      <c r="AK159" s="7"/>
      <c r="AL159" s="7" t="s">
        <v>406</v>
      </c>
      <c r="AM159" s="7" t="s">
        <v>406</v>
      </c>
      <c r="AN159" s="7" t="s">
        <v>406</v>
      </c>
    </row>
    <row r="160" ht="15.75" customHeight="1" spans="1:40">
      <c r="A160" s="6" t="s">
        <v>2576</v>
      </c>
      <c r="B160" s="45" t="s">
        <v>548</v>
      </c>
      <c r="C160" s="4" t="s">
        <v>957</v>
      </c>
      <c r="D160" s="12" t="s">
        <v>3407</v>
      </c>
      <c r="E160" s="29" t="s">
        <v>971</v>
      </c>
      <c r="F160" s="46" t="s">
        <v>3408</v>
      </c>
      <c r="G160" s="46" t="s">
        <v>3409</v>
      </c>
      <c r="H160" s="47" t="s">
        <v>2579</v>
      </c>
      <c r="I160" s="47" t="s">
        <v>2890</v>
      </c>
      <c r="J160" s="7"/>
      <c r="K160" s="7" t="s">
        <v>942</v>
      </c>
      <c r="L160" s="7"/>
      <c r="M160" s="7"/>
      <c r="N160" s="15"/>
      <c r="O160" s="7" t="s">
        <v>1028</v>
      </c>
      <c r="P160" s="7"/>
      <c r="Q160" s="7"/>
      <c r="R160" s="7"/>
      <c r="S160" s="7"/>
      <c r="T160" s="7"/>
      <c r="U160" s="7"/>
      <c r="V160" s="7"/>
      <c r="W160" s="7"/>
      <c r="X160" s="7"/>
      <c r="Y160" s="7" t="s">
        <v>548</v>
      </c>
      <c r="Z160" s="7"/>
      <c r="AA160" s="7"/>
      <c r="AB160" s="7"/>
      <c r="AC160" s="7"/>
      <c r="AD160" s="7"/>
      <c r="AE160" s="7"/>
      <c r="AF160" s="7"/>
      <c r="AG160" s="7"/>
      <c r="AH160" s="7"/>
      <c r="AI160" s="7"/>
      <c r="AJ160" s="7"/>
      <c r="AK160" s="7"/>
      <c r="AL160" s="7"/>
      <c r="AM160" s="7"/>
      <c r="AN160" s="7"/>
    </row>
    <row r="161" ht="15.75" customHeight="1" spans="1:40">
      <c r="A161" s="6" t="s">
        <v>2576</v>
      </c>
      <c r="B161" s="45" t="s">
        <v>2761</v>
      </c>
      <c r="C161" s="4" t="s">
        <v>655</v>
      </c>
      <c r="D161" s="10" t="s">
        <v>3410</v>
      </c>
      <c r="E161" s="29" t="s">
        <v>491</v>
      </c>
      <c r="F161" s="46" t="s">
        <v>3411</v>
      </c>
      <c r="G161" s="46">
        <v>5020597431</v>
      </c>
      <c r="H161" s="46" t="s">
        <v>2662</v>
      </c>
      <c r="I161" s="47"/>
      <c r="J161" s="7"/>
      <c r="K161" s="7"/>
      <c r="L161" s="7"/>
      <c r="M161" s="7"/>
      <c r="N161" s="54">
        <v>22297</v>
      </c>
      <c r="O161" s="6" t="s">
        <v>945</v>
      </c>
      <c r="P161" s="7"/>
      <c r="Q161" s="7"/>
      <c r="R161" s="7"/>
      <c r="S161" s="7"/>
      <c r="T161" s="7"/>
      <c r="U161" s="7"/>
      <c r="V161" s="7"/>
      <c r="W161" s="47"/>
      <c r="X161" s="47"/>
      <c r="Y161" s="46" t="s">
        <v>521</v>
      </c>
      <c r="Z161" s="47"/>
      <c r="AA161" s="7"/>
      <c r="AB161" s="7"/>
      <c r="AC161" s="7"/>
      <c r="AD161" s="7"/>
      <c r="AE161" s="7"/>
      <c r="AF161" s="7"/>
      <c r="AG161" s="6" t="s">
        <v>396</v>
      </c>
      <c r="AH161" s="6">
        <v>39</v>
      </c>
      <c r="AI161" s="7"/>
      <c r="AJ161" s="7"/>
      <c r="AK161" s="7"/>
      <c r="AL161" s="6" t="s">
        <v>396</v>
      </c>
      <c r="AM161" s="6" t="s">
        <v>396</v>
      </c>
      <c r="AN161" s="6" t="s">
        <v>396</v>
      </c>
    </row>
    <row r="162" ht="15.75" customHeight="1" spans="1:40">
      <c r="A162" s="6" t="s">
        <v>2576</v>
      </c>
      <c r="B162" s="45" t="s">
        <v>577</v>
      </c>
      <c r="C162" s="4" t="s">
        <v>957</v>
      </c>
      <c r="D162" s="10" t="s">
        <v>3412</v>
      </c>
      <c r="E162" s="29" t="s">
        <v>491</v>
      </c>
      <c r="F162" s="46" t="s">
        <v>3413</v>
      </c>
      <c r="G162" s="46">
        <v>2097504316</v>
      </c>
      <c r="H162" s="47" t="s">
        <v>2043</v>
      </c>
      <c r="I162" s="47" t="s">
        <v>2633</v>
      </c>
      <c r="J162" s="7" t="s">
        <v>942</v>
      </c>
      <c r="K162" s="7" t="s">
        <v>942</v>
      </c>
      <c r="L162" s="7" t="s">
        <v>943</v>
      </c>
      <c r="M162" s="7" t="s">
        <v>3414</v>
      </c>
      <c r="N162" s="51">
        <v>31987</v>
      </c>
      <c r="O162" s="7" t="s">
        <v>1028</v>
      </c>
      <c r="P162" s="7" t="s">
        <v>1104</v>
      </c>
      <c r="Q162" s="7" t="s">
        <v>963</v>
      </c>
      <c r="R162" s="7" t="s">
        <v>3415</v>
      </c>
      <c r="S162" s="59">
        <v>67</v>
      </c>
      <c r="T162" s="7" t="s">
        <v>1369</v>
      </c>
      <c r="U162" s="7"/>
      <c r="V162" s="7" t="s">
        <v>3416</v>
      </c>
      <c r="W162" s="47" t="s">
        <v>2637</v>
      </c>
      <c r="X162" s="7" t="s">
        <v>953</v>
      </c>
      <c r="Y162" s="47" t="s">
        <v>577</v>
      </c>
      <c r="Z162" s="47" t="s">
        <v>2638</v>
      </c>
      <c r="AA162" s="7" t="s">
        <v>2905</v>
      </c>
      <c r="AB162" s="7" t="s">
        <v>1086</v>
      </c>
      <c r="AC162" s="6" t="s">
        <v>396</v>
      </c>
      <c r="AD162" s="6" t="s">
        <v>396</v>
      </c>
      <c r="AE162" s="6" t="s">
        <v>396</v>
      </c>
      <c r="AF162" s="6" t="s">
        <v>395</v>
      </c>
      <c r="AG162" s="6" t="s">
        <v>395</v>
      </c>
      <c r="AH162" s="6">
        <v>34</v>
      </c>
      <c r="AI162" s="6">
        <v>34</v>
      </c>
      <c r="AJ162" s="59">
        <v>34</v>
      </c>
      <c r="AK162" s="59">
        <v>33</v>
      </c>
      <c r="AL162" s="6" t="s">
        <v>395</v>
      </c>
      <c r="AM162" s="6" t="s">
        <v>396</v>
      </c>
      <c r="AN162" s="6" t="s">
        <v>395</v>
      </c>
    </row>
    <row r="163" ht="15.75" customHeight="1" spans="1:40">
      <c r="A163" s="6" t="s">
        <v>2576</v>
      </c>
      <c r="B163" s="45" t="s">
        <v>523</v>
      </c>
      <c r="C163" s="4" t="s">
        <v>957</v>
      </c>
      <c r="D163" s="12" t="s">
        <v>119</v>
      </c>
      <c r="E163" s="29" t="s">
        <v>971</v>
      </c>
      <c r="F163" s="46" t="s">
        <v>3417</v>
      </c>
      <c r="G163" s="46">
        <v>1090014208</v>
      </c>
      <c r="H163" s="47" t="s">
        <v>939</v>
      </c>
      <c r="I163" s="47" t="s">
        <v>3418</v>
      </c>
      <c r="J163" s="47" t="s">
        <v>942</v>
      </c>
      <c r="K163" s="47" t="s">
        <v>941</v>
      </c>
      <c r="L163" s="47" t="s">
        <v>943</v>
      </c>
      <c r="M163" s="47" t="s">
        <v>3419</v>
      </c>
      <c r="N163" s="53">
        <v>34587</v>
      </c>
      <c r="O163" s="47" t="s">
        <v>2801</v>
      </c>
      <c r="P163" s="47" t="s">
        <v>3152</v>
      </c>
      <c r="Q163" s="47" t="s">
        <v>3420</v>
      </c>
      <c r="R163" s="47" t="s">
        <v>3421</v>
      </c>
      <c r="S163" s="47">
        <v>66</v>
      </c>
      <c r="T163" s="47">
        <v>1.71</v>
      </c>
      <c r="U163" s="47" t="s">
        <v>3422</v>
      </c>
      <c r="V163" s="47" t="s">
        <v>3423</v>
      </c>
      <c r="W163" s="47"/>
      <c r="X163" s="47" t="s">
        <v>953</v>
      </c>
      <c r="Y163" s="47" t="s">
        <v>3020</v>
      </c>
      <c r="Z163" s="47">
        <v>99712499</v>
      </c>
      <c r="AA163" s="47" t="s">
        <v>3424</v>
      </c>
      <c r="AB163" s="47" t="s">
        <v>3425</v>
      </c>
      <c r="AC163" s="47" t="s">
        <v>396</v>
      </c>
      <c r="AD163" s="47" t="s">
        <v>406</v>
      </c>
      <c r="AE163" s="47" t="s">
        <v>396</v>
      </c>
      <c r="AF163" s="47" t="s">
        <v>406</v>
      </c>
      <c r="AG163" s="47" t="s">
        <v>396</v>
      </c>
      <c r="AH163" s="47" t="s">
        <v>395</v>
      </c>
      <c r="AI163" s="47">
        <v>36</v>
      </c>
      <c r="AJ163" s="47">
        <v>36</v>
      </c>
      <c r="AK163" s="47">
        <v>36</v>
      </c>
      <c r="AL163" s="47">
        <v>37</v>
      </c>
      <c r="AM163" s="47" t="s">
        <v>396</v>
      </c>
      <c r="AN163" s="47">
        <v>56</v>
      </c>
    </row>
    <row r="164" ht="15.75" customHeight="1" spans="1:40">
      <c r="A164" s="6" t="s">
        <v>2576</v>
      </c>
      <c r="B164" s="45" t="s">
        <v>546</v>
      </c>
      <c r="C164" s="4" t="s">
        <v>957</v>
      </c>
      <c r="D164" s="12" t="s">
        <v>3426</v>
      </c>
      <c r="E164" s="29" t="s">
        <v>971</v>
      </c>
      <c r="F164" s="46"/>
      <c r="G164" s="47"/>
      <c r="H164" s="47"/>
      <c r="I164" s="47"/>
      <c r="J164" s="47"/>
      <c r="K164" s="47"/>
      <c r="L164" s="47"/>
      <c r="M164" s="47"/>
      <c r="N164" s="52">
        <v>36853</v>
      </c>
      <c r="O164" s="46" t="s">
        <v>945</v>
      </c>
      <c r="P164" s="47"/>
      <c r="Q164" s="47"/>
      <c r="R164" s="47"/>
      <c r="S164" s="47"/>
      <c r="T164" s="47"/>
      <c r="U164" s="47"/>
      <c r="V164" s="47"/>
      <c r="W164" s="47"/>
      <c r="X164" s="47"/>
      <c r="Y164" s="47"/>
      <c r="Z164" s="47"/>
      <c r="AA164" s="47"/>
      <c r="AB164" s="47"/>
      <c r="AC164" s="47"/>
      <c r="AD164" s="47"/>
      <c r="AE164" s="47"/>
      <c r="AF164" s="47"/>
      <c r="AG164" s="46" t="s">
        <v>399</v>
      </c>
      <c r="AH164" s="46">
        <v>42</v>
      </c>
      <c r="AI164" s="47"/>
      <c r="AJ164" s="47"/>
      <c r="AK164" s="47"/>
      <c r="AL164" s="46" t="s">
        <v>398</v>
      </c>
      <c r="AM164" s="46" t="s">
        <v>398</v>
      </c>
      <c r="AN164" s="46" t="s">
        <v>398</v>
      </c>
    </row>
    <row r="165" ht="15.75" customHeight="1" spans="1:40">
      <c r="A165" s="6" t="s">
        <v>2576</v>
      </c>
      <c r="B165" s="45" t="s">
        <v>576</v>
      </c>
      <c r="C165" s="4" t="s">
        <v>957</v>
      </c>
      <c r="D165" s="12" t="s">
        <v>3427</v>
      </c>
      <c r="E165" s="29" t="s">
        <v>971</v>
      </c>
      <c r="F165" s="46" t="s">
        <v>3428</v>
      </c>
      <c r="G165" s="46">
        <v>1140503259</v>
      </c>
      <c r="H165" s="47" t="s">
        <v>2583</v>
      </c>
      <c r="I165" s="47" t="s">
        <v>2584</v>
      </c>
      <c r="J165" s="7" t="s">
        <v>942</v>
      </c>
      <c r="K165" s="7" t="s">
        <v>942</v>
      </c>
      <c r="L165" s="7" t="s">
        <v>943</v>
      </c>
      <c r="M165" s="7" t="s">
        <v>3429</v>
      </c>
      <c r="N165" s="51">
        <v>38638</v>
      </c>
      <c r="O165" s="7" t="s">
        <v>1028</v>
      </c>
      <c r="P165" s="7" t="s">
        <v>946</v>
      </c>
      <c r="Q165" s="7" t="s">
        <v>963</v>
      </c>
      <c r="R165" s="7" t="s">
        <v>3430</v>
      </c>
      <c r="S165" s="59">
        <v>79</v>
      </c>
      <c r="T165" s="7" t="s">
        <v>1044</v>
      </c>
      <c r="U165" s="7"/>
      <c r="V165" s="7" t="s">
        <v>3431</v>
      </c>
      <c r="W165" s="7" t="s">
        <v>3432</v>
      </c>
      <c r="X165" s="7" t="s">
        <v>953</v>
      </c>
      <c r="Y165" s="7" t="s">
        <v>576</v>
      </c>
      <c r="Z165" s="7" t="s">
        <v>2589</v>
      </c>
      <c r="AA165" s="7" t="s">
        <v>3433</v>
      </c>
      <c r="AB165" s="7" t="s">
        <v>2820</v>
      </c>
      <c r="AC165" s="6" t="s">
        <v>406</v>
      </c>
      <c r="AD165" s="6" t="s">
        <v>406</v>
      </c>
      <c r="AE165" s="6" t="s">
        <v>396</v>
      </c>
      <c r="AF165" s="6" t="s">
        <v>406</v>
      </c>
      <c r="AG165" s="6" t="s">
        <v>396</v>
      </c>
      <c r="AH165" s="6">
        <v>38</v>
      </c>
      <c r="AI165" s="6">
        <v>38</v>
      </c>
      <c r="AJ165" s="59">
        <v>38</v>
      </c>
      <c r="AK165" s="59">
        <v>38</v>
      </c>
      <c r="AL165" s="6" t="s">
        <v>396</v>
      </c>
      <c r="AM165" s="6" t="s">
        <v>396</v>
      </c>
      <c r="AN165" s="6" t="s">
        <v>396</v>
      </c>
    </row>
    <row r="166" ht="15.75" customHeight="1" spans="1:40">
      <c r="A166" s="6" t="s">
        <v>2576</v>
      </c>
      <c r="B166" s="45" t="s">
        <v>577</v>
      </c>
      <c r="C166" s="4" t="s">
        <v>957</v>
      </c>
      <c r="D166" s="10" t="s">
        <v>288</v>
      </c>
      <c r="E166" s="29" t="s">
        <v>491</v>
      </c>
      <c r="F166" s="46" t="s">
        <v>3434</v>
      </c>
      <c r="G166" s="46">
        <v>2125041513</v>
      </c>
      <c r="H166" s="47" t="s">
        <v>2043</v>
      </c>
      <c r="I166" s="47" t="s">
        <v>2633</v>
      </c>
      <c r="J166" s="7" t="s">
        <v>942</v>
      </c>
      <c r="K166" s="7" t="s">
        <v>942</v>
      </c>
      <c r="L166" s="7" t="s">
        <v>943</v>
      </c>
      <c r="M166" s="7" t="s">
        <v>3435</v>
      </c>
      <c r="N166" s="51">
        <v>37293</v>
      </c>
      <c r="O166" s="7" t="s">
        <v>1028</v>
      </c>
      <c r="P166" s="7" t="s">
        <v>946</v>
      </c>
      <c r="Q166" s="7" t="s">
        <v>947</v>
      </c>
      <c r="R166" s="7" t="s">
        <v>3436</v>
      </c>
      <c r="S166" s="59">
        <v>67</v>
      </c>
      <c r="T166" s="7" t="s">
        <v>1044</v>
      </c>
      <c r="U166" s="7"/>
      <c r="V166" s="7" t="s">
        <v>3437</v>
      </c>
      <c r="W166" s="47" t="s">
        <v>2637</v>
      </c>
      <c r="X166" s="7" t="s">
        <v>953</v>
      </c>
      <c r="Y166" s="47" t="s">
        <v>577</v>
      </c>
      <c r="Z166" s="47" t="s">
        <v>2638</v>
      </c>
      <c r="AA166" s="7" t="s">
        <v>3438</v>
      </c>
      <c r="AB166" s="7" t="s">
        <v>1086</v>
      </c>
      <c r="AC166" s="6" t="s">
        <v>398</v>
      </c>
      <c r="AD166" s="6" t="s">
        <v>398</v>
      </c>
      <c r="AE166" s="6" t="s">
        <v>396</v>
      </c>
      <c r="AF166" s="6" t="s">
        <v>396</v>
      </c>
      <c r="AG166" s="6" t="s">
        <v>398</v>
      </c>
      <c r="AH166" s="6">
        <v>37</v>
      </c>
      <c r="AI166" s="6">
        <v>37</v>
      </c>
      <c r="AJ166" s="59">
        <v>37</v>
      </c>
      <c r="AK166" s="59">
        <v>37</v>
      </c>
      <c r="AL166" s="6" t="s">
        <v>396</v>
      </c>
      <c r="AM166" s="6" t="s">
        <v>396</v>
      </c>
      <c r="AN166" s="6" t="s">
        <v>396</v>
      </c>
    </row>
    <row r="167" ht="15.75" customHeight="1" spans="1:40">
      <c r="A167" s="6" t="s">
        <v>2576</v>
      </c>
      <c r="B167" s="45" t="s">
        <v>520</v>
      </c>
      <c r="C167" s="4" t="s">
        <v>957</v>
      </c>
      <c r="D167" s="12" t="s">
        <v>3439</v>
      </c>
      <c r="E167" s="29" t="s">
        <v>971</v>
      </c>
      <c r="F167" s="46" t="s">
        <v>3440</v>
      </c>
      <c r="G167" s="46">
        <v>9077574367</v>
      </c>
      <c r="H167" s="47" t="s">
        <v>2611</v>
      </c>
      <c r="I167" s="4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row>
    <row r="168" ht="15.75" customHeight="1" spans="1:40">
      <c r="A168" s="6" t="s">
        <v>2576</v>
      </c>
      <c r="B168" s="45"/>
      <c r="C168" s="4"/>
      <c r="D168" s="12" t="s">
        <v>3441</v>
      </c>
      <c r="E168" s="29" t="s">
        <v>491</v>
      </c>
      <c r="F168" s="46" t="s">
        <v>3442</v>
      </c>
      <c r="G168" s="46"/>
      <c r="H168" s="46"/>
      <c r="I168" s="47"/>
      <c r="J168" s="47"/>
      <c r="K168" s="47"/>
      <c r="L168" s="46"/>
      <c r="M168" s="46"/>
      <c r="N168" s="52"/>
      <c r="O168" s="46"/>
      <c r="P168" s="46"/>
      <c r="Q168" s="46"/>
      <c r="R168" s="60"/>
      <c r="S168" s="46"/>
      <c r="T168" s="46"/>
      <c r="U168" s="46"/>
      <c r="V168" s="47"/>
      <c r="W168" s="47"/>
      <c r="X168" s="46"/>
      <c r="Y168" s="46"/>
      <c r="Z168" s="46"/>
      <c r="AA168" s="46"/>
      <c r="AB168" s="46"/>
      <c r="AC168" s="46"/>
      <c r="AD168" s="46"/>
      <c r="AE168" s="46"/>
      <c r="AF168" s="46"/>
      <c r="AG168" s="46"/>
      <c r="AH168" s="46"/>
      <c r="AI168" s="46"/>
      <c r="AJ168" s="46"/>
      <c r="AK168" s="46"/>
      <c r="AL168" s="46"/>
      <c r="AM168" s="46"/>
      <c r="AN168" s="46"/>
    </row>
    <row r="169" ht="15.75" customHeight="1" spans="1:40">
      <c r="A169" s="6" t="s">
        <v>2576</v>
      </c>
      <c r="B169" s="45" t="s">
        <v>3443</v>
      </c>
      <c r="C169" s="4" t="s">
        <v>655</v>
      </c>
      <c r="D169" s="10" t="s">
        <v>3444</v>
      </c>
      <c r="E169" s="29" t="s">
        <v>490</v>
      </c>
      <c r="F169" s="46" t="s">
        <v>3445</v>
      </c>
      <c r="G169" s="46">
        <v>5066242099</v>
      </c>
      <c r="H169" s="46" t="s">
        <v>2662</v>
      </c>
      <c r="I169" s="47"/>
      <c r="J169" s="7"/>
      <c r="K169" s="7"/>
      <c r="L169" s="7"/>
      <c r="M169" s="7"/>
      <c r="N169" s="66">
        <v>28088</v>
      </c>
      <c r="O169" s="6" t="s">
        <v>945</v>
      </c>
      <c r="P169" s="7"/>
      <c r="Q169" s="7"/>
      <c r="R169" s="7"/>
      <c r="S169" s="7"/>
      <c r="T169" s="7"/>
      <c r="U169" s="7"/>
      <c r="V169" s="7"/>
      <c r="W169" s="47"/>
      <c r="X169" s="47"/>
      <c r="Y169" s="46" t="s">
        <v>543</v>
      </c>
      <c r="Z169" s="47"/>
      <c r="AA169" s="7"/>
      <c r="AB169" s="7"/>
      <c r="AC169" s="7"/>
      <c r="AD169" s="7"/>
      <c r="AE169" s="7"/>
      <c r="AF169" s="7"/>
      <c r="AG169" s="6" t="s">
        <v>398</v>
      </c>
      <c r="AH169" s="6">
        <v>42</v>
      </c>
      <c r="AI169" s="7"/>
      <c r="AJ169" s="7"/>
      <c r="AK169" s="7"/>
      <c r="AL169" s="6" t="s">
        <v>398</v>
      </c>
      <c r="AM169" s="6" t="s">
        <v>398</v>
      </c>
      <c r="AN169" s="6" t="s">
        <v>398</v>
      </c>
    </row>
    <row r="170" ht="15.75" customHeight="1" spans="1:40">
      <c r="A170" s="6" t="s">
        <v>2576</v>
      </c>
      <c r="B170" s="45" t="s">
        <v>548</v>
      </c>
      <c r="C170" s="4" t="s">
        <v>957</v>
      </c>
      <c r="D170" s="12" t="s">
        <v>3446</v>
      </c>
      <c r="E170" s="29" t="s">
        <v>971</v>
      </c>
      <c r="F170" s="6" t="s">
        <v>3447</v>
      </c>
      <c r="G170" s="6">
        <v>4057924625</v>
      </c>
      <c r="H170" s="7" t="s">
        <v>3029</v>
      </c>
      <c r="I170" s="7" t="s">
        <v>3151</v>
      </c>
      <c r="J170" s="7" t="s">
        <v>941</v>
      </c>
      <c r="K170" s="7" t="s">
        <v>942</v>
      </c>
      <c r="L170" s="7" t="s">
        <v>975</v>
      </c>
      <c r="M170" s="7" t="s">
        <v>3446</v>
      </c>
      <c r="N170" s="51">
        <v>26861</v>
      </c>
      <c r="O170" s="7" t="s">
        <v>945</v>
      </c>
      <c r="P170" s="7" t="s">
        <v>946</v>
      </c>
      <c r="Q170" s="7" t="s">
        <v>963</v>
      </c>
      <c r="R170" s="7" t="s">
        <v>3448</v>
      </c>
      <c r="S170" s="59">
        <v>92</v>
      </c>
      <c r="T170" s="7" t="s">
        <v>1154</v>
      </c>
      <c r="U170" s="59">
        <v>5431110</v>
      </c>
      <c r="V170" s="7" t="s">
        <v>3449</v>
      </c>
      <c r="W170" s="59">
        <v>5454531011</v>
      </c>
      <c r="X170" s="7" t="s">
        <v>2688</v>
      </c>
      <c r="Y170" s="7" t="s">
        <v>548</v>
      </c>
      <c r="Z170" s="7" t="s">
        <v>2689</v>
      </c>
      <c r="AA170" s="7" t="s">
        <v>3358</v>
      </c>
      <c r="AB170" s="7" t="s">
        <v>1086</v>
      </c>
      <c r="AC170" s="7" t="s">
        <v>406</v>
      </c>
      <c r="AD170" s="7" t="s">
        <v>406</v>
      </c>
      <c r="AE170" s="7" t="s">
        <v>406</v>
      </c>
      <c r="AF170" s="7" t="s">
        <v>406</v>
      </c>
      <c r="AG170" s="7" t="s">
        <v>406</v>
      </c>
      <c r="AH170" s="59">
        <v>42</v>
      </c>
      <c r="AI170" s="59">
        <v>42</v>
      </c>
      <c r="AJ170" s="59">
        <v>42</v>
      </c>
      <c r="AK170" s="59">
        <v>42</v>
      </c>
      <c r="AL170" s="7" t="s">
        <v>406</v>
      </c>
      <c r="AM170" s="7" t="s">
        <v>406</v>
      </c>
      <c r="AN170" s="7" t="s">
        <v>406</v>
      </c>
    </row>
    <row r="171" ht="15.75" customHeight="1" spans="1:40">
      <c r="A171" s="6" t="s">
        <v>2576</v>
      </c>
      <c r="B171" s="45" t="s">
        <v>558</v>
      </c>
      <c r="C171" s="4" t="s">
        <v>957</v>
      </c>
      <c r="D171" s="12" t="s">
        <v>3450</v>
      </c>
      <c r="E171" s="29" t="s">
        <v>971</v>
      </c>
      <c r="F171" s="46" t="s">
        <v>3451</v>
      </c>
      <c r="G171" s="46">
        <v>1119397022</v>
      </c>
      <c r="H171" s="47" t="s">
        <v>3452</v>
      </c>
      <c r="I171" s="47" t="s">
        <v>2865</v>
      </c>
      <c r="J171" s="7" t="s">
        <v>942</v>
      </c>
      <c r="K171" s="7" t="s">
        <v>942</v>
      </c>
      <c r="L171" s="7"/>
      <c r="M171" s="7"/>
      <c r="N171" s="7"/>
      <c r="O171" s="7"/>
      <c r="P171" s="7"/>
      <c r="Q171" s="7"/>
      <c r="R171" s="7"/>
      <c r="S171" s="7"/>
      <c r="T171" s="7"/>
      <c r="U171" s="7"/>
      <c r="V171" s="7"/>
      <c r="W171" s="7"/>
      <c r="X171" s="7" t="s">
        <v>953</v>
      </c>
      <c r="Y171" s="7" t="s">
        <v>558</v>
      </c>
      <c r="Z171" s="7" t="s">
        <v>2648</v>
      </c>
      <c r="AA171" s="7"/>
      <c r="AB171" s="7"/>
      <c r="AC171" s="7"/>
      <c r="AD171" s="7"/>
      <c r="AE171" s="7"/>
      <c r="AF171" s="7"/>
      <c r="AG171" s="7"/>
      <c r="AH171" s="7"/>
      <c r="AI171" s="7"/>
      <c r="AJ171" s="7"/>
      <c r="AK171" s="7"/>
      <c r="AL171" s="7"/>
      <c r="AM171" s="7"/>
      <c r="AN171" s="7"/>
    </row>
    <row r="172" ht="15.75" customHeight="1" spans="1:40">
      <c r="A172" s="6" t="s">
        <v>2576</v>
      </c>
      <c r="B172" s="45" t="s">
        <v>576</v>
      </c>
      <c r="C172" s="4" t="s">
        <v>957</v>
      </c>
      <c r="D172" s="10" t="s">
        <v>121</v>
      </c>
      <c r="E172" s="29" t="s">
        <v>971</v>
      </c>
      <c r="F172" s="46" t="s">
        <v>3453</v>
      </c>
      <c r="G172" s="46">
        <v>2124513851</v>
      </c>
      <c r="H172" s="47" t="s">
        <v>2583</v>
      </c>
      <c r="I172" s="47" t="s">
        <v>2584</v>
      </c>
      <c r="J172" s="7" t="s">
        <v>942</v>
      </c>
      <c r="K172" s="7" t="s">
        <v>942</v>
      </c>
      <c r="L172" s="7" t="s">
        <v>943</v>
      </c>
      <c r="M172" s="7" t="s">
        <v>3454</v>
      </c>
      <c r="N172" s="51">
        <v>36668</v>
      </c>
      <c r="O172" s="7" t="s">
        <v>945</v>
      </c>
      <c r="P172" s="7" t="s">
        <v>946</v>
      </c>
      <c r="Q172" s="7" t="s">
        <v>1245</v>
      </c>
      <c r="R172" s="7" t="s">
        <v>3455</v>
      </c>
      <c r="S172" s="59">
        <v>63</v>
      </c>
      <c r="T172" s="7" t="s">
        <v>1030</v>
      </c>
      <c r="U172" s="7"/>
      <c r="V172" s="7" t="s">
        <v>3456</v>
      </c>
      <c r="W172" s="7" t="s">
        <v>3457</v>
      </c>
      <c r="X172" s="7" t="s">
        <v>953</v>
      </c>
      <c r="Y172" s="7" t="s">
        <v>576</v>
      </c>
      <c r="Z172" s="7" t="s">
        <v>2589</v>
      </c>
      <c r="AA172" s="7" t="s">
        <v>3458</v>
      </c>
      <c r="AB172" s="7" t="s">
        <v>1086</v>
      </c>
      <c r="AC172" s="6" t="s">
        <v>396</v>
      </c>
      <c r="AD172" s="6" t="s">
        <v>396</v>
      </c>
      <c r="AE172" s="6" t="s">
        <v>396</v>
      </c>
      <c r="AF172" s="6" t="s">
        <v>396</v>
      </c>
      <c r="AG172" s="6" t="s">
        <v>396</v>
      </c>
      <c r="AH172" s="6">
        <v>38</v>
      </c>
      <c r="AI172" s="6">
        <v>38</v>
      </c>
      <c r="AJ172" s="59">
        <v>38</v>
      </c>
      <c r="AK172" s="59">
        <v>38</v>
      </c>
      <c r="AL172" s="6" t="s">
        <v>396</v>
      </c>
      <c r="AM172" s="6" t="s">
        <v>396</v>
      </c>
      <c r="AN172" s="6" t="s">
        <v>396</v>
      </c>
    </row>
    <row r="173" ht="15.75" customHeight="1" spans="1:40">
      <c r="A173" s="6" t="s">
        <v>2576</v>
      </c>
      <c r="B173" s="45" t="s">
        <v>546</v>
      </c>
      <c r="C173" s="4" t="s">
        <v>957</v>
      </c>
      <c r="D173" s="12" t="s">
        <v>3459</v>
      </c>
      <c r="E173" s="29" t="s">
        <v>971</v>
      </c>
      <c r="F173" s="46"/>
      <c r="G173" s="47"/>
      <c r="H173" s="47"/>
      <c r="I173" s="47"/>
      <c r="J173" s="47"/>
      <c r="K173" s="47"/>
      <c r="L173" s="47"/>
      <c r="M173" s="47"/>
      <c r="N173" s="52">
        <v>29559</v>
      </c>
      <c r="O173" s="46" t="s">
        <v>945</v>
      </c>
      <c r="P173" s="47"/>
      <c r="Q173" s="47"/>
      <c r="R173" s="47"/>
      <c r="S173" s="47"/>
      <c r="T173" s="47"/>
      <c r="U173" s="47"/>
      <c r="V173" s="47"/>
      <c r="W173" s="47"/>
      <c r="X173" s="47"/>
      <c r="Y173" s="47"/>
      <c r="Z173" s="47"/>
      <c r="AA173" s="47"/>
      <c r="AB173" s="47"/>
      <c r="AC173" s="47"/>
      <c r="AD173" s="47"/>
      <c r="AE173" s="47"/>
      <c r="AF173" s="47"/>
      <c r="AG173" s="46" t="s">
        <v>398</v>
      </c>
      <c r="AH173" s="46">
        <v>41</v>
      </c>
      <c r="AI173" s="47"/>
      <c r="AJ173" s="47"/>
      <c r="AK173" s="47"/>
      <c r="AL173" s="46" t="s">
        <v>398</v>
      </c>
      <c r="AM173" s="46" t="s">
        <v>398</v>
      </c>
      <c r="AN173" s="46" t="s">
        <v>398</v>
      </c>
    </row>
    <row r="174" ht="15.75" customHeight="1" spans="1:40">
      <c r="A174" s="6" t="s">
        <v>2576</v>
      </c>
      <c r="B174" s="45" t="s">
        <v>546</v>
      </c>
      <c r="C174" s="4" t="s">
        <v>957</v>
      </c>
      <c r="D174" s="12" t="s">
        <v>3460</v>
      </c>
      <c r="E174" s="29" t="s">
        <v>491</v>
      </c>
      <c r="F174" s="46"/>
      <c r="G174" s="47"/>
      <c r="H174" s="47"/>
      <c r="I174" s="47"/>
      <c r="J174" s="47"/>
      <c r="K174" s="47"/>
      <c r="L174" s="47"/>
      <c r="M174" s="47"/>
      <c r="N174" s="52">
        <v>33691</v>
      </c>
      <c r="O174" s="46" t="s">
        <v>1028</v>
      </c>
      <c r="P174" s="47"/>
      <c r="Q174" s="47"/>
      <c r="R174" s="47"/>
      <c r="S174" s="47"/>
      <c r="T174" s="47"/>
      <c r="U174" s="47"/>
      <c r="V174" s="47"/>
      <c r="W174" s="47"/>
      <c r="X174" s="47"/>
      <c r="Y174" s="47"/>
      <c r="Z174" s="47"/>
      <c r="AA174" s="47"/>
      <c r="AB174" s="47"/>
      <c r="AC174" s="47"/>
      <c r="AD174" s="47"/>
      <c r="AE174" s="47"/>
      <c r="AF174" s="47"/>
      <c r="AG174" s="46" t="s">
        <v>395</v>
      </c>
      <c r="AH174" s="46">
        <v>37</v>
      </c>
      <c r="AI174" s="47"/>
      <c r="AJ174" s="47"/>
      <c r="AK174" s="47"/>
      <c r="AL174" s="46" t="s">
        <v>396</v>
      </c>
      <c r="AM174" s="46" t="s">
        <v>396</v>
      </c>
      <c r="AN174" s="46" t="s">
        <v>396</v>
      </c>
    </row>
    <row r="175" ht="15.75" customHeight="1" spans="1:40">
      <c r="A175" s="6" t="s">
        <v>2576</v>
      </c>
      <c r="B175" s="45" t="s">
        <v>523</v>
      </c>
      <c r="C175" s="4" t="s">
        <v>957</v>
      </c>
      <c r="D175" s="12" t="s">
        <v>3461</v>
      </c>
      <c r="E175" s="29" t="s">
        <v>971</v>
      </c>
      <c r="F175" s="46" t="s">
        <v>3462</v>
      </c>
      <c r="G175" s="46">
        <v>5113518988</v>
      </c>
      <c r="H175" s="47" t="s">
        <v>2665</v>
      </c>
      <c r="I175" s="47" t="s">
        <v>3463</v>
      </c>
      <c r="J175" s="47"/>
      <c r="K175" s="47"/>
      <c r="L175" s="47"/>
      <c r="M175" s="47"/>
      <c r="N175" s="67"/>
      <c r="O175" s="47"/>
      <c r="P175" s="47"/>
      <c r="Q175" s="47"/>
      <c r="R175" s="47"/>
      <c r="S175" s="47"/>
      <c r="T175" s="47"/>
      <c r="U175" s="47"/>
      <c r="V175" s="47"/>
      <c r="W175" s="47"/>
      <c r="X175" s="47"/>
      <c r="Y175" s="47"/>
      <c r="Z175" s="47"/>
      <c r="AA175" s="47"/>
      <c r="AB175" s="47"/>
      <c r="AC175" s="47"/>
      <c r="AD175" s="47"/>
      <c r="AE175" s="47"/>
      <c r="AF175" s="47"/>
      <c r="AG175" s="47"/>
      <c r="AH175" s="47"/>
      <c r="AI175" s="47"/>
      <c r="AJ175" s="47"/>
      <c r="AK175" s="47"/>
      <c r="AL175" s="47"/>
      <c r="AM175" s="47"/>
      <c r="AN175" s="47"/>
    </row>
    <row r="176" ht="15.75" customHeight="1" spans="1:40">
      <c r="A176" s="6" t="s">
        <v>2576</v>
      </c>
      <c r="B176" s="45" t="s">
        <v>576</v>
      </c>
      <c r="C176" s="4" t="s">
        <v>957</v>
      </c>
      <c r="D176" s="12" t="s">
        <v>3464</v>
      </c>
      <c r="E176" s="29" t="s">
        <v>971</v>
      </c>
      <c r="F176" s="46" t="s">
        <v>3465</v>
      </c>
      <c r="G176" s="46">
        <v>7116264933</v>
      </c>
      <c r="H176" s="47" t="s">
        <v>2583</v>
      </c>
      <c r="I176" s="47" t="s">
        <v>2584</v>
      </c>
      <c r="J176" s="7" t="s">
        <v>942</v>
      </c>
      <c r="K176" s="7" t="s">
        <v>942</v>
      </c>
      <c r="L176" s="7" t="s">
        <v>943</v>
      </c>
      <c r="M176" s="7" t="s">
        <v>3466</v>
      </c>
      <c r="N176" s="51">
        <v>34572</v>
      </c>
      <c r="O176" s="7" t="s">
        <v>945</v>
      </c>
      <c r="P176" s="7" t="s">
        <v>946</v>
      </c>
      <c r="Q176" s="7" t="s">
        <v>963</v>
      </c>
      <c r="R176" s="7" t="s">
        <v>3467</v>
      </c>
      <c r="S176" s="59">
        <v>105</v>
      </c>
      <c r="T176" s="7" t="s">
        <v>965</v>
      </c>
      <c r="U176" s="7"/>
      <c r="V176" s="7" t="s">
        <v>3468</v>
      </c>
      <c r="W176" s="7"/>
      <c r="X176" s="7" t="s">
        <v>953</v>
      </c>
      <c r="Y176" s="7" t="s">
        <v>576</v>
      </c>
      <c r="Z176" s="7" t="s">
        <v>2589</v>
      </c>
      <c r="AA176" s="7" t="s">
        <v>3469</v>
      </c>
      <c r="AB176" s="7" t="s">
        <v>3470</v>
      </c>
      <c r="AC176" s="6" t="s">
        <v>398</v>
      </c>
      <c r="AD176" s="6" t="s">
        <v>398</v>
      </c>
      <c r="AE176" s="6" t="s">
        <v>398</v>
      </c>
      <c r="AF176" s="6" t="s">
        <v>398</v>
      </c>
      <c r="AG176" s="6" t="s">
        <v>398</v>
      </c>
      <c r="AH176" s="6">
        <v>42</v>
      </c>
      <c r="AI176" s="6">
        <v>42</v>
      </c>
      <c r="AJ176" s="59">
        <v>42</v>
      </c>
      <c r="AK176" s="59">
        <v>42</v>
      </c>
      <c r="AL176" s="6" t="s">
        <v>398</v>
      </c>
      <c r="AM176" s="6" t="s">
        <v>398</v>
      </c>
      <c r="AN176" s="6" t="s">
        <v>398</v>
      </c>
    </row>
    <row r="177" ht="15.75" customHeight="1" spans="1:40">
      <c r="A177" s="6" t="s">
        <v>2576</v>
      </c>
      <c r="B177" s="45" t="s">
        <v>576</v>
      </c>
      <c r="C177" s="4" t="s">
        <v>957</v>
      </c>
      <c r="D177" s="12" t="s">
        <v>3471</v>
      </c>
      <c r="E177" s="29" t="s">
        <v>491</v>
      </c>
      <c r="F177" s="46" t="s">
        <v>3472</v>
      </c>
      <c r="G177" s="46">
        <v>656545240</v>
      </c>
      <c r="H177" s="47" t="s">
        <v>2583</v>
      </c>
      <c r="I177" s="47" t="s">
        <v>2584</v>
      </c>
      <c r="J177" s="7" t="s">
        <v>942</v>
      </c>
      <c r="K177" s="7" t="s">
        <v>942</v>
      </c>
      <c r="L177" s="7" t="s">
        <v>975</v>
      </c>
      <c r="M177" s="7" t="s">
        <v>3473</v>
      </c>
      <c r="N177" s="51">
        <v>36510</v>
      </c>
      <c r="O177" s="7" t="s">
        <v>945</v>
      </c>
      <c r="P177" s="7" t="s">
        <v>946</v>
      </c>
      <c r="Q177" s="7" t="s">
        <v>947</v>
      </c>
      <c r="R177" s="7" t="s">
        <v>3474</v>
      </c>
      <c r="S177" s="59">
        <v>112</v>
      </c>
      <c r="T177" s="7" t="s">
        <v>965</v>
      </c>
      <c r="U177" s="7"/>
      <c r="V177" s="7" t="s">
        <v>3475</v>
      </c>
      <c r="W177" s="7" t="s">
        <v>3476</v>
      </c>
      <c r="X177" s="7" t="s">
        <v>953</v>
      </c>
      <c r="Y177" s="7" t="s">
        <v>537</v>
      </c>
      <c r="Z177" s="7" t="s">
        <v>2606</v>
      </c>
      <c r="AA177" s="7" t="s">
        <v>3477</v>
      </c>
      <c r="AB177" s="7" t="s">
        <v>3478</v>
      </c>
      <c r="AC177" s="6" t="s">
        <v>398</v>
      </c>
      <c r="AD177" s="6" t="s">
        <v>398</v>
      </c>
      <c r="AE177" s="6" t="s">
        <v>398</v>
      </c>
      <c r="AF177" s="6" t="s">
        <v>398</v>
      </c>
      <c r="AG177" s="6" t="s">
        <v>398</v>
      </c>
      <c r="AH177" s="6">
        <v>42</v>
      </c>
      <c r="AI177" s="6">
        <v>42</v>
      </c>
      <c r="AJ177" s="59">
        <v>42</v>
      </c>
      <c r="AK177" s="59">
        <v>42</v>
      </c>
      <c r="AL177" s="6" t="s">
        <v>398</v>
      </c>
      <c r="AM177" s="6" t="s">
        <v>398</v>
      </c>
      <c r="AN177" s="6" t="s">
        <v>398</v>
      </c>
    </row>
    <row r="178" ht="15.75" customHeight="1" spans="1:40">
      <c r="A178" s="6" t="s">
        <v>2576</v>
      </c>
      <c r="B178" s="45" t="s">
        <v>558</v>
      </c>
      <c r="C178" s="4" t="s">
        <v>957</v>
      </c>
      <c r="D178" s="12" t="s">
        <v>3479</v>
      </c>
      <c r="E178" s="29" t="s">
        <v>971</v>
      </c>
      <c r="F178" s="46" t="s">
        <v>3480</v>
      </c>
      <c r="G178" s="46">
        <v>5064638314</v>
      </c>
      <c r="H178" s="47" t="s">
        <v>2742</v>
      </c>
      <c r="I178" s="47" t="s">
        <v>3481</v>
      </c>
      <c r="J178" s="7" t="s">
        <v>942</v>
      </c>
      <c r="K178" s="7" t="s">
        <v>942</v>
      </c>
      <c r="L178" s="7"/>
      <c r="M178" s="7"/>
      <c r="N178" s="7"/>
      <c r="O178" s="7"/>
      <c r="P178" s="7"/>
      <c r="Q178" s="7"/>
      <c r="R178" s="7"/>
      <c r="S178" s="7"/>
      <c r="T178" s="7"/>
      <c r="U178" s="7"/>
      <c r="V178" s="7"/>
      <c r="W178" s="7"/>
      <c r="X178" s="7" t="s">
        <v>953</v>
      </c>
      <c r="Y178" s="7" t="s">
        <v>558</v>
      </c>
      <c r="Z178" s="7" t="s">
        <v>2648</v>
      </c>
      <c r="AA178" s="7"/>
      <c r="AB178" s="7"/>
      <c r="AC178" s="7"/>
      <c r="AD178" s="7"/>
      <c r="AE178" s="7"/>
      <c r="AF178" s="7"/>
      <c r="AG178" s="7"/>
      <c r="AH178" s="7"/>
      <c r="AI178" s="7"/>
      <c r="AJ178" s="7"/>
      <c r="AK178" s="7"/>
      <c r="AL178" s="7"/>
      <c r="AM178" s="7"/>
      <c r="AN178" s="7"/>
    </row>
    <row r="179" ht="15.75" customHeight="1" spans="1:40">
      <c r="A179" s="6" t="s">
        <v>2576</v>
      </c>
      <c r="B179" s="45" t="s">
        <v>2761</v>
      </c>
      <c r="C179" s="4" t="s">
        <v>655</v>
      </c>
      <c r="D179" s="10" t="s">
        <v>3482</v>
      </c>
      <c r="E179" s="29" t="s">
        <v>491</v>
      </c>
      <c r="F179" s="46" t="s">
        <v>3483</v>
      </c>
      <c r="G179" s="46">
        <v>1055658601</v>
      </c>
      <c r="H179" s="46" t="s">
        <v>2662</v>
      </c>
      <c r="I179" s="47"/>
      <c r="J179" s="7"/>
      <c r="K179" s="7"/>
      <c r="L179" s="7"/>
      <c r="M179" s="7"/>
      <c r="N179" s="66">
        <v>28425</v>
      </c>
      <c r="O179" s="6" t="s">
        <v>945</v>
      </c>
      <c r="P179" s="7"/>
      <c r="Q179" s="7"/>
      <c r="R179" s="7"/>
      <c r="S179" s="7"/>
      <c r="T179" s="7"/>
      <c r="U179" s="7"/>
      <c r="V179" s="7"/>
      <c r="W179" s="47"/>
      <c r="X179" s="47"/>
      <c r="Y179" s="46" t="s">
        <v>521</v>
      </c>
      <c r="Z179" s="47"/>
      <c r="AA179" s="7"/>
      <c r="AB179" s="7"/>
      <c r="AC179" s="7"/>
      <c r="AD179" s="7"/>
      <c r="AE179" s="7"/>
      <c r="AF179" s="7"/>
      <c r="AG179" s="6" t="s">
        <v>396</v>
      </c>
      <c r="AH179" s="6">
        <v>40</v>
      </c>
      <c r="AI179" s="7"/>
      <c r="AJ179" s="7"/>
      <c r="AK179" s="7"/>
      <c r="AL179" s="6" t="s">
        <v>396</v>
      </c>
      <c r="AM179" s="6" t="s">
        <v>396</v>
      </c>
      <c r="AN179" s="6" t="s">
        <v>396</v>
      </c>
    </row>
    <row r="180" ht="15.75" customHeight="1" spans="1:40">
      <c r="A180" s="6" t="s">
        <v>2576</v>
      </c>
      <c r="B180" s="45" t="s">
        <v>558</v>
      </c>
      <c r="C180" s="4" t="s">
        <v>957</v>
      </c>
      <c r="D180" s="12" t="s">
        <v>3484</v>
      </c>
      <c r="E180" s="29"/>
      <c r="F180" s="46" t="s">
        <v>3485</v>
      </c>
      <c r="G180" s="46">
        <v>4063861092</v>
      </c>
      <c r="H180" s="47" t="s">
        <v>2705</v>
      </c>
      <c r="I180" s="47" t="s">
        <v>3486</v>
      </c>
      <c r="J180" s="7" t="s">
        <v>942</v>
      </c>
      <c r="K180" s="7" t="s">
        <v>942</v>
      </c>
      <c r="L180" s="7"/>
      <c r="M180" s="7"/>
      <c r="N180" s="7"/>
      <c r="O180" s="7"/>
      <c r="P180" s="7"/>
      <c r="Q180" s="7"/>
      <c r="R180" s="7"/>
      <c r="S180" s="7"/>
      <c r="T180" s="7"/>
      <c r="U180" s="7"/>
      <c r="V180" s="7"/>
      <c r="W180" s="7"/>
      <c r="X180" s="7" t="s">
        <v>953</v>
      </c>
      <c r="Y180" s="7" t="s">
        <v>558</v>
      </c>
      <c r="Z180" s="7" t="s">
        <v>2648</v>
      </c>
      <c r="AA180" s="7"/>
      <c r="AB180" s="7"/>
      <c r="AC180" s="7"/>
      <c r="AD180" s="7"/>
      <c r="AE180" s="7"/>
      <c r="AF180" s="7"/>
      <c r="AG180" s="6" t="s">
        <v>396</v>
      </c>
      <c r="AH180" s="6">
        <v>40</v>
      </c>
      <c r="AI180" s="7"/>
      <c r="AJ180" s="7"/>
      <c r="AK180" s="7"/>
      <c r="AL180" s="7" t="s">
        <v>396</v>
      </c>
      <c r="AM180" s="7" t="s">
        <v>396</v>
      </c>
      <c r="AN180" s="7" t="s">
        <v>396</v>
      </c>
    </row>
    <row r="181" ht="15.75" customHeight="1" spans="1:40">
      <c r="A181" s="6" t="s">
        <v>2576</v>
      </c>
      <c r="B181" s="45" t="s">
        <v>2751</v>
      </c>
      <c r="C181" s="4" t="s">
        <v>655</v>
      </c>
      <c r="D181" s="10" t="s">
        <v>3487</v>
      </c>
      <c r="E181" s="29" t="s">
        <v>490</v>
      </c>
      <c r="F181" s="46" t="s">
        <v>3488</v>
      </c>
      <c r="G181" s="46">
        <v>1104338759</v>
      </c>
      <c r="H181" s="46" t="s">
        <v>2662</v>
      </c>
      <c r="I181" s="47"/>
      <c r="J181" s="7"/>
      <c r="K181" s="7"/>
      <c r="L181" s="7"/>
      <c r="M181" s="7"/>
      <c r="N181" s="66">
        <v>32802</v>
      </c>
      <c r="O181" s="6" t="s">
        <v>945</v>
      </c>
      <c r="P181" s="7"/>
      <c r="Q181" s="7"/>
      <c r="R181" s="7"/>
      <c r="S181" s="7"/>
      <c r="T181" s="7"/>
      <c r="U181" s="7"/>
      <c r="V181" s="7"/>
      <c r="W181" s="47"/>
      <c r="X181" s="47"/>
      <c r="Y181" s="46" t="s">
        <v>525</v>
      </c>
      <c r="Z181" s="47"/>
      <c r="AA181" s="7"/>
      <c r="AB181" s="7"/>
      <c r="AC181" s="7"/>
      <c r="AD181" s="7"/>
      <c r="AE181" s="7"/>
      <c r="AF181" s="7"/>
      <c r="AG181" s="6" t="s">
        <v>398</v>
      </c>
      <c r="AH181" s="6">
        <v>42</v>
      </c>
      <c r="AI181" s="7"/>
      <c r="AJ181" s="7"/>
      <c r="AK181" s="7"/>
      <c r="AL181" s="6" t="s">
        <v>398</v>
      </c>
      <c r="AM181" s="6" t="s">
        <v>398</v>
      </c>
      <c r="AN181" s="6" t="s">
        <v>398</v>
      </c>
    </row>
    <row r="182" ht="15.75" customHeight="1" spans="1:40">
      <c r="A182" s="6" t="s">
        <v>2576</v>
      </c>
      <c r="B182" s="45" t="s">
        <v>2850</v>
      </c>
      <c r="C182" s="4" t="s">
        <v>655</v>
      </c>
      <c r="D182" s="10" t="s">
        <v>3489</v>
      </c>
      <c r="E182" s="29" t="s">
        <v>491</v>
      </c>
      <c r="F182" s="46" t="s">
        <v>3490</v>
      </c>
      <c r="G182" s="46">
        <v>1073466672</v>
      </c>
      <c r="H182" s="46" t="s">
        <v>2662</v>
      </c>
      <c r="I182" s="47"/>
      <c r="J182" s="7"/>
      <c r="K182" s="7"/>
      <c r="L182" s="7"/>
      <c r="M182" s="7"/>
      <c r="N182" s="56">
        <v>30043</v>
      </c>
      <c r="O182" s="6" t="s">
        <v>945</v>
      </c>
      <c r="P182" s="7"/>
      <c r="Q182" s="7"/>
      <c r="R182" s="7"/>
      <c r="S182" s="7"/>
      <c r="T182" s="7"/>
      <c r="U182" s="7"/>
      <c r="V182" s="7"/>
      <c r="W182" s="47"/>
      <c r="X182" s="47"/>
      <c r="Y182" s="46" t="s">
        <v>547</v>
      </c>
      <c r="Z182" s="47"/>
      <c r="AA182" s="7"/>
      <c r="AB182" s="7"/>
      <c r="AC182" s="7"/>
      <c r="AD182" s="7"/>
      <c r="AE182" s="7"/>
      <c r="AF182" s="7"/>
      <c r="AG182" s="6" t="s">
        <v>396</v>
      </c>
      <c r="AH182" s="6">
        <v>39</v>
      </c>
      <c r="AI182" s="7"/>
      <c r="AJ182" s="7"/>
      <c r="AK182" s="7"/>
      <c r="AL182" s="6" t="s">
        <v>398</v>
      </c>
      <c r="AM182" s="6" t="s">
        <v>398</v>
      </c>
      <c r="AN182" s="6" t="s">
        <v>398</v>
      </c>
    </row>
    <row r="183" ht="15.75" customHeight="1" spans="1:40">
      <c r="A183" s="6" t="s">
        <v>2576</v>
      </c>
      <c r="B183" s="45" t="s">
        <v>558</v>
      </c>
      <c r="C183" s="4" t="s">
        <v>957</v>
      </c>
      <c r="D183" s="12" t="s">
        <v>3491</v>
      </c>
      <c r="E183" s="29" t="s">
        <v>491</v>
      </c>
      <c r="F183" s="46" t="s">
        <v>3485</v>
      </c>
      <c r="G183" s="46">
        <v>4063861092</v>
      </c>
      <c r="H183" s="47" t="s">
        <v>3492</v>
      </c>
      <c r="I183" s="47" t="s">
        <v>3493</v>
      </c>
      <c r="J183" s="7" t="s">
        <v>942</v>
      </c>
      <c r="K183" s="7" t="s">
        <v>942</v>
      </c>
      <c r="L183" s="7"/>
      <c r="M183" s="7"/>
      <c r="N183" s="7"/>
      <c r="O183" s="7"/>
      <c r="P183" s="7"/>
      <c r="Q183" s="7"/>
      <c r="R183" s="7"/>
      <c r="S183" s="7"/>
      <c r="T183" s="7"/>
      <c r="U183" s="7"/>
      <c r="V183" s="7"/>
      <c r="W183" s="7"/>
      <c r="X183" s="7" t="s">
        <v>953</v>
      </c>
      <c r="Y183" s="7" t="s">
        <v>558</v>
      </c>
      <c r="Z183" s="7" t="s">
        <v>2648</v>
      </c>
      <c r="AA183" s="7"/>
      <c r="AB183" s="7"/>
      <c r="AC183" s="7"/>
      <c r="AD183" s="7"/>
      <c r="AE183" s="7"/>
      <c r="AF183" s="7"/>
      <c r="AG183" s="6" t="s">
        <v>406</v>
      </c>
      <c r="AH183" s="6">
        <v>35</v>
      </c>
      <c r="AI183" s="7"/>
      <c r="AJ183" s="7"/>
      <c r="AK183" s="7"/>
      <c r="AL183" s="7" t="s">
        <v>406</v>
      </c>
      <c r="AM183" s="7" t="s">
        <v>406</v>
      </c>
      <c r="AN183" s="7" t="s">
        <v>396</v>
      </c>
    </row>
    <row r="184" ht="15.75" customHeight="1" spans="1:40">
      <c r="A184" s="6" t="s">
        <v>2576</v>
      </c>
      <c r="B184" s="45" t="s">
        <v>576</v>
      </c>
      <c r="C184" s="4" t="s">
        <v>957</v>
      </c>
      <c r="D184" s="12" t="s">
        <v>3494</v>
      </c>
      <c r="E184" s="29" t="s">
        <v>491</v>
      </c>
      <c r="F184" s="46" t="s">
        <v>3495</v>
      </c>
      <c r="G184" s="46">
        <v>8126945719</v>
      </c>
      <c r="H184" s="47" t="s">
        <v>2583</v>
      </c>
      <c r="I184" s="47" t="s">
        <v>2584</v>
      </c>
      <c r="J184" s="7" t="s">
        <v>942</v>
      </c>
      <c r="K184" s="7" t="s">
        <v>942</v>
      </c>
      <c r="L184" s="7" t="s">
        <v>975</v>
      </c>
      <c r="M184" s="7" t="s">
        <v>3496</v>
      </c>
      <c r="N184" s="51">
        <v>34519</v>
      </c>
      <c r="O184" s="7" t="s">
        <v>1028</v>
      </c>
      <c r="P184" s="7" t="s">
        <v>946</v>
      </c>
      <c r="Q184" s="7" t="s">
        <v>1245</v>
      </c>
      <c r="R184" s="7" t="s">
        <v>3497</v>
      </c>
      <c r="S184" s="59">
        <v>60</v>
      </c>
      <c r="T184" s="7" t="s">
        <v>1011</v>
      </c>
      <c r="U184" s="7"/>
      <c r="V184" s="7" t="s">
        <v>3498</v>
      </c>
      <c r="W184" s="7" t="s">
        <v>3499</v>
      </c>
      <c r="X184" s="7" t="s">
        <v>953</v>
      </c>
      <c r="Y184" s="7" t="s">
        <v>576</v>
      </c>
      <c r="Z184" s="7" t="s">
        <v>2589</v>
      </c>
      <c r="AA184" s="7" t="s">
        <v>3500</v>
      </c>
      <c r="AB184" s="7" t="s">
        <v>3501</v>
      </c>
      <c r="AC184" s="6" t="s">
        <v>396</v>
      </c>
      <c r="AD184" s="6" t="s">
        <v>395</v>
      </c>
      <c r="AE184" s="6" t="s">
        <v>396</v>
      </c>
      <c r="AF184" s="6" t="s">
        <v>395</v>
      </c>
      <c r="AG184" s="6" t="s">
        <v>395</v>
      </c>
      <c r="AH184" s="6">
        <v>39</v>
      </c>
      <c r="AI184" s="6">
        <v>39</v>
      </c>
      <c r="AJ184" s="59">
        <v>39</v>
      </c>
      <c r="AK184" s="59">
        <v>39</v>
      </c>
      <c r="AL184" s="6" t="s">
        <v>395</v>
      </c>
      <c r="AM184" s="6" t="s">
        <v>395</v>
      </c>
      <c r="AN184" s="6" t="s">
        <v>396</v>
      </c>
    </row>
    <row r="185" ht="15.75" customHeight="1" spans="1:40">
      <c r="A185" s="6" t="s">
        <v>2576</v>
      </c>
      <c r="B185" s="45" t="s">
        <v>546</v>
      </c>
      <c r="C185" s="4" t="s">
        <v>957</v>
      </c>
      <c r="D185" s="12" t="s">
        <v>3502</v>
      </c>
      <c r="E185" s="29" t="s">
        <v>971</v>
      </c>
      <c r="F185" s="46"/>
      <c r="G185" s="47"/>
      <c r="H185" s="47"/>
      <c r="I185" s="47"/>
      <c r="J185" s="47"/>
      <c r="K185" s="47"/>
      <c r="L185" s="47"/>
      <c r="M185" s="47"/>
      <c r="N185" s="52">
        <v>31943</v>
      </c>
      <c r="O185" s="46" t="s">
        <v>945</v>
      </c>
      <c r="P185" s="47"/>
      <c r="Q185" s="47"/>
      <c r="R185" s="47"/>
      <c r="S185" s="47"/>
      <c r="T185" s="47"/>
      <c r="U185" s="47"/>
      <c r="V185" s="47"/>
      <c r="W185" s="47"/>
      <c r="X185" s="47"/>
      <c r="Y185" s="47"/>
      <c r="Z185" s="47"/>
      <c r="AA185" s="47"/>
      <c r="AB185" s="47"/>
      <c r="AC185" s="47"/>
      <c r="AD185" s="47"/>
      <c r="AE185" s="47"/>
      <c r="AF185" s="47"/>
      <c r="AG185" s="46" t="s">
        <v>396</v>
      </c>
      <c r="AH185" s="46">
        <v>41</v>
      </c>
      <c r="AI185" s="47"/>
      <c r="AJ185" s="47"/>
      <c r="AK185" s="47"/>
      <c r="AL185" s="46" t="s">
        <v>406</v>
      </c>
      <c r="AM185" s="46" t="s">
        <v>406</v>
      </c>
      <c r="AN185" s="46" t="s">
        <v>406</v>
      </c>
    </row>
    <row r="186" ht="15.75" customHeight="1" spans="1:40">
      <c r="A186" s="6" t="s">
        <v>2576</v>
      </c>
      <c r="B186" s="45" t="s">
        <v>523</v>
      </c>
      <c r="C186" s="4" t="s">
        <v>957</v>
      </c>
      <c r="D186" s="12" t="s">
        <v>290</v>
      </c>
      <c r="E186" s="29" t="s">
        <v>491</v>
      </c>
      <c r="F186" s="46" t="s">
        <v>3503</v>
      </c>
      <c r="G186" s="46">
        <v>7133492186</v>
      </c>
      <c r="H186" s="47" t="s">
        <v>939</v>
      </c>
      <c r="I186" s="47" t="s">
        <v>3504</v>
      </c>
      <c r="J186" s="47" t="s">
        <v>941</v>
      </c>
      <c r="K186" s="47" t="s">
        <v>941</v>
      </c>
      <c r="L186" s="47" t="s">
        <v>943</v>
      </c>
      <c r="M186" s="47" t="s">
        <v>1694</v>
      </c>
      <c r="N186" s="58">
        <v>35384</v>
      </c>
      <c r="O186" s="47" t="s">
        <v>396</v>
      </c>
      <c r="P186" s="47" t="s">
        <v>2927</v>
      </c>
      <c r="Q186" s="47" t="s">
        <v>3420</v>
      </c>
      <c r="R186" s="47" t="s">
        <v>3505</v>
      </c>
      <c r="S186" s="47">
        <v>87</v>
      </c>
      <c r="T186" s="47">
        <v>1.82</v>
      </c>
      <c r="U186" s="47"/>
      <c r="V186" s="47" t="s">
        <v>3506</v>
      </c>
      <c r="W186" s="47" t="s">
        <v>3507</v>
      </c>
      <c r="X186" s="47" t="s">
        <v>953</v>
      </c>
      <c r="Y186" s="47" t="s">
        <v>3020</v>
      </c>
      <c r="Z186" s="47" t="s">
        <v>3021</v>
      </c>
      <c r="AA186" s="47" t="s">
        <v>3508</v>
      </c>
      <c r="AB186" s="47" t="s">
        <v>1178</v>
      </c>
      <c r="AC186" s="47" t="s">
        <v>398</v>
      </c>
      <c r="AD186" s="47" t="s">
        <v>406</v>
      </c>
      <c r="AE186" s="47" t="s">
        <v>406</v>
      </c>
      <c r="AF186" s="47" t="s">
        <v>406</v>
      </c>
      <c r="AG186" s="47" t="s">
        <v>406</v>
      </c>
      <c r="AH186" s="47" t="s">
        <v>398</v>
      </c>
      <c r="AI186" s="47">
        <v>41</v>
      </c>
      <c r="AJ186" s="47">
        <v>41</v>
      </c>
      <c r="AK186" s="47">
        <v>41</v>
      </c>
      <c r="AL186" s="47">
        <v>41</v>
      </c>
      <c r="AM186" s="47" t="s">
        <v>406</v>
      </c>
      <c r="AN186" s="47">
        <v>54</v>
      </c>
    </row>
    <row r="187" ht="15.75" customHeight="1" spans="1:40">
      <c r="A187" s="6" t="s">
        <v>2576</v>
      </c>
      <c r="B187" s="45" t="s">
        <v>546</v>
      </c>
      <c r="C187" s="4" t="s">
        <v>957</v>
      </c>
      <c r="D187" s="12" t="s">
        <v>3509</v>
      </c>
      <c r="E187" s="29" t="s">
        <v>971</v>
      </c>
      <c r="F187" s="46"/>
      <c r="G187" s="47"/>
      <c r="H187" s="47"/>
      <c r="I187" s="47"/>
      <c r="J187" s="47"/>
      <c r="K187" s="47"/>
      <c r="L187" s="47"/>
      <c r="M187" s="47"/>
      <c r="N187" s="52">
        <v>35216</v>
      </c>
      <c r="O187" s="46" t="s">
        <v>945</v>
      </c>
      <c r="P187" s="47"/>
      <c r="Q187" s="47"/>
      <c r="R187" s="47"/>
      <c r="S187" s="47"/>
      <c r="T187" s="47"/>
      <c r="U187" s="47"/>
      <c r="V187" s="47"/>
      <c r="W187" s="47"/>
      <c r="X187" s="47"/>
      <c r="Y187" s="47"/>
      <c r="Z187" s="47"/>
      <c r="AA187" s="47"/>
      <c r="AB187" s="47"/>
      <c r="AC187" s="47"/>
      <c r="AD187" s="47"/>
      <c r="AE187" s="47"/>
      <c r="AF187" s="47"/>
      <c r="AG187" s="46" t="s">
        <v>396</v>
      </c>
      <c r="AH187" s="46">
        <v>40</v>
      </c>
      <c r="AI187" s="47"/>
      <c r="AJ187" s="47"/>
      <c r="AK187" s="47"/>
      <c r="AL187" s="46" t="s">
        <v>396</v>
      </c>
      <c r="AM187" s="46" t="s">
        <v>396</v>
      </c>
      <c r="AN187" s="46" t="s">
        <v>396</v>
      </c>
    </row>
    <row r="188" ht="15.75" customHeight="1" spans="1:40">
      <c r="A188" s="6" t="s">
        <v>2576</v>
      </c>
      <c r="B188" s="45" t="s">
        <v>576</v>
      </c>
      <c r="C188" s="4" t="s">
        <v>957</v>
      </c>
      <c r="D188" s="12" t="s">
        <v>3510</v>
      </c>
      <c r="E188" s="29" t="s">
        <v>491</v>
      </c>
      <c r="F188" s="46" t="s">
        <v>3511</v>
      </c>
      <c r="G188" s="46">
        <v>5043174423</v>
      </c>
      <c r="H188" s="47" t="s">
        <v>2583</v>
      </c>
      <c r="I188" s="47" t="s">
        <v>2584</v>
      </c>
      <c r="J188" s="7" t="s">
        <v>942</v>
      </c>
      <c r="K188" s="7" t="s">
        <v>942</v>
      </c>
      <c r="L188" s="7" t="s">
        <v>1026</v>
      </c>
      <c r="M188" s="7" t="s">
        <v>3512</v>
      </c>
      <c r="N188" s="51">
        <v>28131</v>
      </c>
      <c r="O188" s="7" t="s">
        <v>945</v>
      </c>
      <c r="P188" s="7" t="s">
        <v>946</v>
      </c>
      <c r="Q188" s="7" t="s">
        <v>1245</v>
      </c>
      <c r="R188" s="7" t="s">
        <v>3513</v>
      </c>
      <c r="S188" s="59">
        <v>86</v>
      </c>
      <c r="T188" s="7" t="s">
        <v>950</v>
      </c>
      <c r="U188" s="7"/>
      <c r="V188" s="7" t="s">
        <v>3514</v>
      </c>
      <c r="W188" s="7" t="s">
        <v>3515</v>
      </c>
      <c r="X188" s="7" t="s">
        <v>953</v>
      </c>
      <c r="Y188" s="7" t="s">
        <v>576</v>
      </c>
      <c r="Z188" s="7" t="s">
        <v>2589</v>
      </c>
      <c r="AA188" s="7" t="s">
        <v>3516</v>
      </c>
      <c r="AB188" s="7" t="s">
        <v>3517</v>
      </c>
      <c r="AC188" s="6" t="s">
        <v>406</v>
      </c>
      <c r="AD188" s="6" t="s">
        <v>406</v>
      </c>
      <c r="AE188" s="6" t="s">
        <v>406</v>
      </c>
      <c r="AF188" s="6" t="s">
        <v>406</v>
      </c>
      <c r="AG188" s="6" t="s">
        <v>406</v>
      </c>
      <c r="AH188" s="6">
        <v>42</v>
      </c>
      <c r="AI188" s="6">
        <v>42</v>
      </c>
      <c r="AJ188" s="59">
        <v>42</v>
      </c>
      <c r="AK188" s="59">
        <v>42</v>
      </c>
      <c r="AL188" s="6" t="s">
        <v>406</v>
      </c>
      <c r="AM188" s="6" t="s">
        <v>406</v>
      </c>
      <c r="AN188" s="6" t="s">
        <v>406</v>
      </c>
    </row>
    <row r="189" ht="15.75" customHeight="1" spans="1:40">
      <c r="A189" s="6" t="s">
        <v>2576</v>
      </c>
      <c r="B189" s="45" t="s">
        <v>2660</v>
      </c>
      <c r="C189" s="4" t="s">
        <v>655</v>
      </c>
      <c r="D189" s="10" t="s">
        <v>116</v>
      </c>
      <c r="E189" s="29" t="s">
        <v>971</v>
      </c>
      <c r="F189" s="46">
        <v>99005492015</v>
      </c>
      <c r="G189" s="46">
        <v>4078913839</v>
      </c>
      <c r="H189" s="46" t="s">
        <v>2662</v>
      </c>
      <c r="I189" s="47"/>
      <c r="J189" s="7"/>
      <c r="K189" s="7"/>
      <c r="L189" s="7"/>
      <c r="M189" s="7"/>
      <c r="N189" s="56">
        <v>30168</v>
      </c>
      <c r="O189" s="6" t="s">
        <v>945</v>
      </c>
      <c r="P189" s="7"/>
      <c r="Q189" s="7"/>
      <c r="R189" s="7"/>
      <c r="S189" s="7"/>
      <c r="T189" s="7"/>
      <c r="U189" s="7"/>
      <c r="V189" s="7"/>
      <c r="W189" s="47"/>
      <c r="X189" s="47"/>
      <c r="Y189" s="46" t="s">
        <v>535</v>
      </c>
      <c r="Z189" s="47"/>
      <c r="AA189" s="7"/>
      <c r="AB189" s="7"/>
      <c r="AC189" s="7"/>
      <c r="AD189" s="7"/>
      <c r="AE189" s="7"/>
      <c r="AF189" s="7"/>
      <c r="AG189" s="6" t="s">
        <v>398</v>
      </c>
      <c r="AH189" s="6">
        <v>43</v>
      </c>
      <c r="AI189" s="7"/>
      <c r="AJ189" s="7"/>
      <c r="AK189" s="7"/>
      <c r="AL189" s="6" t="s">
        <v>398</v>
      </c>
      <c r="AM189" s="6" t="s">
        <v>398</v>
      </c>
      <c r="AN189" s="6" t="s">
        <v>398</v>
      </c>
    </row>
    <row r="190" ht="15.75" customHeight="1" spans="1:40">
      <c r="A190" s="6" t="s">
        <v>2576</v>
      </c>
      <c r="B190" s="45" t="s">
        <v>2660</v>
      </c>
      <c r="C190" s="4" t="s">
        <v>655</v>
      </c>
      <c r="D190" s="10" t="s">
        <v>118</v>
      </c>
      <c r="E190" s="29" t="s">
        <v>971</v>
      </c>
      <c r="F190" s="46">
        <v>2985832080</v>
      </c>
      <c r="G190" s="46">
        <v>8105958741</v>
      </c>
      <c r="H190" s="46" t="s">
        <v>2662</v>
      </c>
      <c r="I190" s="47"/>
      <c r="J190" s="7"/>
      <c r="K190" s="7"/>
      <c r="L190" s="7"/>
      <c r="M190" s="7"/>
      <c r="N190" s="56">
        <v>34069</v>
      </c>
      <c r="O190" s="6" t="s">
        <v>1028</v>
      </c>
      <c r="P190" s="7"/>
      <c r="Q190" s="7"/>
      <c r="R190" s="7"/>
      <c r="S190" s="7"/>
      <c r="T190" s="7"/>
      <c r="U190" s="7"/>
      <c r="V190" s="7"/>
      <c r="W190" s="47"/>
      <c r="X190" s="47"/>
      <c r="Y190" s="46" t="s">
        <v>535</v>
      </c>
      <c r="Z190" s="47"/>
      <c r="AA190" s="7"/>
      <c r="AB190" s="7"/>
      <c r="AC190" s="7"/>
      <c r="AD190" s="7"/>
      <c r="AE190" s="7"/>
      <c r="AF190" s="7"/>
      <c r="AG190" s="6" t="s">
        <v>396</v>
      </c>
      <c r="AH190" s="6">
        <v>38</v>
      </c>
      <c r="AI190" s="7"/>
      <c r="AJ190" s="7"/>
      <c r="AK190" s="7"/>
      <c r="AL190" s="6" t="s">
        <v>396</v>
      </c>
      <c r="AM190" s="6" t="s">
        <v>396</v>
      </c>
      <c r="AN190" s="6" t="s">
        <v>396</v>
      </c>
    </row>
    <row r="191" ht="15.75" customHeight="1" spans="1:40">
      <c r="A191" s="6" t="s">
        <v>2576</v>
      </c>
      <c r="B191" s="45" t="s">
        <v>556</v>
      </c>
      <c r="C191" s="4" t="s">
        <v>957</v>
      </c>
      <c r="D191" s="12" t="s">
        <v>3518</v>
      </c>
      <c r="E191" s="29" t="s">
        <v>491</v>
      </c>
      <c r="F191" s="46" t="s">
        <v>3519</v>
      </c>
      <c r="G191" s="47"/>
      <c r="H191" s="47"/>
      <c r="I191" s="47"/>
      <c r="J191" s="7"/>
      <c r="K191" s="7"/>
      <c r="L191" s="7"/>
      <c r="M191" s="7"/>
      <c r="N191" s="15"/>
      <c r="O191" s="7"/>
      <c r="P191" s="7"/>
      <c r="Q191" s="7"/>
      <c r="R191" s="7" t="s">
        <v>3520</v>
      </c>
      <c r="S191" s="7"/>
      <c r="T191" s="7"/>
      <c r="U191" s="7"/>
      <c r="V191" s="7"/>
      <c r="W191" s="7"/>
      <c r="X191" s="7"/>
      <c r="Y191" s="7"/>
      <c r="Z191" s="7"/>
      <c r="AA191" s="7"/>
      <c r="AB191" s="7"/>
      <c r="AC191" s="7"/>
      <c r="AD191" s="7"/>
      <c r="AE191" s="7"/>
      <c r="AF191" s="7"/>
      <c r="AG191" s="6" t="s">
        <v>396</v>
      </c>
      <c r="AH191" s="6">
        <v>41</v>
      </c>
      <c r="AI191" s="7"/>
      <c r="AJ191" s="7"/>
      <c r="AK191" s="7"/>
      <c r="AL191" s="7" t="s">
        <v>396</v>
      </c>
      <c r="AM191" s="7" t="s">
        <v>396</v>
      </c>
      <c r="AN191" s="7" t="s">
        <v>396</v>
      </c>
    </row>
    <row r="192" ht="15.75" customHeight="1" spans="1:40">
      <c r="A192" s="6" t="s">
        <v>2576</v>
      </c>
      <c r="B192" s="45" t="s">
        <v>576</v>
      </c>
      <c r="C192" s="4" t="s">
        <v>957</v>
      </c>
      <c r="D192" s="10" t="s">
        <v>291</v>
      </c>
      <c r="E192" s="29" t="s">
        <v>491</v>
      </c>
      <c r="F192" s="46" t="s">
        <v>3521</v>
      </c>
      <c r="G192" s="46">
        <v>7043172472</v>
      </c>
      <c r="H192" s="47" t="s">
        <v>2855</v>
      </c>
      <c r="I192" s="47" t="s">
        <v>2784</v>
      </c>
      <c r="J192" s="7" t="s">
        <v>942</v>
      </c>
      <c r="K192" s="7" t="s">
        <v>942</v>
      </c>
      <c r="L192" s="7" t="s">
        <v>975</v>
      </c>
      <c r="M192" s="7" t="s">
        <v>3522</v>
      </c>
      <c r="N192" s="51">
        <v>27777</v>
      </c>
      <c r="O192" s="7" t="s">
        <v>945</v>
      </c>
      <c r="P192" s="7" t="s">
        <v>946</v>
      </c>
      <c r="Q192" s="7" t="s">
        <v>963</v>
      </c>
      <c r="R192" s="7" t="s">
        <v>3523</v>
      </c>
      <c r="S192" s="59">
        <v>79</v>
      </c>
      <c r="T192" s="7" t="s">
        <v>1011</v>
      </c>
      <c r="U192" s="7"/>
      <c r="V192" s="7" t="s">
        <v>3524</v>
      </c>
      <c r="W192" s="7" t="s">
        <v>3525</v>
      </c>
      <c r="X192" s="7" t="s">
        <v>953</v>
      </c>
      <c r="Y192" s="7" t="s">
        <v>576</v>
      </c>
      <c r="Z192" s="7" t="s">
        <v>2589</v>
      </c>
      <c r="AA192" s="7" t="s">
        <v>3526</v>
      </c>
      <c r="AB192" s="7" t="s">
        <v>1086</v>
      </c>
      <c r="AC192" s="6" t="s">
        <v>406</v>
      </c>
      <c r="AD192" s="6" t="s">
        <v>406</v>
      </c>
      <c r="AE192" s="6" t="s">
        <v>406</v>
      </c>
      <c r="AF192" s="6" t="s">
        <v>406</v>
      </c>
      <c r="AG192" s="6" t="s">
        <v>406</v>
      </c>
      <c r="AH192" s="6">
        <v>44</v>
      </c>
      <c r="AI192" s="6">
        <v>44</v>
      </c>
      <c r="AJ192" s="59">
        <v>39</v>
      </c>
      <c r="AK192" s="59">
        <v>39</v>
      </c>
      <c r="AL192" s="6" t="s">
        <v>406</v>
      </c>
      <c r="AM192" s="6" t="s">
        <v>406</v>
      </c>
      <c r="AN192" s="6" t="s">
        <v>406</v>
      </c>
    </row>
    <row r="193" ht="15.75" customHeight="1" spans="1:40">
      <c r="A193" s="6" t="s">
        <v>2576</v>
      </c>
      <c r="B193" s="45" t="s">
        <v>3443</v>
      </c>
      <c r="C193" s="4" t="s">
        <v>655</v>
      </c>
      <c r="D193" s="10" t="s">
        <v>3527</v>
      </c>
      <c r="E193" s="29" t="s">
        <v>492</v>
      </c>
      <c r="F193" s="46" t="s">
        <v>3528</v>
      </c>
      <c r="G193" s="46">
        <v>1061607238</v>
      </c>
      <c r="H193" s="46" t="s">
        <v>2662</v>
      </c>
      <c r="I193" s="47"/>
      <c r="J193" s="7"/>
      <c r="K193" s="7"/>
      <c r="L193" s="7"/>
      <c r="M193" s="7"/>
      <c r="N193" s="54">
        <v>31156</v>
      </c>
      <c r="O193" s="6" t="s">
        <v>945</v>
      </c>
      <c r="P193" s="7"/>
      <c r="Q193" s="7"/>
      <c r="R193" s="7"/>
      <c r="S193" s="7"/>
      <c r="T193" s="7"/>
      <c r="U193" s="7"/>
      <c r="V193" s="7"/>
      <c r="W193" s="47"/>
      <c r="X193" s="47"/>
      <c r="Y193" s="46" t="s">
        <v>543</v>
      </c>
      <c r="Z193" s="47"/>
      <c r="AA193" s="7"/>
      <c r="AB193" s="7"/>
      <c r="AC193" s="7"/>
      <c r="AD193" s="7"/>
      <c r="AE193" s="7"/>
      <c r="AF193" s="7"/>
      <c r="AG193" s="6" t="s">
        <v>399</v>
      </c>
      <c r="AH193" s="6">
        <v>42</v>
      </c>
      <c r="AI193" s="7"/>
      <c r="AJ193" s="7"/>
      <c r="AK193" s="7"/>
      <c r="AL193" s="6" t="s">
        <v>406</v>
      </c>
      <c r="AM193" s="6" t="s">
        <v>406</v>
      </c>
      <c r="AN193" s="6" t="s">
        <v>406</v>
      </c>
    </row>
    <row r="194" ht="15.75" customHeight="1" spans="1:40">
      <c r="A194" s="6" t="s">
        <v>2576</v>
      </c>
      <c r="B194" s="45" t="s">
        <v>552</v>
      </c>
      <c r="C194" s="4" t="s">
        <v>957</v>
      </c>
      <c r="D194" s="12" t="s">
        <v>3529</v>
      </c>
      <c r="E194" s="29" t="s">
        <v>971</v>
      </c>
      <c r="F194" s="46" t="s">
        <v>3530</v>
      </c>
      <c r="G194" s="46">
        <v>5127809852</v>
      </c>
      <c r="H194" s="47" t="s">
        <v>2652</v>
      </c>
      <c r="I194" s="47" t="s">
        <v>3531</v>
      </c>
      <c r="J194" s="7" t="s">
        <v>942</v>
      </c>
      <c r="K194" s="7" t="s">
        <v>942</v>
      </c>
      <c r="L194" s="7" t="s">
        <v>1068</v>
      </c>
      <c r="M194" s="7" t="s">
        <v>3532</v>
      </c>
      <c r="N194" s="51">
        <v>35798</v>
      </c>
      <c r="O194" s="7" t="s">
        <v>945</v>
      </c>
      <c r="P194" s="7" t="s">
        <v>946</v>
      </c>
      <c r="Q194" s="7" t="s">
        <v>963</v>
      </c>
      <c r="R194" s="7"/>
      <c r="S194" s="59">
        <v>93</v>
      </c>
      <c r="T194" s="7" t="s">
        <v>965</v>
      </c>
      <c r="U194" s="7"/>
      <c r="V194" s="7" t="s">
        <v>3533</v>
      </c>
      <c r="W194" s="7"/>
      <c r="X194" s="7" t="s">
        <v>953</v>
      </c>
      <c r="Y194" s="7" t="s">
        <v>552</v>
      </c>
      <c r="Z194" s="7" t="s">
        <v>2658</v>
      </c>
      <c r="AA194" s="7" t="s">
        <v>3534</v>
      </c>
      <c r="AB194" s="7" t="s">
        <v>1086</v>
      </c>
      <c r="AC194" s="7" t="s">
        <v>406</v>
      </c>
      <c r="AD194" s="7" t="s">
        <v>406</v>
      </c>
      <c r="AE194" s="6" t="s">
        <v>406</v>
      </c>
      <c r="AF194" s="6" t="s">
        <v>406</v>
      </c>
      <c r="AG194" s="6" t="s">
        <v>406</v>
      </c>
      <c r="AH194" s="6">
        <v>41</v>
      </c>
      <c r="AI194" s="6">
        <v>41</v>
      </c>
      <c r="AJ194" s="59">
        <v>41</v>
      </c>
      <c r="AK194" s="59">
        <v>41</v>
      </c>
      <c r="AL194" s="7" t="s">
        <v>406</v>
      </c>
      <c r="AM194" s="7" t="s">
        <v>406</v>
      </c>
      <c r="AN194" s="7" t="s">
        <v>406</v>
      </c>
    </row>
    <row r="195" ht="15.75" customHeight="1" spans="1:40">
      <c r="A195" s="6" t="s">
        <v>2576</v>
      </c>
      <c r="B195" s="45" t="s">
        <v>548</v>
      </c>
      <c r="C195" s="4" t="s">
        <v>957</v>
      </c>
      <c r="D195" s="12" t="s">
        <v>3535</v>
      </c>
      <c r="E195" s="29" t="s">
        <v>971</v>
      </c>
      <c r="F195" s="6" t="s">
        <v>3536</v>
      </c>
      <c r="G195" s="6">
        <v>7057916764</v>
      </c>
      <c r="H195" s="7" t="s">
        <v>3029</v>
      </c>
      <c r="I195" s="7" t="s">
        <v>2580</v>
      </c>
      <c r="J195" s="7" t="s">
        <v>941</v>
      </c>
      <c r="K195" s="7" t="s">
        <v>941</v>
      </c>
      <c r="L195" s="7" t="s">
        <v>943</v>
      </c>
      <c r="M195" s="7" t="s">
        <v>3537</v>
      </c>
      <c r="N195" s="51">
        <v>26795</v>
      </c>
      <c r="O195" s="7" t="s">
        <v>1028</v>
      </c>
      <c r="P195" s="7" t="s">
        <v>946</v>
      </c>
      <c r="Q195" s="7" t="s">
        <v>963</v>
      </c>
      <c r="R195" s="7" t="s">
        <v>3538</v>
      </c>
      <c r="S195" s="59">
        <v>70</v>
      </c>
      <c r="T195" s="7" t="s">
        <v>1044</v>
      </c>
      <c r="U195" s="7" t="s">
        <v>3539</v>
      </c>
      <c r="V195" s="7" t="s">
        <v>3540</v>
      </c>
      <c r="W195" s="7" t="s">
        <v>3541</v>
      </c>
      <c r="X195" s="7" t="s">
        <v>2688</v>
      </c>
      <c r="Y195" s="7" t="s">
        <v>548</v>
      </c>
      <c r="Z195" s="7" t="s">
        <v>2689</v>
      </c>
      <c r="AA195" s="7" t="s">
        <v>3078</v>
      </c>
      <c r="AB195" s="7" t="s">
        <v>1086</v>
      </c>
      <c r="AC195" s="7" t="s">
        <v>396</v>
      </c>
      <c r="AD195" s="7" t="s">
        <v>396</v>
      </c>
      <c r="AE195" s="7" t="s">
        <v>396</v>
      </c>
      <c r="AF195" s="7" t="s">
        <v>396</v>
      </c>
      <c r="AG195" s="7" t="s">
        <v>396</v>
      </c>
      <c r="AH195" s="59">
        <v>38</v>
      </c>
      <c r="AI195" s="59">
        <v>38</v>
      </c>
      <c r="AJ195" s="59">
        <v>38</v>
      </c>
      <c r="AK195" s="59">
        <v>39</v>
      </c>
      <c r="AL195" s="7" t="s">
        <v>396</v>
      </c>
      <c r="AM195" s="7" t="s">
        <v>396</v>
      </c>
      <c r="AN195" s="7" t="s">
        <v>396</v>
      </c>
    </row>
    <row r="196" ht="15.75" customHeight="1" spans="1:40">
      <c r="A196" s="46" t="s">
        <v>2576</v>
      </c>
      <c r="B196" s="45" t="s">
        <v>548</v>
      </c>
      <c r="C196" s="4" t="s">
        <v>957</v>
      </c>
      <c r="D196" s="12" t="s">
        <v>3542</v>
      </c>
      <c r="E196" s="29" t="s">
        <v>971</v>
      </c>
      <c r="F196" s="46"/>
      <c r="G196" s="47"/>
      <c r="H196" s="47"/>
      <c r="I196" s="47"/>
      <c r="J196" s="47"/>
      <c r="K196" s="47"/>
      <c r="L196" s="47"/>
      <c r="M196" s="47"/>
      <c r="N196" s="57">
        <v>38140</v>
      </c>
      <c r="O196" s="47" t="s">
        <v>1028</v>
      </c>
      <c r="P196" s="47"/>
      <c r="Q196" s="47"/>
      <c r="R196" s="47"/>
      <c r="S196" s="47"/>
      <c r="T196" s="47"/>
      <c r="U196" s="47"/>
      <c r="V196" s="47"/>
      <c r="W196" s="47"/>
      <c r="X196" s="47"/>
      <c r="Y196" s="47" t="s">
        <v>548</v>
      </c>
      <c r="Z196" s="47"/>
      <c r="AA196" s="47"/>
      <c r="AB196" s="47"/>
      <c r="AC196" s="47"/>
      <c r="AD196" s="47"/>
      <c r="AE196" s="47"/>
      <c r="AF196" s="47"/>
      <c r="AG196" s="47" t="s">
        <v>406</v>
      </c>
      <c r="AH196" s="61">
        <v>38</v>
      </c>
      <c r="AI196" s="47"/>
      <c r="AJ196" s="47"/>
      <c r="AK196" s="47"/>
      <c r="AL196" s="47" t="s">
        <v>406</v>
      </c>
      <c r="AM196" s="47" t="s">
        <v>406</v>
      </c>
      <c r="AN196" s="47" t="s">
        <v>406</v>
      </c>
    </row>
    <row r="197" ht="15.75" customHeight="1" spans="1:40">
      <c r="A197" s="46" t="s">
        <v>2576</v>
      </c>
      <c r="B197" s="45" t="s">
        <v>548</v>
      </c>
      <c r="C197" s="4" t="s">
        <v>957</v>
      </c>
      <c r="D197" s="12" t="s">
        <v>3543</v>
      </c>
      <c r="E197" s="29" t="s">
        <v>971</v>
      </c>
      <c r="F197" s="46"/>
      <c r="G197" s="47"/>
      <c r="H197" s="47"/>
      <c r="I197" s="47"/>
      <c r="J197" s="47"/>
      <c r="K197" s="47"/>
      <c r="L197" s="47"/>
      <c r="M197" s="47"/>
      <c r="N197" s="57">
        <v>26625</v>
      </c>
      <c r="O197" s="47" t="s">
        <v>1028</v>
      </c>
      <c r="P197" s="47"/>
      <c r="Q197" s="47"/>
      <c r="R197" s="47"/>
      <c r="S197" s="47"/>
      <c r="T197" s="47"/>
      <c r="U197" s="47"/>
      <c r="V197" s="47"/>
      <c r="W197" s="47"/>
      <c r="X197" s="47"/>
      <c r="Y197" s="47" t="s">
        <v>548</v>
      </c>
      <c r="Z197" s="47"/>
      <c r="AA197" s="47"/>
      <c r="AB197" s="47"/>
      <c r="AC197" s="47"/>
      <c r="AD197" s="47"/>
      <c r="AE197" s="47"/>
      <c r="AF197" s="47"/>
      <c r="AG197" s="47" t="s">
        <v>396</v>
      </c>
      <c r="AH197" s="61">
        <v>36</v>
      </c>
      <c r="AI197" s="47"/>
      <c r="AJ197" s="47"/>
      <c r="AK197" s="47"/>
      <c r="AL197" s="47" t="s">
        <v>396</v>
      </c>
      <c r="AM197" s="47" t="s">
        <v>396</v>
      </c>
      <c r="AN197" s="47" t="s">
        <v>396</v>
      </c>
    </row>
    <row r="198" ht="15.75" customHeight="1" spans="1:40">
      <c r="A198" s="6" t="s">
        <v>2576</v>
      </c>
      <c r="B198" s="46" t="s">
        <v>2761</v>
      </c>
      <c r="C198" s="4" t="s">
        <v>655</v>
      </c>
      <c r="D198" s="10" t="s">
        <v>3544</v>
      </c>
      <c r="E198" s="29" t="s">
        <v>491</v>
      </c>
      <c r="F198" s="46" t="s">
        <v>3545</v>
      </c>
      <c r="G198" s="46">
        <v>6060479174</v>
      </c>
      <c r="H198" s="46" t="s">
        <v>2662</v>
      </c>
      <c r="I198" s="47"/>
      <c r="J198" s="7"/>
      <c r="K198" s="7"/>
      <c r="L198" s="7"/>
      <c r="M198" s="7"/>
      <c r="N198" s="54">
        <v>31547</v>
      </c>
      <c r="O198" s="6" t="s">
        <v>945</v>
      </c>
      <c r="P198" s="7"/>
      <c r="Q198" s="7"/>
      <c r="R198" s="7"/>
      <c r="S198" s="7"/>
      <c r="T198" s="7"/>
      <c r="U198" s="7"/>
      <c r="V198" s="7"/>
      <c r="W198" s="47"/>
      <c r="X198" s="47"/>
      <c r="Y198" s="46" t="s">
        <v>521</v>
      </c>
      <c r="Z198" s="47"/>
      <c r="AA198" s="7"/>
      <c r="AB198" s="7"/>
      <c r="AC198" s="7"/>
      <c r="AD198" s="7"/>
      <c r="AE198" s="7"/>
      <c r="AF198" s="7"/>
      <c r="AG198" s="6" t="s">
        <v>406</v>
      </c>
      <c r="AH198" s="6">
        <v>41</v>
      </c>
      <c r="AI198" s="7"/>
      <c r="AJ198" s="7"/>
      <c r="AK198" s="7"/>
      <c r="AL198" s="6" t="s">
        <v>406</v>
      </c>
      <c r="AM198" s="6" t="s">
        <v>406</v>
      </c>
      <c r="AN198" s="6" t="s">
        <v>406</v>
      </c>
    </row>
    <row r="199" ht="15.75" customHeight="1" spans="1:40">
      <c r="A199" s="39"/>
      <c r="B199" s="39"/>
      <c r="C199" s="4"/>
      <c r="D199" s="35" t="s">
        <v>292</v>
      </c>
      <c r="E199" s="39" t="s">
        <v>491</v>
      </c>
      <c r="F199" s="39" t="s">
        <v>3546</v>
      </c>
      <c r="G199" s="39"/>
      <c r="H199" s="39"/>
      <c r="I199" s="39"/>
      <c r="J199" s="6"/>
      <c r="K199" s="6"/>
      <c r="L199" s="6"/>
      <c r="M199" s="6"/>
      <c r="N199" s="6"/>
      <c r="O199" s="6"/>
      <c r="P199" s="6"/>
      <c r="Q199" s="6"/>
      <c r="R199" s="6"/>
      <c r="S199" s="6"/>
      <c r="T199" s="6"/>
      <c r="U199" s="6"/>
      <c r="V199" s="6"/>
      <c r="W199" s="39"/>
      <c r="X199" s="39"/>
      <c r="Y199" s="39"/>
      <c r="Z199" s="39"/>
      <c r="AA199" s="6"/>
      <c r="AB199" s="6"/>
      <c r="AC199" s="6"/>
      <c r="AD199" s="6"/>
      <c r="AE199" s="6"/>
      <c r="AF199" s="6"/>
      <c r="AG199" s="6"/>
      <c r="AH199" s="6"/>
      <c r="AI199" s="6"/>
      <c r="AJ199" s="6"/>
      <c r="AK199" s="6"/>
      <c r="AL199" s="6"/>
      <c r="AM199" s="6"/>
      <c r="AN199" s="6"/>
    </row>
    <row r="200" ht="15.75" customHeight="1" spans="1:40">
      <c r="A200" s="6" t="s">
        <v>2576</v>
      </c>
      <c r="B200" s="46" t="s">
        <v>576</v>
      </c>
      <c r="C200" s="4" t="s">
        <v>957</v>
      </c>
      <c r="D200" s="12" t="s">
        <v>293</v>
      </c>
      <c r="E200" s="29" t="s">
        <v>491</v>
      </c>
      <c r="F200" s="46" t="s">
        <v>3547</v>
      </c>
      <c r="G200" s="46">
        <v>1084383551</v>
      </c>
      <c r="H200" s="47" t="s">
        <v>2855</v>
      </c>
      <c r="I200" s="47" t="s">
        <v>3548</v>
      </c>
      <c r="J200" s="7" t="s">
        <v>941</v>
      </c>
      <c r="K200" s="7" t="s">
        <v>941</v>
      </c>
      <c r="L200" s="7" t="s">
        <v>975</v>
      </c>
      <c r="M200" s="7" t="s">
        <v>3549</v>
      </c>
      <c r="N200" s="55">
        <v>31338</v>
      </c>
      <c r="O200" s="7" t="s">
        <v>945</v>
      </c>
      <c r="P200" s="7" t="s">
        <v>946</v>
      </c>
      <c r="Q200" s="7" t="s">
        <v>963</v>
      </c>
      <c r="R200" s="7" t="s">
        <v>3550</v>
      </c>
      <c r="S200" s="59">
        <v>115</v>
      </c>
      <c r="T200" s="7" t="s">
        <v>1154</v>
      </c>
      <c r="U200" s="7"/>
      <c r="V200" s="7" t="s">
        <v>3551</v>
      </c>
      <c r="W200" s="7" t="s">
        <v>3552</v>
      </c>
      <c r="X200" s="7" t="s">
        <v>953</v>
      </c>
      <c r="Y200" s="7" t="s">
        <v>537</v>
      </c>
      <c r="Z200" s="7" t="s">
        <v>2606</v>
      </c>
      <c r="AA200" s="7" t="s">
        <v>3553</v>
      </c>
      <c r="AB200" s="7" t="s">
        <v>1086</v>
      </c>
      <c r="AC200" s="6" t="s">
        <v>399</v>
      </c>
      <c r="AD200" s="6" t="s">
        <v>399</v>
      </c>
      <c r="AE200" s="6" t="s">
        <v>399</v>
      </c>
      <c r="AF200" s="6" t="s">
        <v>399</v>
      </c>
      <c r="AG200" s="6" t="s">
        <v>398</v>
      </c>
      <c r="AH200" s="6">
        <v>43</v>
      </c>
      <c r="AI200" s="6">
        <v>43</v>
      </c>
      <c r="AJ200" s="59">
        <v>43</v>
      </c>
      <c r="AK200" s="59">
        <v>43</v>
      </c>
      <c r="AL200" s="6" t="s">
        <v>399</v>
      </c>
      <c r="AM200" s="6" t="s">
        <v>399</v>
      </c>
      <c r="AN200" s="6" t="s">
        <v>406</v>
      </c>
    </row>
    <row r="201" ht="15.75" customHeight="1" spans="1:40">
      <c r="A201" s="6" t="s">
        <v>2576</v>
      </c>
      <c r="B201" s="46"/>
      <c r="C201" s="4"/>
      <c r="D201" s="12" t="s">
        <v>294</v>
      </c>
      <c r="E201" s="29" t="s">
        <v>491</v>
      </c>
      <c r="F201" s="46" t="s">
        <v>3554</v>
      </c>
      <c r="G201" s="46"/>
      <c r="H201" s="46"/>
      <c r="I201" s="47"/>
      <c r="J201" s="47"/>
      <c r="K201" s="47"/>
      <c r="L201" s="46"/>
      <c r="M201" s="46"/>
      <c r="N201" s="52"/>
      <c r="O201" s="46"/>
      <c r="P201" s="46"/>
      <c r="Q201" s="46"/>
      <c r="R201" s="60"/>
      <c r="S201" s="46"/>
      <c r="T201" s="46"/>
      <c r="U201" s="46"/>
      <c r="V201" s="47"/>
      <c r="W201" s="47"/>
      <c r="X201" s="46"/>
      <c r="Y201" s="46"/>
      <c r="Z201" s="46"/>
      <c r="AA201" s="46"/>
      <c r="AB201" s="46"/>
      <c r="AC201" s="46"/>
      <c r="AD201" s="46"/>
      <c r="AE201" s="46"/>
      <c r="AF201" s="46"/>
      <c r="AG201" s="46"/>
      <c r="AH201" s="46"/>
      <c r="AI201" s="46"/>
      <c r="AJ201" s="46"/>
      <c r="AK201" s="46"/>
      <c r="AL201" s="46"/>
      <c r="AM201" s="46"/>
      <c r="AN201" s="46"/>
    </row>
    <row r="202" ht="15.75" customHeight="1" spans="1:40">
      <c r="A202" s="6" t="s">
        <v>2576</v>
      </c>
      <c r="B202" s="46" t="s">
        <v>548</v>
      </c>
      <c r="C202" s="4" t="s">
        <v>957</v>
      </c>
      <c r="D202" s="12" t="s">
        <v>3555</v>
      </c>
      <c r="E202" s="29" t="s">
        <v>971</v>
      </c>
      <c r="F202" s="46" t="s">
        <v>3556</v>
      </c>
      <c r="G202" s="46">
        <v>2093571905</v>
      </c>
      <c r="H202" s="47" t="s">
        <v>939</v>
      </c>
      <c r="I202" s="47" t="s">
        <v>3557</v>
      </c>
      <c r="J202" s="47" t="s">
        <v>942</v>
      </c>
      <c r="K202" s="47" t="s">
        <v>941</v>
      </c>
      <c r="L202" s="47" t="s">
        <v>975</v>
      </c>
      <c r="M202" s="53" t="s">
        <v>3558</v>
      </c>
      <c r="N202" s="57">
        <v>33388</v>
      </c>
      <c r="O202" s="47" t="s">
        <v>945</v>
      </c>
      <c r="P202" s="47" t="s">
        <v>946</v>
      </c>
      <c r="Q202" s="47" t="s">
        <v>1245</v>
      </c>
      <c r="R202" s="47" t="s">
        <v>3559</v>
      </c>
      <c r="S202" s="61">
        <v>100</v>
      </c>
      <c r="T202" s="47" t="s">
        <v>950</v>
      </c>
      <c r="U202" s="47" t="s">
        <v>3557</v>
      </c>
      <c r="V202" s="47" t="s">
        <v>3560</v>
      </c>
      <c r="W202" s="61">
        <v>54999506403</v>
      </c>
      <c r="X202" s="47" t="s">
        <v>2688</v>
      </c>
      <c r="Y202" s="47" t="s">
        <v>548</v>
      </c>
      <c r="Z202" s="47" t="s">
        <v>2689</v>
      </c>
      <c r="AA202" s="47" t="s">
        <v>3561</v>
      </c>
      <c r="AB202" s="47" t="s">
        <v>1086</v>
      </c>
      <c r="AC202" s="47" t="s">
        <v>399</v>
      </c>
      <c r="AD202" s="47" t="s">
        <v>399</v>
      </c>
      <c r="AE202" s="47" t="s">
        <v>399</v>
      </c>
      <c r="AF202" s="47" t="s">
        <v>399</v>
      </c>
      <c r="AG202" s="47" t="s">
        <v>398</v>
      </c>
      <c r="AH202" s="61">
        <v>41</v>
      </c>
      <c r="AI202" s="61">
        <v>41</v>
      </c>
      <c r="AJ202" s="61">
        <v>41</v>
      </c>
      <c r="AK202" s="61">
        <v>41</v>
      </c>
      <c r="AL202" s="47" t="s">
        <v>399</v>
      </c>
      <c r="AM202" s="47" t="s">
        <v>399</v>
      </c>
      <c r="AN202" s="47" t="s">
        <v>398</v>
      </c>
    </row>
    <row r="203" ht="15.75" customHeight="1" spans="1:40">
      <c r="A203" s="6" t="s">
        <v>2576</v>
      </c>
      <c r="B203" s="46" t="s">
        <v>552</v>
      </c>
      <c r="C203" s="4" t="s">
        <v>957</v>
      </c>
      <c r="D203" s="12" t="s">
        <v>3562</v>
      </c>
      <c r="E203" s="29" t="s">
        <v>491</v>
      </c>
      <c r="F203" s="46" t="s">
        <v>3563</v>
      </c>
      <c r="G203" s="46">
        <v>1068372935</v>
      </c>
      <c r="H203" s="47" t="s">
        <v>2806</v>
      </c>
      <c r="I203" s="47" t="s">
        <v>3564</v>
      </c>
      <c r="J203" s="7" t="s">
        <v>941</v>
      </c>
      <c r="K203" s="7" t="s">
        <v>942</v>
      </c>
      <c r="L203" s="7" t="s">
        <v>975</v>
      </c>
      <c r="M203" s="7" t="s">
        <v>3565</v>
      </c>
      <c r="N203" s="51">
        <v>28024</v>
      </c>
      <c r="O203" s="7" t="s">
        <v>945</v>
      </c>
      <c r="P203" s="7" t="s">
        <v>946</v>
      </c>
      <c r="Q203" s="7" t="s">
        <v>963</v>
      </c>
      <c r="R203" s="7" t="s">
        <v>3566</v>
      </c>
      <c r="S203" s="59">
        <v>71</v>
      </c>
      <c r="T203" s="7" t="s">
        <v>1030</v>
      </c>
      <c r="U203" s="7"/>
      <c r="V203" s="7" t="s">
        <v>3567</v>
      </c>
      <c r="W203" s="7" t="s">
        <v>3568</v>
      </c>
      <c r="X203" s="7" t="s">
        <v>953</v>
      </c>
      <c r="Y203" s="7" t="s">
        <v>552</v>
      </c>
      <c r="Z203" s="7" t="s">
        <v>2658</v>
      </c>
      <c r="AA203" s="7" t="s">
        <v>3569</v>
      </c>
      <c r="AB203" s="7" t="s">
        <v>1086</v>
      </c>
      <c r="AC203" s="7" t="s">
        <v>396</v>
      </c>
      <c r="AD203" s="7" t="s">
        <v>396</v>
      </c>
      <c r="AE203" s="6" t="s">
        <v>396</v>
      </c>
      <c r="AF203" s="6" t="s">
        <v>396</v>
      </c>
      <c r="AG203" s="6" t="s">
        <v>396</v>
      </c>
      <c r="AH203" s="6">
        <v>37</v>
      </c>
      <c r="AI203" s="6">
        <v>37</v>
      </c>
      <c r="AJ203" s="59">
        <v>37</v>
      </c>
      <c r="AK203" s="59">
        <v>37</v>
      </c>
      <c r="AL203" s="7" t="s">
        <v>396</v>
      </c>
      <c r="AM203" s="7" t="s">
        <v>396</v>
      </c>
      <c r="AN203" s="7" t="s">
        <v>396</v>
      </c>
    </row>
    <row r="204" ht="15.75" customHeight="1" spans="1:40">
      <c r="A204" s="6" t="s">
        <v>2576</v>
      </c>
      <c r="B204" s="46" t="s">
        <v>2850</v>
      </c>
      <c r="C204" s="4" t="s">
        <v>655</v>
      </c>
      <c r="D204" s="10" t="s">
        <v>3570</v>
      </c>
      <c r="E204" s="29" t="s">
        <v>491</v>
      </c>
      <c r="F204" s="46" t="s">
        <v>3571</v>
      </c>
      <c r="G204" s="46">
        <v>1082078443</v>
      </c>
      <c r="H204" s="46" t="s">
        <v>2662</v>
      </c>
      <c r="I204" s="47"/>
      <c r="J204" s="7"/>
      <c r="K204" s="7"/>
      <c r="L204" s="7"/>
      <c r="M204" s="7"/>
      <c r="N204" s="56">
        <v>31968</v>
      </c>
      <c r="O204" s="6" t="s">
        <v>945</v>
      </c>
      <c r="P204" s="7"/>
      <c r="Q204" s="7"/>
      <c r="R204" s="7"/>
      <c r="S204" s="7"/>
      <c r="T204" s="7"/>
      <c r="U204" s="7"/>
      <c r="V204" s="7"/>
      <c r="W204" s="47"/>
      <c r="X204" s="47"/>
      <c r="Y204" s="46" t="s">
        <v>547</v>
      </c>
      <c r="Z204" s="47"/>
      <c r="AA204" s="7"/>
      <c r="AB204" s="7"/>
      <c r="AC204" s="7"/>
      <c r="AD204" s="7"/>
      <c r="AE204" s="7"/>
      <c r="AF204" s="7"/>
      <c r="AG204" s="6" t="s">
        <v>396</v>
      </c>
      <c r="AH204" s="6">
        <v>41</v>
      </c>
      <c r="AI204" s="7"/>
      <c r="AJ204" s="7"/>
      <c r="AK204" s="7"/>
      <c r="AL204" s="6" t="s">
        <v>396</v>
      </c>
      <c r="AM204" s="6" t="s">
        <v>396</v>
      </c>
      <c r="AN204" s="6" t="s">
        <v>396</v>
      </c>
    </row>
    <row r="205" ht="15.75" customHeight="1" spans="1:40">
      <c r="A205" s="46" t="s">
        <v>2576</v>
      </c>
      <c r="B205" s="46" t="s">
        <v>548</v>
      </c>
      <c r="C205" s="4" t="s">
        <v>957</v>
      </c>
      <c r="D205" s="12" t="s">
        <v>3572</v>
      </c>
      <c r="E205" s="29" t="s">
        <v>971</v>
      </c>
      <c r="F205" s="46"/>
      <c r="G205" s="47"/>
      <c r="H205" s="47"/>
      <c r="I205" s="47"/>
      <c r="J205" s="47"/>
      <c r="K205" s="47"/>
      <c r="L205" s="47"/>
      <c r="M205" s="47"/>
      <c r="N205" s="57">
        <v>33172</v>
      </c>
      <c r="O205" s="47" t="s">
        <v>945</v>
      </c>
      <c r="P205" s="47"/>
      <c r="Q205" s="47"/>
      <c r="R205" s="47"/>
      <c r="S205" s="47"/>
      <c r="T205" s="47"/>
      <c r="U205" s="47"/>
      <c r="V205" s="47"/>
      <c r="W205" s="47"/>
      <c r="X205" s="47"/>
      <c r="Y205" s="47" t="s">
        <v>548</v>
      </c>
      <c r="Z205" s="47"/>
      <c r="AA205" s="47"/>
      <c r="AB205" s="47"/>
      <c r="AC205" s="47"/>
      <c r="AD205" s="47"/>
      <c r="AE205" s="47"/>
      <c r="AF205" s="47"/>
      <c r="AG205" s="47" t="s">
        <v>396</v>
      </c>
      <c r="AH205" s="61">
        <v>41</v>
      </c>
      <c r="AI205" s="47"/>
      <c r="AJ205" s="47"/>
      <c r="AK205" s="47"/>
      <c r="AL205" s="47" t="s">
        <v>396</v>
      </c>
      <c r="AM205" s="47" t="s">
        <v>396</v>
      </c>
      <c r="AN205" s="47" t="s">
        <v>396</v>
      </c>
    </row>
    <row r="206" ht="15.75" customHeight="1" spans="1:40">
      <c r="A206" s="6" t="s">
        <v>2576</v>
      </c>
      <c r="B206" s="46" t="s">
        <v>548</v>
      </c>
      <c r="C206" s="4" t="s">
        <v>957</v>
      </c>
      <c r="D206" s="12" t="s">
        <v>3573</v>
      </c>
      <c r="E206" s="29" t="s">
        <v>971</v>
      </c>
      <c r="F206" s="46" t="s">
        <v>3574</v>
      </c>
      <c r="G206" s="46">
        <v>1081233544</v>
      </c>
      <c r="H206" s="47" t="s">
        <v>939</v>
      </c>
      <c r="I206" s="47" t="s">
        <v>942</v>
      </c>
      <c r="J206" s="47" t="s">
        <v>942</v>
      </c>
      <c r="K206" s="47" t="s">
        <v>942</v>
      </c>
      <c r="L206" s="47" t="s">
        <v>943</v>
      </c>
      <c r="M206" s="47" t="s">
        <v>3575</v>
      </c>
      <c r="N206" s="57">
        <v>31935</v>
      </c>
      <c r="O206" s="47" t="s">
        <v>945</v>
      </c>
      <c r="P206" s="47" t="s">
        <v>946</v>
      </c>
      <c r="Q206" s="47" t="s">
        <v>1245</v>
      </c>
      <c r="R206" s="47" t="s">
        <v>3576</v>
      </c>
      <c r="S206" s="61">
        <v>90</v>
      </c>
      <c r="T206" s="47" t="s">
        <v>965</v>
      </c>
      <c r="U206" s="47" t="s">
        <v>3577</v>
      </c>
      <c r="V206" s="47" t="s">
        <v>3578</v>
      </c>
      <c r="W206" s="47" t="s">
        <v>942</v>
      </c>
      <c r="X206" s="47" t="s">
        <v>2688</v>
      </c>
      <c r="Y206" s="47" t="s">
        <v>548</v>
      </c>
      <c r="Z206" s="47" t="s">
        <v>3579</v>
      </c>
      <c r="AA206" s="47" t="s">
        <v>3580</v>
      </c>
      <c r="AB206" s="47" t="s">
        <v>1086</v>
      </c>
      <c r="AC206" s="47" t="s">
        <v>406</v>
      </c>
      <c r="AD206" s="47" t="s">
        <v>406</v>
      </c>
      <c r="AE206" s="47" t="s">
        <v>406</v>
      </c>
      <c r="AF206" s="47" t="s">
        <v>406</v>
      </c>
      <c r="AG206" s="47" t="s">
        <v>406</v>
      </c>
      <c r="AH206" s="61">
        <v>41</v>
      </c>
      <c r="AI206" s="61">
        <v>41</v>
      </c>
      <c r="AJ206" s="61">
        <v>41</v>
      </c>
      <c r="AK206" s="61">
        <v>42</v>
      </c>
      <c r="AL206" s="47" t="s">
        <v>406</v>
      </c>
      <c r="AM206" s="47" t="s">
        <v>406</v>
      </c>
      <c r="AN206" s="47" t="s">
        <v>406</v>
      </c>
    </row>
    <row r="207" ht="15.75" customHeight="1" spans="1:40">
      <c r="A207" s="6" t="s">
        <v>2576</v>
      </c>
      <c r="B207" s="46" t="s">
        <v>546</v>
      </c>
      <c r="C207" s="4" t="s">
        <v>957</v>
      </c>
      <c r="D207" s="12" t="s">
        <v>3581</v>
      </c>
      <c r="E207" s="29" t="s">
        <v>971</v>
      </c>
      <c r="F207" s="46"/>
      <c r="G207" s="47"/>
      <c r="H207" s="47"/>
      <c r="I207" s="47"/>
      <c r="J207" s="47"/>
      <c r="K207" s="47"/>
      <c r="L207" s="47"/>
      <c r="M207" s="47"/>
      <c r="N207" s="52">
        <v>30170</v>
      </c>
      <c r="O207" s="46" t="s">
        <v>945</v>
      </c>
      <c r="P207" s="47"/>
      <c r="Q207" s="47"/>
      <c r="R207" s="47"/>
      <c r="S207" s="47"/>
      <c r="T207" s="47"/>
      <c r="U207" s="47"/>
      <c r="V207" s="47"/>
      <c r="W207" s="47"/>
      <c r="X207" s="47"/>
      <c r="Y207" s="47"/>
      <c r="Z207" s="47"/>
      <c r="AA207" s="47"/>
      <c r="AB207" s="47"/>
      <c r="AC207" s="47"/>
      <c r="AD207" s="47"/>
      <c r="AE207" s="47"/>
      <c r="AF207" s="47"/>
      <c r="AG207" s="46" t="s">
        <v>398</v>
      </c>
      <c r="AH207" s="46">
        <v>43</v>
      </c>
      <c r="AI207" s="47"/>
      <c r="AJ207" s="47"/>
      <c r="AK207" s="47"/>
      <c r="AL207" s="46" t="s">
        <v>3582</v>
      </c>
      <c r="AM207" s="46" t="s">
        <v>3582</v>
      </c>
      <c r="AN207" s="46" t="s">
        <v>3582</v>
      </c>
    </row>
    <row r="208" ht="15.75" customHeight="1" spans="1:40">
      <c r="A208" s="6" t="s">
        <v>2576</v>
      </c>
      <c r="B208" s="46" t="s">
        <v>548</v>
      </c>
      <c r="C208" s="4" t="s">
        <v>957</v>
      </c>
      <c r="D208" s="12" t="s">
        <v>3583</v>
      </c>
      <c r="E208" s="29" t="s">
        <v>971</v>
      </c>
      <c r="F208" s="46" t="s">
        <v>3584</v>
      </c>
      <c r="G208" s="46">
        <v>1097600132</v>
      </c>
      <c r="H208" s="47" t="s">
        <v>3585</v>
      </c>
      <c r="I208" s="47" t="s">
        <v>3586</v>
      </c>
      <c r="J208" s="47" t="s">
        <v>941</v>
      </c>
      <c r="K208" s="47" t="s">
        <v>942</v>
      </c>
      <c r="L208" s="47" t="s">
        <v>943</v>
      </c>
      <c r="M208" s="47" t="s">
        <v>3587</v>
      </c>
      <c r="N208" s="57">
        <v>32693</v>
      </c>
      <c r="O208" s="47" t="s">
        <v>945</v>
      </c>
      <c r="P208" s="47" t="s">
        <v>946</v>
      </c>
      <c r="Q208" s="47" t="s">
        <v>1245</v>
      </c>
      <c r="R208" s="47" t="s">
        <v>3588</v>
      </c>
      <c r="S208" s="61">
        <v>89</v>
      </c>
      <c r="T208" s="47" t="s">
        <v>965</v>
      </c>
      <c r="U208" s="61">
        <v>54999301754</v>
      </c>
      <c r="V208" s="47" t="s">
        <v>3589</v>
      </c>
      <c r="W208" s="47" t="s">
        <v>3590</v>
      </c>
      <c r="X208" s="47" t="s">
        <v>2688</v>
      </c>
      <c r="Y208" s="47" t="s">
        <v>548</v>
      </c>
      <c r="Z208" s="47" t="s">
        <v>2689</v>
      </c>
      <c r="AA208" s="47" t="s">
        <v>3591</v>
      </c>
      <c r="AB208" s="47" t="s">
        <v>1086</v>
      </c>
      <c r="AC208" s="47" t="s">
        <v>396</v>
      </c>
      <c r="AD208" s="47" t="s">
        <v>406</v>
      </c>
      <c r="AE208" s="47" t="s">
        <v>406</v>
      </c>
      <c r="AF208" s="47" t="s">
        <v>406</v>
      </c>
      <c r="AG208" s="47" t="s">
        <v>406</v>
      </c>
      <c r="AH208" s="61">
        <v>41</v>
      </c>
      <c r="AI208" s="61">
        <v>41</v>
      </c>
      <c r="AJ208" s="61">
        <v>41</v>
      </c>
      <c r="AK208" s="61">
        <v>41</v>
      </c>
      <c r="AL208" s="47" t="s">
        <v>396</v>
      </c>
      <c r="AM208" s="47" t="s">
        <v>396</v>
      </c>
      <c r="AN208" s="47" t="s">
        <v>406</v>
      </c>
    </row>
    <row r="209" ht="15.75" customHeight="1" spans="1:40">
      <c r="A209" s="6" t="s">
        <v>2576</v>
      </c>
      <c r="B209" s="46" t="s">
        <v>520</v>
      </c>
      <c r="C209" s="4" t="s">
        <v>957</v>
      </c>
      <c r="D209" s="12" t="s">
        <v>3592</v>
      </c>
      <c r="E209" s="29" t="s">
        <v>971</v>
      </c>
      <c r="F209" s="46" t="s">
        <v>3593</v>
      </c>
      <c r="G209" s="46">
        <v>7043360739</v>
      </c>
      <c r="H209" s="47" t="s">
        <v>2611</v>
      </c>
      <c r="I209" s="4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row>
    <row r="210" ht="15.75" customHeight="1" spans="1:40">
      <c r="A210" s="6" t="s">
        <v>2576</v>
      </c>
      <c r="B210" s="46" t="s">
        <v>509</v>
      </c>
      <c r="C210" s="4" t="s">
        <v>957</v>
      </c>
      <c r="D210" s="12" t="s">
        <v>3594</v>
      </c>
      <c r="E210" s="29" t="s">
        <v>491</v>
      </c>
      <c r="F210" s="46" t="s">
        <v>3595</v>
      </c>
      <c r="G210" s="46" t="s">
        <v>3596</v>
      </c>
      <c r="H210" s="47" t="s">
        <v>986</v>
      </c>
      <c r="I210" s="47" t="s">
        <v>2916</v>
      </c>
      <c r="J210" s="7" t="s">
        <v>942</v>
      </c>
      <c r="K210" s="7" t="s">
        <v>942</v>
      </c>
      <c r="L210" s="7" t="s">
        <v>1068</v>
      </c>
      <c r="M210" s="7" t="s">
        <v>3597</v>
      </c>
      <c r="N210" s="51">
        <v>22451</v>
      </c>
      <c r="O210" s="7" t="s">
        <v>945</v>
      </c>
      <c r="P210" s="7" t="s">
        <v>1104</v>
      </c>
      <c r="Q210" s="7" t="s">
        <v>963</v>
      </c>
      <c r="R210" s="7" t="s">
        <v>3598</v>
      </c>
      <c r="S210" s="59">
        <v>92</v>
      </c>
      <c r="T210" s="7" t="s">
        <v>1011</v>
      </c>
      <c r="U210" s="7"/>
      <c r="V210" s="7" t="s">
        <v>3599</v>
      </c>
      <c r="W210" s="7" t="s">
        <v>3599</v>
      </c>
      <c r="X210" s="7" t="s">
        <v>953</v>
      </c>
      <c r="Y210" s="7" t="s">
        <v>509</v>
      </c>
      <c r="Z210" s="59">
        <v>99770000</v>
      </c>
      <c r="AA210" s="7" t="s">
        <v>3600</v>
      </c>
      <c r="AB210" s="7" t="s">
        <v>1086</v>
      </c>
      <c r="AC210" s="7" t="s">
        <v>406</v>
      </c>
      <c r="AD210" s="7" t="s">
        <v>406</v>
      </c>
      <c r="AE210" s="6" t="s">
        <v>406</v>
      </c>
      <c r="AF210" s="6" t="s">
        <v>406</v>
      </c>
      <c r="AG210" s="6" t="s">
        <v>406</v>
      </c>
      <c r="AH210" s="6">
        <v>42</v>
      </c>
      <c r="AI210" s="6">
        <v>42</v>
      </c>
      <c r="AJ210" s="59">
        <v>42</v>
      </c>
      <c r="AK210" s="59">
        <v>42</v>
      </c>
      <c r="AL210" s="7" t="s">
        <v>406</v>
      </c>
      <c r="AM210" s="7" t="s">
        <v>406</v>
      </c>
      <c r="AN210" s="7" t="s">
        <v>406</v>
      </c>
    </row>
    <row r="211" ht="15.75" customHeight="1" spans="1:40">
      <c r="A211" s="6" t="s">
        <v>2576</v>
      </c>
      <c r="B211" s="46" t="s">
        <v>576</v>
      </c>
      <c r="C211" s="4" t="s">
        <v>957</v>
      </c>
      <c r="D211" s="10" t="s">
        <v>295</v>
      </c>
      <c r="E211" s="29" t="s">
        <v>491</v>
      </c>
      <c r="F211" s="46" t="s">
        <v>3601</v>
      </c>
      <c r="G211" s="46">
        <v>8060439034</v>
      </c>
      <c r="H211" s="47" t="s">
        <v>957</v>
      </c>
      <c r="I211" s="47" t="s">
        <v>2784</v>
      </c>
      <c r="J211" s="7" t="s">
        <v>942</v>
      </c>
      <c r="K211" s="7" t="s">
        <v>942</v>
      </c>
      <c r="L211" s="7" t="s">
        <v>975</v>
      </c>
      <c r="M211" s="7" t="s">
        <v>3602</v>
      </c>
      <c r="N211" s="51">
        <v>29667</v>
      </c>
      <c r="O211" s="7" t="s">
        <v>1028</v>
      </c>
      <c r="P211" s="7" t="s">
        <v>946</v>
      </c>
      <c r="Q211" s="7" t="s">
        <v>963</v>
      </c>
      <c r="R211" s="7" t="s">
        <v>3603</v>
      </c>
      <c r="S211" s="59">
        <v>73</v>
      </c>
      <c r="T211" s="7" t="s">
        <v>1030</v>
      </c>
      <c r="U211" s="7"/>
      <c r="V211" s="7" t="s">
        <v>3604</v>
      </c>
      <c r="W211" s="7" t="s">
        <v>3605</v>
      </c>
      <c r="X211" s="7" t="s">
        <v>953</v>
      </c>
      <c r="Y211" s="7" t="s">
        <v>536</v>
      </c>
      <c r="Z211" s="7" t="s">
        <v>2597</v>
      </c>
      <c r="AA211" s="7" t="s">
        <v>3606</v>
      </c>
      <c r="AB211" s="7" t="s">
        <v>3394</v>
      </c>
      <c r="AC211" s="6" t="s">
        <v>406</v>
      </c>
      <c r="AD211" s="6" t="s">
        <v>406</v>
      </c>
      <c r="AE211" s="6" t="s">
        <v>406</v>
      </c>
      <c r="AF211" s="6" t="s">
        <v>406</v>
      </c>
      <c r="AG211" s="6" t="s">
        <v>406</v>
      </c>
      <c r="AH211" s="6">
        <v>39</v>
      </c>
      <c r="AI211" s="6">
        <v>39</v>
      </c>
      <c r="AJ211" s="59">
        <v>39</v>
      </c>
      <c r="AK211" s="59">
        <v>39</v>
      </c>
      <c r="AL211" s="6" t="s">
        <v>406</v>
      </c>
      <c r="AM211" s="6" t="s">
        <v>406</v>
      </c>
      <c r="AN211" s="6" t="s">
        <v>406</v>
      </c>
    </row>
    <row r="212" ht="15.75" customHeight="1" spans="1:40">
      <c r="A212" s="6" t="s">
        <v>2576</v>
      </c>
      <c r="B212" s="46" t="s">
        <v>548</v>
      </c>
      <c r="C212" s="4" t="s">
        <v>957</v>
      </c>
      <c r="D212" s="12" t="s">
        <v>3607</v>
      </c>
      <c r="E212" s="29" t="s">
        <v>971</v>
      </c>
      <c r="F212" s="46">
        <v>578170060</v>
      </c>
      <c r="G212" s="46">
        <v>1073998807</v>
      </c>
      <c r="H212" s="47" t="s">
        <v>939</v>
      </c>
      <c r="I212" s="47" t="s">
        <v>3608</v>
      </c>
      <c r="J212" s="47" t="s">
        <v>942</v>
      </c>
      <c r="K212" s="47" t="s">
        <v>942</v>
      </c>
      <c r="L212" s="47" t="s">
        <v>943</v>
      </c>
      <c r="M212" s="47" t="s">
        <v>3609</v>
      </c>
      <c r="N212" s="68">
        <v>30965</v>
      </c>
      <c r="O212" s="47" t="s">
        <v>1028</v>
      </c>
      <c r="P212" s="47" t="s">
        <v>1041</v>
      </c>
      <c r="Q212" s="47" t="s">
        <v>963</v>
      </c>
      <c r="R212" s="47" t="s">
        <v>3610</v>
      </c>
      <c r="S212" s="61">
        <v>60</v>
      </c>
      <c r="T212" s="47" t="s">
        <v>1030</v>
      </c>
      <c r="U212" s="47" t="s">
        <v>3611</v>
      </c>
      <c r="V212" s="47" t="s">
        <v>3612</v>
      </c>
      <c r="W212" s="47" t="s">
        <v>3612</v>
      </c>
      <c r="X212" s="47" t="s">
        <v>2688</v>
      </c>
      <c r="Y212" s="47" t="s">
        <v>548</v>
      </c>
      <c r="Z212" s="47" t="s">
        <v>2689</v>
      </c>
      <c r="AA212" s="47" t="s">
        <v>3078</v>
      </c>
      <c r="AB212" s="47" t="s">
        <v>1086</v>
      </c>
      <c r="AC212" s="47" t="s">
        <v>396</v>
      </c>
      <c r="AD212" s="47" t="s">
        <v>396</v>
      </c>
      <c r="AE212" s="47" t="s">
        <v>396</v>
      </c>
      <c r="AF212" s="47" t="s">
        <v>396</v>
      </c>
      <c r="AG212" s="47" t="s">
        <v>395</v>
      </c>
      <c r="AH212" s="61">
        <v>37</v>
      </c>
      <c r="AI212" s="61">
        <v>37</v>
      </c>
      <c r="AJ212" s="61">
        <v>37</v>
      </c>
      <c r="AK212" s="61">
        <v>37</v>
      </c>
      <c r="AL212" s="47" t="s">
        <v>396</v>
      </c>
      <c r="AM212" s="47" t="s">
        <v>396</v>
      </c>
      <c r="AN212" s="47" t="s">
        <v>396</v>
      </c>
    </row>
    <row r="213" ht="15.75" customHeight="1" spans="1:40">
      <c r="A213" s="6" t="s">
        <v>2576</v>
      </c>
      <c r="B213" s="46" t="s">
        <v>551</v>
      </c>
      <c r="C213" s="4" t="s">
        <v>957</v>
      </c>
      <c r="D213" s="12" t="s">
        <v>3613</v>
      </c>
      <c r="E213" s="29" t="s">
        <v>971</v>
      </c>
      <c r="F213" s="46" t="s">
        <v>3614</v>
      </c>
      <c r="G213" s="46">
        <v>9070619839</v>
      </c>
      <c r="H213" s="47" t="s">
        <v>939</v>
      </c>
      <c r="I213" s="47" t="s">
        <v>3615</v>
      </c>
      <c r="J213" s="7" t="s">
        <v>942</v>
      </c>
      <c r="K213" s="7" t="s">
        <v>942</v>
      </c>
      <c r="L213" s="7" t="s">
        <v>975</v>
      </c>
      <c r="M213" s="7" t="s">
        <v>3616</v>
      </c>
      <c r="N213" s="51">
        <v>27792</v>
      </c>
      <c r="O213" s="7" t="s">
        <v>945</v>
      </c>
      <c r="P213" s="7" t="s">
        <v>1257</v>
      </c>
      <c r="Q213" s="7" t="s">
        <v>963</v>
      </c>
      <c r="R213" s="7" t="s">
        <v>3617</v>
      </c>
      <c r="S213" s="59">
        <v>79</v>
      </c>
      <c r="T213" s="7" t="s">
        <v>1011</v>
      </c>
      <c r="U213" s="7"/>
      <c r="V213" s="7" t="s">
        <v>3618</v>
      </c>
      <c r="W213" s="7"/>
      <c r="X213" s="7" t="s">
        <v>953</v>
      </c>
      <c r="Y213" s="7" t="s">
        <v>551</v>
      </c>
      <c r="Z213" s="59">
        <v>99830000</v>
      </c>
      <c r="AA213" s="7" t="s">
        <v>3619</v>
      </c>
      <c r="AB213" s="7" t="s">
        <v>1631</v>
      </c>
      <c r="AC213" s="7" t="s">
        <v>406</v>
      </c>
      <c r="AD213" s="7" t="s">
        <v>406</v>
      </c>
      <c r="AE213" s="6" t="s">
        <v>406</v>
      </c>
      <c r="AF213" s="6" t="s">
        <v>406</v>
      </c>
      <c r="AG213" s="6" t="s">
        <v>406</v>
      </c>
      <c r="AH213" s="6">
        <v>40</v>
      </c>
      <c r="AI213" s="6">
        <v>40</v>
      </c>
      <c r="AJ213" s="59">
        <v>40</v>
      </c>
      <c r="AK213" s="59">
        <v>40</v>
      </c>
      <c r="AL213" s="7" t="s">
        <v>406</v>
      </c>
      <c r="AM213" s="7" t="s">
        <v>406</v>
      </c>
      <c r="AN213" s="7" t="s">
        <v>396</v>
      </c>
    </row>
    <row r="214" ht="15.75" customHeight="1" spans="1:40">
      <c r="A214" s="6" t="s">
        <v>2576</v>
      </c>
      <c r="B214" s="46" t="s">
        <v>558</v>
      </c>
      <c r="C214" s="4" t="s">
        <v>957</v>
      </c>
      <c r="D214" s="10" t="s">
        <v>129</v>
      </c>
      <c r="E214" s="29" t="s">
        <v>971</v>
      </c>
      <c r="F214" s="46" t="s">
        <v>3620</v>
      </c>
      <c r="G214" s="46">
        <v>7083258603</v>
      </c>
      <c r="H214" s="47" t="s">
        <v>2705</v>
      </c>
      <c r="I214" s="47" t="s">
        <v>3493</v>
      </c>
      <c r="J214" s="7" t="s">
        <v>942</v>
      </c>
      <c r="K214" s="7" t="s">
        <v>942</v>
      </c>
      <c r="L214" s="7" t="s">
        <v>943</v>
      </c>
      <c r="M214" s="7" t="s">
        <v>3621</v>
      </c>
      <c r="N214" s="51">
        <v>30055</v>
      </c>
      <c r="O214" s="7" t="s">
        <v>945</v>
      </c>
      <c r="P214" s="7" t="s">
        <v>946</v>
      </c>
      <c r="Q214" s="7" t="s">
        <v>963</v>
      </c>
      <c r="R214" s="7" t="s">
        <v>3622</v>
      </c>
      <c r="S214" s="59">
        <v>67</v>
      </c>
      <c r="T214" s="7" t="s">
        <v>1011</v>
      </c>
      <c r="U214" s="7"/>
      <c r="V214" s="7" t="s">
        <v>3623</v>
      </c>
      <c r="W214" s="7"/>
      <c r="X214" s="7" t="s">
        <v>953</v>
      </c>
      <c r="Y214" s="7" t="s">
        <v>558</v>
      </c>
      <c r="Z214" s="7" t="s">
        <v>2648</v>
      </c>
      <c r="AA214" s="7" t="s">
        <v>3624</v>
      </c>
      <c r="AB214" s="7" t="s">
        <v>3625</v>
      </c>
      <c r="AC214" s="7" t="s">
        <v>406</v>
      </c>
      <c r="AD214" s="7" t="s">
        <v>406</v>
      </c>
      <c r="AE214" s="6" t="s">
        <v>396</v>
      </c>
      <c r="AF214" s="6" t="s">
        <v>406</v>
      </c>
      <c r="AG214" s="6" t="s">
        <v>406</v>
      </c>
      <c r="AH214" s="6">
        <v>40</v>
      </c>
      <c r="AI214" s="6">
        <v>40</v>
      </c>
      <c r="AJ214" s="59">
        <v>40</v>
      </c>
      <c r="AK214" s="59">
        <v>40</v>
      </c>
      <c r="AL214" s="7" t="s">
        <v>396</v>
      </c>
      <c r="AM214" s="7" t="s">
        <v>396</v>
      </c>
      <c r="AN214" s="7" t="s">
        <v>396</v>
      </c>
    </row>
    <row r="215" ht="15.75" customHeight="1" spans="1:40">
      <c r="A215" s="6" t="s">
        <v>2576</v>
      </c>
      <c r="B215" s="46" t="s">
        <v>558</v>
      </c>
      <c r="C215" s="4" t="s">
        <v>957</v>
      </c>
      <c r="D215" s="12" t="s">
        <v>3626</v>
      </c>
      <c r="E215" s="29" t="s">
        <v>971</v>
      </c>
      <c r="F215" s="46" t="s">
        <v>3627</v>
      </c>
      <c r="G215" s="46">
        <v>7087395278</v>
      </c>
      <c r="H215" s="47" t="s">
        <v>2742</v>
      </c>
      <c r="I215" s="47" t="s">
        <v>3486</v>
      </c>
      <c r="J215" s="7" t="s">
        <v>942</v>
      </c>
      <c r="K215" s="7" t="s">
        <v>942</v>
      </c>
      <c r="L215" s="7"/>
      <c r="M215" s="7"/>
      <c r="N215" s="7"/>
      <c r="O215" s="7"/>
      <c r="P215" s="7"/>
      <c r="Q215" s="7"/>
      <c r="R215" s="7"/>
      <c r="S215" s="7"/>
      <c r="T215" s="7"/>
      <c r="U215" s="7"/>
      <c r="V215" s="7"/>
      <c r="W215" s="7"/>
      <c r="X215" s="7" t="s">
        <v>953</v>
      </c>
      <c r="Y215" s="7" t="s">
        <v>558</v>
      </c>
      <c r="Z215" s="7" t="s">
        <v>2648</v>
      </c>
      <c r="AA215" s="7"/>
      <c r="AB215" s="7"/>
      <c r="AC215" s="7"/>
      <c r="AD215" s="7"/>
      <c r="AE215" s="7"/>
      <c r="AF215" s="7"/>
      <c r="AG215" s="6" t="s">
        <v>396</v>
      </c>
      <c r="AH215" s="6">
        <v>35</v>
      </c>
      <c r="AI215" s="7"/>
      <c r="AJ215" s="7"/>
      <c r="AK215" s="7"/>
      <c r="AL215" s="7" t="s">
        <v>396</v>
      </c>
      <c r="AM215" s="7" t="s">
        <v>396</v>
      </c>
      <c r="AN215" s="7" t="s">
        <v>396</v>
      </c>
    </row>
    <row r="216" ht="15.75" customHeight="1" spans="1:40">
      <c r="A216" s="6" t="s">
        <v>2576</v>
      </c>
      <c r="B216" s="46" t="s">
        <v>509</v>
      </c>
      <c r="C216" s="4" t="s">
        <v>957</v>
      </c>
      <c r="D216" s="12" t="s">
        <v>296</v>
      </c>
      <c r="E216" s="29" t="s">
        <v>491</v>
      </c>
      <c r="F216" s="46" t="s">
        <v>3628</v>
      </c>
      <c r="G216" s="46">
        <v>1132932755</v>
      </c>
      <c r="H216" s="47" t="s">
        <v>986</v>
      </c>
      <c r="I216" s="47" t="s">
        <v>3629</v>
      </c>
      <c r="J216" s="7" t="s">
        <v>942</v>
      </c>
      <c r="K216" s="7" t="s">
        <v>942</v>
      </c>
      <c r="L216" s="7" t="s">
        <v>975</v>
      </c>
      <c r="M216" s="7" t="s">
        <v>3630</v>
      </c>
      <c r="N216" s="51">
        <v>27548</v>
      </c>
      <c r="O216" s="7" t="s">
        <v>945</v>
      </c>
      <c r="P216" s="7" t="s">
        <v>946</v>
      </c>
      <c r="Q216" s="7" t="s">
        <v>963</v>
      </c>
      <c r="R216" s="7" t="s">
        <v>3631</v>
      </c>
      <c r="S216" s="59">
        <v>75</v>
      </c>
      <c r="T216" s="7" t="s">
        <v>1030</v>
      </c>
      <c r="U216" s="7"/>
      <c r="V216" s="7" t="s">
        <v>3632</v>
      </c>
      <c r="W216" s="7" t="s">
        <v>3632</v>
      </c>
      <c r="X216" s="7" t="s">
        <v>953</v>
      </c>
      <c r="Y216" s="7" t="s">
        <v>509</v>
      </c>
      <c r="Z216" s="59">
        <v>99770000</v>
      </c>
      <c r="AA216" s="7" t="s">
        <v>3633</v>
      </c>
      <c r="AB216" s="7" t="s">
        <v>3634</v>
      </c>
      <c r="AC216" s="7" t="s">
        <v>406</v>
      </c>
      <c r="AD216" s="7" t="s">
        <v>406</v>
      </c>
      <c r="AE216" s="6" t="s">
        <v>406</v>
      </c>
      <c r="AF216" s="6" t="s">
        <v>406</v>
      </c>
      <c r="AG216" s="6" t="s">
        <v>406</v>
      </c>
      <c r="AH216" s="6">
        <v>40</v>
      </c>
      <c r="AI216" s="6">
        <v>40</v>
      </c>
      <c r="AJ216" s="59">
        <v>40</v>
      </c>
      <c r="AK216" s="59">
        <v>40</v>
      </c>
      <c r="AL216" s="7" t="s">
        <v>406</v>
      </c>
      <c r="AM216" s="7" t="s">
        <v>406</v>
      </c>
      <c r="AN216" s="7" t="s">
        <v>406</v>
      </c>
    </row>
    <row r="217" ht="15.75" customHeight="1" spans="1:40">
      <c r="A217" s="6" t="s">
        <v>2576</v>
      </c>
      <c r="B217" s="46" t="s">
        <v>509</v>
      </c>
      <c r="C217" s="4" t="s">
        <v>957</v>
      </c>
      <c r="D217" s="10" t="s">
        <v>297</v>
      </c>
      <c r="E217" s="29" t="s">
        <v>491</v>
      </c>
      <c r="F217" s="46" t="s">
        <v>3635</v>
      </c>
      <c r="G217" s="46">
        <v>9017891921</v>
      </c>
      <c r="H217" s="47" t="s">
        <v>3636</v>
      </c>
      <c r="I217" s="47" t="s">
        <v>3637</v>
      </c>
      <c r="J217" s="7" t="s">
        <v>941</v>
      </c>
      <c r="K217" s="7" t="s">
        <v>941</v>
      </c>
      <c r="L217" s="7" t="s">
        <v>975</v>
      </c>
      <c r="M217" s="7" t="s">
        <v>3638</v>
      </c>
      <c r="N217" s="51">
        <v>24521</v>
      </c>
      <c r="O217" s="7" t="s">
        <v>945</v>
      </c>
      <c r="P217" s="7" t="s">
        <v>946</v>
      </c>
      <c r="Q217" s="7" t="s">
        <v>1245</v>
      </c>
      <c r="R217" s="7" t="s">
        <v>3639</v>
      </c>
      <c r="S217" s="59">
        <v>83</v>
      </c>
      <c r="T217" s="7" t="s">
        <v>965</v>
      </c>
      <c r="U217" s="7"/>
      <c r="V217" s="7" t="s">
        <v>3640</v>
      </c>
      <c r="W217" s="7" t="s">
        <v>3640</v>
      </c>
      <c r="X217" s="7" t="s">
        <v>953</v>
      </c>
      <c r="Y217" s="7" t="s">
        <v>509</v>
      </c>
      <c r="Z217" s="59">
        <v>99770000</v>
      </c>
      <c r="AA217" s="7" t="s">
        <v>3641</v>
      </c>
      <c r="AB217" s="7" t="s">
        <v>1086</v>
      </c>
      <c r="AC217" s="7" t="s">
        <v>406</v>
      </c>
      <c r="AD217" s="7" t="s">
        <v>406</v>
      </c>
      <c r="AE217" s="6" t="s">
        <v>406</v>
      </c>
      <c r="AF217" s="6" t="s">
        <v>406</v>
      </c>
      <c r="AG217" s="6" t="s">
        <v>406</v>
      </c>
      <c r="AH217" s="6">
        <v>43</v>
      </c>
      <c r="AI217" s="6">
        <v>43</v>
      </c>
      <c r="AJ217" s="59">
        <v>43</v>
      </c>
      <c r="AK217" s="59">
        <v>43</v>
      </c>
      <c r="AL217" s="7" t="s">
        <v>406</v>
      </c>
      <c r="AM217" s="7" t="s">
        <v>406</v>
      </c>
      <c r="AN217" s="7" t="s">
        <v>406</v>
      </c>
    </row>
    <row r="218" ht="15.75" customHeight="1" spans="1:40">
      <c r="A218" s="6" t="s">
        <v>2576</v>
      </c>
      <c r="B218" s="46" t="s">
        <v>558</v>
      </c>
      <c r="C218" s="4" t="s">
        <v>957</v>
      </c>
      <c r="D218" s="10" t="s">
        <v>298</v>
      </c>
      <c r="E218" s="29" t="s">
        <v>491</v>
      </c>
      <c r="F218" s="46" t="s">
        <v>3642</v>
      </c>
      <c r="G218" s="46">
        <v>6078758023</v>
      </c>
      <c r="H218" s="47" t="s">
        <v>3643</v>
      </c>
      <c r="I218" s="47" t="s">
        <v>3644</v>
      </c>
      <c r="J218" s="7" t="s">
        <v>942</v>
      </c>
      <c r="K218" s="7" t="s">
        <v>942</v>
      </c>
      <c r="L218" s="7" t="s">
        <v>1080</v>
      </c>
      <c r="M218" s="7" t="s">
        <v>3645</v>
      </c>
      <c r="N218" s="51">
        <v>30214</v>
      </c>
      <c r="O218" s="7" t="s">
        <v>945</v>
      </c>
      <c r="P218" s="7" t="s">
        <v>946</v>
      </c>
      <c r="Q218" s="7" t="s">
        <v>3646</v>
      </c>
      <c r="R218" s="7" t="s">
        <v>3647</v>
      </c>
      <c r="S218" s="59">
        <v>87</v>
      </c>
      <c r="T218" s="7" t="s">
        <v>1044</v>
      </c>
      <c r="U218" s="7" t="s">
        <v>3648</v>
      </c>
      <c r="V218" s="7" t="s">
        <v>3649</v>
      </c>
      <c r="W218" s="7" t="s">
        <v>3650</v>
      </c>
      <c r="X218" s="7" t="s">
        <v>953</v>
      </c>
      <c r="Y218" s="7" t="s">
        <v>558</v>
      </c>
      <c r="Z218" s="7" t="s">
        <v>2648</v>
      </c>
      <c r="AA218" s="7" t="s">
        <v>3651</v>
      </c>
      <c r="AB218" s="7" t="s">
        <v>3652</v>
      </c>
      <c r="AC218" s="7" t="s">
        <v>406</v>
      </c>
      <c r="AD218" s="7" t="s">
        <v>406</v>
      </c>
      <c r="AE218" s="6" t="s">
        <v>406</v>
      </c>
      <c r="AF218" s="6" t="s">
        <v>406</v>
      </c>
      <c r="AG218" s="6" t="s">
        <v>406</v>
      </c>
      <c r="AH218" s="6">
        <v>39</v>
      </c>
      <c r="AI218" s="6">
        <v>39</v>
      </c>
      <c r="AJ218" s="59">
        <v>39</v>
      </c>
      <c r="AK218" s="59">
        <v>39</v>
      </c>
      <c r="AL218" s="7" t="s">
        <v>406</v>
      </c>
      <c r="AM218" s="7" t="s">
        <v>406</v>
      </c>
      <c r="AN218" s="7" t="s">
        <v>406</v>
      </c>
    </row>
    <row r="219" ht="15.75" customHeight="1" spans="1:40">
      <c r="A219" s="6" t="s">
        <v>2576</v>
      </c>
      <c r="B219" s="46" t="s">
        <v>509</v>
      </c>
      <c r="C219" s="4" t="s">
        <v>957</v>
      </c>
      <c r="D219" s="10" t="s">
        <v>3653</v>
      </c>
      <c r="E219" s="29" t="s">
        <v>971</v>
      </c>
      <c r="F219" s="46" t="s">
        <v>3654</v>
      </c>
      <c r="G219" s="46">
        <v>1109744423</v>
      </c>
      <c r="H219" s="47" t="s">
        <v>986</v>
      </c>
      <c r="I219" s="47" t="s">
        <v>2916</v>
      </c>
      <c r="J219" s="7" t="s">
        <v>942</v>
      </c>
      <c r="K219" s="7" t="s">
        <v>942</v>
      </c>
      <c r="L219" s="7" t="s">
        <v>975</v>
      </c>
      <c r="M219" s="7" t="s">
        <v>3655</v>
      </c>
      <c r="N219" s="51">
        <v>24542</v>
      </c>
      <c r="O219" s="7" t="s">
        <v>945</v>
      </c>
      <c r="P219" s="7" t="s">
        <v>946</v>
      </c>
      <c r="Q219" s="7" t="s">
        <v>1245</v>
      </c>
      <c r="R219" s="7" t="s">
        <v>3656</v>
      </c>
      <c r="S219" s="59">
        <v>108</v>
      </c>
      <c r="T219" s="7" t="s">
        <v>1154</v>
      </c>
      <c r="U219" s="7"/>
      <c r="V219" s="7" t="s">
        <v>3657</v>
      </c>
      <c r="W219" s="7" t="s">
        <v>3657</v>
      </c>
      <c r="X219" s="7" t="s">
        <v>953</v>
      </c>
      <c r="Y219" s="7" t="s">
        <v>509</v>
      </c>
      <c r="Z219" s="59">
        <v>99770000</v>
      </c>
      <c r="AA219" s="7" t="s">
        <v>3658</v>
      </c>
      <c r="AB219" s="7" t="s">
        <v>1086</v>
      </c>
      <c r="AC219" s="7" t="s">
        <v>398</v>
      </c>
      <c r="AD219" s="7" t="s">
        <v>398</v>
      </c>
      <c r="AE219" s="6" t="s">
        <v>398</v>
      </c>
      <c r="AF219" s="6" t="s">
        <v>398</v>
      </c>
      <c r="AG219" s="6" t="s">
        <v>398</v>
      </c>
      <c r="AH219" s="6">
        <v>43</v>
      </c>
      <c r="AI219" s="6">
        <v>43</v>
      </c>
      <c r="AJ219" s="59">
        <v>43</v>
      </c>
      <c r="AK219" s="59">
        <v>43</v>
      </c>
      <c r="AL219" s="7" t="s">
        <v>398</v>
      </c>
      <c r="AM219" s="7" t="s">
        <v>398</v>
      </c>
      <c r="AN219" s="7" t="s">
        <v>398</v>
      </c>
    </row>
    <row r="220" ht="15.75" customHeight="1" spans="1:40">
      <c r="A220" s="39"/>
      <c r="B220" s="49"/>
      <c r="C220" s="4"/>
      <c r="D220" s="35" t="s">
        <v>299</v>
      </c>
      <c r="E220" s="39" t="s">
        <v>491</v>
      </c>
      <c r="F220" s="39" t="s">
        <v>3659</v>
      </c>
      <c r="G220" s="39"/>
      <c r="H220" s="39"/>
      <c r="I220" s="39"/>
      <c r="J220" s="6"/>
      <c r="K220" s="6"/>
      <c r="L220" s="6"/>
      <c r="M220" s="6"/>
      <c r="N220" s="6"/>
      <c r="O220" s="6"/>
      <c r="P220" s="6"/>
      <c r="Q220" s="6"/>
      <c r="R220" s="6"/>
      <c r="S220" s="6"/>
      <c r="T220" s="6"/>
      <c r="U220" s="6"/>
      <c r="V220" s="6"/>
      <c r="W220" s="39"/>
      <c r="X220" s="39"/>
      <c r="Y220" s="39"/>
      <c r="Z220" s="39"/>
      <c r="AA220" s="6"/>
      <c r="AB220" s="6"/>
      <c r="AC220" s="6"/>
      <c r="AD220" s="6"/>
      <c r="AE220" s="6"/>
      <c r="AF220" s="6"/>
      <c r="AG220" s="6"/>
      <c r="AH220" s="6"/>
      <c r="AI220" s="6"/>
      <c r="AJ220" s="6"/>
      <c r="AK220" s="6"/>
      <c r="AL220" s="6"/>
      <c r="AM220" s="6"/>
      <c r="AN220" s="6"/>
    </row>
    <row r="221" ht="15.75" customHeight="1" spans="1:40">
      <c r="A221" s="6" t="s">
        <v>2576</v>
      </c>
      <c r="B221" s="45" t="s">
        <v>523</v>
      </c>
      <c r="C221" s="4" t="s">
        <v>957</v>
      </c>
      <c r="D221" s="12" t="s">
        <v>3660</v>
      </c>
      <c r="E221" s="29" t="s">
        <v>971</v>
      </c>
      <c r="F221" s="46" t="s">
        <v>3661</v>
      </c>
      <c r="G221" s="46">
        <v>1081235812</v>
      </c>
      <c r="H221" s="47" t="s">
        <v>939</v>
      </c>
      <c r="I221" s="47" t="s">
        <v>3662</v>
      </c>
      <c r="J221" s="47" t="s">
        <v>941</v>
      </c>
      <c r="K221" s="47" t="s">
        <v>941</v>
      </c>
      <c r="L221" s="47" t="s">
        <v>975</v>
      </c>
      <c r="M221" s="47" t="s">
        <v>3663</v>
      </c>
      <c r="N221" s="67">
        <v>45556</v>
      </c>
      <c r="O221" s="47" t="s">
        <v>396</v>
      </c>
      <c r="P221" s="47" t="s">
        <v>2624</v>
      </c>
      <c r="Q221" s="47" t="s">
        <v>3289</v>
      </c>
      <c r="R221" s="47" t="s">
        <v>3664</v>
      </c>
      <c r="S221" s="47">
        <v>87</v>
      </c>
      <c r="T221" s="47">
        <v>1.76</v>
      </c>
      <c r="U221" s="47" t="s">
        <v>3665</v>
      </c>
      <c r="V221" s="47"/>
      <c r="W221" s="47" t="s">
        <v>3665</v>
      </c>
      <c r="X221" s="47" t="s">
        <v>953</v>
      </c>
      <c r="Y221" s="47" t="s">
        <v>2628</v>
      </c>
      <c r="Z221" s="47" t="s">
        <v>2629</v>
      </c>
      <c r="AA221" s="47" t="s">
        <v>3666</v>
      </c>
      <c r="AB221" s="47" t="s">
        <v>2273</v>
      </c>
      <c r="AC221" s="47" t="s">
        <v>398</v>
      </c>
      <c r="AD221" s="47" t="s">
        <v>406</v>
      </c>
      <c r="AE221" s="47" t="s">
        <v>406</v>
      </c>
      <c r="AF221" s="47" t="s">
        <v>406</v>
      </c>
      <c r="AG221" s="47" t="s">
        <v>406</v>
      </c>
      <c r="AH221" s="47" t="s">
        <v>406</v>
      </c>
      <c r="AI221" s="47">
        <v>42</v>
      </c>
      <c r="AJ221" s="47">
        <v>42</v>
      </c>
      <c r="AK221" s="47">
        <v>42</v>
      </c>
      <c r="AL221" s="47">
        <v>42</v>
      </c>
      <c r="AM221" s="47" t="s">
        <v>398</v>
      </c>
      <c r="AN221" s="47">
        <v>54</v>
      </c>
    </row>
    <row r="222" ht="15.75" customHeight="1" spans="1:40">
      <c r="A222" s="6" t="s">
        <v>2576</v>
      </c>
      <c r="B222" s="45"/>
      <c r="C222" s="4"/>
      <c r="D222" s="12" t="s">
        <v>3667</v>
      </c>
      <c r="E222" s="29" t="s">
        <v>491</v>
      </c>
      <c r="F222" s="46" t="s">
        <v>3668</v>
      </c>
      <c r="G222" s="46"/>
      <c r="H222" s="46"/>
      <c r="I222" s="47"/>
      <c r="J222" s="47"/>
      <c r="K222" s="47"/>
      <c r="L222" s="46"/>
      <c r="M222" s="46"/>
      <c r="N222" s="52"/>
      <c r="O222" s="46"/>
      <c r="P222" s="46"/>
      <c r="Q222" s="46"/>
      <c r="R222" s="60"/>
      <c r="S222" s="46"/>
      <c r="T222" s="46"/>
      <c r="U222" s="46"/>
      <c r="V222" s="47"/>
      <c r="W222" s="47"/>
      <c r="X222" s="46"/>
      <c r="Y222" s="46"/>
      <c r="Z222" s="46"/>
      <c r="AA222" s="46"/>
      <c r="AB222" s="46"/>
      <c r="AC222" s="46"/>
      <c r="AD222" s="46"/>
      <c r="AE222" s="46"/>
      <c r="AF222" s="46"/>
      <c r="AG222" s="46"/>
      <c r="AH222" s="46"/>
      <c r="AI222" s="46"/>
      <c r="AJ222" s="46"/>
      <c r="AK222" s="46"/>
      <c r="AL222" s="46"/>
      <c r="AM222" s="46"/>
      <c r="AN222" s="46"/>
    </row>
    <row r="223" ht="15.75" customHeight="1" spans="1:40">
      <c r="A223" s="6" t="s">
        <v>2576</v>
      </c>
      <c r="B223" s="45" t="s">
        <v>577</v>
      </c>
      <c r="C223" s="4" t="s">
        <v>957</v>
      </c>
      <c r="D223" s="10" t="s">
        <v>300</v>
      </c>
      <c r="E223" s="29" t="s">
        <v>491</v>
      </c>
      <c r="F223" s="46" t="s">
        <v>3669</v>
      </c>
      <c r="G223" s="46">
        <v>9039676862</v>
      </c>
      <c r="H223" s="47" t="s">
        <v>3670</v>
      </c>
      <c r="I223" s="47" t="s">
        <v>3671</v>
      </c>
      <c r="J223" s="7" t="s">
        <v>942</v>
      </c>
      <c r="K223" s="7" t="s">
        <v>942</v>
      </c>
      <c r="L223" s="7" t="s">
        <v>975</v>
      </c>
      <c r="M223" s="7" t="s">
        <v>2927</v>
      </c>
      <c r="N223" s="51">
        <v>25815</v>
      </c>
      <c r="O223" s="7" t="s">
        <v>945</v>
      </c>
      <c r="P223" s="7" t="s">
        <v>946</v>
      </c>
      <c r="Q223" s="7" t="s">
        <v>1245</v>
      </c>
      <c r="R223" s="7" t="s">
        <v>3672</v>
      </c>
      <c r="S223" s="59">
        <v>86</v>
      </c>
      <c r="T223" s="7" t="s">
        <v>965</v>
      </c>
      <c r="U223" s="7"/>
      <c r="V223" s="7" t="s">
        <v>3673</v>
      </c>
      <c r="W223" s="47" t="s">
        <v>2637</v>
      </c>
      <c r="X223" s="7" t="s">
        <v>953</v>
      </c>
      <c r="Y223" s="47" t="s">
        <v>577</v>
      </c>
      <c r="Z223" s="47" t="s">
        <v>2638</v>
      </c>
      <c r="AA223" s="7" t="s">
        <v>3674</v>
      </c>
      <c r="AB223" s="7" t="s">
        <v>1086</v>
      </c>
      <c r="AC223" s="6" t="s">
        <v>406</v>
      </c>
      <c r="AD223" s="6" t="s">
        <v>406</v>
      </c>
      <c r="AE223" s="6" t="s">
        <v>406</v>
      </c>
      <c r="AF223" s="6" t="s">
        <v>398</v>
      </c>
      <c r="AG223" s="6" t="s">
        <v>406</v>
      </c>
      <c r="AH223" s="6">
        <v>41</v>
      </c>
      <c r="AI223" s="6">
        <v>41</v>
      </c>
      <c r="AJ223" s="59">
        <v>41</v>
      </c>
      <c r="AK223" s="59">
        <v>41</v>
      </c>
      <c r="AL223" s="6" t="s">
        <v>406</v>
      </c>
      <c r="AM223" s="6" t="s">
        <v>406</v>
      </c>
      <c r="AN223" s="6" t="s">
        <v>406</v>
      </c>
    </row>
    <row r="224" ht="15.75" customHeight="1" spans="1:40">
      <c r="A224" s="6" t="s">
        <v>2576</v>
      </c>
      <c r="B224" s="45" t="s">
        <v>552</v>
      </c>
      <c r="C224" s="4" t="s">
        <v>957</v>
      </c>
      <c r="D224" s="12" t="s">
        <v>3675</v>
      </c>
      <c r="E224" s="29" t="s">
        <v>971</v>
      </c>
      <c r="F224" s="46" t="s">
        <v>3676</v>
      </c>
      <c r="G224" s="46">
        <v>1068398534</v>
      </c>
      <c r="H224" s="47" t="s">
        <v>2652</v>
      </c>
      <c r="I224" s="47" t="s">
        <v>3677</v>
      </c>
      <c r="J224" s="7" t="s">
        <v>941</v>
      </c>
      <c r="K224" s="7" t="s">
        <v>942</v>
      </c>
      <c r="L224" s="7" t="s">
        <v>943</v>
      </c>
      <c r="M224" s="7" t="s">
        <v>3678</v>
      </c>
      <c r="N224" s="51">
        <v>26780</v>
      </c>
      <c r="O224" s="7" t="s">
        <v>945</v>
      </c>
      <c r="P224" s="7" t="s">
        <v>946</v>
      </c>
      <c r="Q224" s="7" t="s">
        <v>963</v>
      </c>
      <c r="R224" s="7"/>
      <c r="S224" s="59">
        <v>79</v>
      </c>
      <c r="T224" s="7" t="s">
        <v>1011</v>
      </c>
      <c r="U224" s="7"/>
      <c r="V224" s="7" t="s">
        <v>3679</v>
      </c>
      <c r="W224" s="7"/>
      <c r="X224" s="7" t="s">
        <v>953</v>
      </c>
      <c r="Y224" s="7" t="s">
        <v>552</v>
      </c>
      <c r="Z224" s="7" t="s">
        <v>2658</v>
      </c>
      <c r="AA224" s="7" t="s">
        <v>3680</v>
      </c>
      <c r="AB224" s="7" t="s">
        <v>1086</v>
      </c>
      <c r="AC224" s="7" t="s">
        <v>406</v>
      </c>
      <c r="AD224" s="7" t="s">
        <v>406</v>
      </c>
      <c r="AE224" s="6" t="s">
        <v>406</v>
      </c>
      <c r="AF224" s="6" t="s">
        <v>406</v>
      </c>
      <c r="AG224" s="6" t="s">
        <v>406</v>
      </c>
      <c r="AH224" s="6">
        <v>42</v>
      </c>
      <c r="AI224" s="6">
        <v>42</v>
      </c>
      <c r="AJ224" s="59">
        <v>42</v>
      </c>
      <c r="AK224" s="59">
        <v>42</v>
      </c>
      <c r="AL224" s="7" t="s">
        <v>406</v>
      </c>
      <c r="AM224" s="7" t="s">
        <v>406</v>
      </c>
      <c r="AN224" s="7" t="s">
        <v>406</v>
      </c>
    </row>
    <row r="225" ht="15.75" customHeight="1" spans="1:40">
      <c r="A225" s="6" t="s">
        <v>2576</v>
      </c>
      <c r="B225" s="45" t="s">
        <v>552</v>
      </c>
      <c r="C225" s="4" t="s">
        <v>957</v>
      </c>
      <c r="D225" s="12" t="s">
        <v>3681</v>
      </c>
      <c r="E225" s="29" t="s">
        <v>971</v>
      </c>
      <c r="F225" s="46" t="s">
        <v>3682</v>
      </c>
      <c r="G225" s="46">
        <v>6034392784</v>
      </c>
      <c r="H225" s="47" t="s">
        <v>3683</v>
      </c>
      <c r="I225" s="47" t="s">
        <v>3684</v>
      </c>
      <c r="J225" s="7" t="s">
        <v>942</v>
      </c>
      <c r="K225" s="7" t="s">
        <v>942</v>
      </c>
      <c r="L225" s="7" t="s">
        <v>1026</v>
      </c>
      <c r="M225" s="7" t="s">
        <v>3685</v>
      </c>
      <c r="N225" s="51">
        <v>23200</v>
      </c>
      <c r="O225" s="7" t="s">
        <v>945</v>
      </c>
      <c r="P225" s="7" t="s">
        <v>946</v>
      </c>
      <c r="Q225" s="7" t="s">
        <v>963</v>
      </c>
      <c r="R225" s="7" t="s">
        <v>3686</v>
      </c>
      <c r="S225" s="59">
        <v>84</v>
      </c>
      <c r="T225" s="7" t="s">
        <v>965</v>
      </c>
      <c r="U225" s="7"/>
      <c r="V225" s="7" t="s">
        <v>3687</v>
      </c>
      <c r="W225" s="7" t="s">
        <v>3688</v>
      </c>
      <c r="X225" s="7" t="s">
        <v>953</v>
      </c>
      <c r="Y225" s="7" t="s">
        <v>552</v>
      </c>
      <c r="Z225" s="7" t="s">
        <v>2658</v>
      </c>
      <c r="AA225" s="7" t="s">
        <v>3689</v>
      </c>
      <c r="AB225" s="7" t="s">
        <v>1086</v>
      </c>
      <c r="AC225" s="7" t="s">
        <v>396</v>
      </c>
      <c r="AD225" s="7" t="s">
        <v>396</v>
      </c>
      <c r="AE225" s="6" t="s">
        <v>396</v>
      </c>
      <c r="AF225" s="6" t="s">
        <v>396</v>
      </c>
      <c r="AG225" s="6" t="s">
        <v>396</v>
      </c>
      <c r="AH225" s="6">
        <v>42</v>
      </c>
      <c r="AI225" s="6">
        <v>42</v>
      </c>
      <c r="AJ225" s="59">
        <v>42</v>
      </c>
      <c r="AK225" s="59">
        <v>42</v>
      </c>
      <c r="AL225" s="7" t="s">
        <v>396</v>
      </c>
      <c r="AM225" s="7" t="s">
        <v>396</v>
      </c>
      <c r="AN225" s="7" t="s">
        <v>396</v>
      </c>
    </row>
    <row r="226" ht="15.75" customHeight="1" spans="1:40">
      <c r="A226" s="6" t="s">
        <v>2576</v>
      </c>
      <c r="B226" s="45" t="s">
        <v>548</v>
      </c>
      <c r="C226" s="4" t="s">
        <v>957</v>
      </c>
      <c r="D226" s="12" t="s">
        <v>3690</v>
      </c>
      <c r="E226" s="29" t="s">
        <v>971</v>
      </c>
      <c r="F226" s="46" t="s">
        <v>3691</v>
      </c>
      <c r="G226" s="46">
        <v>8696483901</v>
      </c>
      <c r="H226" s="47" t="s">
        <v>939</v>
      </c>
      <c r="I226" s="47" t="s">
        <v>3692</v>
      </c>
      <c r="J226" s="47" t="s">
        <v>941</v>
      </c>
      <c r="K226" s="47" t="s">
        <v>942</v>
      </c>
      <c r="L226" s="47" t="s">
        <v>943</v>
      </c>
      <c r="M226" s="47" t="s">
        <v>3693</v>
      </c>
      <c r="N226" s="68">
        <v>33987</v>
      </c>
      <c r="O226" s="47" t="s">
        <v>1028</v>
      </c>
      <c r="P226" s="47" t="s">
        <v>946</v>
      </c>
      <c r="Q226" s="47" t="s">
        <v>1245</v>
      </c>
      <c r="R226" s="47" t="s">
        <v>3694</v>
      </c>
      <c r="S226" s="61">
        <v>92</v>
      </c>
      <c r="T226" s="47" t="s">
        <v>1044</v>
      </c>
      <c r="U226" s="61">
        <v>54999220493</v>
      </c>
      <c r="V226" s="47" t="s">
        <v>3695</v>
      </c>
      <c r="W226" s="47" t="s">
        <v>2687</v>
      </c>
      <c r="X226" s="47" t="s">
        <v>2688</v>
      </c>
      <c r="Y226" s="47" t="s">
        <v>548</v>
      </c>
      <c r="Z226" s="47" t="s">
        <v>2689</v>
      </c>
      <c r="AA226" s="47" t="s">
        <v>3696</v>
      </c>
      <c r="AB226" s="47" t="s">
        <v>2640</v>
      </c>
      <c r="AC226" s="47" t="s">
        <v>406</v>
      </c>
      <c r="AD226" s="47" t="s">
        <v>406</v>
      </c>
      <c r="AE226" s="47" t="s">
        <v>406</v>
      </c>
      <c r="AF226" s="47" t="s">
        <v>406</v>
      </c>
      <c r="AG226" s="47" t="s">
        <v>406</v>
      </c>
      <c r="AH226" s="61">
        <v>38</v>
      </c>
      <c r="AI226" s="61">
        <v>38</v>
      </c>
      <c r="AJ226" s="61">
        <v>38</v>
      </c>
      <c r="AK226" s="61">
        <v>38</v>
      </c>
      <c r="AL226" s="47" t="s">
        <v>406</v>
      </c>
      <c r="AM226" s="47" t="s">
        <v>406</v>
      </c>
      <c r="AN226" s="47" t="s">
        <v>406</v>
      </c>
    </row>
    <row r="227" ht="15.75" customHeight="1" spans="1:40">
      <c r="A227" s="6" t="s">
        <v>2576</v>
      </c>
      <c r="B227" s="45" t="s">
        <v>577</v>
      </c>
      <c r="C227" s="4" t="s">
        <v>957</v>
      </c>
      <c r="D227" s="10" t="s">
        <v>3697</v>
      </c>
      <c r="E227" s="29" t="s">
        <v>491</v>
      </c>
      <c r="F227" s="46" t="s">
        <v>3698</v>
      </c>
      <c r="G227" s="46">
        <v>4072556923</v>
      </c>
      <c r="H227" s="47" t="s">
        <v>2043</v>
      </c>
      <c r="I227" s="47" t="s">
        <v>3699</v>
      </c>
      <c r="J227" s="7" t="s">
        <v>942</v>
      </c>
      <c r="K227" s="7" t="s">
        <v>942</v>
      </c>
      <c r="L227" s="7" t="s">
        <v>1102</v>
      </c>
      <c r="M227" s="7" t="s">
        <v>3700</v>
      </c>
      <c r="N227" s="51">
        <v>29859</v>
      </c>
      <c r="O227" s="7" t="s">
        <v>1028</v>
      </c>
      <c r="P227" s="7" t="s">
        <v>946</v>
      </c>
      <c r="Q227" s="7" t="s">
        <v>1245</v>
      </c>
      <c r="R227" s="7" t="s">
        <v>3701</v>
      </c>
      <c r="S227" s="59">
        <v>57</v>
      </c>
      <c r="T227" s="7" t="s">
        <v>1369</v>
      </c>
      <c r="U227" s="7"/>
      <c r="V227" s="7" t="s">
        <v>3702</v>
      </c>
      <c r="W227" s="47" t="s">
        <v>2637</v>
      </c>
      <c r="X227" s="7" t="s">
        <v>953</v>
      </c>
      <c r="Y227" s="47" t="s">
        <v>577</v>
      </c>
      <c r="Z227" s="47" t="s">
        <v>2638</v>
      </c>
      <c r="AA227" s="7" t="s">
        <v>3703</v>
      </c>
      <c r="AB227" s="7" t="s">
        <v>1086</v>
      </c>
      <c r="AC227" s="6" t="s">
        <v>395</v>
      </c>
      <c r="AD227" s="6" t="s">
        <v>396</v>
      </c>
      <c r="AE227" s="6" t="s">
        <v>396</v>
      </c>
      <c r="AF227" s="6" t="s">
        <v>396</v>
      </c>
      <c r="AG227" s="6" t="s">
        <v>395</v>
      </c>
      <c r="AH227" s="6">
        <v>34</v>
      </c>
      <c r="AI227" s="6">
        <v>34</v>
      </c>
      <c r="AJ227" s="59">
        <v>34</v>
      </c>
      <c r="AK227" s="59">
        <v>35</v>
      </c>
      <c r="AL227" s="6" t="s">
        <v>395</v>
      </c>
      <c r="AM227" s="6" t="s">
        <v>395</v>
      </c>
      <c r="AN227" s="6" t="s">
        <v>395</v>
      </c>
    </row>
    <row r="228" ht="15.75" customHeight="1" spans="1:40">
      <c r="A228" s="6" t="s">
        <v>2576</v>
      </c>
      <c r="B228" s="45" t="s">
        <v>548</v>
      </c>
      <c r="C228" s="4" t="s">
        <v>957</v>
      </c>
      <c r="D228" s="12" t="s">
        <v>3704</v>
      </c>
      <c r="E228" s="29" t="s">
        <v>971</v>
      </c>
      <c r="F228" s="46" t="s">
        <v>3705</v>
      </c>
      <c r="G228" s="46">
        <v>8070930642</v>
      </c>
      <c r="H228" s="47" t="s">
        <v>3706</v>
      </c>
      <c r="I228" s="47" t="s">
        <v>3707</v>
      </c>
      <c r="J228" s="47" t="s">
        <v>942</v>
      </c>
      <c r="K228" s="47" t="s">
        <v>942</v>
      </c>
      <c r="L228" s="47" t="s">
        <v>943</v>
      </c>
      <c r="M228" s="47" t="s">
        <v>3708</v>
      </c>
      <c r="N228" s="57">
        <v>29715</v>
      </c>
      <c r="O228" s="47" t="s">
        <v>1028</v>
      </c>
      <c r="P228" s="47" t="s">
        <v>946</v>
      </c>
      <c r="Q228" s="47" t="s">
        <v>1227</v>
      </c>
      <c r="R228" s="47" t="s">
        <v>3709</v>
      </c>
      <c r="S228" s="61">
        <v>78</v>
      </c>
      <c r="T228" s="47" t="s">
        <v>1369</v>
      </c>
      <c r="U228" s="47" t="s">
        <v>3710</v>
      </c>
      <c r="V228" s="47" t="s">
        <v>3711</v>
      </c>
      <c r="W228" s="61">
        <v>54996570132</v>
      </c>
      <c r="X228" s="47" t="s">
        <v>2688</v>
      </c>
      <c r="Y228" s="47" t="s">
        <v>548</v>
      </c>
      <c r="Z228" s="47" t="s">
        <v>2689</v>
      </c>
      <c r="AA228" s="47" t="s">
        <v>3712</v>
      </c>
      <c r="AB228" s="47" t="s">
        <v>1086</v>
      </c>
      <c r="AC228" s="47" t="s">
        <v>406</v>
      </c>
      <c r="AD228" s="47" t="s">
        <v>406</v>
      </c>
      <c r="AE228" s="47" t="s">
        <v>406</v>
      </c>
      <c r="AF228" s="47" t="s">
        <v>406</v>
      </c>
      <c r="AG228" s="47" t="s">
        <v>406</v>
      </c>
      <c r="AH228" s="61">
        <v>35</v>
      </c>
      <c r="AI228" s="61">
        <v>35</v>
      </c>
      <c r="AJ228" s="61">
        <v>35</v>
      </c>
      <c r="AK228" s="61">
        <v>35</v>
      </c>
      <c r="AL228" s="47" t="s">
        <v>406</v>
      </c>
      <c r="AM228" s="47" t="s">
        <v>406</v>
      </c>
      <c r="AN228" s="47" t="s">
        <v>406</v>
      </c>
    </row>
    <row r="229" ht="15.75" customHeight="1" spans="1:40">
      <c r="A229" s="6" t="s">
        <v>2576</v>
      </c>
      <c r="B229" s="45" t="s">
        <v>558</v>
      </c>
      <c r="C229" s="4" t="s">
        <v>957</v>
      </c>
      <c r="D229" s="10" t="s">
        <v>133</v>
      </c>
      <c r="E229" s="29" t="s">
        <v>971</v>
      </c>
      <c r="F229" s="46" t="s">
        <v>3713</v>
      </c>
      <c r="G229" s="46">
        <v>2077110266</v>
      </c>
      <c r="H229" s="47" t="s">
        <v>2742</v>
      </c>
      <c r="I229" s="47" t="s">
        <v>3486</v>
      </c>
      <c r="J229" s="7" t="s">
        <v>942</v>
      </c>
      <c r="K229" s="7" t="s">
        <v>942</v>
      </c>
      <c r="L229" s="7"/>
      <c r="M229" s="7"/>
      <c r="N229" s="15"/>
      <c r="O229" s="7" t="s">
        <v>1028</v>
      </c>
      <c r="P229" s="7" t="s">
        <v>946</v>
      </c>
      <c r="Q229" s="7" t="s">
        <v>1245</v>
      </c>
      <c r="R229" s="7"/>
      <c r="S229" s="7"/>
      <c r="T229" s="7"/>
      <c r="U229" s="7"/>
      <c r="V229" s="7"/>
      <c r="W229" s="7"/>
      <c r="X229" s="7" t="s">
        <v>953</v>
      </c>
      <c r="Y229" s="7" t="s">
        <v>558</v>
      </c>
      <c r="Z229" s="7" t="s">
        <v>2648</v>
      </c>
      <c r="AA229" s="7"/>
      <c r="AB229" s="7" t="s">
        <v>3625</v>
      </c>
      <c r="AC229" s="7"/>
      <c r="AD229" s="7"/>
      <c r="AE229" s="7"/>
      <c r="AF229" s="7"/>
      <c r="AG229" s="6" t="s">
        <v>406</v>
      </c>
      <c r="AH229" s="6">
        <v>35</v>
      </c>
      <c r="AI229" s="7"/>
      <c r="AJ229" s="7"/>
      <c r="AK229" s="7"/>
      <c r="AL229" s="7" t="s">
        <v>406</v>
      </c>
      <c r="AM229" s="7" t="s">
        <v>406</v>
      </c>
      <c r="AN229" s="7" t="s">
        <v>396</v>
      </c>
    </row>
    <row r="230" ht="15.75" customHeight="1" spans="1:40">
      <c r="A230" s="6" t="s">
        <v>2576</v>
      </c>
      <c r="B230" s="45" t="s">
        <v>558</v>
      </c>
      <c r="C230" s="4" t="s">
        <v>957</v>
      </c>
      <c r="D230" s="10" t="s">
        <v>3714</v>
      </c>
      <c r="E230" s="29" t="s">
        <v>491</v>
      </c>
      <c r="F230" s="46" t="s">
        <v>3715</v>
      </c>
      <c r="G230" s="46">
        <v>5054779144</v>
      </c>
      <c r="H230" s="47" t="s">
        <v>2705</v>
      </c>
      <c r="I230" s="47" t="s">
        <v>2865</v>
      </c>
      <c r="J230" s="7" t="s">
        <v>942</v>
      </c>
      <c r="K230" s="7" t="s">
        <v>942</v>
      </c>
      <c r="L230" s="7" t="s">
        <v>975</v>
      </c>
      <c r="M230" s="7" t="s">
        <v>3716</v>
      </c>
      <c r="N230" s="51">
        <v>27487</v>
      </c>
      <c r="O230" s="7" t="s">
        <v>945</v>
      </c>
      <c r="P230" s="7" t="s">
        <v>946</v>
      </c>
      <c r="Q230" s="7" t="s">
        <v>947</v>
      </c>
      <c r="R230" s="7" t="s">
        <v>3717</v>
      </c>
      <c r="S230" s="59">
        <v>80</v>
      </c>
      <c r="T230" s="7" t="s">
        <v>965</v>
      </c>
      <c r="U230" s="7"/>
      <c r="V230" s="7" t="s">
        <v>3718</v>
      </c>
      <c r="W230" s="7"/>
      <c r="X230" s="7" t="s">
        <v>953</v>
      </c>
      <c r="Y230" s="7" t="s">
        <v>558</v>
      </c>
      <c r="Z230" s="7" t="s">
        <v>2648</v>
      </c>
      <c r="AA230" s="7" t="s">
        <v>3719</v>
      </c>
      <c r="AB230" s="7" t="s">
        <v>2748</v>
      </c>
      <c r="AC230" s="7" t="s">
        <v>406</v>
      </c>
      <c r="AD230" s="7" t="s">
        <v>406</v>
      </c>
      <c r="AE230" s="6" t="s">
        <v>406</v>
      </c>
      <c r="AF230" s="6" t="s">
        <v>406</v>
      </c>
      <c r="AG230" s="6" t="s">
        <v>406</v>
      </c>
      <c r="AH230" s="6">
        <v>42</v>
      </c>
      <c r="AI230" s="6">
        <v>42</v>
      </c>
      <c r="AJ230" s="59">
        <v>42</v>
      </c>
      <c r="AK230" s="59">
        <v>42</v>
      </c>
      <c r="AL230" s="7" t="s">
        <v>396</v>
      </c>
      <c r="AM230" s="7" t="s">
        <v>396</v>
      </c>
      <c r="AN230" s="7" t="s">
        <v>406</v>
      </c>
    </row>
    <row r="231" ht="15.75" customHeight="1" spans="1:40">
      <c r="A231" s="6" t="s">
        <v>2576</v>
      </c>
      <c r="B231" s="45" t="s">
        <v>548</v>
      </c>
      <c r="C231" s="4" t="s">
        <v>957</v>
      </c>
      <c r="D231" s="12" t="s">
        <v>3720</v>
      </c>
      <c r="E231" s="29" t="s">
        <v>971</v>
      </c>
      <c r="F231" s="46" t="s">
        <v>3721</v>
      </c>
      <c r="G231" s="46">
        <v>3063300788</v>
      </c>
      <c r="H231" s="47" t="s">
        <v>939</v>
      </c>
      <c r="I231" s="47" t="s">
        <v>3722</v>
      </c>
      <c r="J231" s="47" t="s">
        <v>941</v>
      </c>
      <c r="K231" s="47" t="s">
        <v>942</v>
      </c>
      <c r="L231" s="47"/>
      <c r="M231" s="47" t="s">
        <v>3723</v>
      </c>
      <c r="N231" s="68">
        <v>27184</v>
      </c>
      <c r="O231" s="47" t="s">
        <v>945</v>
      </c>
      <c r="P231" s="47" t="s">
        <v>946</v>
      </c>
      <c r="Q231" s="47" t="s">
        <v>3724</v>
      </c>
      <c r="R231" s="47"/>
      <c r="S231" s="61">
        <v>80</v>
      </c>
      <c r="T231" s="47" t="s">
        <v>1044</v>
      </c>
      <c r="U231" s="47" t="s">
        <v>3725</v>
      </c>
      <c r="V231" s="47" t="s">
        <v>3725</v>
      </c>
      <c r="W231" s="47" t="s">
        <v>3725</v>
      </c>
      <c r="X231" s="47" t="s">
        <v>2688</v>
      </c>
      <c r="Y231" s="47" t="s">
        <v>548</v>
      </c>
      <c r="Z231" s="47" t="s">
        <v>2689</v>
      </c>
      <c r="AA231" s="47" t="s">
        <v>3726</v>
      </c>
      <c r="AB231" s="47" t="s">
        <v>2640</v>
      </c>
      <c r="AC231" s="47" t="s">
        <v>406</v>
      </c>
      <c r="AD231" s="47" t="s">
        <v>406</v>
      </c>
      <c r="AE231" s="47" t="s">
        <v>406</v>
      </c>
      <c r="AF231" s="47" t="s">
        <v>406</v>
      </c>
      <c r="AG231" s="47" t="s">
        <v>406</v>
      </c>
      <c r="AH231" s="61">
        <v>41</v>
      </c>
      <c r="AI231" s="61">
        <v>41</v>
      </c>
      <c r="AJ231" s="61">
        <v>41</v>
      </c>
      <c r="AK231" s="61">
        <v>41</v>
      </c>
      <c r="AL231" s="47" t="s">
        <v>406</v>
      </c>
      <c r="AM231" s="47" t="s">
        <v>406</v>
      </c>
      <c r="AN231" s="47" t="s">
        <v>406</v>
      </c>
    </row>
    <row r="232" ht="15.75" customHeight="1" spans="1:40">
      <c r="A232" s="6" t="s">
        <v>2576</v>
      </c>
      <c r="B232" s="45"/>
      <c r="C232" s="4"/>
      <c r="D232" s="12" t="s">
        <v>303</v>
      </c>
      <c r="E232" s="29" t="s">
        <v>491</v>
      </c>
      <c r="F232" s="46" t="s">
        <v>3727</v>
      </c>
      <c r="G232" s="46"/>
      <c r="H232" s="46"/>
      <c r="I232" s="47"/>
      <c r="J232" s="47"/>
      <c r="K232" s="47"/>
      <c r="L232" s="46"/>
      <c r="M232" s="46"/>
      <c r="N232" s="52"/>
      <c r="O232" s="46"/>
      <c r="P232" s="46"/>
      <c r="Q232" s="46"/>
      <c r="R232" s="60"/>
      <c r="S232" s="46"/>
      <c r="T232" s="46"/>
      <c r="U232" s="46"/>
      <c r="V232" s="47"/>
      <c r="W232" s="47"/>
      <c r="X232" s="46"/>
      <c r="Y232" s="46"/>
      <c r="Z232" s="46"/>
      <c r="AA232" s="46"/>
      <c r="AB232" s="46"/>
      <c r="AC232" s="46"/>
      <c r="AD232" s="46"/>
      <c r="AE232" s="46"/>
      <c r="AF232" s="46"/>
      <c r="AG232" s="46"/>
      <c r="AH232" s="46"/>
      <c r="AI232" s="46"/>
      <c r="AJ232" s="46"/>
      <c r="AK232" s="46"/>
      <c r="AL232" s="46"/>
      <c r="AM232" s="46"/>
      <c r="AN232" s="46"/>
    </row>
    <row r="233" ht="15.75" customHeight="1" spans="1:40">
      <c r="A233" s="6" t="s">
        <v>2576</v>
      </c>
      <c r="B233" s="45" t="s">
        <v>546</v>
      </c>
      <c r="C233" s="4" t="s">
        <v>957</v>
      </c>
      <c r="D233" s="12" t="s">
        <v>3728</v>
      </c>
      <c r="E233" s="29" t="s">
        <v>491</v>
      </c>
      <c r="F233" s="46"/>
      <c r="G233" s="47"/>
      <c r="H233" s="47"/>
      <c r="I233" s="47"/>
      <c r="J233" s="47"/>
      <c r="K233" s="47"/>
      <c r="L233" s="47"/>
      <c r="M233" s="47"/>
      <c r="N233" s="52">
        <v>31231</v>
      </c>
      <c r="O233" s="46" t="s">
        <v>945</v>
      </c>
      <c r="P233" s="47"/>
      <c r="Q233" s="47"/>
      <c r="R233" s="47"/>
      <c r="S233" s="47"/>
      <c r="T233" s="47"/>
      <c r="U233" s="47"/>
      <c r="V233" s="47"/>
      <c r="W233" s="47"/>
      <c r="X233" s="47"/>
      <c r="Y233" s="47"/>
      <c r="Z233" s="47"/>
      <c r="AA233" s="47"/>
      <c r="AB233" s="47"/>
      <c r="AC233" s="47"/>
      <c r="AD233" s="47"/>
      <c r="AE233" s="47"/>
      <c r="AF233" s="47"/>
      <c r="AG233" s="46" t="s">
        <v>398</v>
      </c>
      <c r="AH233" s="46">
        <v>43</v>
      </c>
      <c r="AI233" s="47"/>
      <c r="AJ233" s="47"/>
      <c r="AK233" s="47"/>
      <c r="AL233" s="46" t="s">
        <v>398</v>
      </c>
      <c r="AM233" s="46" t="s">
        <v>398</v>
      </c>
      <c r="AN233" s="46" t="s">
        <v>398</v>
      </c>
    </row>
    <row r="234" ht="15.75" customHeight="1" spans="1:40">
      <c r="A234" s="6" t="s">
        <v>2576</v>
      </c>
      <c r="B234" s="45" t="s">
        <v>548</v>
      </c>
      <c r="C234" s="4" t="s">
        <v>957</v>
      </c>
      <c r="D234" s="12" t="s">
        <v>3729</v>
      </c>
      <c r="E234" s="29" t="s">
        <v>971</v>
      </c>
      <c r="F234" s="46" t="s">
        <v>3730</v>
      </c>
      <c r="G234" s="46">
        <v>3113353308</v>
      </c>
      <c r="H234" s="47" t="s">
        <v>3029</v>
      </c>
      <c r="I234" s="47" t="s">
        <v>3731</v>
      </c>
      <c r="J234" s="47" t="s">
        <v>941</v>
      </c>
      <c r="K234" s="47" t="s">
        <v>942</v>
      </c>
      <c r="L234" s="47" t="s">
        <v>975</v>
      </c>
      <c r="M234" s="47" t="s">
        <v>3732</v>
      </c>
      <c r="N234" s="57">
        <v>35266</v>
      </c>
      <c r="O234" s="47" t="s">
        <v>945</v>
      </c>
      <c r="P234" s="47" t="s">
        <v>946</v>
      </c>
      <c r="Q234" s="47" t="s">
        <v>947</v>
      </c>
      <c r="R234" s="47" t="s">
        <v>3733</v>
      </c>
      <c r="S234" s="61">
        <v>98</v>
      </c>
      <c r="T234" s="47" t="s">
        <v>965</v>
      </c>
      <c r="U234" s="47" t="s">
        <v>3734</v>
      </c>
      <c r="V234" s="47" t="s">
        <v>3734</v>
      </c>
      <c r="W234" s="47" t="s">
        <v>3734</v>
      </c>
      <c r="X234" s="47" t="s">
        <v>2688</v>
      </c>
      <c r="Y234" s="47" t="s">
        <v>548</v>
      </c>
      <c r="Z234" s="47" t="s">
        <v>2689</v>
      </c>
      <c r="AA234" s="47" t="s">
        <v>3735</v>
      </c>
      <c r="AB234" s="47" t="s">
        <v>1086</v>
      </c>
      <c r="AC234" s="47" t="s">
        <v>398</v>
      </c>
      <c r="AD234" s="47" t="s">
        <v>398</v>
      </c>
      <c r="AE234" s="47" t="s">
        <v>399</v>
      </c>
      <c r="AF234" s="47" t="s">
        <v>399</v>
      </c>
      <c r="AG234" s="47" t="s">
        <v>398</v>
      </c>
      <c r="AH234" s="61">
        <v>40</v>
      </c>
      <c r="AI234" s="61">
        <v>40</v>
      </c>
      <c r="AJ234" s="61">
        <v>40</v>
      </c>
      <c r="AK234" s="61">
        <v>41</v>
      </c>
      <c r="AL234" s="47" t="s">
        <v>399</v>
      </c>
      <c r="AM234" s="47" t="s">
        <v>399</v>
      </c>
      <c r="AN234" s="47" t="s">
        <v>398</v>
      </c>
    </row>
    <row r="235" ht="15.75" customHeight="1" spans="1:40">
      <c r="A235" s="6" t="s">
        <v>2576</v>
      </c>
      <c r="B235" s="46" t="s">
        <v>3443</v>
      </c>
      <c r="C235" s="4" t="s">
        <v>655</v>
      </c>
      <c r="D235" s="10" t="s">
        <v>3736</v>
      </c>
      <c r="E235" s="29" t="s">
        <v>491</v>
      </c>
      <c r="F235" s="46" t="s">
        <v>3737</v>
      </c>
      <c r="G235" s="46">
        <v>1126786696</v>
      </c>
      <c r="H235" s="46" t="s">
        <v>2662</v>
      </c>
      <c r="I235" s="47"/>
      <c r="J235" s="7"/>
      <c r="K235" s="7"/>
      <c r="L235" s="7"/>
      <c r="M235" s="7"/>
      <c r="N235" s="56">
        <v>37558</v>
      </c>
      <c r="O235" s="6" t="s">
        <v>945</v>
      </c>
      <c r="P235" s="7"/>
      <c r="Q235" s="7"/>
      <c r="R235" s="7"/>
      <c r="S235" s="7"/>
      <c r="T235" s="7"/>
      <c r="U235" s="7"/>
      <c r="V235" s="7"/>
      <c r="W235" s="47"/>
      <c r="X235" s="47"/>
      <c r="Y235" s="46" t="s">
        <v>543</v>
      </c>
      <c r="Z235" s="47"/>
      <c r="AA235" s="7"/>
      <c r="AB235" s="7"/>
      <c r="AC235" s="7"/>
      <c r="AD235" s="7"/>
      <c r="AE235" s="7"/>
      <c r="AF235" s="7"/>
      <c r="AG235" s="6" t="s">
        <v>406</v>
      </c>
      <c r="AH235" s="6">
        <v>41</v>
      </c>
      <c r="AI235" s="7"/>
      <c r="AJ235" s="7"/>
      <c r="AK235" s="7"/>
      <c r="AL235" s="6" t="s">
        <v>406</v>
      </c>
      <c r="AM235" s="6" t="s">
        <v>406</v>
      </c>
      <c r="AN235" s="6" t="s">
        <v>406</v>
      </c>
    </row>
    <row r="236" ht="15.75" customHeight="1" spans="1:40">
      <c r="A236" s="46" t="s">
        <v>2576</v>
      </c>
      <c r="B236" s="46" t="s">
        <v>548</v>
      </c>
      <c r="C236" s="4" t="s">
        <v>957</v>
      </c>
      <c r="D236" s="12" t="s">
        <v>3738</v>
      </c>
      <c r="E236" s="29" t="s">
        <v>971</v>
      </c>
      <c r="F236" s="46"/>
      <c r="G236" s="47"/>
      <c r="H236" s="47"/>
      <c r="I236" s="47"/>
      <c r="J236" s="47"/>
      <c r="K236" s="47"/>
      <c r="L236" s="47"/>
      <c r="M236" s="47"/>
      <c r="N236" s="57">
        <v>35594</v>
      </c>
      <c r="O236" s="47" t="s">
        <v>1028</v>
      </c>
      <c r="P236" s="47"/>
      <c r="Q236" s="47"/>
      <c r="R236" s="47"/>
      <c r="S236" s="47"/>
      <c r="T236" s="47"/>
      <c r="U236" s="47"/>
      <c r="V236" s="47"/>
      <c r="W236" s="47"/>
      <c r="X236" s="47"/>
      <c r="Y236" s="47" t="s">
        <v>548</v>
      </c>
      <c r="Z236" s="47"/>
      <c r="AA236" s="47"/>
      <c r="AB236" s="47"/>
      <c r="AC236" s="47"/>
      <c r="AD236" s="47"/>
      <c r="AE236" s="47"/>
      <c r="AF236" s="47"/>
      <c r="AG236" s="47" t="s">
        <v>406</v>
      </c>
      <c r="AH236" s="61">
        <v>39</v>
      </c>
      <c r="AI236" s="47"/>
      <c r="AJ236" s="47"/>
      <c r="AK236" s="47"/>
      <c r="AL236" s="47" t="s">
        <v>396</v>
      </c>
      <c r="AM236" s="47" t="s">
        <v>396</v>
      </c>
      <c r="AN236" s="47" t="s">
        <v>396</v>
      </c>
    </row>
    <row r="237" ht="15.75" customHeight="1" spans="1:40">
      <c r="A237" s="6" t="s">
        <v>2576</v>
      </c>
      <c r="B237" s="46" t="s">
        <v>546</v>
      </c>
      <c r="C237" s="4" t="s">
        <v>957</v>
      </c>
      <c r="D237" s="12" t="s">
        <v>3739</v>
      </c>
      <c r="E237" s="29" t="s">
        <v>491</v>
      </c>
      <c r="F237" s="46"/>
      <c r="G237" s="47"/>
      <c r="H237" s="47"/>
      <c r="I237" s="47"/>
      <c r="J237" s="47"/>
      <c r="K237" s="47"/>
      <c r="L237" s="47"/>
      <c r="M237" s="47"/>
      <c r="N237" s="52">
        <v>34651</v>
      </c>
      <c r="O237" s="46" t="s">
        <v>1028</v>
      </c>
      <c r="P237" s="47"/>
      <c r="Q237" s="47"/>
      <c r="R237" s="47"/>
      <c r="S237" s="47"/>
      <c r="T237" s="47"/>
      <c r="U237" s="47"/>
      <c r="V237" s="47"/>
      <c r="W237" s="47"/>
      <c r="X237" s="47"/>
      <c r="Y237" s="47"/>
      <c r="Z237" s="47"/>
      <c r="AA237" s="47"/>
      <c r="AB237" s="47"/>
      <c r="AC237" s="47"/>
      <c r="AD237" s="47"/>
      <c r="AE237" s="47"/>
      <c r="AF237" s="47"/>
      <c r="AG237" s="46" t="s">
        <v>406</v>
      </c>
      <c r="AH237" s="46">
        <v>39</v>
      </c>
      <c r="AI237" s="47"/>
      <c r="AJ237" s="47"/>
      <c r="AK237" s="47"/>
      <c r="AL237" s="46" t="s">
        <v>406</v>
      </c>
      <c r="AM237" s="46" t="s">
        <v>406</v>
      </c>
      <c r="AN237" s="46" t="s">
        <v>406</v>
      </c>
    </row>
    <row r="238" ht="15.75" customHeight="1" spans="1:40">
      <c r="A238" s="6" t="s">
        <v>2576</v>
      </c>
      <c r="B238" s="46" t="s">
        <v>577</v>
      </c>
      <c r="C238" s="4" t="s">
        <v>957</v>
      </c>
      <c r="D238" s="10" t="s">
        <v>3740</v>
      </c>
      <c r="E238" s="29" t="s">
        <v>491</v>
      </c>
      <c r="F238" s="46" t="s">
        <v>3741</v>
      </c>
      <c r="G238" s="46">
        <v>1093544251</v>
      </c>
      <c r="H238" s="47" t="s">
        <v>2043</v>
      </c>
      <c r="I238" s="47" t="s">
        <v>3742</v>
      </c>
      <c r="J238" s="7" t="s">
        <v>942</v>
      </c>
      <c r="K238" s="7" t="s">
        <v>942</v>
      </c>
      <c r="L238" s="7" t="s">
        <v>943</v>
      </c>
      <c r="M238" s="7" t="s">
        <v>3743</v>
      </c>
      <c r="N238" s="51">
        <v>32573</v>
      </c>
      <c r="O238" s="7" t="s">
        <v>945</v>
      </c>
      <c r="P238" s="7" t="s">
        <v>946</v>
      </c>
      <c r="Q238" s="7" t="s">
        <v>1245</v>
      </c>
      <c r="R238" s="7" t="s">
        <v>3744</v>
      </c>
      <c r="S238" s="59">
        <v>115</v>
      </c>
      <c r="T238" s="7" t="s">
        <v>965</v>
      </c>
      <c r="U238" s="7"/>
      <c r="V238" s="7" t="s">
        <v>3745</v>
      </c>
      <c r="W238" s="47" t="s">
        <v>2637</v>
      </c>
      <c r="X238" s="7" t="s">
        <v>953</v>
      </c>
      <c r="Y238" s="47" t="s">
        <v>577</v>
      </c>
      <c r="Z238" s="47" t="s">
        <v>2638</v>
      </c>
      <c r="AA238" s="7" t="s">
        <v>3746</v>
      </c>
      <c r="AB238" s="7" t="s">
        <v>1086</v>
      </c>
      <c r="AC238" s="6" t="s">
        <v>398</v>
      </c>
      <c r="AD238" s="6" t="s">
        <v>398</v>
      </c>
      <c r="AE238" s="6" t="s">
        <v>398</v>
      </c>
      <c r="AF238" s="6" t="s">
        <v>399</v>
      </c>
      <c r="AG238" s="6" t="s">
        <v>398</v>
      </c>
      <c r="AH238" s="6">
        <v>41</v>
      </c>
      <c r="AI238" s="6">
        <v>41</v>
      </c>
      <c r="AJ238" s="59">
        <v>41</v>
      </c>
      <c r="AK238" s="59">
        <v>41</v>
      </c>
      <c r="AL238" s="6" t="s">
        <v>398</v>
      </c>
      <c r="AM238" s="6" t="s">
        <v>399</v>
      </c>
      <c r="AN238" s="6" t="s">
        <v>406</v>
      </c>
    </row>
    <row r="239" ht="15.75" customHeight="1" spans="1:40">
      <c r="A239" s="6" t="s">
        <v>2576</v>
      </c>
      <c r="B239" s="46" t="s">
        <v>551</v>
      </c>
      <c r="C239" s="4" t="s">
        <v>957</v>
      </c>
      <c r="D239" s="12" t="s">
        <v>3747</v>
      </c>
      <c r="E239" s="29" t="s">
        <v>971</v>
      </c>
      <c r="F239" s="46"/>
      <c r="G239" s="47"/>
      <c r="H239" s="47"/>
      <c r="I239" s="47"/>
      <c r="J239" s="7"/>
      <c r="K239" s="7"/>
      <c r="L239" s="7"/>
      <c r="M239" s="7"/>
      <c r="N239" s="51">
        <v>33651</v>
      </c>
      <c r="O239" s="7" t="s">
        <v>945</v>
      </c>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row>
    <row r="240" ht="15.75" customHeight="1" spans="1:40">
      <c r="A240" s="6" t="s">
        <v>2576</v>
      </c>
      <c r="B240" s="46" t="s">
        <v>520</v>
      </c>
      <c r="C240" s="4" t="s">
        <v>957</v>
      </c>
      <c r="D240" s="12" t="s">
        <v>3748</v>
      </c>
      <c r="E240" s="29" t="s">
        <v>971</v>
      </c>
      <c r="F240" s="46" t="s">
        <v>3749</v>
      </c>
      <c r="G240" s="46">
        <v>5101558855</v>
      </c>
      <c r="H240" s="47" t="s">
        <v>2611</v>
      </c>
      <c r="I240" s="4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row>
    <row r="241" ht="15.75" customHeight="1" spans="1:40">
      <c r="A241" s="6" t="s">
        <v>2576</v>
      </c>
      <c r="B241" s="46" t="s">
        <v>520</v>
      </c>
      <c r="C241" s="4" t="s">
        <v>957</v>
      </c>
      <c r="D241" s="12" t="s">
        <v>3750</v>
      </c>
      <c r="E241" s="29" t="s">
        <v>971</v>
      </c>
      <c r="F241" s="46" t="s">
        <v>3751</v>
      </c>
      <c r="G241" s="46">
        <v>8068393423</v>
      </c>
      <c r="H241" s="47" t="s">
        <v>3752</v>
      </c>
      <c r="I241" s="4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row>
    <row r="242" ht="15.75" customHeight="1" spans="1:40">
      <c r="A242" s="6" t="s">
        <v>2576</v>
      </c>
      <c r="B242" s="46" t="s">
        <v>3443</v>
      </c>
      <c r="C242" s="4" t="s">
        <v>655</v>
      </c>
      <c r="D242" s="10" t="s">
        <v>3753</v>
      </c>
      <c r="E242" s="29" t="s">
        <v>490</v>
      </c>
      <c r="F242" s="46" t="s">
        <v>3754</v>
      </c>
      <c r="G242" s="46">
        <v>4065856141</v>
      </c>
      <c r="H242" s="46" t="s">
        <v>2662</v>
      </c>
      <c r="I242" s="47"/>
      <c r="J242" s="7"/>
      <c r="K242" s="7"/>
      <c r="L242" s="7"/>
      <c r="M242" s="7"/>
      <c r="N242" s="54">
        <v>32035</v>
      </c>
      <c r="O242" s="6" t="s">
        <v>945</v>
      </c>
      <c r="P242" s="7"/>
      <c r="Q242" s="7"/>
      <c r="R242" s="7"/>
      <c r="S242" s="7"/>
      <c r="T242" s="7"/>
      <c r="U242" s="7"/>
      <c r="V242" s="7"/>
      <c r="W242" s="47"/>
      <c r="X242" s="47"/>
      <c r="Y242" s="46" t="s">
        <v>543</v>
      </c>
      <c r="Z242" s="47"/>
      <c r="AA242" s="7"/>
      <c r="AB242" s="7"/>
      <c r="AC242" s="7"/>
      <c r="AD242" s="7"/>
      <c r="AE242" s="7"/>
      <c r="AF242" s="7"/>
      <c r="AG242" s="6" t="s">
        <v>398</v>
      </c>
      <c r="AH242" s="6">
        <v>42</v>
      </c>
      <c r="AI242" s="7"/>
      <c r="AJ242" s="7"/>
      <c r="AK242" s="7"/>
      <c r="AL242" s="6" t="s">
        <v>406</v>
      </c>
      <c r="AM242" s="6" t="s">
        <v>406</v>
      </c>
      <c r="AN242" s="6" t="s">
        <v>406</v>
      </c>
    </row>
    <row r="243" ht="15.75" customHeight="1" spans="1:40">
      <c r="A243" s="6" t="s">
        <v>2576</v>
      </c>
      <c r="B243" s="46" t="s">
        <v>577</v>
      </c>
      <c r="C243" s="4" t="s">
        <v>957</v>
      </c>
      <c r="D243" s="10" t="s">
        <v>135</v>
      </c>
      <c r="E243" s="29" t="s">
        <v>971</v>
      </c>
      <c r="F243" s="46" t="s">
        <v>3755</v>
      </c>
      <c r="G243" s="46">
        <v>4068392424</v>
      </c>
      <c r="H243" s="47" t="s">
        <v>2043</v>
      </c>
      <c r="I243" s="47" t="s">
        <v>2633</v>
      </c>
      <c r="J243" s="7" t="s">
        <v>942</v>
      </c>
      <c r="K243" s="7" t="s">
        <v>942</v>
      </c>
      <c r="L243" s="7" t="s">
        <v>943</v>
      </c>
      <c r="M243" s="7" t="s">
        <v>3756</v>
      </c>
      <c r="N243" s="55">
        <v>29519</v>
      </c>
      <c r="O243" s="7" t="s">
        <v>1028</v>
      </c>
      <c r="P243" s="7" t="s">
        <v>946</v>
      </c>
      <c r="Q243" s="7" t="s">
        <v>947</v>
      </c>
      <c r="R243" s="7" t="s">
        <v>3757</v>
      </c>
      <c r="S243" s="59">
        <v>80</v>
      </c>
      <c r="T243" s="7" t="s">
        <v>1044</v>
      </c>
      <c r="U243" s="7"/>
      <c r="V243" s="7" t="s">
        <v>3758</v>
      </c>
      <c r="W243" s="47" t="s">
        <v>2637</v>
      </c>
      <c r="X243" s="7" t="s">
        <v>953</v>
      </c>
      <c r="Y243" s="47" t="s">
        <v>577</v>
      </c>
      <c r="Z243" s="47" t="s">
        <v>2638</v>
      </c>
      <c r="AA243" s="7" t="s">
        <v>3759</v>
      </c>
      <c r="AB243" s="7" t="s">
        <v>2886</v>
      </c>
      <c r="AC243" s="6" t="s">
        <v>399</v>
      </c>
      <c r="AD243" s="6" t="s">
        <v>399</v>
      </c>
      <c r="AE243" s="6" t="s">
        <v>398</v>
      </c>
      <c r="AF243" s="6" t="s">
        <v>399</v>
      </c>
      <c r="AG243" s="6" t="s">
        <v>399</v>
      </c>
      <c r="AH243" s="6">
        <v>40</v>
      </c>
      <c r="AI243" s="6">
        <v>40</v>
      </c>
      <c r="AJ243" s="59">
        <v>40</v>
      </c>
      <c r="AK243" s="59">
        <v>40</v>
      </c>
      <c r="AL243" s="6" t="s">
        <v>399</v>
      </c>
      <c r="AM243" s="6" t="s">
        <v>399</v>
      </c>
      <c r="AN243" s="6" t="s">
        <v>406</v>
      </c>
    </row>
    <row r="244" ht="15.75" customHeight="1" spans="1:40">
      <c r="A244" s="6" t="s">
        <v>2576</v>
      </c>
      <c r="B244" s="46" t="s">
        <v>556</v>
      </c>
      <c r="C244" s="4" t="s">
        <v>957</v>
      </c>
      <c r="D244" s="12" t="s">
        <v>3760</v>
      </c>
      <c r="E244" s="29" t="s">
        <v>971</v>
      </c>
      <c r="F244" s="46" t="s">
        <v>3761</v>
      </c>
      <c r="G244" s="47"/>
      <c r="H244" s="47"/>
      <c r="I244" s="47"/>
      <c r="J244" s="7"/>
      <c r="K244" s="7"/>
      <c r="L244" s="7"/>
      <c r="M244" s="7"/>
      <c r="N244" s="15"/>
      <c r="O244" s="7"/>
      <c r="P244" s="7"/>
      <c r="Q244" s="7"/>
      <c r="R244" s="7" t="s">
        <v>3762</v>
      </c>
      <c r="S244" s="7"/>
      <c r="T244" s="7"/>
      <c r="U244" s="7"/>
      <c r="V244" s="7"/>
      <c r="W244" s="7"/>
      <c r="X244" s="7"/>
      <c r="Y244" s="7"/>
      <c r="Z244" s="7"/>
      <c r="AA244" s="7"/>
      <c r="AB244" s="7"/>
      <c r="AC244" s="7"/>
      <c r="AD244" s="7"/>
      <c r="AE244" s="7"/>
      <c r="AF244" s="7"/>
      <c r="AG244" s="6" t="s">
        <v>399</v>
      </c>
      <c r="AH244" s="6">
        <v>42</v>
      </c>
      <c r="AI244" s="7"/>
      <c r="AJ244" s="7"/>
      <c r="AK244" s="7"/>
      <c r="AL244" s="7" t="s">
        <v>399</v>
      </c>
      <c r="AM244" s="7" t="s">
        <v>399</v>
      </c>
      <c r="AN244" s="7" t="s">
        <v>399</v>
      </c>
    </row>
    <row r="245" ht="15.75" customHeight="1" spans="1:40">
      <c r="A245" s="6" t="s">
        <v>2576</v>
      </c>
      <c r="B245" s="46" t="s">
        <v>2751</v>
      </c>
      <c r="C245" s="4" t="s">
        <v>655</v>
      </c>
      <c r="D245" s="10" t="s">
        <v>3763</v>
      </c>
      <c r="E245" s="29" t="s">
        <v>490</v>
      </c>
      <c r="F245" s="46" t="s">
        <v>3764</v>
      </c>
      <c r="G245" s="46">
        <v>6065077106</v>
      </c>
      <c r="H245" s="46" t="s">
        <v>2662</v>
      </c>
      <c r="I245" s="47"/>
      <c r="J245" s="7"/>
      <c r="K245" s="7"/>
      <c r="L245" s="7"/>
      <c r="M245" s="7"/>
      <c r="N245" s="56">
        <v>28344</v>
      </c>
      <c r="O245" s="6" t="s">
        <v>945</v>
      </c>
      <c r="P245" s="7"/>
      <c r="Q245" s="7"/>
      <c r="R245" s="7"/>
      <c r="S245" s="7"/>
      <c r="T245" s="7"/>
      <c r="U245" s="7"/>
      <c r="V245" s="7"/>
      <c r="W245" s="47"/>
      <c r="X245" s="47"/>
      <c r="Y245" s="46" t="s">
        <v>525</v>
      </c>
      <c r="Z245" s="47"/>
      <c r="AA245" s="7"/>
      <c r="AB245" s="7"/>
      <c r="AC245" s="7"/>
      <c r="AD245" s="7"/>
      <c r="AE245" s="7"/>
      <c r="AF245" s="7"/>
      <c r="AG245" s="6" t="s">
        <v>406</v>
      </c>
      <c r="AH245" s="6">
        <v>39</v>
      </c>
      <c r="AI245" s="7"/>
      <c r="AJ245" s="7"/>
      <c r="AK245" s="7"/>
      <c r="AL245" s="6" t="s">
        <v>396</v>
      </c>
      <c r="AM245" s="6" t="s">
        <v>396</v>
      </c>
      <c r="AN245" s="6" t="s">
        <v>396</v>
      </c>
    </row>
    <row r="246" ht="15.75" customHeight="1" spans="1:40">
      <c r="A246" s="6" t="s">
        <v>2576</v>
      </c>
      <c r="B246" s="46" t="s">
        <v>558</v>
      </c>
      <c r="C246" s="4" t="s">
        <v>957</v>
      </c>
      <c r="D246" s="10" t="s">
        <v>137</v>
      </c>
      <c r="E246" s="29" t="s">
        <v>971</v>
      </c>
      <c r="F246" s="46" t="s">
        <v>3765</v>
      </c>
      <c r="G246" s="46">
        <v>5084165314</v>
      </c>
      <c r="H246" s="47" t="s">
        <v>2742</v>
      </c>
      <c r="I246" s="47" t="s">
        <v>3493</v>
      </c>
      <c r="J246" s="7" t="s">
        <v>942</v>
      </c>
      <c r="K246" s="7" t="s">
        <v>942</v>
      </c>
      <c r="L246" s="7" t="s">
        <v>943</v>
      </c>
      <c r="M246" s="7" t="s">
        <v>3766</v>
      </c>
      <c r="N246" s="51">
        <v>30825</v>
      </c>
      <c r="O246" s="7" t="s">
        <v>1028</v>
      </c>
      <c r="P246" s="7" t="s">
        <v>946</v>
      </c>
      <c r="Q246" s="7" t="s">
        <v>963</v>
      </c>
      <c r="R246" s="7" t="s">
        <v>3767</v>
      </c>
      <c r="S246" s="7"/>
      <c r="T246" s="7" t="s">
        <v>1369</v>
      </c>
      <c r="U246" s="7"/>
      <c r="V246" s="7" t="s">
        <v>3768</v>
      </c>
      <c r="W246" s="7"/>
      <c r="X246" s="7" t="s">
        <v>953</v>
      </c>
      <c r="Y246" s="7" t="s">
        <v>558</v>
      </c>
      <c r="Z246" s="7" t="s">
        <v>2648</v>
      </c>
      <c r="AA246" s="7" t="s">
        <v>3769</v>
      </c>
      <c r="AB246" s="7" t="s">
        <v>3770</v>
      </c>
      <c r="AC246" s="7" t="s">
        <v>406</v>
      </c>
      <c r="AD246" s="7" t="s">
        <v>406</v>
      </c>
      <c r="AE246" s="6" t="s">
        <v>406</v>
      </c>
      <c r="AF246" s="6" t="s">
        <v>406</v>
      </c>
      <c r="AG246" s="6" t="s">
        <v>406</v>
      </c>
      <c r="AH246" s="6">
        <v>37</v>
      </c>
      <c r="AI246" s="6">
        <v>37</v>
      </c>
      <c r="AJ246" s="59">
        <v>37</v>
      </c>
      <c r="AK246" s="59">
        <v>37</v>
      </c>
      <c r="AL246" s="7" t="s">
        <v>396</v>
      </c>
      <c r="AM246" s="7" t="s">
        <v>396</v>
      </c>
      <c r="AN246" s="7" t="s">
        <v>396</v>
      </c>
    </row>
    <row r="247" ht="15.75" customHeight="1" spans="1:40">
      <c r="A247" s="6" t="s">
        <v>2576</v>
      </c>
      <c r="B247" s="46" t="s">
        <v>2660</v>
      </c>
      <c r="C247" s="4" t="s">
        <v>655</v>
      </c>
      <c r="D247" s="10" t="s">
        <v>124</v>
      </c>
      <c r="E247" s="29" t="s">
        <v>971</v>
      </c>
      <c r="F247" s="46">
        <v>82644489091</v>
      </c>
      <c r="G247" s="46">
        <v>2081195105</v>
      </c>
      <c r="H247" s="46" t="s">
        <v>2662</v>
      </c>
      <c r="I247" s="47"/>
      <c r="J247" s="7"/>
      <c r="K247" s="7"/>
      <c r="L247" s="7"/>
      <c r="M247" s="7"/>
      <c r="N247" s="56">
        <v>30043</v>
      </c>
      <c r="O247" s="6" t="s">
        <v>1028</v>
      </c>
      <c r="P247" s="7"/>
      <c r="Q247" s="7"/>
      <c r="R247" s="7"/>
      <c r="S247" s="7"/>
      <c r="T247" s="7"/>
      <c r="U247" s="7"/>
      <c r="V247" s="7"/>
      <c r="W247" s="47"/>
      <c r="X247" s="47"/>
      <c r="Y247" s="46" t="s">
        <v>535</v>
      </c>
      <c r="Z247" s="47"/>
      <c r="AA247" s="7"/>
      <c r="AB247" s="7"/>
      <c r="AC247" s="7"/>
      <c r="AD247" s="7"/>
      <c r="AE247" s="7"/>
      <c r="AF247" s="7"/>
      <c r="AG247" s="6" t="s">
        <v>395</v>
      </c>
      <c r="AH247" s="6">
        <v>38</v>
      </c>
      <c r="AI247" s="7"/>
      <c r="AJ247" s="7"/>
      <c r="AK247" s="7"/>
      <c r="AL247" s="6" t="s">
        <v>395</v>
      </c>
      <c r="AM247" s="6" t="s">
        <v>395</v>
      </c>
      <c r="AN247" s="6" t="s">
        <v>395</v>
      </c>
    </row>
    <row r="248" ht="15.75" customHeight="1" spans="1:40">
      <c r="A248" s="6" t="s">
        <v>2576</v>
      </c>
      <c r="B248" s="46" t="s">
        <v>546</v>
      </c>
      <c r="C248" s="4" t="s">
        <v>957</v>
      </c>
      <c r="D248" s="12" t="s">
        <v>3771</v>
      </c>
      <c r="E248" s="29" t="s">
        <v>971</v>
      </c>
      <c r="F248" s="46"/>
      <c r="G248" s="47"/>
      <c r="H248" s="47"/>
      <c r="I248" s="47"/>
      <c r="J248" s="47"/>
      <c r="K248" s="47"/>
      <c r="L248" s="47"/>
      <c r="M248" s="47"/>
      <c r="N248" s="52">
        <v>32305</v>
      </c>
      <c r="O248" s="46" t="s">
        <v>1028</v>
      </c>
      <c r="P248" s="47"/>
      <c r="Q248" s="47"/>
      <c r="R248" s="47"/>
      <c r="S248" s="47"/>
      <c r="T248" s="47"/>
      <c r="U248" s="47"/>
      <c r="V248" s="47"/>
      <c r="W248" s="47"/>
      <c r="X248" s="47"/>
      <c r="Y248" s="47"/>
      <c r="Z248" s="47"/>
      <c r="AA248" s="47"/>
      <c r="AB248" s="47"/>
      <c r="AC248" s="47"/>
      <c r="AD248" s="47"/>
      <c r="AE248" s="47"/>
      <c r="AF248" s="47"/>
      <c r="AG248" s="46" t="s">
        <v>406</v>
      </c>
      <c r="AH248" s="46">
        <v>39</v>
      </c>
      <c r="AI248" s="47"/>
      <c r="AJ248" s="47"/>
      <c r="AK248" s="47"/>
      <c r="AL248" s="46" t="s">
        <v>406</v>
      </c>
      <c r="AM248" s="46" t="s">
        <v>406</v>
      </c>
      <c r="AN248" s="46" t="s">
        <v>406</v>
      </c>
    </row>
    <row r="249" ht="15.75" customHeight="1" spans="1:40">
      <c r="A249" s="6" t="s">
        <v>2576</v>
      </c>
      <c r="B249" s="46" t="s">
        <v>552</v>
      </c>
      <c r="C249" s="4" t="s">
        <v>957</v>
      </c>
      <c r="D249" s="12" t="s">
        <v>3772</v>
      </c>
      <c r="E249" s="29" t="s">
        <v>971</v>
      </c>
      <c r="F249" s="46" t="s">
        <v>3773</v>
      </c>
      <c r="G249" s="46">
        <v>9106861521</v>
      </c>
      <c r="H249" s="47" t="s">
        <v>2652</v>
      </c>
      <c r="I249" s="47"/>
      <c r="J249" s="7" t="s">
        <v>942</v>
      </c>
      <c r="K249" s="7" t="s">
        <v>942</v>
      </c>
      <c r="L249" s="7" t="s">
        <v>975</v>
      </c>
      <c r="M249" s="7" t="s">
        <v>3774</v>
      </c>
      <c r="N249" s="55">
        <v>30235</v>
      </c>
      <c r="O249" s="7" t="s">
        <v>1028</v>
      </c>
      <c r="P249" s="7" t="s">
        <v>1257</v>
      </c>
      <c r="Q249" s="7" t="s">
        <v>963</v>
      </c>
      <c r="R249" s="7"/>
      <c r="S249" s="59">
        <v>55</v>
      </c>
      <c r="T249" s="7" t="s">
        <v>1369</v>
      </c>
      <c r="U249" s="7"/>
      <c r="V249" s="7" t="s">
        <v>3775</v>
      </c>
      <c r="W249" s="7"/>
      <c r="X249" s="7" t="s">
        <v>953</v>
      </c>
      <c r="Y249" s="7" t="s">
        <v>552</v>
      </c>
      <c r="Z249" s="7" t="s">
        <v>2658</v>
      </c>
      <c r="AA249" s="7" t="s">
        <v>3776</v>
      </c>
      <c r="AB249" s="7" t="s">
        <v>1086</v>
      </c>
      <c r="AC249" s="7" t="s">
        <v>396</v>
      </c>
      <c r="AD249" s="7" t="s">
        <v>396</v>
      </c>
      <c r="AE249" s="6" t="s">
        <v>396</v>
      </c>
      <c r="AF249" s="6" t="s">
        <v>396</v>
      </c>
      <c r="AG249" s="6" t="s">
        <v>396</v>
      </c>
      <c r="AH249" s="6">
        <v>37</v>
      </c>
      <c r="AI249" s="6">
        <v>37</v>
      </c>
      <c r="AJ249" s="59">
        <v>37</v>
      </c>
      <c r="AK249" s="59">
        <v>37</v>
      </c>
      <c r="AL249" s="7" t="s">
        <v>396</v>
      </c>
      <c r="AM249" s="7" t="s">
        <v>396</v>
      </c>
      <c r="AN249" s="7" t="s">
        <v>396</v>
      </c>
    </row>
    <row r="250" ht="15.75" customHeight="1" spans="1:40">
      <c r="A250" s="6" t="s">
        <v>2576</v>
      </c>
      <c r="B250" s="46" t="s">
        <v>2751</v>
      </c>
      <c r="C250" s="4" t="s">
        <v>655</v>
      </c>
      <c r="D250" s="10" t="s">
        <v>3777</v>
      </c>
      <c r="E250" s="29" t="s">
        <v>971</v>
      </c>
      <c r="F250" s="46" t="s">
        <v>3778</v>
      </c>
      <c r="G250" s="46">
        <v>8054954221</v>
      </c>
      <c r="H250" s="46" t="s">
        <v>2662</v>
      </c>
      <c r="I250" s="47"/>
      <c r="J250" s="7"/>
      <c r="K250" s="7"/>
      <c r="L250" s="7"/>
      <c r="M250" s="7"/>
      <c r="N250" s="56">
        <v>27953</v>
      </c>
      <c r="O250" s="6" t="s">
        <v>945</v>
      </c>
      <c r="P250" s="7"/>
      <c r="Q250" s="7"/>
      <c r="R250" s="7"/>
      <c r="S250" s="7"/>
      <c r="T250" s="7"/>
      <c r="U250" s="7"/>
      <c r="V250" s="7"/>
      <c r="W250" s="47"/>
      <c r="X250" s="47"/>
      <c r="Y250" s="46" t="s">
        <v>525</v>
      </c>
      <c r="Z250" s="47"/>
      <c r="AA250" s="7"/>
      <c r="AB250" s="7"/>
      <c r="AC250" s="7"/>
      <c r="AD250" s="7"/>
      <c r="AE250" s="7"/>
      <c r="AF250" s="7"/>
      <c r="AG250" s="6" t="s">
        <v>398</v>
      </c>
      <c r="AH250" s="6">
        <v>41</v>
      </c>
      <c r="AI250" s="7"/>
      <c r="AJ250" s="7"/>
      <c r="AK250" s="7"/>
      <c r="AL250" s="6" t="s">
        <v>398</v>
      </c>
      <c r="AM250" s="6" t="s">
        <v>398</v>
      </c>
      <c r="AN250" s="6" t="s">
        <v>398</v>
      </c>
    </row>
    <row r="251" ht="15.75" customHeight="1" spans="1:40">
      <c r="A251" s="39"/>
      <c r="B251" s="39"/>
      <c r="C251" s="4"/>
      <c r="D251" s="35" t="s">
        <v>3777</v>
      </c>
      <c r="E251" s="39" t="s">
        <v>490</v>
      </c>
      <c r="F251" s="39" t="s">
        <v>3779</v>
      </c>
      <c r="G251" s="39"/>
      <c r="H251" s="39"/>
      <c r="I251" s="39"/>
      <c r="J251" s="6"/>
      <c r="K251" s="6"/>
      <c r="L251" s="6"/>
      <c r="M251" s="6"/>
      <c r="N251" s="6"/>
      <c r="O251" s="6"/>
      <c r="P251" s="6"/>
      <c r="Q251" s="6"/>
      <c r="R251" s="6"/>
      <c r="S251" s="6"/>
      <c r="T251" s="6"/>
      <c r="U251" s="6"/>
      <c r="V251" s="6"/>
      <c r="W251" s="39"/>
      <c r="X251" s="39"/>
      <c r="Y251" s="39"/>
      <c r="Z251" s="39"/>
      <c r="AA251" s="6"/>
      <c r="AB251" s="6"/>
      <c r="AC251" s="6"/>
      <c r="AD251" s="6"/>
      <c r="AE251" s="6"/>
      <c r="AF251" s="6"/>
      <c r="AG251" s="6"/>
      <c r="AH251" s="6"/>
      <c r="AI251" s="6"/>
      <c r="AJ251" s="6"/>
      <c r="AK251" s="6"/>
      <c r="AL251" s="6"/>
      <c r="AM251" s="6"/>
      <c r="AN251" s="6"/>
    </row>
    <row r="252" ht="15.75" customHeight="1" spans="1:40">
      <c r="A252" s="6" t="s">
        <v>2576</v>
      </c>
      <c r="B252" s="46" t="s">
        <v>542</v>
      </c>
      <c r="C252" s="4" t="s">
        <v>957</v>
      </c>
      <c r="D252" s="12" t="s">
        <v>3780</v>
      </c>
      <c r="E252" s="29" t="s">
        <v>971</v>
      </c>
      <c r="F252" s="46" t="s">
        <v>3781</v>
      </c>
      <c r="G252" s="46">
        <v>6077498134</v>
      </c>
      <c r="H252" s="46" t="s">
        <v>2611</v>
      </c>
      <c r="I252" s="47"/>
      <c r="J252" s="47"/>
      <c r="K252" s="47"/>
      <c r="L252" s="47"/>
      <c r="M252" s="46" t="s">
        <v>3782</v>
      </c>
      <c r="N252" s="52">
        <v>29224</v>
      </c>
      <c r="O252" s="46" t="s">
        <v>396</v>
      </c>
      <c r="P252" s="46" t="s">
        <v>2927</v>
      </c>
      <c r="Q252" s="46" t="s">
        <v>2968</v>
      </c>
      <c r="R252" s="46" t="s">
        <v>2615</v>
      </c>
      <c r="S252" s="46">
        <v>80</v>
      </c>
      <c r="T252" s="46">
        <v>1.75</v>
      </c>
      <c r="U252" s="46" t="s">
        <v>3783</v>
      </c>
      <c r="V252" s="47"/>
      <c r="W252" s="47"/>
      <c r="X252" s="46" t="s">
        <v>953</v>
      </c>
      <c r="Y252" s="46" t="s">
        <v>542</v>
      </c>
      <c r="Z252" s="46" t="s">
        <v>2617</v>
      </c>
      <c r="AA252" s="46" t="s">
        <v>3784</v>
      </c>
      <c r="AB252" s="46" t="s">
        <v>3318</v>
      </c>
      <c r="AC252" s="47"/>
      <c r="AD252" s="46" t="s">
        <v>406</v>
      </c>
      <c r="AE252" s="46" t="s">
        <v>406</v>
      </c>
      <c r="AF252" s="46" t="s">
        <v>406</v>
      </c>
      <c r="AG252" s="46" t="s">
        <v>406</v>
      </c>
      <c r="AH252" s="46">
        <v>41</v>
      </c>
      <c r="AI252" s="46">
        <v>41</v>
      </c>
      <c r="AJ252" s="46">
        <v>41</v>
      </c>
      <c r="AK252" s="46">
        <v>41</v>
      </c>
      <c r="AL252" s="46" t="s">
        <v>406</v>
      </c>
      <c r="AM252" s="46" t="s">
        <v>406</v>
      </c>
      <c r="AN252" s="46" t="s">
        <v>406</v>
      </c>
    </row>
    <row r="253" ht="15.75" customHeight="1" spans="1:40">
      <c r="A253" s="6" t="s">
        <v>2576</v>
      </c>
      <c r="B253" s="46" t="s">
        <v>548</v>
      </c>
      <c r="C253" s="4" t="s">
        <v>957</v>
      </c>
      <c r="D253" s="12" t="s">
        <v>139</v>
      </c>
      <c r="E253" s="29" t="s">
        <v>491</v>
      </c>
      <c r="F253" s="46" t="s">
        <v>3785</v>
      </c>
      <c r="G253" s="46">
        <v>410492954</v>
      </c>
      <c r="H253" s="47" t="s">
        <v>3786</v>
      </c>
      <c r="I253" s="47" t="s">
        <v>3787</v>
      </c>
      <c r="J253" s="47" t="s">
        <v>942</v>
      </c>
      <c r="K253" s="47" t="s">
        <v>942</v>
      </c>
      <c r="L253" s="47" t="s">
        <v>975</v>
      </c>
      <c r="M253" s="47" t="s">
        <v>3788</v>
      </c>
      <c r="N253" s="57">
        <v>31739</v>
      </c>
      <c r="O253" s="47" t="s">
        <v>945</v>
      </c>
      <c r="P253" s="47" t="s">
        <v>1257</v>
      </c>
      <c r="Q253" s="47" t="s">
        <v>1245</v>
      </c>
      <c r="R253" s="47" t="s">
        <v>3789</v>
      </c>
      <c r="S253" s="61">
        <v>85</v>
      </c>
      <c r="T253" s="47" t="s">
        <v>3790</v>
      </c>
      <c r="U253" s="47" t="s">
        <v>3791</v>
      </c>
      <c r="V253" s="47" t="s">
        <v>3792</v>
      </c>
      <c r="W253" s="47" t="s">
        <v>3793</v>
      </c>
      <c r="X253" s="47" t="s">
        <v>2688</v>
      </c>
      <c r="Y253" s="47" t="s">
        <v>548</v>
      </c>
      <c r="Z253" s="47" t="s">
        <v>2689</v>
      </c>
      <c r="AA253" s="47" t="s">
        <v>3794</v>
      </c>
      <c r="AB253" s="47" t="s">
        <v>1086</v>
      </c>
      <c r="AC253" s="47" t="s">
        <v>396</v>
      </c>
      <c r="AD253" s="47" t="s">
        <v>396</v>
      </c>
      <c r="AE253" s="47" t="s">
        <v>396</v>
      </c>
      <c r="AF253" s="47" t="s">
        <v>396</v>
      </c>
      <c r="AG253" s="47" t="s">
        <v>406</v>
      </c>
      <c r="AH253" s="61">
        <v>40</v>
      </c>
      <c r="AI253" s="61">
        <v>40</v>
      </c>
      <c r="AJ253" s="61">
        <v>40</v>
      </c>
      <c r="AK253" s="61">
        <v>40</v>
      </c>
      <c r="AL253" s="47" t="s">
        <v>396</v>
      </c>
      <c r="AM253" s="47" t="s">
        <v>396</v>
      </c>
      <c r="AN253" s="47" t="s">
        <v>396</v>
      </c>
    </row>
    <row r="254" ht="15.75" customHeight="1" spans="1:40">
      <c r="A254" s="6" t="s">
        <v>2576</v>
      </c>
      <c r="B254" s="46" t="s">
        <v>552</v>
      </c>
      <c r="C254" s="4" t="s">
        <v>957</v>
      </c>
      <c r="D254" s="12" t="s">
        <v>3795</v>
      </c>
      <c r="E254" s="29" t="s">
        <v>971</v>
      </c>
      <c r="F254" s="46" t="s">
        <v>3796</v>
      </c>
      <c r="G254" s="46">
        <v>1045464888</v>
      </c>
      <c r="H254" s="47" t="s">
        <v>2652</v>
      </c>
      <c r="I254" s="47" t="s">
        <v>3241</v>
      </c>
      <c r="J254" s="7" t="s">
        <v>942</v>
      </c>
      <c r="K254" s="7" t="s">
        <v>942</v>
      </c>
      <c r="L254" s="7" t="s">
        <v>1080</v>
      </c>
      <c r="M254" s="7" t="s">
        <v>3797</v>
      </c>
      <c r="N254" s="51">
        <v>25603</v>
      </c>
      <c r="O254" s="7" t="s">
        <v>1028</v>
      </c>
      <c r="P254" s="7" t="s">
        <v>946</v>
      </c>
      <c r="Q254" s="7" t="s">
        <v>963</v>
      </c>
      <c r="R254" s="7"/>
      <c r="S254" s="59">
        <v>64</v>
      </c>
      <c r="T254" s="7" t="s">
        <v>1208</v>
      </c>
      <c r="U254" s="7"/>
      <c r="V254" s="7" t="s">
        <v>3688</v>
      </c>
      <c r="W254" s="7" t="s">
        <v>3798</v>
      </c>
      <c r="X254" s="7" t="s">
        <v>953</v>
      </c>
      <c r="Y254" s="7" t="s">
        <v>552</v>
      </c>
      <c r="Z254" s="7" t="s">
        <v>2658</v>
      </c>
      <c r="AA254" s="7" t="s">
        <v>3689</v>
      </c>
      <c r="AB254" s="7" t="s">
        <v>1086</v>
      </c>
      <c r="AC254" s="7" t="s">
        <v>395</v>
      </c>
      <c r="AD254" s="7" t="s">
        <v>395</v>
      </c>
      <c r="AE254" s="6" t="s">
        <v>395</v>
      </c>
      <c r="AF254" s="6" t="s">
        <v>395</v>
      </c>
      <c r="AG254" s="6" t="s">
        <v>395</v>
      </c>
      <c r="AH254" s="6">
        <v>36</v>
      </c>
      <c r="AI254" s="6">
        <v>36</v>
      </c>
      <c r="AJ254" s="59">
        <v>36</v>
      </c>
      <c r="AK254" s="59">
        <v>36</v>
      </c>
      <c r="AL254" s="7" t="s">
        <v>395</v>
      </c>
      <c r="AM254" s="7" t="s">
        <v>395</v>
      </c>
      <c r="AN254" s="7" t="s">
        <v>395</v>
      </c>
    </row>
    <row r="255" ht="15.75" customHeight="1" spans="1:40">
      <c r="A255" s="6" t="s">
        <v>2576</v>
      </c>
      <c r="B255" s="46" t="s">
        <v>3799</v>
      </c>
      <c r="C255" s="4" t="s">
        <v>937</v>
      </c>
      <c r="D255" s="10" t="s">
        <v>3800</v>
      </c>
      <c r="E255" s="29" t="s">
        <v>491</v>
      </c>
      <c r="F255" s="46">
        <v>1046563605</v>
      </c>
      <c r="G255" s="59">
        <v>1046563605</v>
      </c>
      <c r="H255" s="46" t="s">
        <v>2662</v>
      </c>
      <c r="I255" s="46" t="s">
        <v>3801</v>
      </c>
      <c r="J255" s="7"/>
      <c r="K255" s="7"/>
      <c r="L255" s="7"/>
      <c r="M255" s="7"/>
      <c r="N255" s="66">
        <v>23412</v>
      </c>
      <c r="O255" s="6" t="s">
        <v>945</v>
      </c>
      <c r="P255" s="7"/>
      <c r="Q255" s="7"/>
      <c r="R255" s="7"/>
      <c r="S255" s="7"/>
      <c r="T255" s="7"/>
      <c r="U255" s="7"/>
      <c r="V255" s="7"/>
      <c r="W255" s="47"/>
      <c r="X255" s="47"/>
      <c r="Y255" s="46" t="s">
        <v>612</v>
      </c>
      <c r="Z255" s="47"/>
      <c r="AA255" s="7"/>
      <c r="AB255" s="7"/>
      <c r="AC255" s="7"/>
      <c r="AD255" s="7"/>
      <c r="AE255" s="7"/>
      <c r="AF255" s="7"/>
      <c r="AG255" s="6" t="s">
        <v>395</v>
      </c>
      <c r="AH255" s="6">
        <v>39</v>
      </c>
      <c r="AI255" s="7"/>
      <c r="AJ255" s="7"/>
      <c r="AK255" s="7"/>
      <c r="AL255" s="6" t="s">
        <v>395</v>
      </c>
      <c r="AM255" s="6" t="s">
        <v>395</v>
      </c>
      <c r="AN255" s="6" t="s">
        <v>395</v>
      </c>
    </row>
    <row r="256" ht="15.75" customHeight="1" spans="1:40">
      <c r="A256" s="6" t="s">
        <v>2576</v>
      </c>
      <c r="B256" s="46" t="s">
        <v>548</v>
      </c>
      <c r="C256" s="4" t="s">
        <v>957</v>
      </c>
      <c r="D256" s="12" t="s">
        <v>3802</v>
      </c>
      <c r="E256" s="29" t="s">
        <v>971</v>
      </c>
      <c r="F256" s="46" t="s">
        <v>3803</v>
      </c>
      <c r="G256" s="46">
        <v>9054181376</v>
      </c>
      <c r="H256" s="47" t="s">
        <v>939</v>
      </c>
      <c r="I256" s="47" t="s">
        <v>3804</v>
      </c>
      <c r="J256" s="47" t="s">
        <v>941</v>
      </c>
      <c r="K256" s="47" t="s">
        <v>942</v>
      </c>
      <c r="L256" s="47" t="s">
        <v>975</v>
      </c>
      <c r="M256" s="47" t="s">
        <v>3152</v>
      </c>
      <c r="N256" s="68">
        <v>27041</v>
      </c>
      <c r="O256" s="47" t="s">
        <v>1028</v>
      </c>
      <c r="P256" s="47" t="s">
        <v>1041</v>
      </c>
      <c r="Q256" s="47" t="s">
        <v>963</v>
      </c>
      <c r="R256" s="47" t="s">
        <v>3805</v>
      </c>
      <c r="S256" s="61">
        <v>70</v>
      </c>
      <c r="T256" s="47" t="s">
        <v>1369</v>
      </c>
      <c r="U256" s="61">
        <v>5434561025</v>
      </c>
      <c r="V256" s="47" t="s">
        <v>3806</v>
      </c>
      <c r="W256" s="61">
        <v>190</v>
      </c>
      <c r="X256" s="47" t="s">
        <v>2688</v>
      </c>
      <c r="Y256" s="47" t="s">
        <v>548</v>
      </c>
      <c r="Z256" s="47" t="s">
        <v>2689</v>
      </c>
      <c r="AA256" s="47" t="s">
        <v>3807</v>
      </c>
      <c r="AB256" s="47" t="s">
        <v>3808</v>
      </c>
      <c r="AC256" s="47" t="s">
        <v>396</v>
      </c>
      <c r="AD256" s="47" t="s">
        <v>396</v>
      </c>
      <c r="AE256" s="47" t="s">
        <v>396</v>
      </c>
      <c r="AF256" s="47" t="s">
        <v>396</v>
      </c>
      <c r="AG256" s="47" t="s">
        <v>396</v>
      </c>
      <c r="AH256" s="61">
        <v>37</v>
      </c>
      <c r="AI256" s="61">
        <v>37</v>
      </c>
      <c r="AJ256" s="61">
        <v>37</v>
      </c>
      <c r="AK256" s="61">
        <v>37</v>
      </c>
      <c r="AL256" s="47" t="s">
        <v>396</v>
      </c>
      <c r="AM256" s="47" t="s">
        <v>396</v>
      </c>
      <c r="AN256" s="47" t="s">
        <v>396</v>
      </c>
    </row>
    <row r="257" ht="15.75" customHeight="1" spans="1:40">
      <c r="A257" s="6" t="s">
        <v>2576</v>
      </c>
      <c r="B257" s="46" t="s">
        <v>546</v>
      </c>
      <c r="C257" s="4" t="s">
        <v>957</v>
      </c>
      <c r="D257" s="12" t="s">
        <v>3809</v>
      </c>
      <c r="E257" s="29" t="s">
        <v>971</v>
      </c>
      <c r="F257" s="46"/>
      <c r="G257" s="47"/>
      <c r="H257" s="47"/>
      <c r="I257" s="47"/>
      <c r="J257" s="47"/>
      <c r="K257" s="47"/>
      <c r="L257" s="47"/>
      <c r="M257" s="47"/>
      <c r="N257" s="52">
        <v>38366</v>
      </c>
      <c r="O257" s="46" t="s">
        <v>1028</v>
      </c>
      <c r="P257" s="47"/>
      <c r="Q257" s="47"/>
      <c r="R257" s="47"/>
      <c r="S257" s="47"/>
      <c r="T257" s="47"/>
      <c r="U257" s="47"/>
      <c r="V257" s="47"/>
      <c r="W257" s="47"/>
      <c r="X257" s="47"/>
      <c r="Y257" s="47"/>
      <c r="Z257" s="47"/>
      <c r="AA257" s="47"/>
      <c r="AB257" s="47"/>
      <c r="AC257" s="47"/>
      <c r="AD257" s="47"/>
      <c r="AE257" s="47"/>
      <c r="AF257" s="47"/>
      <c r="AG257" s="46" t="s">
        <v>395</v>
      </c>
      <c r="AH257" s="46">
        <v>36</v>
      </c>
      <c r="AI257" s="47"/>
      <c r="AJ257" s="47"/>
      <c r="AK257" s="47"/>
      <c r="AL257" s="46" t="s">
        <v>396</v>
      </c>
      <c r="AM257" s="46" t="s">
        <v>396</v>
      </c>
      <c r="AN257" s="46" t="s">
        <v>396</v>
      </c>
    </row>
    <row r="258" ht="15.75" customHeight="1" spans="1:40">
      <c r="A258" s="46" t="s">
        <v>2576</v>
      </c>
      <c r="B258" s="46" t="s">
        <v>548</v>
      </c>
      <c r="C258" s="4" t="s">
        <v>957</v>
      </c>
      <c r="D258" s="12" t="s">
        <v>3810</v>
      </c>
      <c r="E258" s="29" t="s">
        <v>971</v>
      </c>
      <c r="F258" s="46"/>
      <c r="G258" s="47"/>
      <c r="H258" s="47"/>
      <c r="I258" s="47"/>
      <c r="J258" s="47"/>
      <c r="K258" s="47"/>
      <c r="L258" s="47"/>
      <c r="M258" s="47"/>
      <c r="N258" s="68">
        <v>37757</v>
      </c>
      <c r="O258" s="47" t="s">
        <v>1028</v>
      </c>
      <c r="P258" s="47"/>
      <c r="Q258" s="47"/>
      <c r="R258" s="47"/>
      <c r="S258" s="47"/>
      <c r="T258" s="47"/>
      <c r="U258" s="47"/>
      <c r="V258" s="47"/>
      <c r="W258" s="47"/>
      <c r="X258" s="47"/>
      <c r="Y258" s="47" t="s">
        <v>548</v>
      </c>
      <c r="Z258" s="47"/>
      <c r="AA258" s="47"/>
      <c r="AB258" s="47"/>
      <c r="AC258" s="47"/>
      <c r="AD258" s="47"/>
      <c r="AE258" s="47"/>
      <c r="AF258" s="47"/>
      <c r="AG258" s="47" t="s">
        <v>406</v>
      </c>
      <c r="AH258" s="61">
        <v>37</v>
      </c>
      <c r="AI258" s="47"/>
      <c r="AJ258" s="47"/>
      <c r="AK258" s="47"/>
      <c r="AL258" s="47" t="s">
        <v>406</v>
      </c>
      <c r="AM258" s="47" t="s">
        <v>406</v>
      </c>
      <c r="AN258" s="47" t="s">
        <v>406</v>
      </c>
    </row>
    <row r="259" ht="15.75" customHeight="1" spans="1:40">
      <c r="A259" s="6" t="s">
        <v>2576</v>
      </c>
      <c r="B259" s="46" t="s">
        <v>552</v>
      </c>
      <c r="C259" s="4" t="s">
        <v>957</v>
      </c>
      <c r="D259" s="12" t="s">
        <v>3811</v>
      </c>
      <c r="E259" s="29" t="s">
        <v>971</v>
      </c>
      <c r="F259" s="46" t="s">
        <v>3812</v>
      </c>
      <c r="G259" s="46">
        <v>1082838291</v>
      </c>
      <c r="H259" s="47" t="s">
        <v>2652</v>
      </c>
      <c r="I259" s="47" t="s">
        <v>3813</v>
      </c>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row>
    <row r="260" ht="15.75" customHeight="1" spans="1:40">
      <c r="A260" s="6" t="s">
        <v>2576</v>
      </c>
      <c r="B260" s="46" t="s">
        <v>509</v>
      </c>
      <c r="C260" s="4" t="s">
        <v>957</v>
      </c>
      <c r="D260" s="10" t="s">
        <v>3814</v>
      </c>
      <c r="E260" s="29" t="s">
        <v>971</v>
      </c>
      <c r="F260" s="46" t="s">
        <v>3815</v>
      </c>
      <c r="G260" s="46">
        <v>1087500623</v>
      </c>
      <c r="H260" s="47" t="s">
        <v>986</v>
      </c>
      <c r="I260" s="47" t="s">
        <v>2916</v>
      </c>
      <c r="J260" s="7" t="s">
        <v>942</v>
      </c>
      <c r="K260" s="7" t="s">
        <v>942</v>
      </c>
      <c r="L260" s="7" t="s">
        <v>1026</v>
      </c>
      <c r="M260" s="7" t="s">
        <v>3816</v>
      </c>
      <c r="N260" s="51">
        <v>31572</v>
      </c>
      <c r="O260" s="7" t="s">
        <v>945</v>
      </c>
      <c r="P260" s="7" t="s">
        <v>946</v>
      </c>
      <c r="Q260" s="7" t="s">
        <v>963</v>
      </c>
      <c r="R260" s="7" t="s">
        <v>3817</v>
      </c>
      <c r="S260" s="59">
        <v>105</v>
      </c>
      <c r="T260" s="7" t="s">
        <v>2929</v>
      </c>
      <c r="U260" s="7"/>
      <c r="V260" s="7" t="s">
        <v>3818</v>
      </c>
      <c r="W260" s="7" t="s">
        <v>3818</v>
      </c>
      <c r="X260" s="7" t="s">
        <v>953</v>
      </c>
      <c r="Y260" s="7" t="s">
        <v>509</v>
      </c>
      <c r="Z260" s="59">
        <v>99770000</v>
      </c>
      <c r="AA260" s="7" t="s">
        <v>3819</v>
      </c>
      <c r="AB260" s="7" t="s">
        <v>2640</v>
      </c>
      <c r="AC260" s="7" t="s">
        <v>398</v>
      </c>
      <c r="AD260" s="7" t="s">
        <v>398</v>
      </c>
      <c r="AE260" s="6" t="s">
        <v>398</v>
      </c>
      <c r="AF260" s="6" t="s">
        <v>398</v>
      </c>
      <c r="AG260" s="6" t="s">
        <v>398</v>
      </c>
      <c r="AH260" s="6">
        <v>43</v>
      </c>
      <c r="AI260" s="6">
        <v>43</v>
      </c>
      <c r="AJ260" s="59">
        <v>43</v>
      </c>
      <c r="AK260" s="59">
        <v>43</v>
      </c>
      <c r="AL260" s="7" t="s">
        <v>398</v>
      </c>
      <c r="AM260" s="7" t="s">
        <v>398</v>
      </c>
      <c r="AN260" s="7" t="s">
        <v>398</v>
      </c>
    </row>
    <row r="261" ht="15.75" customHeight="1" spans="1:40">
      <c r="A261" s="39"/>
      <c r="B261" s="39"/>
      <c r="C261" s="4"/>
      <c r="D261" s="35" t="s">
        <v>3820</v>
      </c>
      <c r="E261" s="39" t="s">
        <v>491</v>
      </c>
      <c r="F261" s="39" t="s">
        <v>3821</v>
      </c>
      <c r="G261" s="39"/>
      <c r="H261" s="39"/>
      <c r="I261" s="39"/>
      <c r="J261" s="6"/>
      <c r="K261" s="6"/>
      <c r="L261" s="6"/>
      <c r="M261" s="6"/>
      <c r="N261" s="6"/>
      <c r="O261" s="6"/>
      <c r="P261" s="6"/>
      <c r="Q261" s="6"/>
      <c r="R261" s="6"/>
      <c r="S261" s="6"/>
      <c r="T261" s="6"/>
      <c r="U261" s="6"/>
      <c r="V261" s="6"/>
      <c r="W261" s="39"/>
      <c r="X261" s="39"/>
      <c r="Y261" s="39"/>
      <c r="Z261" s="39"/>
      <c r="AA261" s="6"/>
      <c r="AB261" s="6"/>
      <c r="AC261" s="6"/>
      <c r="AD261" s="6"/>
      <c r="AE261" s="6"/>
      <c r="AF261" s="6"/>
      <c r="AG261" s="6"/>
      <c r="AH261" s="6"/>
      <c r="AI261" s="6"/>
      <c r="AJ261" s="6"/>
      <c r="AK261" s="6"/>
      <c r="AL261" s="6"/>
      <c r="AM261" s="6"/>
      <c r="AN261" s="6"/>
    </row>
    <row r="262" ht="15.75" customHeight="1" spans="1:40">
      <c r="A262" s="6" t="s">
        <v>2576</v>
      </c>
      <c r="B262" s="46" t="s">
        <v>558</v>
      </c>
      <c r="C262" s="4" t="s">
        <v>957</v>
      </c>
      <c r="D262" s="12" t="s">
        <v>3822</v>
      </c>
      <c r="E262" s="29" t="s">
        <v>971</v>
      </c>
      <c r="F262" s="46" t="s">
        <v>3823</v>
      </c>
      <c r="G262" s="46">
        <v>7094137994</v>
      </c>
      <c r="H262" s="47" t="s">
        <v>3824</v>
      </c>
      <c r="I262" s="47" t="s">
        <v>2644</v>
      </c>
      <c r="J262" s="7" t="s">
        <v>942</v>
      </c>
      <c r="K262" s="7" t="s">
        <v>942</v>
      </c>
      <c r="L262" s="7"/>
      <c r="M262" s="7"/>
      <c r="N262" s="15"/>
      <c r="O262" s="7"/>
      <c r="P262" s="7"/>
      <c r="Q262" s="7"/>
      <c r="R262" s="7"/>
      <c r="S262" s="7"/>
      <c r="T262" s="7"/>
      <c r="U262" s="7"/>
      <c r="V262" s="7"/>
      <c r="W262" s="7"/>
      <c r="X262" s="7" t="s">
        <v>953</v>
      </c>
      <c r="Y262" s="7" t="s">
        <v>558</v>
      </c>
      <c r="Z262" s="7" t="s">
        <v>2648</v>
      </c>
      <c r="AA262" s="7"/>
      <c r="AB262" s="7"/>
      <c r="AC262" s="7"/>
      <c r="AD262" s="7"/>
      <c r="AE262" s="7"/>
      <c r="AF262" s="7"/>
      <c r="AG262" s="7"/>
      <c r="AH262" s="7"/>
      <c r="AI262" s="7"/>
      <c r="AJ262" s="7"/>
      <c r="AK262" s="7"/>
      <c r="AL262" s="7"/>
      <c r="AM262" s="7"/>
      <c r="AN262" s="7"/>
    </row>
    <row r="263" ht="15.75" customHeight="1" spans="1:40">
      <c r="A263" s="6" t="s">
        <v>2576</v>
      </c>
      <c r="B263" s="46" t="s">
        <v>576</v>
      </c>
      <c r="C263" s="4" t="s">
        <v>957</v>
      </c>
      <c r="D263" s="10" t="s">
        <v>306</v>
      </c>
      <c r="E263" s="29" t="s">
        <v>491</v>
      </c>
      <c r="F263" s="46" t="s">
        <v>3825</v>
      </c>
      <c r="G263" s="46">
        <v>2079779688</v>
      </c>
      <c r="H263" s="47" t="s">
        <v>957</v>
      </c>
      <c r="I263" s="47" t="s">
        <v>3321</v>
      </c>
      <c r="J263" s="7" t="s">
        <v>942</v>
      </c>
      <c r="K263" s="7" t="s">
        <v>942</v>
      </c>
      <c r="L263" s="7" t="s">
        <v>1068</v>
      </c>
      <c r="M263" s="7" t="s">
        <v>2953</v>
      </c>
      <c r="N263" s="51">
        <v>30437</v>
      </c>
      <c r="O263" s="7" t="s">
        <v>945</v>
      </c>
      <c r="P263" s="7" t="s">
        <v>946</v>
      </c>
      <c r="Q263" s="7" t="s">
        <v>963</v>
      </c>
      <c r="R263" s="7" t="s">
        <v>3826</v>
      </c>
      <c r="S263" s="59">
        <v>83</v>
      </c>
      <c r="T263" s="7" t="s">
        <v>965</v>
      </c>
      <c r="U263" s="7"/>
      <c r="V263" s="7" t="s">
        <v>3827</v>
      </c>
      <c r="W263" s="7" t="s">
        <v>3828</v>
      </c>
      <c r="X263" s="7" t="s">
        <v>953</v>
      </c>
      <c r="Y263" s="7" t="s">
        <v>576</v>
      </c>
      <c r="Z263" s="7" t="s">
        <v>2589</v>
      </c>
      <c r="AA263" s="7" t="s">
        <v>3829</v>
      </c>
      <c r="AB263" s="7" t="s">
        <v>2820</v>
      </c>
      <c r="AC263" s="6" t="s">
        <v>406</v>
      </c>
      <c r="AD263" s="6" t="s">
        <v>406</v>
      </c>
      <c r="AE263" s="6" t="s">
        <v>406</v>
      </c>
      <c r="AF263" s="6" t="s">
        <v>406</v>
      </c>
      <c r="AG263" s="6" t="s">
        <v>406</v>
      </c>
      <c r="AH263" s="6">
        <v>42</v>
      </c>
      <c r="AI263" s="6">
        <v>42</v>
      </c>
      <c r="AJ263" s="59">
        <v>42</v>
      </c>
      <c r="AK263" s="59">
        <v>42</v>
      </c>
      <c r="AL263" s="6" t="s">
        <v>406</v>
      </c>
      <c r="AM263" s="6" t="s">
        <v>406</v>
      </c>
      <c r="AN263" s="6" t="s">
        <v>406</v>
      </c>
    </row>
    <row r="264" ht="15.75" customHeight="1" spans="1:40">
      <c r="A264" s="6" t="s">
        <v>2576</v>
      </c>
      <c r="B264" s="46" t="s">
        <v>551</v>
      </c>
      <c r="C264" s="4" t="s">
        <v>957</v>
      </c>
      <c r="D264" s="12" t="s">
        <v>3830</v>
      </c>
      <c r="E264" s="29" t="s">
        <v>971</v>
      </c>
      <c r="F264" s="46" t="s">
        <v>3831</v>
      </c>
      <c r="G264" s="46">
        <v>6071317777</v>
      </c>
      <c r="H264" s="47" t="s">
        <v>939</v>
      </c>
      <c r="I264" s="47" t="s">
        <v>2713</v>
      </c>
      <c r="J264" s="7" t="s">
        <v>942</v>
      </c>
      <c r="K264" s="7" t="s">
        <v>942</v>
      </c>
      <c r="L264" s="7" t="s">
        <v>2952</v>
      </c>
      <c r="M264" s="7" t="s">
        <v>3832</v>
      </c>
      <c r="N264" s="51">
        <v>28772</v>
      </c>
      <c r="O264" s="7" t="s">
        <v>945</v>
      </c>
      <c r="P264" s="7" t="s">
        <v>1257</v>
      </c>
      <c r="Q264" s="7" t="s">
        <v>963</v>
      </c>
      <c r="R264" s="7" t="s">
        <v>3833</v>
      </c>
      <c r="S264" s="59">
        <v>92</v>
      </c>
      <c r="T264" s="7" t="s">
        <v>1011</v>
      </c>
      <c r="U264" s="7"/>
      <c r="V264" s="7" t="s">
        <v>3834</v>
      </c>
      <c r="W264" s="7"/>
      <c r="X264" s="7" t="s">
        <v>953</v>
      </c>
      <c r="Y264" s="7" t="s">
        <v>551</v>
      </c>
      <c r="Z264" s="59">
        <v>99830000</v>
      </c>
      <c r="AA264" s="7" t="s">
        <v>3835</v>
      </c>
      <c r="AB264" s="7" t="s">
        <v>1178</v>
      </c>
      <c r="AC264" s="7" t="s">
        <v>398</v>
      </c>
      <c r="AD264" s="7" t="s">
        <v>398</v>
      </c>
      <c r="AE264" s="6" t="s">
        <v>398</v>
      </c>
      <c r="AF264" s="6" t="s">
        <v>398</v>
      </c>
      <c r="AG264" s="6" t="s">
        <v>398</v>
      </c>
      <c r="AH264" s="6">
        <v>44</v>
      </c>
      <c r="AI264" s="6">
        <v>42</v>
      </c>
      <c r="AJ264" s="59">
        <v>42</v>
      </c>
      <c r="AK264" s="59">
        <v>42</v>
      </c>
      <c r="AL264" s="7" t="s">
        <v>398</v>
      </c>
      <c r="AM264" s="7" t="s">
        <v>398</v>
      </c>
      <c r="AN264" s="7" t="s">
        <v>406</v>
      </c>
    </row>
    <row r="265" ht="15.75" customHeight="1" spans="1:40">
      <c r="A265" s="39"/>
      <c r="B265" s="39"/>
      <c r="C265" s="4"/>
      <c r="D265" s="35" t="s">
        <v>307</v>
      </c>
      <c r="E265" s="39" t="s">
        <v>491</v>
      </c>
      <c r="F265" s="39" t="s">
        <v>3836</v>
      </c>
      <c r="G265" s="39"/>
      <c r="H265" s="39"/>
      <c r="I265" s="39"/>
      <c r="J265" s="6"/>
      <c r="K265" s="6"/>
      <c r="L265" s="6"/>
      <c r="M265" s="6"/>
      <c r="N265" s="6"/>
      <c r="O265" s="6"/>
      <c r="P265" s="6"/>
      <c r="Q265" s="6"/>
      <c r="R265" s="6"/>
      <c r="S265" s="6"/>
      <c r="T265" s="6"/>
      <c r="U265" s="6"/>
      <c r="V265" s="6"/>
      <c r="W265" s="39"/>
      <c r="X265" s="39"/>
      <c r="Y265" s="39"/>
      <c r="Z265" s="39"/>
      <c r="AA265" s="6"/>
      <c r="AB265" s="6"/>
      <c r="AC265" s="6"/>
      <c r="AD265" s="6"/>
      <c r="AE265" s="6"/>
      <c r="AF265" s="6"/>
      <c r="AG265" s="6"/>
      <c r="AH265" s="6"/>
      <c r="AI265" s="6"/>
      <c r="AJ265" s="6"/>
      <c r="AK265" s="6"/>
      <c r="AL265" s="6"/>
      <c r="AM265" s="6"/>
      <c r="AN265" s="6"/>
    </row>
    <row r="266" ht="15.75" customHeight="1" spans="1:40">
      <c r="A266" s="6" t="s">
        <v>2576</v>
      </c>
      <c r="B266" s="46"/>
      <c r="C266" s="4"/>
      <c r="D266" s="12" t="s">
        <v>308</v>
      </c>
      <c r="E266" s="29" t="s">
        <v>491</v>
      </c>
      <c r="F266" s="46" t="s">
        <v>3837</v>
      </c>
      <c r="G266" s="46"/>
      <c r="H266" s="46"/>
      <c r="I266" s="47"/>
      <c r="J266" s="47"/>
      <c r="K266" s="47"/>
      <c r="L266" s="46"/>
      <c r="M266" s="46"/>
      <c r="N266" s="52"/>
      <c r="O266" s="46"/>
      <c r="P266" s="46"/>
      <c r="Q266" s="46"/>
      <c r="R266" s="60"/>
      <c r="S266" s="46"/>
      <c r="T266" s="46"/>
      <c r="U266" s="46"/>
      <c r="V266" s="47"/>
      <c r="W266" s="47"/>
      <c r="X266" s="46"/>
      <c r="Y266" s="46"/>
      <c r="Z266" s="46"/>
      <c r="AA266" s="46"/>
      <c r="AB266" s="46"/>
      <c r="AC266" s="46"/>
      <c r="AD266" s="46"/>
      <c r="AE266" s="46"/>
      <c r="AF266" s="46"/>
      <c r="AG266" s="46"/>
      <c r="AH266" s="46"/>
      <c r="AI266" s="46"/>
      <c r="AJ266" s="46"/>
      <c r="AK266" s="46"/>
      <c r="AL266" s="46"/>
      <c r="AM266" s="46"/>
      <c r="AN266" s="46"/>
    </row>
    <row r="267" ht="15.75" customHeight="1" spans="1:40">
      <c r="A267" s="6" t="s">
        <v>2576</v>
      </c>
      <c r="B267" s="46" t="s">
        <v>548</v>
      </c>
      <c r="C267" s="4" t="s">
        <v>957</v>
      </c>
      <c r="D267" s="12" t="s">
        <v>3838</v>
      </c>
      <c r="E267" s="29" t="s">
        <v>971</v>
      </c>
      <c r="F267" s="46" t="s">
        <v>3839</v>
      </c>
      <c r="G267" s="46">
        <v>9073206824</v>
      </c>
      <c r="H267" s="47" t="s">
        <v>3706</v>
      </c>
      <c r="I267" s="47" t="s">
        <v>3840</v>
      </c>
      <c r="J267" s="47" t="s">
        <v>942</v>
      </c>
      <c r="K267" s="47" t="s">
        <v>942</v>
      </c>
      <c r="L267" s="47" t="s">
        <v>1026</v>
      </c>
      <c r="M267" s="47" t="s">
        <v>3841</v>
      </c>
      <c r="N267" s="57">
        <v>23213</v>
      </c>
      <c r="O267" s="47" t="s">
        <v>945</v>
      </c>
      <c r="P267" s="47" t="s">
        <v>946</v>
      </c>
      <c r="Q267" s="47" t="s">
        <v>963</v>
      </c>
      <c r="R267" s="47" t="s">
        <v>3842</v>
      </c>
      <c r="S267" s="61">
        <v>98</v>
      </c>
      <c r="T267" s="47" t="s">
        <v>965</v>
      </c>
      <c r="U267" s="47" t="s">
        <v>3843</v>
      </c>
      <c r="V267" s="47" t="s">
        <v>3844</v>
      </c>
      <c r="W267" s="61">
        <v>190</v>
      </c>
      <c r="X267" s="47" t="s">
        <v>2688</v>
      </c>
      <c r="Y267" s="47" t="s">
        <v>548</v>
      </c>
      <c r="Z267" s="47" t="s">
        <v>2689</v>
      </c>
      <c r="AA267" s="47" t="s">
        <v>3845</v>
      </c>
      <c r="AB267" s="47" t="s">
        <v>1086</v>
      </c>
      <c r="AC267" s="47" t="s">
        <v>398</v>
      </c>
      <c r="AD267" s="47" t="s">
        <v>398</v>
      </c>
      <c r="AE267" s="47" t="s">
        <v>398</v>
      </c>
      <c r="AF267" s="47" t="s">
        <v>398</v>
      </c>
      <c r="AG267" s="47" t="s">
        <v>398</v>
      </c>
      <c r="AH267" s="61">
        <v>41</v>
      </c>
      <c r="AI267" s="61">
        <v>41</v>
      </c>
      <c r="AJ267" s="61">
        <v>41</v>
      </c>
      <c r="AK267" s="61">
        <v>41</v>
      </c>
      <c r="AL267" s="47" t="s">
        <v>398</v>
      </c>
      <c r="AM267" s="47" t="s">
        <v>398</v>
      </c>
      <c r="AN267" s="47" t="s">
        <v>398</v>
      </c>
    </row>
    <row r="268" ht="15.75" customHeight="1" spans="1:40">
      <c r="A268" s="6" t="s">
        <v>2576</v>
      </c>
      <c r="B268" s="46" t="s">
        <v>548</v>
      </c>
      <c r="C268" s="4" t="s">
        <v>957</v>
      </c>
      <c r="D268" s="12" t="s">
        <v>3846</v>
      </c>
      <c r="E268" s="29" t="s">
        <v>971</v>
      </c>
      <c r="F268" s="46" t="s">
        <v>3847</v>
      </c>
      <c r="G268" s="46">
        <v>2052844913</v>
      </c>
      <c r="H268" s="47" t="s">
        <v>3029</v>
      </c>
      <c r="I268" s="47" t="s">
        <v>3151</v>
      </c>
      <c r="J268" s="47" t="s">
        <v>941</v>
      </c>
      <c r="K268" s="47" t="s">
        <v>942</v>
      </c>
      <c r="L268" s="47" t="s">
        <v>943</v>
      </c>
      <c r="M268" s="47" t="s">
        <v>3848</v>
      </c>
      <c r="N268" s="68">
        <v>25618</v>
      </c>
      <c r="O268" s="47" t="s">
        <v>945</v>
      </c>
      <c r="P268" s="47" t="s">
        <v>946</v>
      </c>
      <c r="Q268" s="47" t="s">
        <v>963</v>
      </c>
      <c r="R268" s="47" t="s">
        <v>3849</v>
      </c>
      <c r="S268" s="61">
        <v>88</v>
      </c>
      <c r="T268" s="47" t="s">
        <v>965</v>
      </c>
      <c r="U268" s="61">
        <v>54999507893</v>
      </c>
      <c r="V268" s="47" t="s">
        <v>3850</v>
      </c>
      <c r="W268" s="61">
        <v>54999508793</v>
      </c>
      <c r="X268" s="47" t="s">
        <v>2688</v>
      </c>
      <c r="Y268" s="47" t="s">
        <v>548</v>
      </c>
      <c r="Z268" s="47" t="s">
        <v>2689</v>
      </c>
      <c r="AA268" s="47" t="s">
        <v>3851</v>
      </c>
      <c r="AB268" s="47" t="s">
        <v>2760</v>
      </c>
      <c r="AC268" s="47" t="s">
        <v>406</v>
      </c>
      <c r="AD268" s="47" t="s">
        <v>406</v>
      </c>
      <c r="AE268" s="47" t="s">
        <v>406</v>
      </c>
      <c r="AF268" s="47" t="s">
        <v>406</v>
      </c>
      <c r="AG268" s="47" t="s">
        <v>406</v>
      </c>
      <c r="AH268" s="61">
        <v>42</v>
      </c>
      <c r="AI268" s="61">
        <v>42</v>
      </c>
      <c r="AJ268" s="61">
        <v>42</v>
      </c>
      <c r="AK268" s="61">
        <v>42</v>
      </c>
      <c r="AL268" s="47" t="s">
        <v>406</v>
      </c>
      <c r="AM268" s="47" t="s">
        <v>406</v>
      </c>
      <c r="AN268" s="47" t="s">
        <v>406</v>
      </c>
    </row>
    <row r="269" ht="15.75" customHeight="1" spans="1:40">
      <c r="A269" s="6" t="s">
        <v>2576</v>
      </c>
      <c r="B269" s="46" t="s">
        <v>577</v>
      </c>
      <c r="C269" s="4" t="s">
        <v>957</v>
      </c>
      <c r="D269" s="10" t="s">
        <v>3852</v>
      </c>
      <c r="E269" s="29" t="s">
        <v>971</v>
      </c>
      <c r="F269" s="46" t="s">
        <v>3853</v>
      </c>
      <c r="G269" s="46">
        <v>6075288743</v>
      </c>
      <c r="H269" s="47" t="s">
        <v>2043</v>
      </c>
      <c r="I269" s="47" t="s">
        <v>2633</v>
      </c>
      <c r="J269" s="7" t="s">
        <v>942</v>
      </c>
      <c r="K269" s="7" t="s">
        <v>942</v>
      </c>
      <c r="L269" s="7" t="s">
        <v>1080</v>
      </c>
      <c r="M269" s="7" t="s">
        <v>3854</v>
      </c>
      <c r="N269" s="51">
        <v>31141</v>
      </c>
      <c r="O269" s="7" t="s">
        <v>945</v>
      </c>
      <c r="P269" s="7" t="s">
        <v>946</v>
      </c>
      <c r="Q269" s="7" t="s">
        <v>947</v>
      </c>
      <c r="R269" s="7" t="s">
        <v>3855</v>
      </c>
      <c r="S269" s="59">
        <v>68</v>
      </c>
      <c r="T269" s="7" t="s">
        <v>1011</v>
      </c>
      <c r="U269" s="7"/>
      <c r="V269" s="7" t="s">
        <v>3856</v>
      </c>
      <c r="W269" s="47" t="s">
        <v>2637</v>
      </c>
      <c r="X269" s="7" t="s">
        <v>953</v>
      </c>
      <c r="Y269" s="47" t="s">
        <v>577</v>
      </c>
      <c r="Z269" s="47" t="s">
        <v>2638</v>
      </c>
      <c r="AA269" s="7" t="s">
        <v>3703</v>
      </c>
      <c r="AB269" s="7" t="s">
        <v>1086</v>
      </c>
      <c r="AC269" s="6" t="s">
        <v>396</v>
      </c>
      <c r="AD269" s="6" t="s">
        <v>396</v>
      </c>
      <c r="AE269" s="6" t="s">
        <v>396</v>
      </c>
      <c r="AF269" s="6" t="s">
        <v>396</v>
      </c>
      <c r="AG269" s="6" t="s">
        <v>396</v>
      </c>
      <c r="AH269" s="6">
        <v>41</v>
      </c>
      <c r="AI269" s="6">
        <v>41</v>
      </c>
      <c r="AJ269" s="59">
        <v>41</v>
      </c>
      <c r="AK269" s="59">
        <v>41</v>
      </c>
      <c r="AL269" s="6" t="s">
        <v>396</v>
      </c>
      <c r="AM269" s="6" t="s">
        <v>396</v>
      </c>
      <c r="AN269" s="6" t="s">
        <v>396</v>
      </c>
    </row>
    <row r="270" ht="15.75" customHeight="1" spans="1:40">
      <c r="A270" s="6" t="s">
        <v>2576</v>
      </c>
      <c r="B270" s="46" t="s">
        <v>546</v>
      </c>
      <c r="C270" s="4" t="s">
        <v>957</v>
      </c>
      <c r="D270" s="12" t="s">
        <v>3857</v>
      </c>
      <c r="E270" s="29" t="s">
        <v>491</v>
      </c>
      <c r="F270" s="46"/>
      <c r="G270" s="47"/>
      <c r="H270" s="47"/>
      <c r="I270" s="47"/>
      <c r="J270" s="47"/>
      <c r="K270" s="47"/>
      <c r="L270" s="47"/>
      <c r="M270" s="53"/>
      <c r="N270" s="52">
        <v>35677</v>
      </c>
      <c r="O270" s="46" t="s">
        <v>945</v>
      </c>
      <c r="P270" s="47"/>
      <c r="Q270" s="47"/>
      <c r="R270" s="47"/>
      <c r="S270" s="47"/>
      <c r="T270" s="47"/>
      <c r="U270" s="47"/>
      <c r="V270" s="47"/>
      <c r="W270" s="47"/>
      <c r="X270" s="47"/>
      <c r="Y270" s="47"/>
      <c r="Z270" s="47"/>
      <c r="AA270" s="47"/>
      <c r="AB270" s="47"/>
      <c r="AC270" s="47"/>
      <c r="AD270" s="47"/>
      <c r="AE270" s="47"/>
      <c r="AF270" s="47"/>
      <c r="AG270" s="46" t="s">
        <v>395</v>
      </c>
      <c r="AH270" s="46">
        <v>38</v>
      </c>
      <c r="AI270" s="47"/>
      <c r="AJ270" s="47"/>
      <c r="AK270" s="47"/>
      <c r="AL270" s="46" t="s">
        <v>396</v>
      </c>
      <c r="AM270" s="46" t="s">
        <v>396</v>
      </c>
      <c r="AN270" s="46" t="s">
        <v>396</v>
      </c>
    </row>
    <row r="271" ht="15.75" customHeight="1" spans="1:40">
      <c r="A271" s="6" t="s">
        <v>2576</v>
      </c>
      <c r="B271" s="46" t="s">
        <v>546</v>
      </c>
      <c r="C271" s="4" t="s">
        <v>957</v>
      </c>
      <c r="D271" s="12" t="s">
        <v>3858</v>
      </c>
      <c r="E271" s="29" t="s">
        <v>971</v>
      </c>
      <c r="F271" s="46"/>
      <c r="G271" s="47"/>
      <c r="H271" s="47"/>
      <c r="I271" s="47"/>
      <c r="J271" s="47"/>
      <c r="K271" s="47"/>
      <c r="L271" s="47"/>
      <c r="M271" s="47"/>
      <c r="N271" s="52">
        <v>28248</v>
      </c>
      <c r="O271" s="46" t="s">
        <v>1028</v>
      </c>
      <c r="P271" s="47"/>
      <c r="Q271" s="47"/>
      <c r="R271" s="47"/>
      <c r="S271" s="47"/>
      <c r="T271" s="47"/>
      <c r="U271" s="47"/>
      <c r="V271" s="47"/>
      <c r="W271" s="47"/>
      <c r="X271" s="47"/>
      <c r="Y271" s="47"/>
      <c r="Z271" s="47"/>
      <c r="AA271" s="47"/>
      <c r="AB271" s="47"/>
      <c r="AC271" s="47"/>
      <c r="AD271" s="47"/>
      <c r="AE271" s="47"/>
      <c r="AF271" s="47"/>
      <c r="AG271" s="46" t="s">
        <v>396</v>
      </c>
      <c r="AH271" s="46">
        <v>37</v>
      </c>
      <c r="AI271" s="47"/>
      <c r="AJ271" s="47"/>
      <c r="AK271" s="47"/>
      <c r="AL271" s="46" t="s">
        <v>406</v>
      </c>
      <c r="AM271" s="46" t="s">
        <v>406</v>
      </c>
      <c r="AN271" s="46" t="s">
        <v>406</v>
      </c>
    </row>
    <row r="272" ht="15.75" customHeight="1" spans="1:40">
      <c r="A272" s="6" t="s">
        <v>2576</v>
      </c>
      <c r="B272" s="46" t="s">
        <v>556</v>
      </c>
      <c r="C272" s="4" t="s">
        <v>957</v>
      </c>
      <c r="D272" s="12" t="s">
        <v>3859</v>
      </c>
      <c r="E272" s="29" t="s">
        <v>971</v>
      </c>
      <c r="F272" s="46" t="s">
        <v>3860</v>
      </c>
      <c r="G272" s="47"/>
      <c r="H272" s="47"/>
      <c r="I272" s="47"/>
      <c r="J272" s="7"/>
      <c r="K272" s="7"/>
      <c r="L272" s="7"/>
      <c r="M272" s="7"/>
      <c r="N272" s="15"/>
      <c r="O272" s="7"/>
      <c r="P272" s="7"/>
      <c r="Q272" s="7"/>
      <c r="R272" s="7" t="s">
        <v>3861</v>
      </c>
      <c r="S272" s="7"/>
      <c r="T272" s="7"/>
      <c r="U272" s="7"/>
      <c r="V272" s="7"/>
      <c r="W272" s="7"/>
      <c r="X272" s="7"/>
      <c r="Y272" s="7"/>
      <c r="Z272" s="7"/>
      <c r="AA272" s="7"/>
      <c r="AB272" s="7"/>
      <c r="AC272" s="7"/>
      <c r="AD272" s="7"/>
      <c r="AE272" s="7"/>
      <c r="AF272" s="7"/>
      <c r="AG272" s="6" t="s">
        <v>396</v>
      </c>
      <c r="AH272" s="6">
        <v>40</v>
      </c>
      <c r="AI272" s="7"/>
      <c r="AJ272" s="7"/>
      <c r="AK272" s="7"/>
      <c r="AL272" s="7" t="s">
        <v>396</v>
      </c>
      <c r="AM272" s="7" t="s">
        <v>396</v>
      </c>
      <c r="AN272" s="7" t="s">
        <v>396</v>
      </c>
    </row>
    <row r="273" ht="15.75" customHeight="1" spans="1:40">
      <c r="A273" s="6" t="s">
        <v>2576</v>
      </c>
      <c r="B273" s="46" t="s">
        <v>552</v>
      </c>
      <c r="C273" s="4" t="s">
        <v>957</v>
      </c>
      <c r="D273" s="12" t="s">
        <v>3862</v>
      </c>
      <c r="E273" s="29" t="s">
        <v>971</v>
      </c>
      <c r="F273" s="46" t="s">
        <v>3863</v>
      </c>
      <c r="G273" s="46">
        <v>2068397393</v>
      </c>
      <c r="H273" s="47" t="s">
        <v>2652</v>
      </c>
      <c r="I273" s="47" t="s">
        <v>3864</v>
      </c>
      <c r="J273" s="7" t="s">
        <v>942</v>
      </c>
      <c r="K273" s="7" t="s">
        <v>942</v>
      </c>
      <c r="L273" s="7" t="s">
        <v>975</v>
      </c>
      <c r="M273" s="7" t="s">
        <v>3865</v>
      </c>
      <c r="N273" s="55">
        <v>28476</v>
      </c>
      <c r="O273" s="7" t="s">
        <v>945</v>
      </c>
      <c r="P273" s="7" t="s">
        <v>946</v>
      </c>
      <c r="Q273" s="7" t="s">
        <v>963</v>
      </c>
      <c r="R273" s="7"/>
      <c r="S273" s="59">
        <v>91</v>
      </c>
      <c r="T273" s="7" t="s">
        <v>950</v>
      </c>
      <c r="U273" s="7"/>
      <c r="V273" s="7" t="s">
        <v>3866</v>
      </c>
      <c r="W273" s="7"/>
      <c r="X273" s="7" t="s">
        <v>953</v>
      </c>
      <c r="Y273" s="7" t="s">
        <v>552</v>
      </c>
      <c r="Z273" s="7" t="s">
        <v>2658</v>
      </c>
      <c r="AA273" s="7" t="s">
        <v>3867</v>
      </c>
      <c r="AB273" s="7" t="s">
        <v>1086</v>
      </c>
      <c r="AC273" s="7" t="s">
        <v>406</v>
      </c>
      <c r="AD273" s="7" t="s">
        <v>406</v>
      </c>
      <c r="AE273" s="6" t="s">
        <v>406</v>
      </c>
      <c r="AF273" s="6" t="s">
        <v>406</v>
      </c>
      <c r="AG273" s="6" t="s">
        <v>406</v>
      </c>
      <c r="AH273" s="6">
        <v>42</v>
      </c>
      <c r="AI273" s="6">
        <v>42</v>
      </c>
      <c r="AJ273" s="59">
        <v>42</v>
      </c>
      <c r="AK273" s="59">
        <v>42</v>
      </c>
      <c r="AL273" s="7" t="s">
        <v>406</v>
      </c>
      <c r="AM273" s="7" t="s">
        <v>406</v>
      </c>
      <c r="AN273" s="7" t="s">
        <v>406</v>
      </c>
    </row>
    <row r="274" ht="15.75" customHeight="1" spans="1:40">
      <c r="A274" s="6" t="s">
        <v>2576</v>
      </c>
      <c r="B274" s="46" t="s">
        <v>551</v>
      </c>
      <c r="C274" s="4" t="s">
        <v>957</v>
      </c>
      <c r="D274" s="12" t="s">
        <v>3868</v>
      </c>
      <c r="E274" s="29" t="s">
        <v>971</v>
      </c>
      <c r="F274" s="46" t="s">
        <v>3869</v>
      </c>
      <c r="G274" s="46">
        <v>8039675171</v>
      </c>
      <c r="H274" s="47" t="s">
        <v>939</v>
      </c>
      <c r="I274" s="47" t="s">
        <v>2826</v>
      </c>
      <c r="J274" s="7" t="s">
        <v>942</v>
      </c>
      <c r="K274" s="7" t="s">
        <v>942</v>
      </c>
      <c r="L274" s="7" t="s">
        <v>1026</v>
      </c>
      <c r="M274" s="7" t="s">
        <v>3870</v>
      </c>
      <c r="N274" s="51">
        <v>26546</v>
      </c>
      <c r="O274" s="7" t="s">
        <v>945</v>
      </c>
      <c r="P274" s="7" t="s">
        <v>946</v>
      </c>
      <c r="Q274" s="7" t="s">
        <v>1245</v>
      </c>
      <c r="R274" s="7" t="s">
        <v>3871</v>
      </c>
      <c r="S274" s="59">
        <v>91</v>
      </c>
      <c r="T274" s="7" t="s">
        <v>1011</v>
      </c>
      <c r="U274" s="7"/>
      <c r="V274" s="7" t="s">
        <v>3872</v>
      </c>
      <c r="W274" s="7"/>
      <c r="X274" s="7" t="s">
        <v>953</v>
      </c>
      <c r="Y274" s="7" t="s">
        <v>551</v>
      </c>
      <c r="Z274" s="59">
        <v>99830000</v>
      </c>
      <c r="AA274" s="7" t="s">
        <v>3873</v>
      </c>
      <c r="AB274" s="7" t="s">
        <v>1178</v>
      </c>
      <c r="AC274" s="7" t="s">
        <v>406</v>
      </c>
      <c r="AD274" s="7" t="s">
        <v>406</v>
      </c>
      <c r="AE274" s="6" t="s">
        <v>406</v>
      </c>
      <c r="AF274" s="6" t="s">
        <v>406</v>
      </c>
      <c r="AG274" s="6" t="s">
        <v>406</v>
      </c>
      <c r="AH274" s="6">
        <v>46</v>
      </c>
      <c r="AI274" s="6">
        <v>40</v>
      </c>
      <c r="AJ274" s="59">
        <v>40</v>
      </c>
      <c r="AK274" s="59">
        <v>40</v>
      </c>
      <c r="AL274" s="7" t="s">
        <v>406</v>
      </c>
      <c r="AM274" s="7" t="s">
        <v>406</v>
      </c>
      <c r="AN274" s="7" t="s">
        <v>406</v>
      </c>
    </row>
    <row r="275" ht="15.75" customHeight="1" spans="1:40">
      <c r="A275" s="6" t="s">
        <v>2576</v>
      </c>
      <c r="B275" s="46"/>
      <c r="C275" s="4"/>
      <c r="D275" s="12" t="s">
        <v>309</v>
      </c>
      <c r="E275" s="29" t="s">
        <v>491</v>
      </c>
      <c r="F275" s="46" t="s">
        <v>3874</v>
      </c>
      <c r="G275" s="46"/>
      <c r="H275" s="47"/>
      <c r="I275" s="4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row>
    <row r="276" ht="15.75" customHeight="1" spans="1:40">
      <c r="A276" s="46" t="s">
        <v>2576</v>
      </c>
      <c r="B276" s="46" t="s">
        <v>548</v>
      </c>
      <c r="C276" s="4" t="s">
        <v>957</v>
      </c>
      <c r="D276" s="12" t="s">
        <v>3875</v>
      </c>
      <c r="E276" s="29" t="s">
        <v>971</v>
      </c>
      <c r="F276" s="46"/>
      <c r="G276" s="47"/>
      <c r="H276" s="47"/>
      <c r="I276" s="47"/>
      <c r="J276" s="47"/>
      <c r="K276" s="47"/>
      <c r="L276" s="47"/>
      <c r="M276" s="47"/>
      <c r="N276" s="68">
        <v>27430</v>
      </c>
      <c r="O276" s="47" t="s">
        <v>945</v>
      </c>
      <c r="P276" s="47"/>
      <c r="Q276" s="47"/>
      <c r="R276" s="47"/>
      <c r="S276" s="47"/>
      <c r="T276" s="47"/>
      <c r="U276" s="47"/>
      <c r="V276" s="47"/>
      <c r="W276" s="47"/>
      <c r="X276" s="47"/>
      <c r="Y276" s="47" t="s">
        <v>548</v>
      </c>
      <c r="Z276" s="47"/>
      <c r="AA276" s="47"/>
      <c r="AB276" s="47"/>
      <c r="AC276" s="47"/>
      <c r="AD276" s="47"/>
      <c r="AE276" s="47"/>
      <c r="AF276" s="47"/>
      <c r="AG276" s="47" t="s">
        <v>406</v>
      </c>
      <c r="AH276" s="61">
        <v>41</v>
      </c>
      <c r="AI276" s="47"/>
      <c r="AJ276" s="47"/>
      <c r="AK276" s="47"/>
      <c r="AL276" s="47" t="s">
        <v>406</v>
      </c>
      <c r="AM276" s="47" t="s">
        <v>406</v>
      </c>
      <c r="AN276" s="47" t="s">
        <v>406</v>
      </c>
    </row>
    <row r="277" ht="15.75" customHeight="1" spans="1:40">
      <c r="A277" s="6" t="s">
        <v>2576</v>
      </c>
      <c r="B277" s="46" t="s">
        <v>520</v>
      </c>
      <c r="C277" s="4" t="s">
        <v>957</v>
      </c>
      <c r="D277" s="12" t="s">
        <v>3876</v>
      </c>
      <c r="E277" s="29" t="s">
        <v>971</v>
      </c>
      <c r="F277" s="46" t="s">
        <v>3877</v>
      </c>
      <c r="G277" s="46">
        <v>4086040229</v>
      </c>
      <c r="H277" s="47" t="s">
        <v>3249</v>
      </c>
      <c r="I277" s="47" t="s">
        <v>3878</v>
      </c>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row>
    <row r="278" ht="15.75" customHeight="1" spans="1:40">
      <c r="A278" s="6" t="s">
        <v>2576</v>
      </c>
      <c r="B278" s="46" t="s">
        <v>520</v>
      </c>
      <c r="C278" s="4" t="s">
        <v>957</v>
      </c>
      <c r="D278" s="12" t="s">
        <v>3879</v>
      </c>
      <c r="E278" s="29" t="s">
        <v>971</v>
      </c>
      <c r="F278" s="46" t="s">
        <v>3880</v>
      </c>
      <c r="G278" s="46">
        <v>6071318759</v>
      </c>
      <c r="H278" s="47" t="s">
        <v>3752</v>
      </c>
      <c r="I278" s="47"/>
      <c r="J278" s="7"/>
      <c r="K278" s="7"/>
      <c r="L278" s="7"/>
      <c r="M278" s="7"/>
      <c r="N278" s="15"/>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row>
    <row r="279" ht="15.75" customHeight="1" spans="1:40">
      <c r="A279" s="6" t="s">
        <v>2576</v>
      </c>
      <c r="B279" s="46" t="s">
        <v>551</v>
      </c>
      <c r="C279" s="4" t="s">
        <v>957</v>
      </c>
      <c r="D279" s="10" t="s">
        <v>146</v>
      </c>
      <c r="E279" s="29" t="s">
        <v>491</v>
      </c>
      <c r="F279" s="46" t="s">
        <v>3881</v>
      </c>
      <c r="G279" s="46">
        <v>8070924471</v>
      </c>
      <c r="H279" s="47" t="s">
        <v>3882</v>
      </c>
      <c r="I279" s="47" t="s">
        <v>3883</v>
      </c>
      <c r="J279" s="7" t="s">
        <v>942</v>
      </c>
      <c r="K279" s="7" t="s">
        <v>942</v>
      </c>
      <c r="L279" s="7" t="s">
        <v>943</v>
      </c>
      <c r="M279" s="7" t="s">
        <v>3884</v>
      </c>
      <c r="N279" s="51">
        <v>27853</v>
      </c>
      <c r="O279" s="7" t="s">
        <v>945</v>
      </c>
      <c r="P279" s="7" t="s">
        <v>946</v>
      </c>
      <c r="Q279" s="7" t="s">
        <v>1245</v>
      </c>
      <c r="R279" s="7" t="s">
        <v>3885</v>
      </c>
      <c r="S279" s="59">
        <v>83</v>
      </c>
      <c r="T279" s="7" t="s">
        <v>1011</v>
      </c>
      <c r="U279" s="7"/>
      <c r="V279" s="7" t="s">
        <v>3886</v>
      </c>
      <c r="W279" s="7"/>
      <c r="X279" s="7" t="s">
        <v>953</v>
      </c>
      <c r="Y279" s="7" t="s">
        <v>551</v>
      </c>
      <c r="Z279" s="59">
        <v>99830000</v>
      </c>
      <c r="AA279" s="7" t="s">
        <v>2830</v>
      </c>
      <c r="AB279" s="7" t="s">
        <v>1178</v>
      </c>
      <c r="AC279" s="7" t="s">
        <v>406</v>
      </c>
      <c r="AD279" s="7" t="s">
        <v>406</v>
      </c>
      <c r="AE279" s="6" t="s">
        <v>406</v>
      </c>
      <c r="AF279" s="6" t="s">
        <v>406</v>
      </c>
      <c r="AG279" s="6" t="s">
        <v>406</v>
      </c>
      <c r="AH279" s="6">
        <v>42</v>
      </c>
      <c r="AI279" s="6">
        <v>42</v>
      </c>
      <c r="AJ279" s="59">
        <v>42</v>
      </c>
      <c r="AK279" s="59">
        <v>42</v>
      </c>
      <c r="AL279" s="7" t="s">
        <v>406</v>
      </c>
      <c r="AM279" s="7" t="s">
        <v>406</v>
      </c>
      <c r="AN279" s="7" t="s">
        <v>406</v>
      </c>
    </row>
  </sheetData>
  <autoFilter ref="A1:AN279">
    <extLst/>
  </autoFilter>
  <conditionalFormatting sqref="E1">
    <cfRule type="containsText" dxfId="5" priority="1" operator="between" text="EAD">
      <formula>NOT(ISERROR(SEARCH("EAD",E1)))</formula>
    </cfRule>
    <cfRule type="containsText" dxfId="6" priority="2" operator="between" text="Não Tem">
      <formula>NOT(ISERROR(SEARCH("Não Tem",E1)))</formula>
    </cfRule>
    <cfRule type="containsText" dxfId="7" priority="3" operator="between" text="EAD + Presencial">
      <formula>NOT(ISERROR(SEARCH("EAD + Presencial",E1)))</formula>
    </cfRule>
  </conditionalFormatting>
  <dataValidations count="10">
    <dataValidation type="list" allowBlank="1" showErrorMessage="1" sqref="T2:T279">
      <formula1>Página5!$G:$G</formula1>
    </dataValidation>
    <dataValidation type="list" allowBlank="1" showErrorMessage="1" sqref="E1:E179;E181:E279">
      <formula1>"Curso CAB operador concluído,Módulo 2 e 3 concluído,Módulo 1 concluído"</formula1>
    </dataValidation>
    <dataValidation type="list" allowBlank="1" showErrorMessage="1" sqref="L2:L279">
      <formula1>Página5!$C:$C</formula1>
    </dataValidation>
    <dataValidation type="list" allowBlank="1" showErrorMessage="1" sqref="O2:O279">
      <formula1>Página5!$D:$D</formula1>
    </dataValidation>
    <dataValidation type="list" allowBlank="1" showErrorMessage="1" sqref="Y2:Y279">
      <formula1>Página5!$A:$A</formula1>
    </dataValidation>
    <dataValidation type="list" allowBlank="1" showErrorMessage="1" sqref="P2:P279">
      <formula1>Página5!$E:$E</formula1>
    </dataValidation>
    <dataValidation type="list" allowBlank="1" showErrorMessage="1" sqref="Q2:Q279">
      <formula1>Página5!$F:$F</formula1>
    </dataValidation>
    <dataValidation type="list" allowBlank="1" showErrorMessage="1" sqref="AC2:AG279;AL2:AN279">
      <formula1>"P,M,G,GG,EXG"</formula1>
    </dataValidation>
    <dataValidation type="list" allowBlank="1" showErrorMessage="1" sqref="AH2:AK279">
      <formula1>Página5!$H:$H</formula1>
    </dataValidation>
    <dataValidation type="list" allowBlank="1" showErrorMessage="1" sqref="J2:K279">
      <formula1>Página5!$B:$B</formula1>
    </dataValidation>
  </dataValidations>
  <pageMargins left="0.511811024" right="0.511811024" top="0.787401575" bottom="0.787401575" header="0" footer="0"/>
  <pageSetup paperSize="1"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0"/>
  <sheetViews>
    <sheetView workbookViewId="0">
      <pane xSplit="4" topLeftCell="E1" activePane="topRight" state="frozen"/>
      <selection/>
      <selection pane="topRight" activeCell="F2" sqref="F2"/>
    </sheetView>
  </sheetViews>
  <sheetFormatPr defaultColWidth="14.4380952380952" defaultRowHeight="15" customHeight="1"/>
  <cols>
    <col min="1" max="1" width="7.88571428571429" customWidth="1"/>
    <col min="2" max="2" width="17.6666666666667" customWidth="1"/>
    <col min="3" max="3" width="11.3333333333333" customWidth="1"/>
    <col min="4" max="4" width="32.8857142857143" customWidth="1"/>
    <col min="5" max="5" width="30.1047619047619" customWidth="1"/>
    <col min="6" max="6" width="20.6666666666667" customWidth="1"/>
    <col min="7" max="7" width="10.8857142857143" customWidth="1"/>
    <col min="8" max="8" width="27.4380952380952" customWidth="1"/>
    <col min="9" max="9" width="119.552380952381" customWidth="1"/>
    <col min="10" max="10" width="22.552380952381" customWidth="1"/>
    <col min="11" max="11" width="30.4380952380952" customWidth="1"/>
    <col min="12" max="12" width="16.1047619047619" customWidth="1"/>
    <col min="13" max="13" width="26.6666666666667" customWidth="1"/>
    <col min="14" max="14" width="30.8857142857143" customWidth="1"/>
    <col min="15" max="15" width="14.6666666666667" customWidth="1"/>
    <col min="16" max="16" width="12.8857142857143" customWidth="1"/>
    <col min="17" max="17" width="28.1047619047619" customWidth="1"/>
    <col min="18" max="18" width="30.1047619047619" customWidth="1"/>
    <col min="19" max="19" width="13.6666666666667" customWidth="1"/>
    <col min="20" max="20" width="22.8857142857143" customWidth="1"/>
    <col min="21" max="21" width="32.8857142857143" customWidth="1"/>
    <col min="22" max="22" width="29.552380952381" customWidth="1"/>
    <col min="23" max="23" width="35.552380952381" customWidth="1"/>
    <col min="24" max="24" width="19" customWidth="1"/>
    <col min="25" max="25" width="19.4380952380952" customWidth="1"/>
    <col min="26" max="26" width="15.6666666666667" customWidth="1"/>
    <col min="27" max="27" width="34.3333333333333" customWidth="1"/>
    <col min="28" max="28" width="19.6666666666667" customWidth="1"/>
    <col min="29" max="29" width="37.552380952381" customWidth="1"/>
    <col min="30" max="30" width="37.4380952380952" customWidth="1"/>
    <col min="31" max="31" width="23.4380952380952" customWidth="1"/>
    <col min="32" max="32" width="25" customWidth="1"/>
    <col min="33" max="33" width="21.552380952381" customWidth="1"/>
    <col min="34" max="34" width="18.6666666666667" customWidth="1"/>
    <col min="35" max="35" width="24.6666666666667" customWidth="1"/>
    <col min="36" max="36" width="17.1047619047619" customWidth="1"/>
    <col min="37" max="37" width="19.552380952381" customWidth="1"/>
    <col min="38" max="38" width="32.4380952380952" customWidth="1"/>
    <col min="39" max="39" width="25.8857142857143" customWidth="1"/>
    <col min="40" max="40" width="20" customWidth="1"/>
  </cols>
  <sheetData>
    <row r="1" ht="25.5" spans="1:40">
      <c r="A1" s="2" t="s">
        <v>410</v>
      </c>
      <c r="B1" s="2" t="s">
        <v>2021</v>
      </c>
      <c r="C1" s="26" t="s">
        <v>899</v>
      </c>
      <c r="D1" s="2" t="s">
        <v>3887</v>
      </c>
      <c r="E1" s="5" t="s">
        <v>901</v>
      </c>
      <c r="F1" s="2" t="s">
        <v>902</v>
      </c>
      <c r="G1" s="2" t="s">
        <v>1</v>
      </c>
      <c r="H1" s="2" t="s">
        <v>903</v>
      </c>
      <c r="I1" s="2" t="s">
        <v>904</v>
      </c>
      <c r="J1" s="13" t="s">
        <v>905</v>
      </c>
      <c r="K1" s="13" t="s">
        <v>906</v>
      </c>
      <c r="L1" s="14" t="s">
        <v>907</v>
      </c>
      <c r="M1" s="14" t="s">
        <v>908</v>
      </c>
      <c r="N1" s="14" t="s">
        <v>909</v>
      </c>
      <c r="O1" s="14" t="s">
        <v>910</v>
      </c>
      <c r="P1" s="14" t="s">
        <v>911</v>
      </c>
      <c r="Q1" s="14" t="s">
        <v>912</v>
      </c>
      <c r="R1" s="14" t="s">
        <v>913</v>
      </c>
      <c r="S1" s="14" t="s">
        <v>914</v>
      </c>
      <c r="T1" s="14" t="s">
        <v>915</v>
      </c>
      <c r="U1" s="14" t="s">
        <v>916</v>
      </c>
      <c r="V1" s="14" t="s">
        <v>917</v>
      </c>
      <c r="W1" s="14" t="s">
        <v>918</v>
      </c>
      <c r="X1" s="14" t="s">
        <v>919</v>
      </c>
      <c r="Y1" s="14" t="s">
        <v>920</v>
      </c>
      <c r="Z1" s="14" t="s">
        <v>921</v>
      </c>
      <c r="AA1" s="14" t="s">
        <v>922</v>
      </c>
      <c r="AB1" s="14" t="s">
        <v>923</v>
      </c>
      <c r="AC1" s="14" t="s">
        <v>924</v>
      </c>
      <c r="AD1" s="14" t="s">
        <v>925</v>
      </c>
      <c r="AE1" s="14" t="s">
        <v>926</v>
      </c>
      <c r="AF1" s="14" t="s">
        <v>927</v>
      </c>
      <c r="AG1" s="14" t="s">
        <v>928</v>
      </c>
      <c r="AH1" s="14" t="s">
        <v>929</v>
      </c>
      <c r="AI1" s="14" t="s">
        <v>930</v>
      </c>
      <c r="AJ1" s="14" t="s">
        <v>931</v>
      </c>
      <c r="AK1" s="14" t="s">
        <v>932</v>
      </c>
      <c r="AL1" s="14" t="s">
        <v>933</v>
      </c>
      <c r="AM1" s="14" t="s">
        <v>934</v>
      </c>
      <c r="AN1" s="14" t="s">
        <v>935</v>
      </c>
    </row>
    <row r="2" spans="1:40">
      <c r="A2" s="6" t="s">
        <v>3888</v>
      </c>
      <c r="B2" s="27" t="s">
        <v>3889</v>
      </c>
      <c r="C2" s="4" t="s">
        <v>937</v>
      </c>
      <c r="D2" s="35" t="s">
        <v>310</v>
      </c>
      <c r="E2" s="29" t="s">
        <v>490</v>
      </c>
      <c r="F2" s="27" t="s">
        <v>3890</v>
      </c>
      <c r="G2" s="27">
        <v>3076592926</v>
      </c>
      <c r="H2" s="27" t="s">
        <v>3891</v>
      </c>
      <c r="I2" s="27" t="s">
        <v>3892</v>
      </c>
      <c r="J2" s="27" t="s">
        <v>942</v>
      </c>
      <c r="K2" s="27" t="s">
        <v>942</v>
      </c>
      <c r="L2" s="27" t="s">
        <v>1068</v>
      </c>
      <c r="M2" s="27" t="s">
        <v>3893</v>
      </c>
      <c r="N2" s="40">
        <v>29923</v>
      </c>
      <c r="O2" s="27" t="s">
        <v>945</v>
      </c>
      <c r="P2" s="27" t="s">
        <v>946</v>
      </c>
      <c r="Q2" s="27" t="s">
        <v>947</v>
      </c>
      <c r="R2" s="27" t="s">
        <v>3894</v>
      </c>
      <c r="S2" s="27">
        <v>110</v>
      </c>
      <c r="T2" s="27" t="s">
        <v>1154</v>
      </c>
      <c r="U2" s="27"/>
      <c r="V2" s="27" t="s">
        <v>3895</v>
      </c>
      <c r="W2" s="27" t="s">
        <v>3896</v>
      </c>
      <c r="X2" s="27" t="s">
        <v>953</v>
      </c>
      <c r="Y2" s="27" t="s">
        <v>3889</v>
      </c>
      <c r="Z2" s="27" t="s">
        <v>3897</v>
      </c>
      <c r="AA2" s="27" t="s">
        <v>3898</v>
      </c>
      <c r="AB2" s="27" t="s">
        <v>1086</v>
      </c>
      <c r="AC2" s="27" t="s">
        <v>398</v>
      </c>
      <c r="AD2" s="27" t="s">
        <v>398</v>
      </c>
      <c r="AE2" s="27" t="s">
        <v>398</v>
      </c>
      <c r="AF2" s="27" t="s">
        <v>398</v>
      </c>
      <c r="AG2" s="27" t="s">
        <v>398</v>
      </c>
      <c r="AH2" s="27">
        <v>44</v>
      </c>
      <c r="AI2" s="27">
        <v>44</v>
      </c>
      <c r="AJ2" s="27">
        <v>44</v>
      </c>
      <c r="AK2" s="27">
        <v>44</v>
      </c>
      <c r="AL2" s="27" t="s">
        <v>398</v>
      </c>
      <c r="AM2" s="27" t="s">
        <v>398</v>
      </c>
      <c r="AN2" s="27" t="s">
        <v>398</v>
      </c>
    </row>
    <row r="3" spans="1:40">
      <c r="A3" s="38" t="s">
        <v>504</v>
      </c>
      <c r="B3" s="27"/>
      <c r="C3" s="4"/>
      <c r="D3" s="7" t="s">
        <v>215</v>
      </c>
      <c r="E3" s="29" t="s">
        <v>971</v>
      </c>
      <c r="F3" s="6" t="s">
        <v>3899</v>
      </c>
      <c r="G3" s="27"/>
      <c r="H3" s="27"/>
      <c r="I3" s="27"/>
      <c r="J3" s="27"/>
      <c r="K3" s="27"/>
      <c r="L3" s="27"/>
      <c r="M3" s="27"/>
      <c r="N3" s="40"/>
      <c r="O3" s="27"/>
      <c r="P3" s="27"/>
      <c r="Q3" s="27"/>
      <c r="R3" s="27"/>
      <c r="S3" s="27"/>
      <c r="T3" s="27"/>
      <c r="U3" s="27"/>
      <c r="V3" s="27"/>
      <c r="W3" s="27"/>
      <c r="X3" s="27"/>
      <c r="Y3" s="27"/>
      <c r="Z3" s="27"/>
      <c r="AA3" s="43"/>
      <c r="AB3" s="27"/>
      <c r="AC3" s="27"/>
      <c r="AD3" s="27"/>
      <c r="AE3" s="27"/>
      <c r="AF3" s="27"/>
      <c r="AG3" s="27"/>
      <c r="AH3" s="27"/>
      <c r="AI3" s="27"/>
      <c r="AJ3" s="27"/>
      <c r="AK3" s="27"/>
      <c r="AL3" s="27"/>
      <c r="AM3" s="27"/>
      <c r="AN3" s="27"/>
    </row>
    <row r="4" spans="1:40">
      <c r="A4" s="6" t="s">
        <v>3888</v>
      </c>
      <c r="B4" s="27" t="s">
        <v>3889</v>
      </c>
      <c r="C4" s="4" t="s">
        <v>937</v>
      </c>
      <c r="D4" s="35" t="s">
        <v>311</v>
      </c>
      <c r="E4" s="29" t="s">
        <v>490</v>
      </c>
      <c r="F4" s="27" t="s">
        <v>3900</v>
      </c>
      <c r="G4" s="27">
        <v>1050653045</v>
      </c>
      <c r="H4" s="27" t="s">
        <v>3891</v>
      </c>
      <c r="I4" s="27" t="s">
        <v>3901</v>
      </c>
      <c r="J4" s="27" t="s">
        <v>942</v>
      </c>
      <c r="K4" s="27" t="s">
        <v>942</v>
      </c>
      <c r="L4" s="27" t="s">
        <v>1068</v>
      </c>
      <c r="M4" s="27" t="s">
        <v>3902</v>
      </c>
      <c r="N4" s="40">
        <v>27854</v>
      </c>
      <c r="O4" s="27" t="s">
        <v>945</v>
      </c>
      <c r="P4" s="27" t="s">
        <v>946</v>
      </c>
      <c r="Q4" s="27" t="s">
        <v>947</v>
      </c>
      <c r="R4" s="27" t="s">
        <v>3903</v>
      </c>
      <c r="S4" s="27">
        <v>89</v>
      </c>
      <c r="T4" s="27" t="s">
        <v>1030</v>
      </c>
      <c r="U4" s="27"/>
      <c r="V4" s="27" t="s">
        <v>3904</v>
      </c>
      <c r="W4" s="27"/>
      <c r="X4" s="27" t="s">
        <v>953</v>
      </c>
      <c r="Y4" s="27" t="s">
        <v>1686</v>
      </c>
      <c r="Z4" s="27" t="s">
        <v>3905</v>
      </c>
      <c r="AA4" s="27" t="s">
        <v>3906</v>
      </c>
      <c r="AB4" s="27" t="s">
        <v>3652</v>
      </c>
      <c r="AC4" s="27" t="s">
        <v>406</v>
      </c>
      <c r="AD4" s="27" t="s">
        <v>406</v>
      </c>
      <c r="AE4" s="27" t="s">
        <v>406</v>
      </c>
      <c r="AF4" s="27" t="s">
        <v>406</v>
      </c>
      <c r="AG4" s="27" t="s">
        <v>406</v>
      </c>
      <c r="AH4" s="27">
        <v>38</v>
      </c>
      <c r="AI4" s="27">
        <v>38</v>
      </c>
      <c r="AJ4" s="27">
        <v>38</v>
      </c>
      <c r="AK4" s="27">
        <v>38</v>
      </c>
      <c r="AL4" s="27" t="s">
        <v>406</v>
      </c>
      <c r="AM4" s="27" t="s">
        <v>406</v>
      </c>
      <c r="AN4" s="27" t="s">
        <v>406</v>
      </c>
    </row>
    <row r="5" spans="1:40">
      <c r="A5" s="6" t="s">
        <v>3888</v>
      </c>
      <c r="B5" s="27"/>
      <c r="C5" s="4"/>
      <c r="D5" s="7" t="s">
        <v>3907</v>
      </c>
      <c r="E5" s="29" t="s">
        <v>491</v>
      </c>
      <c r="F5" s="6" t="s">
        <v>3908</v>
      </c>
      <c r="G5" s="27"/>
      <c r="H5" s="27"/>
      <c r="I5" s="27"/>
      <c r="J5" s="27"/>
      <c r="K5" s="27"/>
      <c r="L5" s="27"/>
      <c r="M5" s="27"/>
      <c r="N5" s="40"/>
      <c r="O5" s="27"/>
      <c r="P5" s="27"/>
      <c r="Q5" s="27"/>
      <c r="R5" s="27"/>
      <c r="S5" s="27"/>
      <c r="T5" s="27"/>
      <c r="U5" s="27"/>
      <c r="V5" s="27"/>
      <c r="W5" s="27"/>
      <c r="X5" s="27"/>
      <c r="Y5" s="27"/>
      <c r="Z5" s="27"/>
      <c r="AA5" s="43"/>
      <c r="AB5" s="27"/>
      <c r="AC5" s="27"/>
      <c r="AD5" s="27"/>
      <c r="AE5" s="27"/>
      <c r="AF5" s="27"/>
      <c r="AG5" s="27"/>
      <c r="AH5" s="27"/>
      <c r="AI5" s="27"/>
      <c r="AJ5" s="27"/>
      <c r="AK5" s="27"/>
      <c r="AL5" s="27"/>
      <c r="AM5" s="27"/>
      <c r="AN5" s="27"/>
    </row>
    <row r="6" spans="1:40">
      <c r="A6" s="27"/>
      <c r="B6" s="27"/>
      <c r="C6" s="4"/>
      <c r="D6" s="35" t="s">
        <v>3909</v>
      </c>
      <c r="E6" s="29" t="s">
        <v>491</v>
      </c>
      <c r="F6" s="27" t="s">
        <v>3910</v>
      </c>
      <c r="G6" s="27"/>
      <c r="H6" s="27"/>
      <c r="I6" s="27"/>
      <c r="J6" s="27"/>
      <c r="K6" s="27"/>
      <c r="L6" s="27"/>
      <c r="M6" s="27"/>
      <c r="N6" s="40"/>
      <c r="O6" s="27"/>
      <c r="P6" s="27"/>
      <c r="Q6" s="27"/>
      <c r="R6" s="6"/>
      <c r="S6" s="27"/>
      <c r="T6" s="27"/>
      <c r="U6" s="27"/>
      <c r="V6" s="27"/>
      <c r="W6" s="27"/>
      <c r="X6" s="27"/>
      <c r="Y6" s="27"/>
      <c r="Z6" s="27"/>
      <c r="AA6" s="43"/>
      <c r="AB6" s="27"/>
      <c r="AC6" s="27"/>
      <c r="AD6" s="27"/>
      <c r="AE6" s="27"/>
      <c r="AF6" s="27"/>
      <c r="AG6" s="27"/>
      <c r="AH6" s="27"/>
      <c r="AI6" s="27"/>
      <c r="AJ6" s="27"/>
      <c r="AK6" s="27"/>
      <c r="AL6" s="27"/>
      <c r="AM6" s="27"/>
      <c r="AN6" s="27"/>
    </row>
    <row r="7" spans="1:40">
      <c r="A7" s="6" t="s">
        <v>3888</v>
      </c>
      <c r="B7" s="6" t="s">
        <v>582</v>
      </c>
      <c r="C7" s="4" t="s">
        <v>937</v>
      </c>
      <c r="D7" s="10" t="s">
        <v>3911</v>
      </c>
      <c r="E7" s="29" t="s">
        <v>490</v>
      </c>
      <c r="F7" s="27" t="s">
        <v>3912</v>
      </c>
      <c r="G7" s="27">
        <v>1063726614</v>
      </c>
      <c r="H7" s="27" t="s">
        <v>3913</v>
      </c>
      <c r="I7" s="27" t="s">
        <v>3914</v>
      </c>
      <c r="J7" s="27" t="s">
        <v>941</v>
      </c>
      <c r="K7" s="27" t="s">
        <v>941</v>
      </c>
      <c r="L7" s="27" t="s">
        <v>975</v>
      </c>
      <c r="M7" s="27" t="s">
        <v>3915</v>
      </c>
      <c r="N7" s="40">
        <v>28224</v>
      </c>
      <c r="O7" s="27" t="s">
        <v>945</v>
      </c>
      <c r="P7" s="27" t="s">
        <v>1104</v>
      </c>
      <c r="Q7" s="27" t="s">
        <v>963</v>
      </c>
      <c r="R7" s="27" t="s">
        <v>3916</v>
      </c>
      <c r="S7" s="27" t="s">
        <v>3917</v>
      </c>
      <c r="T7" s="27" t="s">
        <v>1011</v>
      </c>
      <c r="U7" s="27"/>
      <c r="V7" s="27" t="s">
        <v>3918</v>
      </c>
      <c r="W7" s="27" t="s">
        <v>3919</v>
      </c>
      <c r="X7" s="27" t="s">
        <v>953</v>
      </c>
      <c r="Y7" s="27" t="s">
        <v>1773</v>
      </c>
      <c r="Z7" s="27" t="s">
        <v>3920</v>
      </c>
      <c r="AA7" s="27" t="s">
        <v>3921</v>
      </c>
      <c r="AB7" s="27" t="s">
        <v>3443</v>
      </c>
      <c r="AC7" s="27" t="s">
        <v>406</v>
      </c>
      <c r="AD7" s="27" t="s">
        <v>406</v>
      </c>
      <c r="AE7" s="27" t="s">
        <v>406</v>
      </c>
      <c r="AF7" s="27" t="s">
        <v>406</v>
      </c>
      <c r="AG7" s="27" t="s">
        <v>406</v>
      </c>
      <c r="AH7" s="27">
        <v>40</v>
      </c>
      <c r="AI7" s="27">
        <v>40</v>
      </c>
      <c r="AJ7" s="27">
        <v>40</v>
      </c>
      <c r="AK7" s="27">
        <v>40</v>
      </c>
      <c r="AL7" s="27" t="s">
        <v>406</v>
      </c>
      <c r="AM7" s="27" t="s">
        <v>406</v>
      </c>
      <c r="AN7" s="27" t="s">
        <v>406</v>
      </c>
    </row>
    <row r="8" spans="1:40">
      <c r="A8" s="27" t="s">
        <v>3922</v>
      </c>
      <c r="B8" s="27" t="s">
        <v>3923</v>
      </c>
      <c r="C8" s="4" t="s">
        <v>898</v>
      </c>
      <c r="D8" s="35" t="s">
        <v>3924</v>
      </c>
      <c r="E8" s="29" t="s">
        <v>490</v>
      </c>
      <c r="F8" s="27" t="s">
        <v>3925</v>
      </c>
      <c r="G8" s="27">
        <v>3114313004</v>
      </c>
      <c r="H8" s="27" t="s">
        <v>3926</v>
      </c>
      <c r="I8" s="27" t="s">
        <v>957</v>
      </c>
      <c r="J8" s="27" t="s">
        <v>941</v>
      </c>
      <c r="K8" s="27" t="s">
        <v>941</v>
      </c>
      <c r="L8" s="27"/>
      <c r="M8" s="27" t="s">
        <v>3927</v>
      </c>
      <c r="N8" s="40">
        <v>35464</v>
      </c>
      <c r="O8" s="27" t="s">
        <v>945</v>
      </c>
      <c r="P8" s="27" t="s">
        <v>3928</v>
      </c>
      <c r="Q8" s="27" t="s">
        <v>3929</v>
      </c>
      <c r="R8" s="42" t="s">
        <v>3930</v>
      </c>
      <c r="S8" s="27" t="s">
        <v>3931</v>
      </c>
      <c r="T8" s="27" t="s">
        <v>3932</v>
      </c>
      <c r="U8" s="27"/>
      <c r="V8" s="27" t="s">
        <v>3933</v>
      </c>
      <c r="W8" s="27" t="s">
        <v>3934</v>
      </c>
      <c r="X8" s="27" t="s">
        <v>953</v>
      </c>
      <c r="Y8" s="27" t="s">
        <v>1773</v>
      </c>
      <c r="Z8" s="27">
        <v>91510200</v>
      </c>
      <c r="AA8" s="43" t="s">
        <v>3935</v>
      </c>
      <c r="AB8" s="27" t="s">
        <v>3936</v>
      </c>
      <c r="AC8" s="27" t="s">
        <v>396</v>
      </c>
      <c r="AD8" s="27" t="s">
        <v>396</v>
      </c>
      <c r="AE8" s="27" t="s">
        <v>396</v>
      </c>
      <c r="AF8" s="27" t="s">
        <v>396</v>
      </c>
      <c r="AG8" s="27" t="s">
        <v>396</v>
      </c>
      <c r="AH8" s="27">
        <v>42</v>
      </c>
      <c r="AI8" s="27">
        <v>42</v>
      </c>
      <c r="AJ8" s="27">
        <v>42</v>
      </c>
      <c r="AK8" s="27">
        <v>42</v>
      </c>
      <c r="AL8" s="27" t="s">
        <v>396</v>
      </c>
      <c r="AM8" s="27" t="s">
        <v>396</v>
      </c>
      <c r="AN8" s="27" t="s">
        <v>396</v>
      </c>
    </row>
    <row r="9" ht="15.75" customHeight="1" spans="1:40">
      <c r="A9" s="6" t="s">
        <v>3888</v>
      </c>
      <c r="B9" s="27"/>
      <c r="C9" s="4"/>
      <c r="D9" s="7" t="s">
        <v>3937</v>
      </c>
      <c r="E9" s="29" t="s">
        <v>971</v>
      </c>
      <c r="F9" s="6" t="s">
        <v>3938</v>
      </c>
      <c r="G9" s="27"/>
      <c r="H9" s="27"/>
      <c r="I9" s="27"/>
      <c r="J9" s="27"/>
      <c r="K9" s="27"/>
      <c r="L9" s="27"/>
      <c r="M9" s="27"/>
      <c r="N9" s="40"/>
      <c r="O9" s="27"/>
      <c r="P9" s="27"/>
      <c r="Q9" s="27"/>
      <c r="R9" s="27"/>
      <c r="S9" s="27"/>
      <c r="T9" s="27"/>
      <c r="U9" s="27"/>
      <c r="V9" s="27"/>
      <c r="W9" s="27"/>
      <c r="X9" s="27"/>
      <c r="Y9" s="27"/>
      <c r="Z9" s="27"/>
      <c r="AA9" s="43"/>
      <c r="AB9" s="27"/>
      <c r="AC9" s="27"/>
      <c r="AD9" s="27"/>
      <c r="AE9" s="27"/>
      <c r="AF9" s="27"/>
      <c r="AG9" s="27"/>
      <c r="AH9" s="27"/>
      <c r="AI9" s="27"/>
      <c r="AJ9" s="27"/>
      <c r="AK9" s="27"/>
      <c r="AL9" s="27"/>
      <c r="AM9" s="27"/>
      <c r="AN9" s="27"/>
    </row>
    <row r="10" ht="15.75" customHeight="1" spans="1:40">
      <c r="A10" s="6" t="s">
        <v>3888</v>
      </c>
      <c r="B10" s="6" t="s">
        <v>582</v>
      </c>
      <c r="C10" s="4" t="s">
        <v>937</v>
      </c>
      <c r="D10" s="10" t="s">
        <v>3939</v>
      </c>
      <c r="E10" s="29" t="s">
        <v>491</v>
      </c>
      <c r="F10" s="27" t="s">
        <v>3940</v>
      </c>
      <c r="G10" s="27">
        <v>3100521421</v>
      </c>
      <c r="H10" s="27" t="s">
        <v>3913</v>
      </c>
      <c r="I10" s="27" t="s">
        <v>3941</v>
      </c>
      <c r="J10" s="27" t="s">
        <v>941</v>
      </c>
      <c r="K10" s="27" t="s">
        <v>942</v>
      </c>
      <c r="L10" s="27" t="s">
        <v>975</v>
      </c>
      <c r="M10" s="27" t="s">
        <v>2130</v>
      </c>
      <c r="N10" s="41">
        <v>32500</v>
      </c>
      <c r="O10" s="27" t="s">
        <v>945</v>
      </c>
      <c r="P10" s="27" t="s">
        <v>946</v>
      </c>
      <c r="Q10" s="27" t="s">
        <v>947</v>
      </c>
      <c r="R10" s="27" t="s">
        <v>3942</v>
      </c>
      <c r="S10" s="27" t="s">
        <v>3917</v>
      </c>
      <c r="T10" s="27" t="s">
        <v>1030</v>
      </c>
      <c r="U10" s="27"/>
      <c r="V10" s="27" t="s">
        <v>3943</v>
      </c>
      <c r="W10" s="27" t="s">
        <v>3944</v>
      </c>
      <c r="X10" s="27" t="s">
        <v>953</v>
      </c>
      <c r="Y10" s="27" t="s">
        <v>582</v>
      </c>
      <c r="Z10" s="27" t="s">
        <v>3945</v>
      </c>
      <c r="AA10" s="27" t="s">
        <v>3946</v>
      </c>
      <c r="AB10" s="27" t="s">
        <v>3947</v>
      </c>
      <c r="AC10" s="27" t="s">
        <v>406</v>
      </c>
      <c r="AD10" s="27" t="s">
        <v>406</v>
      </c>
      <c r="AE10" s="27" t="s">
        <v>406</v>
      </c>
      <c r="AF10" s="27" t="s">
        <v>406</v>
      </c>
      <c r="AG10" s="27" t="s">
        <v>406</v>
      </c>
      <c r="AH10" s="27">
        <v>39</v>
      </c>
      <c r="AI10" s="27">
        <v>39</v>
      </c>
      <c r="AJ10" s="27">
        <v>39</v>
      </c>
      <c r="AK10" s="27">
        <v>39</v>
      </c>
      <c r="AL10" s="27" t="s">
        <v>406</v>
      </c>
      <c r="AM10" s="27" t="s">
        <v>406</v>
      </c>
      <c r="AN10" s="27" t="s">
        <v>406</v>
      </c>
    </row>
    <row r="11" ht="15.75" customHeight="1" spans="1:40">
      <c r="A11" s="6" t="s">
        <v>3888</v>
      </c>
      <c r="B11" s="6" t="s">
        <v>582</v>
      </c>
      <c r="C11" s="4" t="s">
        <v>937</v>
      </c>
      <c r="D11" s="10" t="s">
        <v>314</v>
      </c>
      <c r="E11" s="29" t="s">
        <v>490</v>
      </c>
      <c r="F11" s="27" t="s">
        <v>3948</v>
      </c>
      <c r="G11" s="27">
        <v>6100215886</v>
      </c>
      <c r="H11" s="27" t="s">
        <v>3913</v>
      </c>
      <c r="I11" s="27" t="s">
        <v>3949</v>
      </c>
      <c r="J11" s="27" t="s">
        <v>941</v>
      </c>
      <c r="K11" s="27" t="s">
        <v>942</v>
      </c>
      <c r="L11" s="27" t="s">
        <v>2122</v>
      </c>
      <c r="M11" s="27" t="s">
        <v>3950</v>
      </c>
      <c r="N11" s="40">
        <v>33857</v>
      </c>
      <c r="O11" s="27" t="s">
        <v>945</v>
      </c>
      <c r="P11" s="27" t="s">
        <v>946</v>
      </c>
      <c r="Q11" s="27" t="s">
        <v>963</v>
      </c>
      <c r="R11" s="27" t="s">
        <v>3951</v>
      </c>
      <c r="S11" s="27" t="s">
        <v>3952</v>
      </c>
      <c r="T11" s="27" t="s">
        <v>965</v>
      </c>
      <c r="U11" s="27"/>
      <c r="V11" s="27" t="s">
        <v>3953</v>
      </c>
      <c r="W11" s="27" t="s">
        <v>3954</v>
      </c>
      <c r="X11" s="27" t="s">
        <v>953</v>
      </c>
      <c r="Y11" s="27" t="s">
        <v>582</v>
      </c>
      <c r="Z11" s="27" t="s">
        <v>3955</v>
      </c>
      <c r="AA11" s="27" t="s">
        <v>3956</v>
      </c>
      <c r="AB11" s="27" t="s">
        <v>3957</v>
      </c>
      <c r="AC11" s="27" t="s">
        <v>406</v>
      </c>
      <c r="AD11" s="27" t="s">
        <v>406</v>
      </c>
      <c r="AE11" s="27" t="s">
        <v>406</v>
      </c>
      <c r="AF11" s="27" t="s">
        <v>406</v>
      </c>
      <c r="AG11" s="27" t="s">
        <v>406</v>
      </c>
      <c r="AH11" s="27">
        <v>40</v>
      </c>
      <c r="AI11" s="27">
        <v>40</v>
      </c>
      <c r="AJ11" s="27">
        <v>40</v>
      </c>
      <c r="AK11" s="27">
        <v>40</v>
      </c>
      <c r="AL11" s="27" t="s">
        <v>396</v>
      </c>
      <c r="AM11" s="27" t="s">
        <v>396</v>
      </c>
      <c r="AN11" s="27" t="s">
        <v>396</v>
      </c>
    </row>
    <row r="12" ht="15.75" customHeight="1" spans="1:40">
      <c r="A12" s="6" t="s">
        <v>3888</v>
      </c>
      <c r="B12" s="27" t="s">
        <v>3889</v>
      </c>
      <c r="C12" s="4" t="s">
        <v>937</v>
      </c>
      <c r="D12" s="35" t="s">
        <v>315</v>
      </c>
      <c r="E12" s="29" t="s">
        <v>490</v>
      </c>
      <c r="F12" s="27" t="s">
        <v>3958</v>
      </c>
      <c r="G12" s="27">
        <v>2102229271</v>
      </c>
      <c r="H12" s="27" t="s">
        <v>3891</v>
      </c>
      <c r="I12" s="27" t="s">
        <v>3892</v>
      </c>
      <c r="J12" s="27" t="s">
        <v>942</v>
      </c>
      <c r="K12" s="27" t="s">
        <v>942</v>
      </c>
      <c r="L12" s="27" t="s">
        <v>943</v>
      </c>
      <c r="M12" s="27" t="s">
        <v>3959</v>
      </c>
      <c r="N12" s="40">
        <v>33420</v>
      </c>
      <c r="O12" s="27" t="s">
        <v>945</v>
      </c>
      <c r="P12" s="27" t="s">
        <v>946</v>
      </c>
      <c r="Q12" s="27" t="s">
        <v>947</v>
      </c>
      <c r="R12" s="27" t="s">
        <v>3960</v>
      </c>
      <c r="S12" s="27">
        <v>84</v>
      </c>
      <c r="T12" s="27" t="s">
        <v>1011</v>
      </c>
      <c r="U12" s="27">
        <v>51981078346</v>
      </c>
      <c r="V12" s="27">
        <v>51981078346</v>
      </c>
      <c r="W12" s="27">
        <v>51981208422</v>
      </c>
      <c r="X12" s="27" t="s">
        <v>953</v>
      </c>
      <c r="Y12" s="27" t="s">
        <v>1686</v>
      </c>
      <c r="Z12" s="27" t="s">
        <v>3961</v>
      </c>
      <c r="AA12" s="27" t="s">
        <v>3962</v>
      </c>
      <c r="AB12" s="27" t="s">
        <v>1086</v>
      </c>
      <c r="AC12" s="27" t="s">
        <v>406</v>
      </c>
      <c r="AD12" s="27" t="s">
        <v>406</v>
      </c>
      <c r="AE12" s="27" t="s">
        <v>406</v>
      </c>
      <c r="AF12" s="27" t="s">
        <v>406</v>
      </c>
      <c r="AG12" s="27" t="s">
        <v>406</v>
      </c>
      <c r="AH12" s="27">
        <v>42</v>
      </c>
      <c r="AI12" s="27">
        <v>42</v>
      </c>
      <c r="AJ12" s="27">
        <v>42</v>
      </c>
      <c r="AK12" s="27">
        <v>42</v>
      </c>
      <c r="AL12" s="27" t="s">
        <v>406</v>
      </c>
      <c r="AM12" s="27" t="s">
        <v>406</v>
      </c>
      <c r="AN12" s="27" t="s">
        <v>406</v>
      </c>
    </row>
    <row r="13" ht="15.75" customHeight="1" spans="1:40">
      <c r="A13" s="27"/>
      <c r="B13" s="27"/>
      <c r="C13" s="4"/>
      <c r="D13" s="35" t="s">
        <v>3963</v>
      </c>
      <c r="E13" s="29" t="s">
        <v>491</v>
      </c>
      <c r="F13" s="27" t="s">
        <v>3964</v>
      </c>
      <c r="G13" s="27"/>
      <c r="H13" s="27"/>
      <c r="I13" s="27"/>
      <c r="J13" s="27"/>
      <c r="K13" s="27"/>
      <c r="L13" s="27"/>
      <c r="M13" s="27"/>
      <c r="N13" s="40"/>
      <c r="O13" s="27"/>
      <c r="P13" s="27"/>
      <c r="Q13" s="27"/>
      <c r="R13" s="6"/>
      <c r="S13" s="27"/>
      <c r="T13" s="27"/>
      <c r="U13" s="27"/>
      <c r="V13" s="27"/>
      <c r="W13" s="27"/>
      <c r="X13" s="27"/>
      <c r="Y13" s="27"/>
      <c r="Z13" s="27"/>
      <c r="AA13" s="43"/>
      <c r="AB13" s="27"/>
      <c r="AC13" s="27"/>
      <c r="AD13" s="27"/>
      <c r="AE13" s="27"/>
      <c r="AF13" s="27"/>
      <c r="AG13" s="27"/>
      <c r="AH13" s="27"/>
      <c r="AI13" s="27"/>
      <c r="AJ13" s="27"/>
      <c r="AK13" s="27"/>
      <c r="AL13" s="27"/>
      <c r="AM13" s="27"/>
      <c r="AN13" s="27"/>
    </row>
    <row r="14" ht="15.75" customHeight="1" spans="1:40">
      <c r="A14" s="38" t="s">
        <v>504</v>
      </c>
      <c r="B14" s="27"/>
      <c r="C14" s="4"/>
      <c r="D14" s="7" t="s">
        <v>3965</v>
      </c>
      <c r="E14" s="29" t="s">
        <v>971</v>
      </c>
      <c r="F14" s="6" t="s">
        <v>3966</v>
      </c>
      <c r="G14" s="27"/>
      <c r="H14" s="27"/>
      <c r="I14" s="27"/>
      <c r="J14" s="27"/>
      <c r="K14" s="27"/>
      <c r="L14" s="27"/>
      <c r="M14" s="27"/>
      <c r="N14" s="40"/>
      <c r="O14" s="27"/>
      <c r="P14" s="27"/>
      <c r="Q14" s="27"/>
      <c r="R14" s="27"/>
      <c r="S14" s="27"/>
      <c r="T14" s="27"/>
      <c r="U14" s="27"/>
      <c r="V14" s="27"/>
      <c r="W14" s="27"/>
      <c r="X14" s="27"/>
      <c r="Y14" s="27"/>
      <c r="Z14" s="27"/>
      <c r="AA14" s="43"/>
      <c r="AB14" s="27"/>
      <c r="AC14" s="27"/>
      <c r="AD14" s="27"/>
      <c r="AE14" s="27"/>
      <c r="AF14" s="27"/>
      <c r="AG14" s="27"/>
      <c r="AH14" s="27"/>
      <c r="AI14" s="27"/>
      <c r="AJ14" s="27"/>
      <c r="AK14" s="27"/>
      <c r="AL14" s="27"/>
      <c r="AM14" s="27"/>
      <c r="AN14" s="27"/>
    </row>
    <row r="15" ht="15.75" customHeight="1" spans="1:40">
      <c r="A15" s="27"/>
      <c r="B15" s="27"/>
      <c r="C15" s="4"/>
      <c r="D15" s="35" t="s">
        <v>3967</v>
      </c>
      <c r="E15" s="29" t="s">
        <v>491</v>
      </c>
      <c r="F15" s="27" t="s">
        <v>3968</v>
      </c>
      <c r="G15" s="27"/>
      <c r="H15" s="27"/>
      <c r="I15" s="27"/>
      <c r="J15" s="27"/>
      <c r="K15" s="27"/>
      <c r="L15" s="27"/>
      <c r="M15" s="27"/>
      <c r="N15" s="40"/>
      <c r="O15" s="27"/>
      <c r="P15" s="27"/>
      <c r="Q15" s="27"/>
      <c r="R15" s="6"/>
      <c r="S15" s="27"/>
      <c r="T15" s="27"/>
      <c r="U15" s="27"/>
      <c r="V15" s="27"/>
      <c r="W15" s="27"/>
      <c r="X15" s="27"/>
      <c r="Y15" s="27"/>
      <c r="Z15" s="27"/>
      <c r="AA15" s="43"/>
      <c r="AB15" s="27"/>
      <c r="AC15" s="27"/>
      <c r="AD15" s="27"/>
      <c r="AE15" s="27"/>
      <c r="AF15" s="27"/>
      <c r="AG15" s="27"/>
      <c r="AH15" s="27"/>
      <c r="AI15" s="27"/>
      <c r="AJ15" s="27"/>
      <c r="AK15" s="27"/>
      <c r="AL15" s="27"/>
      <c r="AM15" s="27"/>
      <c r="AN15" s="27"/>
    </row>
    <row r="16" ht="15.75" customHeight="1" spans="1:40">
      <c r="A16" s="38" t="s">
        <v>504</v>
      </c>
      <c r="B16" s="27"/>
      <c r="C16" s="4"/>
      <c r="D16" s="7" t="s">
        <v>222</v>
      </c>
      <c r="E16" s="29" t="s">
        <v>971</v>
      </c>
      <c r="F16" s="6" t="s">
        <v>3969</v>
      </c>
      <c r="G16" s="27"/>
      <c r="H16" s="27"/>
      <c r="I16" s="27"/>
      <c r="J16" s="27"/>
      <c r="K16" s="27"/>
      <c r="L16" s="27"/>
      <c r="M16" s="27"/>
      <c r="N16" s="40"/>
      <c r="O16" s="27"/>
      <c r="P16" s="27"/>
      <c r="Q16" s="27"/>
      <c r="R16" s="27"/>
      <c r="S16" s="27"/>
      <c r="T16" s="27"/>
      <c r="U16" s="27"/>
      <c r="V16" s="27"/>
      <c r="W16" s="27"/>
      <c r="X16" s="27"/>
      <c r="Y16" s="27"/>
      <c r="Z16" s="27"/>
      <c r="AA16" s="43"/>
      <c r="AB16" s="27"/>
      <c r="AC16" s="27"/>
      <c r="AD16" s="27"/>
      <c r="AE16" s="27"/>
      <c r="AF16" s="27"/>
      <c r="AG16" s="27"/>
      <c r="AH16" s="27"/>
      <c r="AI16" s="27"/>
      <c r="AJ16" s="27"/>
      <c r="AK16" s="27"/>
      <c r="AL16" s="27"/>
      <c r="AM16" s="27"/>
      <c r="AN16" s="27"/>
    </row>
    <row r="17" ht="15.75" customHeight="1" spans="1:40">
      <c r="A17" s="6" t="s">
        <v>3888</v>
      </c>
      <c r="B17" s="6" t="s">
        <v>582</v>
      </c>
      <c r="C17" s="4" t="s">
        <v>937</v>
      </c>
      <c r="D17" s="10" t="s">
        <v>316</v>
      </c>
      <c r="E17" s="29" t="s">
        <v>491</v>
      </c>
      <c r="F17" s="27" t="s">
        <v>3970</v>
      </c>
      <c r="G17" s="27">
        <v>8116128458</v>
      </c>
      <c r="H17" s="27" t="s">
        <v>3913</v>
      </c>
      <c r="I17" s="27" t="s">
        <v>3949</v>
      </c>
      <c r="J17" s="27" t="s">
        <v>941</v>
      </c>
      <c r="K17" s="27" t="s">
        <v>942</v>
      </c>
      <c r="L17" s="27" t="s">
        <v>1080</v>
      </c>
      <c r="M17" s="27" t="s">
        <v>3971</v>
      </c>
      <c r="N17" s="40">
        <v>35823</v>
      </c>
      <c r="O17" s="27" t="s">
        <v>1028</v>
      </c>
      <c r="P17" s="27" t="s">
        <v>1041</v>
      </c>
      <c r="Q17" s="27" t="s">
        <v>947</v>
      </c>
      <c r="R17" s="27" t="s">
        <v>3972</v>
      </c>
      <c r="S17" s="27" t="s">
        <v>3973</v>
      </c>
      <c r="T17" s="27" t="s">
        <v>1369</v>
      </c>
      <c r="U17" s="27"/>
      <c r="V17" s="27" t="s">
        <v>3974</v>
      </c>
      <c r="W17" s="27" t="s">
        <v>3943</v>
      </c>
      <c r="X17" s="27" t="s">
        <v>953</v>
      </c>
      <c r="Y17" s="27" t="s">
        <v>582</v>
      </c>
      <c r="Z17" s="27" t="s">
        <v>3945</v>
      </c>
      <c r="AA17" s="27" t="s">
        <v>3946</v>
      </c>
      <c r="AB17" s="27" t="s">
        <v>3947</v>
      </c>
      <c r="AC17" s="27" t="s">
        <v>395</v>
      </c>
      <c r="AD17" s="27" t="s">
        <v>395</v>
      </c>
      <c r="AE17" s="27" t="s">
        <v>395</v>
      </c>
      <c r="AF17" s="27" t="s">
        <v>395</v>
      </c>
      <c r="AG17" s="27" t="s">
        <v>395</v>
      </c>
      <c r="AH17" s="27">
        <v>36</v>
      </c>
      <c r="AI17" s="27">
        <v>36</v>
      </c>
      <c r="AJ17" s="27">
        <v>36</v>
      </c>
      <c r="AK17" s="27">
        <v>36</v>
      </c>
      <c r="AL17" s="27" t="s">
        <v>395</v>
      </c>
      <c r="AM17" s="27" t="s">
        <v>395</v>
      </c>
      <c r="AN17" s="27" t="s">
        <v>395</v>
      </c>
    </row>
    <row r="18" ht="15.75" customHeight="1" spans="1:40">
      <c r="A18" s="27" t="s">
        <v>3888</v>
      </c>
      <c r="B18" s="27" t="s">
        <v>3923</v>
      </c>
      <c r="C18" s="4" t="s">
        <v>957</v>
      </c>
      <c r="D18" s="35" t="s">
        <v>317</v>
      </c>
      <c r="E18" s="29" t="s">
        <v>490</v>
      </c>
      <c r="F18" s="27" t="s">
        <v>3975</v>
      </c>
      <c r="G18" s="27">
        <v>1095723118</v>
      </c>
      <c r="H18" s="27" t="s">
        <v>3926</v>
      </c>
      <c r="I18" s="27" t="s">
        <v>3976</v>
      </c>
      <c r="J18" s="27" t="s">
        <v>941</v>
      </c>
      <c r="K18" s="27" t="s">
        <v>941</v>
      </c>
      <c r="L18" s="27" t="s">
        <v>975</v>
      </c>
      <c r="M18" s="27" t="s">
        <v>3977</v>
      </c>
      <c r="N18" s="40">
        <v>33308</v>
      </c>
      <c r="O18" s="27" t="s">
        <v>945</v>
      </c>
      <c r="P18" s="27" t="s">
        <v>1257</v>
      </c>
      <c r="Q18" s="27" t="s">
        <v>963</v>
      </c>
      <c r="R18" s="42" t="s">
        <v>3978</v>
      </c>
      <c r="S18" s="27">
        <v>80</v>
      </c>
      <c r="T18" s="27" t="s">
        <v>1030</v>
      </c>
      <c r="U18" s="27"/>
      <c r="V18" s="27" t="s">
        <v>3979</v>
      </c>
      <c r="W18" s="27" t="s">
        <v>3980</v>
      </c>
      <c r="X18" s="27" t="s">
        <v>953</v>
      </c>
      <c r="Y18" s="27" t="s">
        <v>1484</v>
      </c>
      <c r="Z18" s="27" t="s">
        <v>3981</v>
      </c>
      <c r="AA18" s="27" t="s">
        <v>3982</v>
      </c>
      <c r="AB18" s="27" t="s">
        <v>3983</v>
      </c>
      <c r="AC18" s="27" t="s">
        <v>396</v>
      </c>
      <c r="AD18" s="27" t="s">
        <v>396</v>
      </c>
      <c r="AE18" s="27" t="s">
        <v>406</v>
      </c>
      <c r="AF18" s="27" t="s">
        <v>396</v>
      </c>
      <c r="AG18" s="27" t="s">
        <v>396</v>
      </c>
      <c r="AH18" s="27">
        <v>40</v>
      </c>
      <c r="AI18" s="27">
        <v>40</v>
      </c>
      <c r="AJ18" s="27">
        <v>40</v>
      </c>
      <c r="AK18" s="27">
        <v>40</v>
      </c>
      <c r="AL18" s="27" t="s">
        <v>406</v>
      </c>
      <c r="AM18" s="27" t="s">
        <v>406</v>
      </c>
      <c r="AN18" s="27" t="s">
        <v>406</v>
      </c>
    </row>
    <row r="19" ht="15.75" customHeight="1" spans="1:40">
      <c r="A19" s="27" t="s">
        <v>3922</v>
      </c>
      <c r="B19" s="27" t="s">
        <v>3923</v>
      </c>
      <c r="C19" s="4" t="s">
        <v>898</v>
      </c>
      <c r="D19" s="35" t="s">
        <v>3984</v>
      </c>
      <c r="E19" s="29" t="s">
        <v>490</v>
      </c>
      <c r="F19" s="27" t="s">
        <v>3985</v>
      </c>
      <c r="G19" s="27">
        <v>8114188652</v>
      </c>
      <c r="H19" s="27" t="s">
        <v>3926</v>
      </c>
      <c r="I19" s="27" t="s">
        <v>957</v>
      </c>
      <c r="J19" s="27" t="s">
        <v>941</v>
      </c>
      <c r="K19" s="27" t="s">
        <v>1325</v>
      </c>
      <c r="L19" s="27" t="s">
        <v>943</v>
      </c>
      <c r="M19" s="27" t="s">
        <v>3986</v>
      </c>
      <c r="N19" s="40">
        <v>35528</v>
      </c>
      <c r="O19" s="27" t="s">
        <v>945</v>
      </c>
      <c r="P19" s="27" t="s">
        <v>946</v>
      </c>
      <c r="Q19" s="27" t="s">
        <v>3987</v>
      </c>
      <c r="R19" s="42" t="s">
        <v>3988</v>
      </c>
      <c r="S19" s="27" t="s">
        <v>1467</v>
      </c>
      <c r="T19" s="27" t="s">
        <v>3989</v>
      </c>
      <c r="U19" s="27"/>
      <c r="V19" s="27" t="s">
        <v>3990</v>
      </c>
      <c r="W19" s="27" t="s">
        <v>3991</v>
      </c>
      <c r="X19" s="27" t="s">
        <v>953</v>
      </c>
      <c r="Y19" s="27" t="s">
        <v>1484</v>
      </c>
      <c r="Z19" s="27">
        <v>92420230</v>
      </c>
      <c r="AA19" s="43" t="s">
        <v>3992</v>
      </c>
      <c r="AB19" s="27" t="s">
        <v>3993</v>
      </c>
      <c r="AC19" s="27" t="s">
        <v>396</v>
      </c>
      <c r="AD19" s="27" t="s">
        <v>396</v>
      </c>
      <c r="AE19" s="27" t="s">
        <v>406</v>
      </c>
      <c r="AF19" s="27" t="s">
        <v>396</v>
      </c>
      <c r="AG19" s="27" t="s">
        <v>396</v>
      </c>
      <c r="AH19" s="27">
        <v>41</v>
      </c>
      <c r="AI19" s="27">
        <v>41</v>
      </c>
      <c r="AJ19" s="27">
        <v>40</v>
      </c>
      <c r="AK19" s="27">
        <v>41</v>
      </c>
      <c r="AL19" s="27" t="s">
        <v>396</v>
      </c>
      <c r="AM19" s="27" t="s">
        <v>396</v>
      </c>
      <c r="AN19" s="27" t="s">
        <v>396</v>
      </c>
    </row>
    <row r="20" ht="15.75" customHeight="1" spans="1:40">
      <c r="A20" s="6" t="s">
        <v>3888</v>
      </c>
      <c r="B20" s="6" t="s">
        <v>582</v>
      </c>
      <c r="C20" s="4" t="s">
        <v>937</v>
      </c>
      <c r="D20" s="10" t="s">
        <v>3994</v>
      </c>
      <c r="E20" s="29" t="s">
        <v>491</v>
      </c>
      <c r="F20" s="27" t="s">
        <v>3995</v>
      </c>
      <c r="G20" s="27">
        <v>1064840448</v>
      </c>
      <c r="H20" s="27" t="s">
        <v>3913</v>
      </c>
      <c r="I20" s="27" t="s">
        <v>3949</v>
      </c>
      <c r="J20" s="27" t="s">
        <v>941</v>
      </c>
      <c r="K20" s="27" t="s">
        <v>941</v>
      </c>
      <c r="L20" s="27" t="s">
        <v>1080</v>
      </c>
      <c r="M20" s="27" t="s">
        <v>3996</v>
      </c>
      <c r="N20" s="41">
        <v>28489</v>
      </c>
      <c r="O20" s="27" t="s">
        <v>945</v>
      </c>
      <c r="P20" s="27" t="s">
        <v>946</v>
      </c>
      <c r="Q20" s="27" t="s">
        <v>963</v>
      </c>
      <c r="R20" s="27" t="s">
        <v>3997</v>
      </c>
      <c r="S20" s="27" t="s">
        <v>3917</v>
      </c>
      <c r="T20" s="27" t="s">
        <v>1011</v>
      </c>
      <c r="U20" s="27"/>
      <c r="V20" s="27" t="s">
        <v>3998</v>
      </c>
      <c r="W20" s="27" t="s">
        <v>3999</v>
      </c>
      <c r="X20" s="27" t="s">
        <v>953</v>
      </c>
      <c r="Y20" s="27" t="s">
        <v>582</v>
      </c>
      <c r="Z20" s="27" t="s">
        <v>4000</v>
      </c>
      <c r="AA20" s="27" t="s">
        <v>4001</v>
      </c>
      <c r="AB20" s="27" t="s">
        <v>3957</v>
      </c>
      <c r="AC20" s="27" t="s">
        <v>406</v>
      </c>
      <c r="AD20" s="27" t="s">
        <v>406</v>
      </c>
      <c r="AE20" s="27" t="s">
        <v>406</v>
      </c>
      <c r="AF20" s="27" t="s">
        <v>406</v>
      </c>
      <c r="AG20" s="27" t="s">
        <v>406</v>
      </c>
      <c r="AH20" s="27">
        <v>42</v>
      </c>
      <c r="AI20" s="27">
        <v>42</v>
      </c>
      <c r="AJ20" s="27">
        <v>42</v>
      </c>
      <c r="AK20" s="27">
        <v>42</v>
      </c>
      <c r="AL20" s="27" t="s">
        <v>406</v>
      </c>
      <c r="AM20" s="27" t="s">
        <v>406</v>
      </c>
      <c r="AN20" s="27" t="s">
        <v>406</v>
      </c>
    </row>
    <row r="21" ht="15.75" customHeight="1" spans="1:40">
      <c r="A21" s="6" t="s">
        <v>3888</v>
      </c>
      <c r="B21" s="6" t="s">
        <v>582</v>
      </c>
      <c r="C21" s="4" t="s">
        <v>937</v>
      </c>
      <c r="D21" s="10" t="s">
        <v>319</v>
      </c>
      <c r="E21" s="29" t="s">
        <v>491</v>
      </c>
      <c r="F21" s="27" t="s">
        <v>4002</v>
      </c>
      <c r="G21" s="27">
        <v>6036768064</v>
      </c>
      <c r="H21" s="27" t="s">
        <v>3913</v>
      </c>
      <c r="I21" s="27" t="s">
        <v>3914</v>
      </c>
      <c r="J21" s="27" t="s">
        <v>941</v>
      </c>
      <c r="K21" s="27" t="s">
        <v>941</v>
      </c>
      <c r="L21" s="27" t="s">
        <v>1080</v>
      </c>
      <c r="M21" s="27" t="s">
        <v>4003</v>
      </c>
      <c r="N21" s="41">
        <v>24470</v>
      </c>
      <c r="O21" s="27" t="s">
        <v>945</v>
      </c>
      <c r="P21" s="27" t="s">
        <v>946</v>
      </c>
      <c r="Q21" s="27" t="s">
        <v>963</v>
      </c>
      <c r="R21" s="27" t="s">
        <v>4004</v>
      </c>
      <c r="S21" s="27" t="s">
        <v>1467</v>
      </c>
      <c r="T21" s="27" t="s">
        <v>1011</v>
      </c>
      <c r="U21" s="27"/>
      <c r="V21" s="27" t="s">
        <v>4005</v>
      </c>
      <c r="W21" s="27" t="s">
        <v>4006</v>
      </c>
      <c r="X21" s="27" t="s">
        <v>953</v>
      </c>
      <c r="Y21" s="27" t="s">
        <v>582</v>
      </c>
      <c r="Z21" s="27" t="s">
        <v>4007</v>
      </c>
      <c r="AA21" s="27" t="s">
        <v>4008</v>
      </c>
      <c r="AB21" s="27" t="s">
        <v>4009</v>
      </c>
      <c r="AC21" s="27" t="s">
        <v>398</v>
      </c>
      <c r="AD21" s="27" t="s">
        <v>398</v>
      </c>
      <c r="AE21" s="27" t="s">
        <v>398</v>
      </c>
      <c r="AF21" s="27" t="s">
        <v>398</v>
      </c>
      <c r="AG21" s="27" t="s">
        <v>398</v>
      </c>
      <c r="AH21" s="27">
        <v>40</v>
      </c>
      <c r="AI21" s="27">
        <v>40</v>
      </c>
      <c r="AJ21" s="27">
        <v>40</v>
      </c>
      <c r="AK21" s="27">
        <v>40</v>
      </c>
      <c r="AL21" s="27" t="s">
        <v>398</v>
      </c>
      <c r="AM21" s="27" t="s">
        <v>398</v>
      </c>
      <c r="AN21" s="27" t="s">
        <v>398</v>
      </c>
    </row>
    <row r="22" ht="15.75" customHeight="1" spans="1:40">
      <c r="A22" s="6" t="s">
        <v>3888</v>
      </c>
      <c r="B22" s="27" t="s">
        <v>1409</v>
      </c>
      <c r="C22" s="4" t="s">
        <v>937</v>
      </c>
      <c r="D22" s="35" t="s">
        <v>320</v>
      </c>
      <c r="E22" s="29" t="s">
        <v>491</v>
      </c>
      <c r="F22" s="39" t="s">
        <v>4010</v>
      </c>
      <c r="G22" s="27">
        <v>6113588443</v>
      </c>
      <c r="H22" s="27" t="s">
        <v>4011</v>
      </c>
      <c r="I22" s="27" t="s">
        <v>3949</v>
      </c>
      <c r="J22" s="27" t="s">
        <v>942</v>
      </c>
      <c r="K22" s="27" t="s">
        <v>941</v>
      </c>
      <c r="L22" s="27" t="s">
        <v>975</v>
      </c>
      <c r="M22" s="27" t="s">
        <v>4012</v>
      </c>
      <c r="N22" s="40">
        <v>34250</v>
      </c>
      <c r="O22" s="27" t="s">
        <v>945</v>
      </c>
      <c r="P22" s="27" t="s">
        <v>946</v>
      </c>
      <c r="Q22" s="27" t="s">
        <v>963</v>
      </c>
      <c r="R22" s="27" t="s">
        <v>4013</v>
      </c>
      <c r="S22" s="27">
        <v>105</v>
      </c>
      <c r="T22" s="27" t="s">
        <v>965</v>
      </c>
      <c r="U22" s="27" t="s">
        <v>4014</v>
      </c>
      <c r="V22" s="27" t="s">
        <v>4014</v>
      </c>
      <c r="W22" s="27" t="s">
        <v>4015</v>
      </c>
      <c r="X22" s="27" t="s">
        <v>953</v>
      </c>
      <c r="Y22" s="27" t="s">
        <v>582</v>
      </c>
      <c r="Z22" s="27" t="s">
        <v>4016</v>
      </c>
      <c r="AA22" s="27" t="s">
        <v>4017</v>
      </c>
      <c r="AB22" s="27" t="s">
        <v>4018</v>
      </c>
      <c r="AC22" s="27" t="s">
        <v>406</v>
      </c>
      <c r="AD22" s="27" t="s">
        <v>406</v>
      </c>
      <c r="AE22" s="27" t="s">
        <v>406</v>
      </c>
      <c r="AF22" s="27" t="s">
        <v>406</v>
      </c>
      <c r="AG22" s="27" t="s">
        <v>406</v>
      </c>
      <c r="AH22" s="27">
        <v>43</v>
      </c>
      <c r="AI22" s="27">
        <v>43</v>
      </c>
      <c r="AJ22" s="27">
        <v>43</v>
      </c>
      <c r="AK22" s="27">
        <v>44</v>
      </c>
      <c r="AL22" s="27" t="s">
        <v>406</v>
      </c>
      <c r="AM22" s="27" t="s">
        <v>406</v>
      </c>
      <c r="AN22" s="27" t="s">
        <v>406</v>
      </c>
    </row>
    <row r="23" ht="15.75" customHeight="1" spans="1:40">
      <c r="A23" s="6" t="s">
        <v>3888</v>
      </c>
      <c r="B23" s="27"/>
      <c r="C23" s="4"/>
      <c r="D23" s="7" t="s">
        <v>229</v>
      </c>
      <c r="E23" s="29" t="s">
        <v>971</v>
      </c>
      <c r="F23" s="6" t="s">
        <v>4019</v>
      </c>
      <c r="G23" s="27"/>
      <c r="H23" s="27"/>
      <c r="I23" s="27"/>
      <c r="J23" s="27"/>
      <c r="K23" s="27"/>
      <c r="L23" s="27"/>
      <c r="M23" s="27"/>
      <c r="N23" s="40"/>
      <c r="O23" s="27"/>
      <c r="P23" s="27"/>
      <c r="Q23" s="27"/>
      <c r="R23" s="27"/>
      <c r="S23" s="27"/>
      <c r="T23" s="27"/>
      <c r="U23" s="27"/>
      <c r="V23" s="27"/>
      <c r="W23" s="27"/>
      <c r="X23" s="27"/>
      <c r="Y23" s="27"/>
      <c r="Z23" s="27"/>
      <c r="AA23" s="43"/>
      <c r="AB23" s="27"/>
      <c r="AC23" s="27"/>
      <c r="AD23" s="27"/>
      <c r="AE23" s="27"/>
      <c r="AF23" s="27"/>
      <c r="AG23" s="27"/>
      <c r="AH23" s="27"/>
      <c r="AI23" s="27"/>
      <c r="AJ23" s="27"/>
      <c r="AK23" s="27"/>
      <c r="AL23" s="27"/>
      <c r="AM23" s="27"/>
      <c r="AN23" s="27"/>
    </row>
    <row r="24" ht="15.75" customHeight="1" spans="1:40">
      <c r="A24" s="6" t="s">
        <v>3888</v>
      </c>
      <c r="B24" s="6" t="s">
        <v>582</v>
      </c>
      <c r="C24" s="4" t="s">
        <v>937</v>
      </c>
      <c r="D24" s="10" t="s">
        <v>4020</v>
      </c>
      <c r="E24" s="29" t="s">
        <v>492</v>
      </c>
      <c r="F24" s="27" t="s">
        <v>4021</v>
      </c>
      <c r="G24" s="27">
        <v>1060864293</v>
      </c>
      <c r="H24" s="27" t="s">
        <v>3913</v>
      </c>
      <c r="I24" s="27" t="s">
        <v>3914</v>
      </c>
      <c r="J24" s="27" t="s">
        <v>941</v>
      </c>
      <c r="K24" s="27" t="s">
        <v>942</v>
      </c>
      <c r="L24" s="27" t="s">
        <v>1080</v>
      </c>
      <c r="M24" s="27" t="s">
        <v>4022</v>
      </c>
      <c r="N24" s="40">
        <v>28148</v>
      </c>
      <c r="O24" s="27" t="s">
        <v>945</v>
      </c>
      <c r="P24" s="27" t="s">
        <v>1104</v>
      </c>
      <c r="Q24" s="27" t="s">
        <v>963</v>
      </c>
      <c r="R24" s="27" t="s">
        <v>4023</v>
      </c>
      <c r="S24" s="27" t="s">
        <v>4024</v>
      </c>
      <c r="T24" s="27" t="s">
        <v>1154</v>
      </c>
      <c r="U24" s="27" t="s">
        <v>4025</v>
      </c>
      <c r="V24" s="27" t="s">
        <v>4026</v>
      </c>
      <c r="W24" s="27" t="s">
        <v>4027</v>
      </c>
      <c r="X24" s="27" t="s">
        <v>953</v>
      </c>
      <c r="Y24" s="27" t="s">
        <v>582</v>
      </c>
      <c r="Z24" s="27" t="s">
        <v>4028</v>
      </c>
      <c r="AA24" s="27" t="s">
        <v>4029</v>
      </c>
      <c r="AB24" s="27" t="s">
        <v>3957</v>
      </c>
      <c r="AC24" s="27" t="s">
        <v>399</v>
      </c>
      <c r="AD24" s="27" t="s">
        <v>399</v>
      </c>
      <c r="AE24" s="27" t="s">
        <v>399</v>
      </c>
      <c r="AF24" s="27" t="s">
        <v>399</v>
      </c>
      <c r="AG24" s="27" t="s">
        <v>399</v>
      </c>
      <c r="AH24" s="27">
        <v>45</v>
      </c>
      <c r="AI24" s="27">
        <v>45</v>
      </c>
      <c r="AJ24" s="27">
        <v>45</v>
      </c>
      <c r="AK24" s="27">
        <v>45</v>
      </c>
      <c r="AL24" s="27" t="s">
        <v>399</v>
      </c>
      <c r="AM24" s="27" t="s">
        <v>399</v>
      </c>
      <c r="AN24" s="27" t="s">
        <v>399</v>
      </c>
    </row>
    <row r="25" ht="15.75" customHeight="1" spans="1:40">
      <c r="A25" s="6" t="s">
        <v>3888</v>
      </c>
      <c r="B25" s="6" t="s">
        <v>582</v>
      </c>
      <c r="C25" s="4" t="s">
        <v>937</v>
      </c>
      <c r="D25" s="10" t="s">
        <v>321</v>
      </c>
      <c r="E25" s="29" t="s">
        <v>490</v>
      </c>
      <c r="F25" s="27" t="s">
        <v>4030</v>
      </c>
      <c r="G25" s="27">
        <v>4096214004</v>
      </c>
      <c r="H25" s="27" t="s">
        <v>3913</v>
      </c>
      <c r="I25" s="27" t="s">
        <v>4031</v>
      </c>
      <c r="J25" s="27" t="s">
        <v>941</v>
      </c>
      <c r="K25" s="27" t="s">
        <v>942</v>
      </c>
      <c r="L25" s="27" t="s">
        <v>1026</v>
      </c>
      <c r="M25" s="27" t="s">
        <v>4032</v>
      </c>
      <c r="N25" s="40">
        <v>33181</v>
      </c>
      <c r="O25" s="27" t="s">
        <v>945</v>
      </c>
      <c r="P25" s="27" t="s">
        <v>946</v>
      </c>
      <c r="Q25" s="27" t="s">
        <v>947</v>
      </c>
      <c r="R25" s="27" t="s">
        <v>4033</v>
      </c>
      <c r="S25" s="27" t="s">
        <v>1467</v>
      </c>
      <c r="T25" s="27" t="s">
        <v>1154</v>
      </c>
      <c r="U25" s="27"/>
      <c r="V25" s="27" t="s">
        <v>4034</v>
      </c>
      <c r="W25" s="27" t="s">
        <v>4035</v>
      </c>
      <c r="X25" s="27" t="s">
        <v>953</v>
      </c>
      <c r="Y25" s="27" t="s">
        <v>582</v>
      </c>
      <c r="Z25" s="27" t="s">
        <v>4036</v>
      </c>
      <c r="AA25" s="27" t="s">
        <v>4037</v>
      </c>
      <c r="AB25" s="27" t="s">
        <v>4038</v>
      </c>
      <c r="AC25" s="27" t="s">
        <v>406</v>
      </c>
      <c r="AD25" s="27" t="s">
        <v>406</v>
      </c>
      <c r="AE25" s="27" t="s">
        <v>406</v>
      </c>
      <c r="AF25" s="27" t="s">
        <v>406</v>
      </c>
      <c r="AG25" s="27" t="s">
        <v>406</v>
      </c>
      <c r="AH25" s="27">
        <v>42</v>
      </c>
      <c r="AI25" s="27">
        <v>42</v>
      </c>
      <c r="AJ25" s="27">
        <v>42</v>
      </c>
      <c r="AK25" s="27">
        <v>42</v>
      </c>
      <c r="AL25" s="27" t="s">
        <v>406</v>
      </c>
      <c r="AM25" s="27" t="s">
        <v>406</v>
      </c>
      <c r="AN25" s="27" t="s">
        <v>406</v>
      </c>
    </row>
    <row r="26" ht="15.75" customHeight="1" spans="1:40">
      <c r="A26" s="38" t="s">
        <v>504</v>
      </c>
      <c r="B26" s="27"/>
      <c r="C26" s="4"/>
      <c r="D26" s="7" t="s">
        <v>238</v>
      </c>
      <c r="E26" s="29" t="s">
        <v>971</v>
      </c>
      <c r="F26" s="6" t="s">
        <v>4039</v>
      </c>
      <c r="G26" s="27"/>
      <c r="H26" s="27"/>
      <c r="I26" s="27"/>
      <c r="J26" s="27"/>
      <c r="K26" s="27"/>
      <c r="L26" s="27"/>
      <c r="M26" s="27"/>
      <c r="N26" s="40"/>
      <c r="O26" s="27"/>
      <c r="P26" s="27"/>
      <c r="Q26" s="27"/>
      <c r="R26" s="27"/>
      <c r="S26" s="27"/>
      <c r="T26" s="27"/>
      <c r="U26" s="27"/>
      <c r="V26" s="27"/>
      <c r="W26" s="27"/>
      <c r="X26" s="27"/>
      <c r="Y26" s="27"/>
      <c r="Z26" s="27"/>
      <c r="AA26" s="43"/>
      <c r="AB26" s="27"/>
      <c r="AC26" s="27"/>
      <c r="AD26" s="27"/>
      <c r="AE26" s="27"/>
      <c r="AF26" s="27"/>
      <c r="AG26" s="27"/>
      <c r="AH26" s="27"/>
      <c r="AI26" s="27"/>
      <c r="AJ26" s="27"/>
      <c r="AK26" s="27"/>
      <c r="AL26" s="27"/>
      <c r="AM26" s="27"/>
      <c r="AN26" s="27"/>
    </row>
    <row r="27" ht="15.75" customHeight="1" spans="1:40">
      <c r="A27" s="38" t="s">
        <v>504</v>
      </c>
      <c r="B27" s="27"/>
      <c r="C27" s="4"/>
      <c r="D27" s="7" t="s">
        <v>4040</v>
      </c>
      <c r="E27" s="29" t="s">
        <v>971</v>
      </c>
      <c r="F27" s="6" t="s">
        <v>4041</v>
      </c>
      <c r="G27" s="27"/>
      <c r="H27" s="27"/>
      <c r="I27" s="27"/>
      <c r="J27" s="27"/>
      <c r="K27" s="27"/>
      <c r="L27" s="27"/>
      <c r="M27" s="27"/>
      <c r="N27" s="40"/>
      <c r="O27" s="27"/>
      <c r="P27" s="27"/>
      <c r="Q27" s="27"/>
      <c r="R27" s="27"/>
      <c r="S27" s="27"/>
      <c r="T27" s="27"/>
      <c r="U27" s="27"/>
      <c r="V27" s="27"/>
      <c r="W27" s="27"/>
      <c r="X27" s="27"/>
      <c r="Y27" s="27"/>
      <c r="Z27" s="27"/>
      <c r="AA27" s="43"/>
      <c r="AB27" s="27"/>
      <c r="AC27" s="27"/>
      <c r="AD27" s="27"/>
      <c r="AE27" s="27"/>
      <c r="AF27" s="27"/>
      <c r="AG27" s="27"/>
      <c r="AH27" s="27"/>
      <c r="AI27" s="27"/>
      <c r="AJ27" s="27"/>
      <c r="AK27" s="27"/>
      <c r="AL27" s="27"/>
      <c r="AM27" s="27"/>
      <c r="AN27" s="27"/>
    </row>
    <row r="28" ht="15.75" customHeight="1" spans="1:40">
      <c r="A28" s="6" t="s">
        <v>3888</v>
      </c>
      <c r="B28" s="27"/>
      <c r="C28" s="4"/>
      <c r="D28" s="7" t="s">
        <v>242</v>
      </c>
      <c r="E28" s="29" t="s">
        <v>971</v>
      </c>
      <c r="F28" s="6" t="s">
        <v>4042</v>
      </c>
      <c r="G28" s="27"/>
      <c r="H28" s="27"/>
      <c r="I28" s="27"/>
      <c r="J28" s="27"/>
      <c r="K28" s="27"/>
      <c r="L28" s="27"/>
      <c r="M28" s="27"/>
      <c r="N28" s="40"/>
      <c r="O28" s="27"/>
      <c r="P28" s="27"/>
      <c r="Q28" s="27"/>
      <c r="R28" s="27"/>
      <c r="S28" s="27"/>
      <c r="T28" s="27"/>
      <c r="U28" s="27"/>
      <c r="V28" s="27"/>
      <c r="W28" s="27"/>
      <c r="X28" s="27"/>
      <c r="Y28" s="27"/>
      <c r="Z28" s="27"/>
      <c r="AA28" s="43"/>
      <c r="AB28" s="27"/>
      <c r="AC28" s="27"/>
      <c r="AD28" s="27"/>
      <c r="AE28" s="27"/>
      <c r="AF28" s="27"/>
      <c r="AG28" s="27"/>
      <c r="AH28" s="27"/>
      <c r="AI28" s="27"/>
      <c r="AJ28" s="27"/>
      <c r="AK28" s="27"/>
      <c r="AL28" s="27"/>
      <c r="AM28" s="27"/>
      <c r="AN28" s="27"/>
    </row>
    <row r="29" ht="15.75" customHeight="1" spans="1:40">
      <c r="A29" s="27" t="s">
        <v>3922</v>
      </c>
      <c r="B29" s="27" t="s">
        <v>3923</v>
      </c>
      <c r="C29" s="4" t="s">
        <v>898</v>
      </c>
      <c r="D29" s="35" t="s">
        <v>4043</v>
      </c>
      <c r="E29" s="29" t="s">
        <v>490</v>
      </c>
      <c r="F29" s="27" t="s">
        <v>4044</v>
      </c>
      <c r="G29" s="27">
        <v>8111498501</v>
      </c>
      <c r="H29" s="27" t="s">
        <v>3926</v>
      </c>
      <c r="I29" s="27" t="s">
        <v>957</v>
      </c>
      <c r="J29" s="27" t="s">
        <v>941</v>
      </c>
      <c r="K29" s="27" t="s">
        <v>941</v>
      </c>
      <c r="L29" s="27" t="s">
        <v>943</v>
      </c>
      <c r="M29" s="27" t="s">
        <v>4045</v>
      </c>
      <c r="N29" s="40">
        <v>34934</v>
      </c>
      <c r="O29" s="27" t="s">
        <v>945</v>
      </c>
      <c r="P29" s="27" t="s">
        <v>3928</v>
      </c>
      <c r="Q29" s="27" t="s">
        <v>3987</v>
      </c>
      <c r="R29" s="42" t="s">
        <v>4046</v>
      </c>
      <c r="S29" s="27" t="s">
        <v>4047</v>
      </c>
      <c r="T29" s="27" t="s">
        <v>4048</v>
      </c>
      <c r="U29" s="27"/>
      <c r="V29" s="27" t="s">
        <v>4049</v>
      </c>
      <c r="W29" s="27" t="s">
        <v>4050</v>
      </c>
      <c r="X29" s="27" t="s">
        <v>953</v>
      </c>
      <c r="Y29" s="27" t="s">
        <v>1773</v>
      </c>
      <c r="Z29" s="27">
        <v>90850421</v>
      </c>
      <c r="AA29" s="43" t="s">
        <v>4051</v>
      </c>
      <c r="AB29" s="27" t="s">
        <v>4052</v>
      </c>
      <c r="AC29" s="27" t="s">
        <v>406</v>
      </c>
      <c r="AD29" s="27" t="s">
        <v>406</v>
      </c>
      <c r="AE29" s="27" t="s">
        <v>406</v>
      </c>
      <c r="AF29" s="27" t="s">
        <v>406</v>
      </c>
      <c r="AG29" s="27" t="s">
        <v>406</v>
      </c>
      <c r="AH29" s="27">
        <v>42</v>
      </c>
      <c r="AI29" s="27">
        <v>42</v>
      </c>
      <c r="AJ29" s="27">
        <v>42</v>
      </c>
      <c r="AK29" s="27">
        <v>42</v>
      </c>
      <c r="AL29" s="27" t="s">
        <v>396</v>
      </c>
      <c r="AM29" s="27" t="s">
        <v>406</v>
      </c>
      <c r="AN29" s="27" t="s">
        <v>396</v>
      </c>
    </row>
    <row r="30" ht="15.75" customHeight="1" spans="1:40">
      <c r="A30" s="38" t="s">
        <v>504</v>
      </c>
      <c r="B30" s="27"/>
      <c r="C30" s="4"/>
      <c r="D30" s="7" t="s">
        <v>243</v>
      </c>
      <c r="E30" s="29" t="s">
        <v>491</v>
      </c>
      <c r="F30" s="6" t="s">
        <v>4053</v>
      </c>
      <c r="G30" s="27"/>
      <c r="H30" s="27"/>
      <c r="I30" s="27"/>
      <c r="J30" s="27"/>
      <c r="K30" s="27"/>
      <c r="L30" s="27"/>
      <c r="M30" s="27"/>
      <c r="N30" s="40"/>
      <c r="O30" s="27"/>
      <c r="P30" s="27"/>
      <c r="Q30" s="27"/>
      <c r="R30" s="27"/>
      <c r="S30" s="27"/>
      <c r="T30" s="27"/>
      <c r="U30" s="27"/>
      <c r="V30" s="27"/>
      <c r="W30" s="27"/>
      <c r="X30" s="27"/>
      <c r="Y30" s="27"/>
      <c r="Z30" s="27"/>
      <c r="AA30" s="43"/>
      <c r="AB30" s="27"/>
      <c r="AC30" s="27"/>
      <c r="AD30" s="27"/>
      <c r="AE30" s="27"/>
      <c r="AF30" s="27"/>
      <c r="AG30" s="27"/>
      <c r="AH30" s="27"/>
      <c r="AI30" s="27"/>
      <c r="AJ30" s="27"/>
      <c r="AK30" s="27"/>
      <c r="AL30" s="27"/>
      <c r="AM30" s="27"/>
      <c r="AN30" s="27"/>
    </row>
    <row r="31" ht="15.75" customHeight="1" spans="1:40">
      <c r="A31" s="27"/>
      <c r="B31" s="27"/>
      <c r="C31" s="4"/>
      <c r="D31" s="35" t="s">
        <v>4054</v>
      </c>
      <c r="E31" s="29" t="s">
        <v>491</v>
      </c>
      <c r="F31" s="27" t="s">
        <v>4055</v>
      </c>
      <c r="G31" s="27"/>
      <c r="H31" s="27"/>
      <c r="I31" s="27"/>
      <c r="J31" s="27"/>
      <c r="K31" s="27"/>
      <c r="L31" s="27"/>
      <c r="M31" s="27"/>
      <c r="N31" s="40"/>
      <c r="O31" s="27"/>
      <c r="P31" s="27"/>
      <c r="Q31" s="27"/>
      <c r="R31" s="6"/>
      <c r="S31" s="27"/>
      <c r="T31" s="27"/>
      <c r="U31" s="27"/>
      <c r="V31" s="27"/>
      <c r="W31" s="27"/>
      <c r="X31" s="27"/>
      <c r="Y31" s="27"/>
      <c r="Z31" s="27"/>
      <c r="AA31" s="43"/>
      <c r="AB31" s="27"/>
      <c r="AC31" s="27"/>
      <c r="AD31" s="27"/>
      <c r="AE31" s="27"/>
      <c r="AF31" s="27"/>
      <c r="AG31" s="27"/>
      <c r="AH31" s="27"/>
      <c r="AI31" s="27"/>
      <c r="AJ31" s="27"/>
      <c r="AK31" s="27"/>
      <c r="AL31" s="27"/>
      <c r="AM31" s="27"/>
      <c r="AN31" s="27"/>
    </row>
    <row r="32" ht="15.75" customHeight="1" spans="1:40">
      <c r="A32" s="6" t="s">
        <v>3888</v>
      </c>
      <c r="B32" s="27"/>
      <c r="C32" s="4"/>
      <c r="D32" s="7" t="s">
        <v>245</v>
      </c>
      <c r="E32" s="29" t="s">
        <v>971</v>
      </c>
      <c r="F32" s="6" t="s">
        <v>4056</v>
      </c>
      <c r="G32" s="27"/>
      <c r="H32" s="27"/>
      <c r="I32" s="27"/>
      <c r="J32" s="27"/>
      <c r="K32" s="27"/>
      <c r="L32" s="27"/>
      <c r="M32" s="27"/>
      <c r="N32" s="40"/>
      <c r="O32" s="27"/>
      <c r="P32" s="27"/>
      <c r="Q32" s="27"/>
      <c r="R32" s="27"/>
      <c r="S32" s="27"/>
      <c r="T32" s="27"/>
      <c r="U32" s="27"/>
      <c r="V32" s="27"/>
      <c r="W32" s="27"/>
      <c r="X32" s="27"/>
      <c r="Y32" s="27"/>
      <c r="Z32" s="27"/>
      <c r="AA32" s="43"/>
      <c r="AB32" s="27"/>
      <c r="AC32" s="27"/>
      <c r="AD32" s="27"/>
      <c r="AE32" s="27"/>
      <c r="AF32" s="27"/>
      <c r="AG32" s="27"/>
      <c r="AH32" s="27"/>
      <c r="AI32" s="27"/>
      <c r="AJ32" s="27"/>
      <c r="AK32" s="27"/>
      <c r="AL32" s="27"/>
      <c r="AM32" s="27"/>
      <c r="AN32" s="27"/>
    </row>
    <row r="33" ht="15.75" customHeight="1" spans="1:40">
      <c r="A33" s="27"/>
      <c r="B33" s="27"/>
      <c r="C33" s="4"/>
      <c r="D33" s="35" t="s">
        <v>4057</v>
      </c>
      <c r="E33" s="29" t="s">
        <v>491</v>
      </c>
      <c r="F33" s="27" t="s">
        <v>4058</v>
      </c>
      <c r="G33" s="27"/>
      <c r="H33" s="27"/>
      <c r="I33" s="27"/>
      <c r="J33" s="27"/>
      <c r="K33" s="27"/>
      <c r="L33" s="27"/>
      <c r="M33" s="27"/>
      <c r="N33" s="40"/>
      <c r="O33" s="27"/>
      <c r="P33" s="27"/>
      <c r="Q33" s="27"/>
      <c r="R33" s="6"/>
      <c r="S33" s="27"/>
      <c r="T33" s="27"/>
      <c r="U33" s="27"/>
      <c r="V33" s="27"/>
      <c r="W33" s="27"/>
      <c r="X33" s="27"/>
      <c r="Y33" s="27"/>
      <c r="Z33" s="27"/>
      <c r="AA33" s="43"/>
      <c r="AB33" s="27"/>
      <c r="AC33" s="27"/>
      <c r="AD33" s="27"/>
      <c r="AE33" s="27"/>
      <c r="AF33" s="27"/>
      <c r="AG33" s="27"/>
      <c r="AH33" s="27"/>
      <c r="AI33" s="27"/>
      <c r="AJ33" s="27"/>
      <c r="AK33" s="27"/>
      <c r="AL33" s="27"/>
      <c r="AM33" s="27"/>
      <c r="AN33" s="27"/>
    </row>
    <row r="34" ht="15.75" customHeight="1" spans="1:40">
      <c r="A34" s="6" t="s">
        <v>3888</v>
      </c>
      <c r="B34" s="27"/>
      <c r="C34" s="4"/>
      <c r="D34" s="7" t="s">
        <v>4059</v>
      </c>
      <c r="E34" s="29" t="s">
        <v>492</v>
      </c>
      <c r="F34" s="6" t="s">
        <v>4060</v>
      </c>
      <c r="G34" s="27"/>
      <c r="H34" s="27"/>
      <c r="I34" s="27"/>
      <c r="J34" s="27"/>
      <c r="K34" s="27"/>
      <c r="L34" s="27"/>
      <c r="M34" s="27"/>
      <c r="N34" s="40"/>
      <c r="O34" s="27"/>
      <c r="P34" s="27"/>
      <c r="Q34" s="27"/>
      <c r="R34" s="27"/>
      <c r="S34" s="27"/>
      <c r="T34" s="27"/>
      <c r="U34" s="27"/>
      <c r="V34" s="27"/>
      <c r="W34" s="27"/>
      <c r="X34" s="27"/>
      <c r="Y34" s="27"/>
      <c r="Z34" s="27"/>
      <c r="AA34" s="43"/>
      <c r="AB34" s="27"/>
      <c r="AC34" s="27"/>
      <c r="AD34" s="27"/>
      <c r="AE34" s="27"/>
      <c r="AF34" s="27"/>
      <c r="AG34" s="27"/>
      <c r="AH34" s="27"/>
      <c r="AI34" s="27"/>
      <c r="AJ34" s="27"/>
      <c r="AK34" s="27"/>
      <c r="AL34" s="27"/>
      <c r="AM34" s="27"/>
      <c r="AN34" s="27"/>
    </row>
    <row r="35" ht="18" customHeight="1" spans="1:40">
      <c r="A35" s="38" t="s">
        <v>504</v>
      </c>
      <c r="B35" s="27"/>
      <c r="C35" s="4"/>
      <c r="D35" s="7" t="s">
        <v>246</v>
      </c>
      <c r="E35" s="29" t="s">
        <v>971</v>
      </c>
      <c r="F35" s="6" t="s">
        <v>4061</v>
      </c>
      <c r="G35" s="27"/>
      <c r="H35" s="27"/>
      <c r="I35" s="27"/>
      <c r="J35" s="27"/>
      <c r="K35" s="27"/>
      <c r="L35" s="27"/>
      <c r="M35" s="27"/>
      <c r="N35" s="40"/>
      <c r="O35" s="27"/>
      <c r="P35" s="27"/>
      <c r="Q35" s="27"/>
      <c r="R35" s="27"/>
      <c r="S35" s="27"/>
      <c r="T35" s="27"/>
      <c r="U35" s="27"/>
      <c r="V35" s="27"/>
      <c r="W35" s="27"/>
      <c r="X35" s="27"/>
      <c r="Y35" s="27"/>
      <c r="Z35" s="27"/>
      <c r="AA35" s="43"/>
      <c r="AB35" s="27"/>
      <c r="AC35" s="27"/>
      <c r="AD35" s="27"/>
      <c r="AE35" s="27"/>
      <c r="AF35" s="27"/>
      <c r="AG35" s="27"/>
      <c r="AH35" s="27"/>
      <c r="AI35" s="27"/>
      <c r="AJ35" s="27"/>
      <c r="AK35" s="27"/>
      <c r="AL35" s="27"/>
      <c r="AM35" s="27"/>
      <c r="AN35" s="27"/>
    </row>
    <row r="36" ht="15.75" customHeight="1" spans="1:40">
      <c r="A36" s="27" t="s">
        <v>3922</v>
      </c>
      <c r="B36" s="27" t="s">
        <v>3923</v>
      </c>
      <c r="C36" s="4" t="s">
        <v>898</v>
      </c>
      <c r="D36" s="35" t="s">
        <v>4062</v>
      </c>
      <c r="E36" s="29" t="s">
        <v>490</v>
      </c>
      <c r="F36" s="27" t="s">
        <v>4063</v>
      </c>
      <c r="G36" s="27">
        <v>1105689192</v>
      </c>
      <c r="H36" s="27" t="s">
        <v>3926</v>
      </c>
      <c r="I36" s="27" t="s">
        <v>957</v>
      </c>
      <c r="J36" s="27" t="s">
        <v>941</v>
      </c>
      <c r="K36" s="27" t="s">
        <v>941</v>
      </c>
      <c r="L36" s="27"/>
      <c r="M36" s="27" t="s">
        <v>4064</v>
      </c>
      <c r="N36" s="40">
        <v>35391</v>
      </c>
      <c r="O36" s="27" t="s">
        <v>945</v>
      </c>
      <c r="P36" s="27" t="s">
        <v>946</v>
      </c>
      <c r="Q36" s="27" t="s">
        <v>3987</v>
      </c>
      <c r="R36" s="42" t="s">
        <v>4065</v>
      </c>
      <c r="S36" s="27" t="s">
        <v>3931</v>
      </c>
      <c r="T36" s="27" t="s">
        <v>3932</v>
      </c>
      <c r="U36" s="27"/>
      <c r="V36" s="27" t="s">
        <v>4066</v>
      </c>
      <c r="W36" s="27" t="s">
        <v>4067</v>
      </c>
      <c r="X36" s="27" t="s">
        <v>953</v>
      </c>
      <c r="Y36" s="27" t="s">
        <v>1773</v>
      </c>
      <c r="Z36" s="27">
        <v>91786299</v>
      </c>
      <c r="AA36" s="43" t="s">
        <v>4068</v>
      </c>
      <c r="AB36" s="27" t="s">
        <v>4069</v>
      </c>
      <c r="AC36" s="27" t="s">
        <v>396</v>
      </c>
      <c r="AD36" s="27" t="s">
        <v>396</v>
      </c>
      <c r="AE36" s="27" t="s">
        <v>396</v>
      </c>
      <c r="AF36" s="27" t="s">
        <v>396</v>
      </c>
      <c r="AG36" s="27" t="s">
        <v>396</v>
      </c>
      <c r="AH36" s="27">
        <v>41</v>
      </c>
      <c r="AI36" s="27">
        <v>41</v>
      </c>
      <c r="AJ36" s="27">
        <v>41</v>
      </c>
      <c r="AK36" s="27">
        <v>41</v>
      </c>
      <c r="AL36" s="27" t="s">
        <v>396</v>
      </c>
      <c r="AM36" s="27" t="s">
        <v>396</v>
      </c>
      <c r="AN36" s="27" t="s">
        <v>396</v>
      </c>
    </row>
    <row r="37" ht="15.75" customHeight="1" spans="1:40">
      <c r="A37" s="27"/>
      <c r="B37" s="27"/>
      <c r="C37" s="4"/>
      <c r="D37" s="35" t="s">
        <v>4070</v>
      </c>
      <c r="E37" s="29" t="s">
        <v>491</v>
      </c>
      <c r="F37" s="27" t="s">
        <v>4071</v>
      </c>
      <c r="G37" s="27"/>
      <c r="H37" s="27"/>
      <c r="I37" s="27"/>
      <c r="J37" s="27"/>
      <c r="K37" s="27"/>
      <c r="L37" s="27"/>
      <c r="M37" s="27"/>
      <c r="N37" s="40"/>
      <c r="O37" s="27"/>
      <c r="P37" s="27"/>
      <c r="Q37" s="27"/>
      <c r="R37" s="6"/>
      <c r="S37" s="27"/>
      <c r="T37" s="27"/>
      <c r="U37" s="27"/>
      <c r="V37" s="27"/>
      <c r="W37" s="27"/>
      <c r="X37" s="27"/>
      <c r="Y37" s="27"/>
      <c r="Z37" s="27"/>
      <c r="AA37" s="43"/>
      <c r="AB37" s="27"/>
      <c r="AC37" s="27"/>
      <c r="AD37" s="27"/>
      <c r="AE37" s="27"/>
      <c r="AF37" s="27"/>
      <c r="AG37" s="27"/>
      <c r="AH37" s="27"/>
      <c r="AI37" s="27"/>
      <c r="AJ37" s="27"/>
      <c r="AK37" s="27"/>
      <c r="AL37" s="27"/>
      <c r="AM37" s="27"/>
      <c r="AN37" s="27"/>
    </row>
    <row r="38" ht="15.75" customHeight="1" spans="1:40">
      <c r="A38" s="38" t="s">
        <v>504</v>
      </c>
      <c r="B38" s="27"/>
      <c r="C38" s="4"/>
      <c r="D38" s="7" t="s">
        <v>248</v>
      </c>
      <c r="E38" s="29" t="s">
        <v>971</v>
      </c>
      <c r="F38" s="6" t="s">
        <v>4072</v>
      </c>
      <c r="G38" s="27"/>
      <c r="H38" s="27"/>
      <c r="I38" s="27"/>
      <c r="J38" s="27"/>
      <c r="K38" s="27"/>
      <c r="L38" s="27"/>
      <c r="M38" s="27"/>
      <c r="N38" s="40"/>
      <c r="O38" s="27"/>
      <c r="P38" s="27"/>
      <c r="Q38" s="27"/>
      <c r="R38" s="27"/>
      <c r="S38" s="27"/>
      <c r="T38" s="27"/>
      <c r="U38" s="27"/>
      <c r="V38" s="27"/>
      <c r="W38" s="27"/>
      <c r="X38" s="27"/>
      <c r="Y38" s="27"/>
      <c r="Z38" s="27"/>
      <c r="AA38" s="43"/>
      <c r="AB38" s="27"/>
      <c r="AC38" s="27"/>
      <c r="AD38" s="27"/>
      <c r="AE38" s="27"/>
      <c r="AF38" s="27"/>
      <c r="AG38" s="27"/>
      <c r="AH38" s="27"/>
      <c r="AI38" s="27"/>
      <c r="AJ38" s="27"/>
      <c r="AK38" s="27"/>
      <c r="AL38" s="27"/>
      <c r="AM38" s="27"/>
      <c r="AN38" s="27"/>
    </row>
    <row r="39" ht="15.75" customHeight="1" spans="1:40">
      <c r="A39" s="6" t="s">
        <v>3888</v>
      </c>
      <c r="B39" s="27"/>
      <c r="C39" s="4"/>
      <c r="D39" s="7" t="s">
        <v>4073</v>
      </c>
      <c r="E39" s="29" t="s">
        <v>491</v>
      </c>
      <c r="F39" s="6" t="s">
        <v>4074</v>
      </c>
      <c r="G39" s="27"/>
      <c r="H39" s="27"/>
      <c r="I39" s="27"/>
      <c r="J39" s="27"/>
      <c r="K39" s="27"/>
      <c r="L39" s="27"/>
      <c r="M39" s="27"/>
      <c r="N39" s="40"/>
      <c r="O39" s="27"/>
      <c r="P39" s="27"/>
      <c r="Q39" s="27"/>
      <c r="R39" s="27"/>
      <c r="S39" s="27"/>
      <c r="T39" s="27"/>
      <c r="U39" s="27"/>
      <c r="V39" s="27"/>
      <c r="W39" s="27"/>
      <c r="X39" s="27"/>
      <c r="Y39" s="27"/>
      <c r="Z39" s="27"/>
      <c r="AA39" s="43"/>
      <c r="AB39" s="27"/>
      <c r="AC39" s="27"/>
      <c r="AD39" s="27"/>
      <c r="AE39" s="27"/>
      <c r="AF39" s="27"/>
      <c r="AG39" s="27"/>
      <c r="AH39" s="27"/>
      <c r="AI39" s="27"/>
      <c r="AJ39" s="27"/>
      <c r="AK39" s="27"/>
      <c r="AL39" s="27"/>
      <c r="AM39" s="27"/>
      <c r="AN39" s="27"/>
    </row>
    <row r="40" ht="15.75" customHeight="1" spans="1:40">
      <c r="A40" s="6" t="s">
        <v>3888</v>
      </c>
      <c r="B40" s="6" t="s">
        <v>582</v>
      </c>
      <c r="C40" s="4" t="s">
        <v>937</v>
      </c>
      <c r="D40" s="10" t="s">
        <v>4075</v>
      </c>
      <c r="E40" s="29" t="s">
        <v>491</v>
      </c>
      <c r="F40" s="27" t="s">
        <v>4074</v>
      </c>
      <c r="G40" s="27">
        <v>3056506987</v>
      </c>
      <c r="H40" s="27" t="s">
        <v>3913</v>
      </c>
      <c r="I40" s="27" t="s">
        <v>3914</v>
      </c>
      <c r="J40" s="27" t="s">
        <v>941</v>
      </c>
      <c r="K40" s="27" t="s">
        <v>942</v>
      </c>
      <c r="L40" s="27" t="s">
        <v>1102</v>
      </c>
      <c r="M40" s="27" t="s">
        <v>1826</v>
      </c>
      <c r="N40" s="40">
        <v>30319</v>
      </c>
      <c r="O40" s="27" t="s">
        <v>945</v>
      </c>
      <c r="P40" s="27" t="s">
        <v>946</v>
      </c>
      <c r="Q40" s="27" t="s">
        <v>947</v>
      </c>
      <c r="R40" s="27" t="s">
        <v>4076</v>
      </c>
      <c r="S40" s="27" t="s">
        <v>4077</v>
      </c>
      <c r="T40" s="27" t="s">
        <v>1011</v>
      </c>
      <c r="U40" s="27"/>
      <c r="V40" s="27" t="s">
        <v>4078</v>
      </c>
      <c r="W40" s="27" t="s">
        <v>4079</v>
      </c>
      <c r="X40" s="27" t="s">
        <v>953</v>
      </c>
      <c r="Y40" s="27" t="s">
        <v>582</v>
      </c>
      <c r="Z40" s="27" t="s">
        <v>4080</v>
      </c>
      <c r="AA40" s="27" t="s">
        <v>4081</v>
      </c>
      <c r="AB40" s="27" t="s">
        <v>4082</v>
      </c>
      <c r="AC40" s="27" t="s">
        <v>399</v>
      </c>
      <c r="AD40" s="27" t="s">
        <v>399</v>
      </c>
      <c r="AE40" s="27" t="s">
        <v>399</v>
      </c>
      <c r="AF40" s="27" t="s">
        <v>399</v>
      </c>
      <c r="AG40" s="27" t="s">
        <v>399</v>
      </c>
      <c r="AH40" s="27">
        <v>45</v>
      </c>
      <c r="AI40" s="27">
        <v>45</v>
      </c>
      <c r="AJ40" s="27">
        <v>45</v>
      </c>
      <c r="AK40" s="27">
        <v>45</v>
      </c>
      <c r="AL40" s="27" t="s">
        <v>399</v>
      </c>
      <c r="AM40" s="27" t="s">
        <v>399</v>
      </c>
      <c r="AN40" s="27" t="s">
        <v>399</v>
      </c>
    </row>
    <row r="41" ht="15.75" customHeight="1" spans="1:40">
      <c r="A41" s="27" t="s">
        <v>3922</v>
      </c>
      <c r="B41" s="27" t="s">
        <v>3923</v>
      </c>
      <c r="C41" s="4" t="s">
        <v>898</v>
      </c>
      <c r="D41" s="35" t="s">
        <v>4083</v>
      </c>
      <c r="E41" s="29" t="s">
        <v>490</v>
      </c>
      <c r="F41" s="27" t="s">
        <v>4084</v>
      </c>
      <c r="G41" s="27">
        <v>9102588564</v>
      </c>
      <c r="H41" s="27" t="s">
        <v>3926</v>
      </c>
      <c r="I41" s="27" t="s">
        <v>4085</v>
      </c>
      <c r="J41" s="27" t="s">
        <v>941</v>
      </c>
      <c r="K41" s="27" t="s">
        <v>941</v>
      </c>
      <c r="L41" s="27" t="s">
        <v>975</v>
      </c>
      <c r="M41" s="27" t="s">
        <v>4086</v>
      </c>
      <c r="N41" s="40">
        <v>32198</v>
      </c>
      <c r="O41" s="27" t="s">
        <v>945</v>
      </c>
      <c r="P41" s="27" t="s">
        <v>946</v>
      </c>
      <c r="Q41" s="27" t="s">
        <v>963</v>
      </c>
      <c r="R41" s="42" t="s">
        <v>4087</v>
      </c>
      <c r="S41" s="27" t="s">
        <v>949</v>
      </c>
      <c r="T41" s="27" t="s">
        <v>1011</v>
      </c>
      <c r="U41" s="27"/>
      <c r="V41" s="27" t="s">
        <v>4088</v>
      </c>
      <c r="W41" s="27" t="s">
        <v>4089</v>
      </c>
      <c r="X41" s="27" t="s">
        <v>953</v>
      </c>
      <c r="Y41" s="27" t="s">
        <v>1409</v>
      </c>
      <c r="Z41" s="27">
        <v>94950540</v>
      </c>
      <c r="AA41" s="43" t="s">
        <v>4090</v>
      </c>
      <c r="AB41" s="27" t="s">
        <v>4091</v>
      </c>
      <c r="AC41" s="27" t="s">
        <v>396</v>
      </c>
      <c r="AD41" s="27" t="s">
        <v>396</v>
      </c>
      <c r="AE41" s="27" t="s">
        <v>396</v>
      </c>
      <c r="AF41" s="27" t="s">
        <v>396</v>
      </c>
      <c r="AG41" s="27" t="s">
        <v>396</v>
      </c>
      <c r="AH41" s="27">
        <v>41</v>
      </c>
      <c r="AI41" s="27">
        <v>41</v>
      </c>
      <c r="AJ41" s="27">
        <v>41</v>
      </c>
      <c r="AK41" s="27">
        <v>41</v>
      </c>
      <c r="AL41" s="27" t="s">
        <v>396</v>
      </c>
      <c r="AM41" s="27" t="s">
        <v>396</v>
      </c>
      <c r="AN41" s="27" t="s">
        <v>396</v>
      </c>
    </row>
    <row r="42" ht="15.75" customHeight="1" spans="1:40">
      <c r="A42" s="6" t="s">
        <v>3888</v>
      </c>
      <c r="B42" s="6" t="s">
        <v>582</v>
      </c>
      <c r="C42" s="4" t="s">
        <v>937</v>
      </c>
      <c r="D42" s="10" t="s">
        <v>148</v>
      </c>
      <c r="E42" s="29" t="s">
        <v>492</v>
      </c>
      <c r="F42" s="27" t="s">
        <v>4092</v>
      </c>
      <c r="G42" s="27">
        <v>5087559679</v>
      </c>
      <c r="H42" s="27" t="s">
        <v>3913</v>
      </c>
      <c r="I42" s="27" t="s">
        <v>3949</v>
      </c>
      <c r="J42" s="27" t="s">
        <v>941</v>
      </c>
      <c r="K42" s="27" t="s">
        <v>941</v>
      </c>
      <c r="L42" s="27" t="s">
        <v>943</v>
      </c>
      <c r="M42" s="27" t="s">
        <v>4093</v>
      </c>
      <c r="N42" s="41">
        <v>30273</v>
      </c>
      <c r="O42" s="27" t="s">
        <v>1028</v>
      </c>
      <c r="P42" s="27" t="s">
        <v>946</v>
      </c>
      <c r="Q42" s="27" t="s">
        <v>963</v>
      </c>
      <c r="R42" s="27" t="s">
        <v>4094</v>
      </c>
      <c r="S42" s="27" t="s">
        <v>4095</v>
      </c>
      <c r="T42" s="27" t="s">
        <v>1369</v>
      </c>
      <c r="U42" s="27"/>
      <c r="V42" s="27" t="s">
        <v>4096</v>
      </c>
      <c r="W42" s="27" t="s">
        <v>4097</v>
      </c>
      <c r="X42" s="27" t="s">
        <v>953</v>
      </c>
      <c r="Y42" s="27" t="s">
        <v>582</v>
      </c>
      <c r="Z42" s="27" t="s">
        <v>4098</v>
      </c>
      <c r="AA42" s="27" t="s">
        <v>4099</v>
      </c>
      <c r="AB42" s="27" t="s">
        <v>4100</v>
      </c>
      <c r="AC42" s="27" t="s">
        <v>395</v>
      </c>
      <c r="AD42" s="27" t="s">
        <v>395</v>
      </c>
      <c r="AE42" s="27" t="s">
        <v>395</v>
      </c>
      <c r="AF42" s="27" t="s">
        <v>395</v>
      </c>
      <c r="AG42" s="27" t="s">
        <v>395</v>
      </c>
      <c r="AH42" s="27">
        <v>33</v>
      </c>
      <c r="AI42" s="27">
        <v>33</v>
      </c>
      <c r="AJ42" s="27">
        <v>33</v>
      </c>
      <c r="AK42" s="27">
        <v>33</v>
      </c>
      <c r="AL42" s="27" t="s">
        <v>395</v>
      </c>
      <c r="AM42" s="27" t="s">
        <v>395</v>
      </c>
      <c r="AN42" s="27" t="s">
        <v>395</v>
      </c>
    </row>
    <row r="43" ht="15.75" customHeight="1" spans="1:40">
      <c r="A43" s="6" t="s">
        <v>3888</v>
      </c>
      <c r="B43" s="27" t="s">
        <v>1409</v>
      </c>
      <c r="C43" s="4" t="s">
        <v>937</v>
      </c>
      <c r="D43" s="35" t="s">
        <v>324</v>
      </c>
      <c r="E43" s="29" t="s">
        <v>491</v>
      </c>
      <c r="F43" s="27" t="s">
        <v>4101</v>
      </c>
      <c r="G43" s="39">
        <v>8058745038</v>
      </c>
      <c r="H43" s="27" t="s">
        <v>4011</v>
      </c>
      <c r="I43" s="27" t="s">
        <v>3949</v>
      </c>
      <c r="J43" s="27" t="s">
        <v>942</v>
      </c>
      <c r="K43" s="27" t="s">
        <v>941</v>
      </c>
      <c r="L43" s="27" t="s">
        <v>975</v>
      </c>
      <c r="M43" s="27" t="s">
        <v>1447</v>
      </c>
      <c r="N43" s="40">
        <v>28080</v>
      </c>
      <c r="O43" s="27" t="s">
        <v>945</v>
      </c>
      <c r="P43" s="27" t="s">
        <v>1104</v>
      </c>
      <c r="Q43" s="27" t="s">
        <v>963</v>
      </c>
      <c r="R43" s="27" t="s">
        <v>4102</v>
      </c>
      <c r="S43" s="27">
        <v>78</v>
      </c>
      <c r="T43" s="27" t="s">
        <v>965</v>
      </c>
      <c r="U43" s="27" t="s">
        <v>4103</v>
      </c>
      <c r="V43" s="27" t="s">
        <v>4103</v>
      </c>
      <c r="W43" s="27" t="s">
        <v>4104</v>
      </c>
      <c r="X43" s="27" t="s">
        <v>953</v>
      </c>
      <c r="Y43" s="27" t="s">
        <v>1409</v>
      </c>
      <c r="Z43" s="27" t="s">
        <v>4105</v>
      </c>
      <c r="AA43" s="27" t="s">
        <v>4106</v>
      </c>
      <c r="AB43" s="27" t="s">
        <v>4107</v>
      </c>
      <c r="AC43" s="27" t="s">
        <v>406</v>
      </c>
      <c r="AD43" s="27" t="s">
        <v>406</v>
      </c>
      <c r="AE43" s="27" t="s">
        <v>406</v>
      </c>
      <c r="AF43" s="27" t="s">
        <v>406</v>
      </c>
      <c r="AG43" s="27" t="s">
        <v>406</v>
      </c>
      <c r="AH43" s="27">
        <v>41</v>
      </c>
      <c r="AI43" s="27">
        <v>41</v>
      </c>
      <c r="AJ43" s="27">
        <v>41</v>
      </c>
      <c r="AK43" s="27">
        <v>43</v>
      </c>
      <c r="AL43" s="27" t="s">
        <v>406</v>
      </c>
      <c r="AM43" s="27" t="s">
        <v>406</v>
      </c>
      <c r="AN43" s="27" t="s">
        <v>406</v>
      </c>
    </row>
    <row r="44" ht="15.75" customHeight="1" spans="1:40">
      <c r="A44" s="27" t="s">
        <v>3922</v>
      </c>
      <c r="B44" s="27" t="s">
        <v>3923</v>
      </c>
      <c r="C44" s="4" t="s">
        <v>898</v>
      </c>
      <c r="D44" s="35" t="s">
        <v>4108</v>
      </c>
      <c r="E44" s="29" t="s">
        <v>490</v>
      </c>
      <c r="F44" s="27" t="s">
        <v>4109</v>
      </c>
      <c r="G44" s="27">
        <v>1115440388</v>
      </c>
      <c r="H44" s="27" t="s">
        <v>3926</v>
      </c>
      <c r="I44" s="27" t="s">
        <v>957</v>
      </c>
      <c r="J44" s="27" t="s">
        <v>941</v>
      </c>
      <c r="K44" s="27" t="s">
        <v>941</v>
      </c>
      <c r="L44" s="27" t="s">
        <v>4110</v>
      </c>
      <c r="M44" s="27" t="s">
        <v>4111</v>
      </c>
      <c r="N44" s="40">
        <v>35514</v>
      </c>
      <c r="O44" s="27" t="s">
        <v>945</v>
      </c>
      <c r="P44" s="27" t="s">
        <v>946</v>
      </c>
      <c r="Q44" s="27" t="s">
        <v>3987</v>
      </c>
      <c r="R44" s="42" t="s">
        <v>4112</v>
      </c>
      <c r="S44" s="27" t="s">
        <v>4113</v>
      </c>
      <c r="T44" s="27" t="s">
        <v>4114</v>
      </c>
      <c r="U44" s="27"/>
      <c r="V44" s="27" t="s">
        <v>4115</v>
      </c>
      <c r="W44" s="27" t="s">
        <v>4116</v>
      </c>
      <c r="X44" s="27" t="s">
        <v>953</v>
      </c>
      <c r="Y44" s="27" t="s">
        <v>4117</v>
      </c>
      <c r="Z44" s="27">
        <v>94199663</v>
      </c>
      <c r="AA44" s="43" t="s">
        <v>4118</v>
      </c>
      <c r="AB44" s="27"/>
      <c r="AC44" s="27" t="s">
        <v>4119</v>
      </c>
      <c r="AD44" s="27" t="s">
        <v>406</v>
      </c>
      <c r="AE44" s="27" t="s">
        <v>406</v>
      </c>
      <c r="AF44" s="27" t="s">
        <v>406</v>
      </c>
      <c r="AG44" s="27" t="s">
        <v>406</v>
      </c>
      <c r="AH44" s="27">
        <v>41</v>
      </c>
      <c r="AI44" s="27">
        <v>41</v>
      </c>
      <c r="AJ44" s="27">
        <v>41</v>
      </c>
      <c r="AK44" s="27">
        <v>41</v>
      </c>
      <c r="AL44" s="27" t="s">
        <v>406</v>
      </c>
      <c r="AM44" s="27" t="s">
        <v>406</v>
      </c>
      <c r="AN44" s="27" t="s">
        <v>396</v>
      </c>
    </row>
    <row r="45" ht="15.75" customHeight="1" spans="1:40">
      <c r="A45" s="6" t="s">
        <v>3888</v>
      </c>
      <c r="B45" s="27"/>
      <c r="C45" s="4"/>
      <c r="D45" s="7" t="s">
        <v>252</v>
      </c>
      <c r="E45" s="29" t="s">
        <v>971</v>
      </c>
      <c r="F45" s="6" t="s">
        <v>4120</v>
      </c>
      <c r="G45" s="27"/>
      <c r="H45" s="27"/>
      <c r="I45" s="27"/>
      <c r="J45" s="27"/>
      <c r="K45" s="27"/>
      <c r="L45" s="27"/>
      <c r="M45" s="27"/>
      <c r="N45" s="40"/>
      <c r="O45" s="27"/>
      <c r="P45" s="27"/>
      <c r="Q45" s="27"/>
      <c r="R45" s="27"/>
      <c r="S45" s="27"/>
      <c r="T45" s="27"/>
      <c r="U45" s="27"/>
      <c r="V45" s="27"/>
      <c r="W45" s="27"/>
      <c r="X45" s="27"/>
      <c r="Y45" s="27"/>
      <c r="Z45" s="27"/>
      <c r="AA45" s="43"/>
      <c r="AB45" s="27"/>
      <c r="AC45" s="27"/>
      <c r="AD45" s="27"/>
      <c r="AE45" s="27"/>
      <c r="AF45" s="27"/>
      <c r="AG45" s="27"/>
      <c r="AH45" s="27"/>
      <c r="AI45" s="27"/>
      <c r="AJ45" s="27"/>
      <c r="AK45" s="27"/>
      <c r="AL45" s="27"/>
      <c r="AM45" s="27"/>
      <c r="AN45" s="27"/>
    </row>
    <row r="46" ht="15.75" customHeight="1" spans="1:40">
      <c r="A46" s="6" t="s">
        <v>3888</v>
      </c>
      <c r="B46" s="27" t="s">
        <v>3889</v>
      </c>
      <c r="C46" s="4" t="s">
        <v>937</v>
      </c>
      <c r="D46" s="35" t="s">
        <v>325</v>
      </c>
      <c r="E46" s="29" t="s">
        <v>490</v>
      </c>
      <c r="F46" s="27" t="s">
        <v>4121</v>
      </c>
      <c r="G46" s="27">
        <v>3081564365</v>
      </c>
      <c r="H46" s="27" t="s">
        <v>3891</v>
      </c>
      <c r="I46" s="27" t="s">
        <v>4122</v>
      </c>
      <c r="J46" s="27" t="s">
        <v>942</v>
      </c>
      <c r="K46" s="27" t="s">
        <v>942</v>
      </c>
      <c r="L46" s="27" t="s">
        <v>943</v>
      </c>
      <c r="M46" s="27" t="s">
        <v>4123</v>
      </c>
      <c r="N46" s="40">
        <v>30411</v>
      </c>
      <c r="O46" s="27" t="s">
        <v>945</v>
      </c>
      <c r="P46" s="27" t="s">
        <v>946</v>
      </c>
      <c r="Q46" s="27" t="s">
        <v>4124</v>
      </c>
      <c r="R46" s="27" t="s">
        <v>4125</v>
      </c>
      <c r="S46" s="27">
        <v>89</v>
      </c>
      <c r="T46" s="27" t="s">
        <v>1011</v>
      </c>
      <c r="U46" s="27"/>
      <c r="V46" s="27" t="s">
        <v>4126</v>
      </c>
      <c r="W46" s="27" t="s">
        <v>4127</v>
      </c>
      <c r="X46" s="27" t="s">
        <v>953</v>
      </c>
      <c r="Y46" s="27" t="s">
        <v>1773</v>
      </c>
      <c r="Z46" s="27" t="s">
        <v>4128</v>
      </c>
      <c r="AA46" s="27" t="s">
        <v>4129</v>
      </c>
      <c r="AB46" s="27" t="s">
        <v>4130</v>
      </c>
      <c r="AC46" s="27" t="s">
        <v>406</v>
      </c>
      <c r="AD46" s="27" t="s">
        <v>406</v>
      </c>
      <c r="AE46" s="27" t="s">
        <v>406</v>
      </c>
      <c r="AF46" s="27" t="s">
        <v>406</v>
      </c>
      <c r="AG46" s="27" t="s">
        <v>406</v>
      </c>
      <c r="AH46" s="27">
        <v>40</v>
      </c>
      <c r="AI46" s="27">
        <v>40</v>
      </c>
      <c r="AJ46" s="27">
        <v>40</v>
      </c>
      <c r="AK46" s="27">
        <v>40</v>
      </c>
      <c r="AL46" s="27" t="s">
        <v>406</v>
      </c>
      <c r="AM46" s="27" t="s">
        <v>406</v>
      </c>
      <c r="AN46" s="27" t="s">
        <v>396</v>
      </c>
    </row>
    <row r="47" ht="15.75" customHeight="1" spans="1:40">
      <c r="A47" s="27" t="s">
        <v>3922</v>
      </c>
      <c r="B47" s="27" t="s">
        <v>3923</v>
      </c>
      <c r="C47" s="4" t="s">
        <v>898</v>
      </c>
      <c r="D47" s="35" t="s">
        <v>1885</v>
      </c>
      <c r="E47" s="29" t="s">
        <v>492</v>
      </c>
      <c r="F47" s="27">
        <v>95416978015</v>
      </c>
      <c r="G47" s="27">
        <v>1097429058</v>
      </c>
      <c r="H47" s="27" t="s">
        <v>3926</v>
      </c>
      <c r="I47" s="27" t="s">
        <v>957</v>
      </c>
      <c r="J47" s="27" t="s">
        <v>941</v>
      </c>
      <c r="K47" s="27" t="s">
        <v>941</v>
      </c>
      <c r="L47" s="27"/>
      <c r="M47" s="27" t="s">
        <v>1887</v>
      </c>
      <c r="N47" s="40">
        <v>28042</v>
      </c>
      <c r="O47" s="27" t="s">
        <v>945</v>
      </c>
      <c r="P47" s="27" t="s">
        <v>946</v>
      </c>
      <c r="Q47" s="27" t="s">
        <v>3929</v>
      </c>
      <c r="R47" s="42" t="s">
        <v>4131</v>
      </c>
      <c r="S47" s="27" t="s">
        <v>4132</v>
      </c>
      <c r="T47" s="27" t="s">
        <v>4133</v>
      </c>
      <c r="U47" s="27"/>
      <c r="V47" s="27" t="s">
        <v>4134</v>
      </c>
      <c r="W47" s="27" t="s">
        <v>4135</v>
      </c>
      <c r="X47" s="27" t="s">
        <v>953</v>
      </c>
      <c r="Y47" s="27" t="s">
        <v>4136</v>
      </c>
      <c r="Z47" s="27">
        <v>95745000</v>
      </c>
      <c r="AA47" s="43" t="s">
        <v>4137</v>
      </c>
      <c r="AB47" s="27" t="s">
        <v>4138</v>
      </c>
      <c r="AC47" s="27" t="s">
        <v>396</v>
      </c>
      <c r="AD47" s="27" t="s">
        <v>396</v>
      </c>
      <c r="AE47" s="27" t="s">
        <v>396</v>
      </c>
      <c r="AF47" s="27" t="s">
        <v>396</v>
      </c>
      <c r="AG47" s="27" t="s">
        <v>396</v>
      </c>
      <c r="AH47" s="27">
        <v>40</v>
      </c>
      <c r="AI47" s="27">
        <v>40</v>
      </c>
      <c r="AJ47" s="27">
        <v>40</v>
      </c>
      <c r="AK47" s="27">
        <v>40</v>
      </c>
      <c r="AL47" s="27" t="s">
        <v>396</v>
      </c>
      <c r="AM47" s="27" t="s">
        <v>396</v>
      </c>
      <c r="AN47" s="27" t="s">
        <v>396</v>
      </c>
    </row>
    <row r="48" ht="15.75" customHeight="1" spans="1:40">
      <c r="A48" s="38" t="s">
        <v>504</v>
      </c>
      <c r="B48" s="27"/>
      <c r="C48" s="4"/>
      <c r="D48" s="7" t="s">
        <v>4139</v>
      </c>
      <c r="E48" s="29" t="s">
        <v>971</v>
      </c>
      <c r="F48" s="6" t="s">
        <v>4140</v>
      </c>
      <c r="G48" s="27"/>
      <c r="H48" s="27"/>
      <c r="I48" s="27"/>
      <c r="J48" s="27"/>
      <c r="K48" s="27"/>
      <c r="L48" s="27"/>
      <c r="M48" s="27"/>
      <c r="N48" s="40"/>
      <c r="O48" s="27"/>
      <c r="P48" s="27"/>
      <c r="Q48" s="27"/>
      <c r="R48" s="27"/>
      <c r="S48" s="27"/>
      <c r="T48" s="27"/>
      <c r="U48" s="27"/>
      <c r="V48" s="27"/>
      <c r="W48" s="27"/>
      <c r="X48" s="27"/>
      <c r="Y48" s="27"/>
      <c r="Z48" s="27"/>
      <c r="AA48" s="43"/>
      <c r="AB48" s="27"/>
      <c r="AC48" s="27"/>
      <c r="AD48" s="27"/>
      <c r="AE48" s="27"/>
      <c r="AF48" s="27"/>
      <c r="AG48" s="27"/>
      <c r="AH48" s="27"/>
      <c r="AI48" s="27"/>
      <c r="AJ48" s="27"/>
      <c r="AK48" s="27"/>
      <c r="AL48" s="27"/>
      <c r="AM48" s="27"/>
      <c r="AN48" s="27"/>
    </row>
    <row r="49" ht="15.75" customHeight="1" spans="1:40">
      <c r="A49" s="38" t="s">
        <v>504</v>
      </c>
      <c r="B49" s="27"/>
      <c r="C49" s="4"/>
      <c r="D49" s="7" t="s">
        <v>254</v>
      </c>
      <c r="E49" s="29" t="s">
        <v>971</v>
      </c>
      <c r="F49" s="6" t="s">
        <v>4141</v>
      </c>
      <c r="G49" s="27"/>
      <c r="H49" s="27"/>
      <c r="I49" s="27"/>
      <c r="J49" s="27"/>
      <c r="K49" s="27"/>
      <c r="L49" s="27"/>
      <c r="M49" s="27"/>
      <c r="N49" s="40"/>
      <c r="O49" s="27"/>
      <c r="P49" s="27"/>
      <c r="Q49" s="27"/>
      <c r="R49" s="27"/>
      <c r="S49" s="27"/>
      <c r="T49" s="27"/>
      <c r="U49" s="27"/>
      <c r="V49" s="27"/>
      <c r="W49" s="27"/>
      <c r="X49" s="27"/>
      <c r="Y49" s="27"/>
      <c r="Z49" s="27"/>
      <c r="AA49" s="43"/>
      <c r="AB49" s="27"/>
      <c r="AC49" s="27"/>
      <c r="AD49" s="27"/>
      <c r="AE49" s="27"/>
      <c r="AF49" s="27"/>
      <c r="AG49" s="27"/>
      <c r="AH49" s="27"/>
      <c r="AI49" s="27"/>
      <c r="AJ49" s="27"/>
      <c r="AK49" s="27"/>
      <c r="AL49" s="27"/>
      <c r="AM49" s="27"/>
      <c r="AN49" s="27"/>
    </row>
    <row r="50" ht="15.75" customHeight="1" spans="1:40">
      <c r="A50" s="6" t="s">
        <v>3888</v>
      </c>
      <c r="B50" s="27" t="s">
        <v>3889</v>
      </c>
      <c r="C50" s="4" t="s">
        <v>937</v>
      </c>
      <c r="D50" s="35" t="s">
        <v>326</v>
      </c>
      <c r="E50" s="29" t="s">
        <v>491</v>
      </c>
      <c r="F50" s="27" t="s">
        <v>4142</v>
      </c>
      <c r="G50" s="27">
        <v>8094374471</v>
      </c>
      <c r="H50" s="27" t="s">
        <v>3891</v>
      </c>
      <c r="I50" s="27" t="s">
        <v>4143</v>
      </c>
      <c r="J50" s="27" t="s">
        <v>942</v>
      </c>
      <c r="K50" s="27" t="s">
        <v>942</v>
      </c>
      <c r="L50" s="27" t="s">
        <v>975</v>
      </c>
      <c r="M50" s="27" t="s">
        <v>4144</v>
      </c>
      <c r="N50" s="40">
        <v>33576</v>
      </c>
      <c r="O50" s="27" t="s">
        <v>945</v>
      </c>
      <c r="P50" s="27" t="s">
        <v>946</v>
      </c>
      <c r="Q50" s="27" t="s">
        <v>947</v>
      </c>
      <c r="R50" s="27" t="s">
        <v>4145</v>
      </c>
      <c r="S50" s="27" t="s">
        <v>4146</v>
      </c>
      <c r="T50" s="27" t="s">
        <v>1011</v>
      </c>
      <c r="U50" s="27">
        <v>51980502429</v>
      </c>
      <c r="V50" s="27">
        <v>51980502429</v>
      </c>
      <c r="W50" s="27">
        <v>51985215874</v>
      </c>
      <c r="X50" s="27" t="s">
        <v>953</v>
      </c>
      <c r="Y50" s="27" t="s">
        <v>966</v>
      </c>
      <c r="Z50" s="27" t="s">
        <v>4147</v>
      </c>
      <c r="AA50" s="43" t="s">
        <v>4148</v>
      </c>
      <c r="AB50" s="27" t="s">
        <v>1250</v>
      </c>
      <c r="AC50" s="27" t="s">
        <v>406</v>
      </c>
      <c r="AD50" s="27" t="s">
        <v>406</v>
      </c>
      <c r="AE50" s="27" t="s">
        <v>406</v>
      </c>
      <c r="AF50" s="27" t="s">
        <v>406</v>
      </c>
      <c r="AG50" s="27" t="s">
        <v>406</v>
      </c>
      <c r="AH50" s="27">
        <v>39</v>
      </c>
      <c r="AI50" s="27">
        <v>39</v>
      </c>
      <c r="AJ50" s="27">
        <v>39</v>
      </c>
      <c r="AK50" s="27">
        <v>39</v>
      </c>
      <c r="AL50" s="27" t="s">
        <v>406</v>
      </c>
      <c r="AM50" s="27" t="s">
        <v>406</v>
      </c>
      <c r="AN50" s="27" t="s">
        <v>406</v>
      </c>
    </row>
  </sheetData>
  <autoFilter ref="A1:AN50">
    <extLst/>
  </autoFilter>
  <conditionalFormatting sqref="E1">
    <cfRule type="containsText" dxfId="5" priority="1" operator="between" text="EAD">
      <formula>NOT(ISERROR(SEARCH("EAD",E1)))</formula>
    </cfRule>
    <cfRule type="containsText" dxfId="6" priority="2" operator="between" text="Não Tem">
      <formula>NOT(ISERROR(SEARCH("Não Tem",E1)))</formula>
    </cfRule>
    <cfRule type="containsText" dxfId="7" priority="3" operator="between" text="EAD + Presencial">
      <formula>NOT(ISERROR(SEARCH("EAD + Presencial",E1)))</formula>
    </cfRule>
  </conditionalFormatting>
  <dataValidations count="10">
    <dataValidation type="list" allowBlank="1" showErrorMessage="1" sqref="T2:T50">
      <formula1>Página5!$G:$G</formula1>
    </dataValidation>
    <dataValidation type="list" allowBlank="1" showErrorMessage="1" sqref="E1:E50">
      <formula1>"Curso CAB operador concluído,Módulo 2 e 3 concluído,Módulo 1 concluído"</formula1>
    </dataValidation>
    <dataValidation type="list" allowBlank="1" showErrorMessage="1" sqref="L2:L50">
      <formula1>Página5!$C:$C</formula1>
    </dataValidation>
    <dataValidation type="list" allowBlank="1" showErrorMessage="1" sqref="O2:O50">
      <formula1>Página5!$D:$D</formula1>
    </dataValidation>
    <dataValidation type="list" allowBlank="1" showErrorMessage="1" sqref="Y2:Y50">
      <formula1>Página5!$A:$A</formula1>
    </dataValidation>
    <dataValidation type="list" allowBlank="1" showErrorMessage="1" sqref="P2:P50">
      <formula1>Página5!$E:$E</formula1>
    </dataValidation>
    <dataValidation type="list" allowBlank="1" showErrorMessage="1" sqref="Q2:Q50">
      <formula1>Página5!$F:$F</formula1>
    </dataValidation>
    <dataValidation type="list" allowBlank="1" showErrorMessage="1" sqref="AC2:AG50;AL2:AN50">
      <formula1>"P,M,G,GG,EXG"</formula1>
    </dataValidation>
    <dataValidation type="list" allowBlank="1" showErrorMessage="1" sqref="AH2:AK50">
      <formula1>Página5!$H:$H</formula1>
    </dataValidation>
    <dataValidation type="list" allowBlank="1" showErrorMessage="1" sqref="J2:K50">
      <formula1>Página5!$B:$B</formula1>
    </dataValidation>
  </dataValidations>
  <hyperlinks>
    <hyperlink ref="R8" r:id="rId1" display="brunnobrasil6@gmail.com"/>
    <hyperlink ref="R18" r:id="rId2" display="felipecarneiro193@gmail.com"/>
    <hyperlink ref="R19" r:id="rId3" display="giancarlogreiner388@gmail.com"/>
    <hyperlink ref="R29" r:id="rId4" display="gabriel.escouto59@gmail.com"/>
    <hyperlink ref="R36" r:id="rId5" display="robsonordoqui@gmail.com"/>
    <hyperlink ref="R41" r:id="rId6" display="roger_malta@hotmail.com"/>
    <hyperlink ref="R44" r:id="rId7" display="nogueraian@gmail.com"/>
    <hyperlink ref="R47" r:id="rId8" display="uilrobson193@gmail.com"/>
  </hyperlinks>
  <pageMargins left="0.511811024" right="0.511811024" top="0.787401575" bottom="0.787401575" header="0" footer="0"/>
  <pageSetup paperSize="1"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84"/>
  <sheetViews>
    <sheetView workbookViewId="0">
      <pane xSplit="4" ySplit="1" topLeftCell="E2" activePane="bottomRight" state="frozen"/>
      <selection/>
      <selection pane="topRight"/>
      <selection pane="bottomLeft"/>
      <selection pane="bottomRight" activeCell="E2" sqref="E2"/>
    </sheetView>
  </sheetViews>
  <sheetFormatPr defaultColWidth="14.4380952380952" defaultRowHeight="15" customHeight="1"/>
  <cols>
    <col min="1" max="1" width="7.88571428571429" customWidth="1"/>
    <col min="2" max="2" width="17.6666666666667" customWidth="1"/>
    <col min="3" max="3" width="11.3333333333333" customWidth="1"/>
    <col min="4" max="4" width="36.8857142857143" customWidth="1"/>
    <col min="5" max="5" width="30.1047619047619" customWidth="1"/>
    <col min="6" max="6" width="20.6666666666667" customWidth="1"/>
    <col min="7" max="7" width="15.8857142857143" customWidth="1"/>
    <col min="8" max="8" width="25" customWidth="1"/>
    <col min="9" max="9" width="219.438095238095" customWidth="1"/>
    <col min="10" max="10" width="22.552380952381" customWidth="1"/>
    <col min="11" max="11" width="30.4380952380952" customWidth="1"/>
    <col min="12" max="12" width="16.1047619047619" customWidth="1"/>
    <col min="13" max="13" width="26.6666666666667" customWidth="1"/>
    <col min="14" max="14" width="30.8857142857143" customWidth="1"/>
    <col min="15" max="15" width="14.6666666666667" customWidth="1"/>
    <col min="16" max="16" width="12.8857142857143" customWidth="1"/>
    <col min="17" max="17" width="28.1047619047619" customWidth="1"/>
    <col min="18" max="18" width="40.3333333333333" customWidth="1"/>
    <col min="19" max="19" width="13.6666666666667" customWidth="1"/>
    <col min="20" max="20" width="22.8857142857143" customWidth="1"/>
    <col min="21" max="21" width="32.8857142857143" customWidth="1"/>
    <col min="22" max="22" width="29.552380952381" customWidth="1"/>
    <col min="23" max="23" width="35.552380952381" customWidth="1"/>
    <col min="24" max="24" width="19" customWidth="1"/>
    <col min="25" max="25" width="19.3333333333333" customWidth="1"/>
    <col min="26" max="26" width="15.6666666666667" customWidth="1"/>
    <col min="27" max="27" width="28.8857142857143" customWidth="1"/>
    <col min="28" max="28" width="19.6666666666667" customWidth="1"/>
    <col min="29" max="29" width="37.552380952381" customWidth="1"/>
    <col min="30" max="30" width="37.4380952380952" customWidth="1"/>
    <col min="31" max="31" width="23.4380952380952" customWidth="1"/>
    <col min="32" max="32" width="25" customWidth="1"/>
    <col min="33" max="33" width="21.552380952381" customWidth="1"/>
    <col min="34" max="34" width="18.6666666666667" customWidth="1"/>
    <col min="35" max="35" width="24.6666666666667" customWidth="1"/>
    <col min="36" max="36" width="17.1047619047619" customWidth="1"/>
    <col min="37" max="37" width="19.552380952381" customWidth="1"/>
    <col min="38" max="38" width="32.4380952380952" customWidth="1"/>
    <col min="39" max="39" width="25.8857142857143" customWidth="1"/>
    <col min="40" max="40" width="20" customWidth="1"/>
  </cols>
  <sheetData>
    <row r="1" ht="25.5" spans="1:40">
      <c r="A1" s="2" t="s">
        <v>410</v>
      </c>
      <c r="B1" s="2" t="s">
        <v>2021</v>
      </c>
      <c r="C1" s="26" t="s">
        <v>899</v>
      </c>
      <c r="D1" s="2" t="s">
        <v>900</v>
      </c>
      <c r="E1" s="5" t="s">
        <v>901</v>
      </c>
      <c r="F1" s="2" t="s">
        <v>902</v>
      </c>
      <c r="G1" s="2" t="s">
        <v>1</v>
      </c>
      <c r="H1" s="2" t="s">
        <v>903</v>
      </c>
      <c r="I1" s="2" t="s">
        <v>904</v>
      </c>
      <c r="J1" s="13" t="s">
        <v>905</v>
      </c>
      <c r="K1" s="13" t="s">
        <v>906</v>
      </c>
      <c r="L1" s="14" t="s">
        <v>907</v>
      </c>
      <c r="M1" s="14" t="s">
        <v>908</v>
      </c>
      <c r="N1" s="14" t="s">
        <v>909</v>
      </c>
      <c r="O1" s="14" t="s">
        <v>910</v>
      </c>
      <c r="P1" s="14" t="s">
        <v>911</v>
      </c>
      <c r="Q1" s="14" t="s">
        <v>912</v>
      </c>
      <c r="R1" s="14" t="s">
        <v>913</v>
      </c>
      <c r="S1" s="14" t="s">
        <v>914</v>
      </c>
      <c r="T1" s="14" t="s">
        <v>915</v>
      </c>
      <c r="U1" s="14" t="s">
        <v>916</v>
      </c>
      <c r="V1" s="14" t="s">
        <v>917</v>
      </c>
      <c r="W1" s="14" t="s">
        <v>918</v>
      </c>
      <c r="X1" s="14" t="s">
        <v>919</v>
      </c>
      <c r="Y1" s="14" t="s">
        <v>920</v>
      </c>
      <c r="Z1" s="14" t="s">
        <v>921</v>
      </c>
      <c r="AA1" s="14" t="s">
        <v>922</v>
      </c>
      <c r="AB1" s="14" t="s">
        <v>923</v>
      </c>
      <c r="AC1" s="14" t="s">
        <v>924</v>
      </c>
      <c r="AD1" s="14" t="s">
        <v>925</v>
      </c>
      <c r="AE1" s="31" t="s">
        <v>926</v>
      </c>
      <c r="AF1" s="31" t="s">
        <v>927</v>
      </c>
      <c r="AG1" s="31" t="s">
        <v>928</v>
      </c>
      <c r="AH1" s="31" t="s">
        <v>929</v>
      </c>
      <c r="AI1" s="31" t="s">
        <v>930</v>
      </c>
      <c r="AJ1" s="31" t="s">
        <v>931</v>
      </c>
      <c r="AK1" s="14" t="s">
        <v>932</v>
      </c>
      <c r="AL1" s="14" t="s">
        <v>933</v>
      </c>
      <c r="AM1" s="14" t="s">
        <v>934</v>
      </c>
      <c r="AN1" s="14" t="s">
        <v>935</v>
      </c>
    </row>
    <row r="2" spans="1:40">
      <c r="A2" s="6"/>
      <c r="B2" s="6"/>
      <c r="C2" s="4"/>
      <c r="D2" s="7" t="s">
        <v>4149</v>
      </c>
      <c r="E2" s="6" t="s">
        <v>491</v>
      </c>
      <c r="F2" s="7" t="s">
        <v>4150</v>
      </c>
      <c r="G2" s="6"/>
      <c r="H2" s="7"/>
      <c r="I2" s="7"/>
      <c r="J2" s="7"/>
      <c r="K2" s="7"/>
      <c r="L2" s="7"/>
      <c r="M2" s="7"/>
      <c r="N2" s="15"/>
      <c r="O2" s="7"/>
      <c r="P2" s="7"/>
      <c r="Q2" s="7"/>
      <c r="R2" s="7"/>
      <c r="S2" s="7"/>
      <c r="T2" s="7"/>
      <c r="U2" s="7"/>
      <c r="V2" s="7"/>
      <c r="W2" s="7"/>
      <c r="X2" s="7"/>
      <c r="Y2" s="7"/>
      <c r="Z2" s="7"/>
      <c r="AA2" s="7"/>
      <c r="AB2" s="7"/>
      <c r="AC2" s="7"/>
      <c r="AD2" s="7"/>
      <c r="AE2" s="6"/>
      <c r="AF2" s="6"/>
      <c r="AG2" s="6"/>
      <c r="AH2" s="6"/>
      <c r="AI2" s="6"/>
      <c r="AJ2" s="6"/>
      <c r="AK2" s="7"/>
      <c r="AL2" s="7"/>
      <c r="AM2" s="7"/>
      <c r="AN2" s="7"/>
    </row>
    <row r="3" ht="17.25" customHeight="1" spans="1:40">
      <c r="A3" s="6" t="s">
        <v>4151</v>
      </c>
      <c r="B3" s="6" t="s">
        <v>427</v>
      </c>
      <c r="C3" s="4" t="s">
        <v>957</v>
      </c>
      <c r="D3" s="7" t="s">
        <v>4152</v>
      </c>
      <c r="E3" s="29" t="s">
        <v>490</v>
      </c>
      <c r="F3" s="7" t="s">
        <v>4153</v>
      </c>
      <c r="G3" s="6">
        <v>4066831068</v>
      </c>
      <c r="H3" s="7" t="s">
        <v>2043</v>
      </c>
      <c r="I3" s="7" t="s">
        <v>4154</v>
      </c>
      <c r="J3" s="7" t="s">
        <v>941</v>
      </c>
      <c r="K3" s="7" t="s">
        <v>942</v>
      </c>
      <c r="L3" s="7" t="s">
        <v>975</v>
      </c>
      <c r="M3" s="7" t="s">
        <v>4155</v>
      </c>
      <c r="N3" s="15">
        <v>28533</v>
      </c>
      <c r="O3" s="7" t="s">
        <v>1028</v>
      </c>
      <c r="P3" s="7" t="s">
        <v>946</v>
      </c>
      <c r="Q3" s="7" t="s">
        <v>1227</v>
      </c>
      <c r="R3" s="7" t="s">
        <v>4156</v>
      </c>
      <c r="S3" s="7" t="s">
        <v>4157</v>
      </c>
      <c r="T3" s="7" t="s">
        <v>1044</v>
      </c>
      <c r="U3" s="7" t="s">
        <v>4158</v>
      </c>
      <c r="V3" s="7">
        <v>51998576609</v>
      </c>
      <c r="W3" s="7" t="s">
        <v>4159</v>
      </c>
      <c r="X3" s="7" t="s">
        <v>953</v>
      </c>
      <c r="Y3" s="7" t="s">
        <v>427</v>
      </c>
      <c r="Z3" s="7">
        <v>95599000</v>
      </c>
      <c r="AA3" s="7" t="s">
        <v>4160</v>
      </c>
      <c r="AB3" s="7" t="s">
        <v>1178</v>
      </c>
      <c r="AC3" s="28" t="s">
        <v>398</v>
      </c>
      <c r="AD3" s="28" t="s">
        <v>398</v>
      </c>
      <c r="AE3" s="27" t="s">
        <v>398</v>
      </c>
      <c r="AF3" s="27" t="s">
        <v>398</v>
      </c>
      <c r="AG3" s="27" t="s">
        <v>398</v>
      </c>
      <c r="AH3" s="27">
        <v>38</v>
      </c>
      <c r="AI3" s="27">
        <v>38</v>
      </c>
      <c r="AJ3" s="27">
        <v>38</v>
      </c>
      <c r="AK3" s="37">
        <v>38</v>
      </c>
      <c r="AL3" s="28" t="s">
        <v>398</v>
      </c>
      <c r="AM3" s="28" t="s">
        <v>398</v>
      </c>
      <c r="AN3" s="28" t="s">
        <v>406</v>
      </c>
    </row>
    <row r="4" spans="1:40">
      <c r="A4" s="6"/>
      <c r="B4" s="6"/>
      <c r="C4" s="4"/>
      <c r="D4" s="7" t="s">
        <v>4161</v>
      </c>
      <c r="E4" s="6" t="s">
        <v>491</v>
      </c>
      <c r="F4" s="7" t="s">
        <v>4162</v>
      </c>
      <c r="G4" s="6"/>
      <c r="H4" s="7"/>
      <c r="I4" s="7"/>
      <c r="J4" s="7"/>
      <c r="K4" s="7"/>
      <c r="L4" s="7"/>
      <c r="M4" s="7"/>
      <c r="N4" s="15"/>
      <c r="O4" s="7"/>
      <c r="P4" s="7"/>
      <c r="Q4" s="7"/>
      <c r="R4" s="7"/>
      <c r="S4" s="7"/>
      <c r="T4" s="7"/>
      <c r="U4" s="7"/>
      <c r="V4" s="7"/>
      <c r="W4" s="7"/>
      <c r="X4" s="7"/>
      <c r="Y4" s="7"/>
      <c r="Z4" s="7"/>
      <c r="AA4" s="7"/>
      <c r="AB4" s="7"/>
      <c r="AC4" s="7"/>
      <c r="AD4" s="7"/>
      <c r="AE4" s="6"/>
      <c r="AF4" s="6"/>
      <c r="AG4" s="6"/>
      <c r="AH4" s="6"/>
      <c r="AI4" s="6"/>
      <c r="AJ4" s="6"/>
      <c r="AK4" s="7"/>
      <c r="AL4" s="7"/>
      <c r="AM4" s="7"/>
      <c r="AN4" s="7"/>
    </row>
    <row r="5" spans="1:40">
      <c r="A5" s="6"/>
      <c r="B5" s="6"/>
      <c r="C5" s="4"/>
      <c r="D5" s="7" t="s">
        <v>4163</v>
      </c>
      <c r="E5" s="6" t="s">
        <v>491</v>
      </c>
      <c r="F5" s="7" t="s">
        <v>4164</v>
      </c>
      <c r="G5" s="6"/>
      <c r="H5" s="7"/>
      <c r="I5" s="7"/>
      <c r="J5" s="7"/>
      <c r="K5" s="7"/>
      <c r="L5" s="7"/>
      <c r="M5" s="7"/>
      <c r="N5" s="15"/>
      <c r="O5" s="7"/>
      <c r="P5" s="7"/>
      <c r="Q5" s="7"/>
      <c r="R5" s="7"/>
      <c r="S5" s="7"/>
      <c r="T5" s="7"/>
      <c r="U5" s="7"/>
      <c r="V5" s="7"/>
      <c r="W5" s="7"/>
      <c r="X5" s="7"/>
      <c r="Y5" s="7"/>
      <c r="Z5" s="7"/>
      <c r="AA5" s="7"/>
      <c r="AB5" s="7"/>
      <c r="AC5" s="7"/>
      <c r="AD5" s="7"/>
      <c r="AE5" s="6"/>
      <c r="AF5" s="6"/>
      <c r="AG5" s="6"/>
      <c r="AH5" s="6"/>
      <c r="AI5" s="6"/>
      <c r="AJ5" s="6"/>
      <c r="AK5" s="7"/>
      <c r="AL5" s="7"/>
      <c r="AM5" s="7"/>
      <c r="AN5" s="7"/>
    </row>
    <row r="6" spans="1:40">
      <c r="A6" s="6" t="s">
        <v>4151</v>
      </c>
      <c r="B6" s="6"/>
      <c r="C6" s="4" t="s">
        <v>4165</v>
      </c>
      <c r="D6" s="7" t="s">
        <v>4166</v>
      </c>
      <c r="E6" s="29" t="s">
        <v>971</v>
      </c>
      <c r="F6" s="7" t="s">
        <v>4167</v>
      </c>
      <c r="G6" s="6"/>
      <c r="H6" s="7"/>
      <c r="I6" s="7"/>
      <c r="J6" s="7"/>
      <c r="K6" s="7"/>
      <c r="L6" s="7"/>
      <c r="M6" s="7"/>
      <c r="N6" s="15"/>
      <c r="O6" s="7"/>
      <c r="P6" s="7"/>
      <c r="Q6" s="7"/>
      <c r="R6" s="7"/>
      <c r="S6" s="7"/>
      <c r="T6" s="7"/>
      <c r="U6" s="7"/>
      <c r="V6" s="7"/>
      <c r="W6" s="7"/>
      <c r="X6" s="7"/>
      <c r="Y6" s="7"/>
      <c r="Z6" s="7"/>
      <c r="AA6" s="7"/>
      <c r="AB6" s="7"/>
      <c r="AC6" s="7"/>
      <c r="AD6" s="7"/>
      <c r="AE6" s="6"/>
      <c r="AF6" s="6"/>
      <c r="AG6" s="6"/>
      <c r="AH6" s="6"/>
      <c r="AI6" s="6"/>
      <c r="AJ6" s="6"/>
      <c r="AK6" s="7"/>
      <c r="AL6" s="7"/>
      <c r="AM6" s="7"/>
      <c r="AN6" s="7"/>
    </row>
    <row r="7" spans="1:40">
      <c r="A7" s="6" t="s">
        <v>4151</v>
      </c>
      <c r="B7" s="6" t="s">
        <v>427</v>
      </c>
      <c r="C7" s="4" t="s">
        <v>957</v>
      </c>
      <c r="D7" s="7" t="s">
        <v>151</v>
      </c>
      <c r="E7" s="29" t="s">
        <v>971</v>
      </c>
      <c r="F7" s="7" t="s">
        <v>4168</v>
      </c>
      <c r="G7" s="6">
        <v>3086593047</v>
      </c>
      <c r="H7" s="7" t="s">
        <v>4169</v>
      </c>
      <c r="I7" s="7" t="s">
        <v>4170</v>
      </c>
      <c r="J7" s="7" t="s">
        <v>942</v>
      </c>
      <c r="K7" s="7" t="s">
        <v>942</v>
      </c>
      <c r="L7" s="7" t="s">
        <v>1080</v>
      </c>
      <c r="M7" s="7" t="s">
        <v>4171</v>
      </c>
      <c r="N7" s="15">
        <v>29557</v>
      </c>
      <c r="O7" s="7" t="s">
        <v>1028</v>
      </c>
      <c r="P7" s="7" t="s">
        <v>946</v>
      </c>
      <c r="Q7" s="7" t="s">
        <v>947</v>
      </c>
      <c r="R7" s="7" t="s">
        <v>4172</v>
      </c>
      <c r="S7" s="7" t="s">
        <v>4173</v>
      </c>
      <c r="T7" s="7" t="s">
        <v>1044</v>
      </c>
      <c r="U7" s="7" t="s">
        <v>4158</v>
      </c>
      <c r="V7" s="7">
        <v>51980253121</v>
      </c>
      <c r="W7" s="7" t="s">
        <v>4174</v>
      </c>
      <c r="X7" s="7" t="s">
        <v>953</v>
      </c>
      <c r="Y7" s="7" t="s">
        <v>427</v>
      </c>
      <c r="Z7" s="7">
        <v>95599000</v>
      </c>
      <c r="AA7" s="7" t="s">
        <v>4175</v>
      </c>
      <c r="AB7" s="7" t="s">
        <v>1178</v>
      </c>
      <c r="AC7" s="7" t="s">
        <v>396</v>
      </c>
      <c r="AD7" s="7" t="s">
        <v>396</v>
      </c>
      <c r="AE7" s="6" t="s">
        <v>396</v>
      </c>
      <c r="AF7" s="6" t="s">
        <v>396</v>
      </c>
      <c r="AG7" s="6" t="s">
        <v>396</v>
      </c>
      <c r="AH7" s="6">
        <v>35</v>
      </c>
      <c r="AI7" s="6">
        <v>35</v>
      </c>
      <c r="AJ7" s="6">
        <v>35</v>
      </c>
      <c r="AK7" s="7">
        <v>35</v>
      </c>
      <c r="AL7" s="7" t="s">
        <v>396</v>
      </c>
      <c r="AM7" s="7" t="s">
        <v>395</v>
      </c>
      <c r="AN7" s="7" t="s">
        <v>396</v>
      </c>
    </row>
    <row r="8" spans="1:40">
      <c r="A8" s="6" t="s">
        <v>4151</v>
      </c>
      <c r="B8" s="6" t="s">
        <v>427</v>
      </c>
      <c r="C8" s="4" t="s">
        <v>957</v>
      </c>
      <c r="D8" s="7" t="s">
        <v>4176</v>
      </c>
      <c r="E8" s="29" t="s">
        <v>971</v>
      </c>
      <c r="F8" s="7" t="s">
        <v>4177</v>
      </c>
      <c r="G8" s="6">
        <v>5087547062</v>
      </c>
      <c r="H8" s="7" t="s">
        <v>4169</v>
      </c>
      <c r="I8" s="7" t="s">
        <v>4178</v>
      </c>
      <c r="J8" s="7" t="s">
        <v>942</v>
      </c>
      <c r="K8" s="7" t="s">
        <v>942</v>
      </c>
      <c r="L8" s="7" t="s">
        <v>1068</v>
      </c>
      <c r="M8" s="7" t="s">
        <v>1858</v>
      </c>
      <c r="N8" s="15">
        <v>33266</v>
      </c>
      <c r="O8" s="7" t="s">
        <v>945</v>
      </c>
      <c r="P8" s="7" t="s">
        <v>946</v>
      </c>
      <c r="Q8" s="7" t="s">
        <v>963</v>
      </c>
      <c r="R8" s="7" t="s">
        <v>4179</v>
      </c>
      <c r="S8" s="7" t="s">
        <v>4173</v>
      </c>
      <c r="T8" s="7" t="s">
        <v>950</v>
      </c>
      <c r="U8" s="7" t="s">
        <v>4158</v>
      </c>
      <c r="V8" s="7">
        <v>51991863504</v>
      </c>
      <c r="W8" s="7">
        <v>53981554472</v>
      </c>
      <c r="X8" s="7" t="s">
        <v>953</v>
      </c>
      <c r="Y8" s="7" t="s">
        <v>1773</v>
      </c>
      <c r="Z8" s="7">
        <v>90560003</v>
      </c>
      <c r="AA8" s="7" t="s">
        <v>4180</v>
      </c>
      <c r="AB8" s="7" t="s">
        <v>4181</v>
      </c>
      <c r="AC8" s="28" t="s">
        <v>398</v>
      </c>
      <c r="AD8" s="28" t="s">
        <v>398</v>
      </c>
      <c r="AE8" s="27" t="s">
        <v>398</v>
      </c>
      <c r="AF8" s="27" t="s">
        <v>398</v>
      </c>
      <c r="AG8" s="27" t="s">
        <v>406</v>
      </c>
      <c r="AH8" s="27">
        <v>41</v>
      </c>
      <c r="AI8" s="27">
        <v>41</v>
      </c>
      <c r="AJ8" s="27">
        <v>41</v>
      </c>
      <c r="AK8" s="37">
        <v>41</v>
      </c>
      <c r="AL8" s="28" t="s">
        <v>406</v>
      </c>
      <c r="AM8" s="28" t="s">
        <v>406</v>
      </c>
      <c r="AN8" s="28" t="s">
        <v>406</v>
      </c>
    </row>
    <row r="9" spans="1:40">
      <c r="A9" s="6" t="s">
        <v>4151</v>
      </c>
      <c r="B9" s="6" t="s">
        <v>427</v>
      </c>
      <c r="C9" s="4" t="s">
        <v>957</v>
      </c>
      <c r="D9" s="7" t="s">
        <v>4182</v>
      </c>
      <c r="E9" s="29" t="s">
        <v>492</v>
      </c>
      <c r="F9" s="7" t="s">
        <v>4183</v>
      </c>
      <c r="G9" s="6">
        <v>4055905303</v>
      </c>
      <c r="H9" s="7" t="s">
        <v>2043</v>
      </c>
      <c r="I9" s="7" t="s">
        <v>4184</v>
      </c>
      <c r="J9" s="7" t="s">
        <v>942</v>
      </c>
      <c r="K9" s="7" t="s">
        <v>942</v>
      </c>
      <c r="L9" s="28" t="s">
        <v>975</v>
      </c>
      <c r="M9" s="7" t="s">
        <v>4185</v>
      </c>
      <c r="N9" s="15">
        <v>27307</v>
      </c>
      <c r="O9" s="7" t="s">
        <v>945</v>
      </c>
      <c r="P9" s="7" t="s">
        <v>946</v>
      </c>
      <c r="Q9" s="7" t="s">
        <v>963</v>
      </c>
      <c r="R9" s="7" t="s">
        <v>4186</v>
      </c>
      <c r="S9" s="7" t="s">
        <v>4187</v>
      </c>
      <c r="T9" s="7" t="s">
        <v>965</v>
      </c>
      <c r="U9" s="7" t="s">
        <v>4158</v>
      </c>
      <c r="V9" s="7">
        <v>51993990606</v>
      </c>
      <c r="W9" s="7">
        <v>51984424345</v>
      </c>
      <c r="X9" s="7" t="s">
        <v>953</v>
      </c>
      <c r="Y9" s="7" t="s">
        <v>4188</v>
      </c>
      <c r="Z9" s="7">
        <v>94410620</v>
      </c>
      <c r="AA9" s="7" t="s">
        <v>4189</v>
      </c>
      <c r="AB9" s="7" t="s">
        <v>1178</v>
      </c>
      <c r="AC9" s="28" t="s">
        <v>399</v>
      </c>
      <c r="AD9" s="28" t="s">
        <v>399</v>
      </c>
      <c r="AE9" s="27" t="s">
        <v>399</v>
      </c>
      <c r="AF9" s="27" t="s">
        <v>399</v>
      </c>
      <c r="AG9" s="27" t="s">
        <v>399</v>
      </c>
      <c r="AH9" s="27">
        <v>43</v>
      </c>
      <c r="AI9" s="27">
        <v>43</v>
      </c>
      <c r="AJ9" s="27">
        <v>43</v>
      </c>
      <c r="AK9" s="37">
        <v>43</v>
      </c>
      <c r="AL9" s="28" t="s">
        <v>399</v>
      </c>
      <c r="AM9" s="28" t="s">
        <v>399</v>
      </c>
      <c r="AN9" s="28" t="s">
        <v>398</v>
      </c>
    </row>
    <row r="10" spans="1:40">
      <c r="A10" s="6" t="s">
        <v>4151</v>
      </c>
      <c r="B10" s="6"/>
      <c r="C10" s="4" t="s">
        <v>4165</v>
      </c>
      <c r="D10" s="7" t="s">
        <v>4190</v>
      </c>
      <c r="E10" s="29" t="s">
        <v>491</v>
      </c>
      <c r="F10" s="7" t="s">
        <v>4191</v>
      </c>
      <c r="G10" s="6"/>
      <c r="H10" s="7"/>
      <c r="I10" s="7"/>
      <c r="J10" s="7"/>
      <c r="K10" s="7"/>
      <c r="L10" s="7"/>
      <c r="M10" s="7"/>
      <c r="N10" s="15"/>
      <c r="O10" s="7"/>
      <c r="P10" s="7"/>
      <c r="Q10" s="7"/>
      <c r="R10" s="7"/>
      <c r="S10" s="7"/>
      <c r="T10" s="7"/>
      <c r="U10" s="7"/>
      <c r="V10" s="7"/>
      <c r="W10" s="7"/>
      <c r="X10" s="7"/>
      <c r="Y10" s="7"/>
      <c r="Z10" s="7"/>
      <c r="AA10" s="7"/>
      <c r="AB10" s="7"/>
      <c r="AC10" s="7"/>
      <c r="AD10" s="7"/>
      <c r="AE10" s="6"/>
      <c r="AF10" s="6"/>
      <c r="AG10" s="6"/>
      <c r="AH10" s="6"/>
      <c r="AI10" s="6"/>
      <c r="AJ10" s="6"/>
      <c r="AK10" s="7"/>
      <c r="AL10" s="7"/>
      <c r="AM10" s="7"/>
      <c r="AN10" s="7"/>
    </row>
    <row r="11" spans="1:40">
      <c r="A11" s="6" t="s">
        <v>4151</v>
      </c>
      <c r="B11" s="6" t="s">
        <v>427</v>
      </c>
      <c r="C11" s="4" t="s">
        <v>957</v>
      </c>
      <c r="D11" s="7" t="s">
        <v>4192</v>
      </c>
      <c r="E11" s="29" t="s">
        <v>491</v>
      </c>
      <c r="F11" s="7" t="s">
        <v>4193</v>
      </c>
      <c r="G11" s="6">
        <v>7088854125</v>
      </c>
      <c r="H11" s="7" t="s">
        <v>2043</v>
      </c>
      <c r="I11" s="7" t="s">
        <v>4184</v>
      </c>
      <c r="J11" s="7" t="s">
        <v>942</v>
      </c>
      <c r="K11" s="7" t="s">
        <v>942</v>
      </c>
      <c r="L11" s="7"/>
      <c r="M11" s="7" t="s">
        <v>4194</v>
      </c>
      <c r="N11" s="15">
        <v>6569765</v>
      </c>
      <c r="O11" s="7" t="s">
        <v>945</v>
      </c>
      <c r="P11" s="7" t="s">
        <v>946</v>
      </c>
      <c r="Q11" s="7" t="s">
        <v>963</v>
      </c>
      <c r="R11" s="7" t="s">
        <v>4195</v>
      </c>
      <c r="S11" s="7" t="s">
        <v>4196</v>
      </c>
      <c r="T11" s="7" t="s">
        <v>1011</v>
      </c>
      <c r="U11" s="7" t="s">
        <v>4158</v>
      </c>
      <c r="V11" s="7">
        <v>51995916979</v>
      </c>
      <c r="W11" s="7" t="s">
        <v>4197</v>
      </c>
      <c r="X11" s="7" t="s">
        <v>953</v>
      </c>
      <c r="Y11" s="7" t="s">
        <v>4198</v>
      </c>
      <c r="Z11" s="7">
        <v>95625000</v>
      </c>
      <c r="AA11" s="7" t="s">
        <v>4199</v>
      </c>
      <c r="AB11" s="7" t="s">
        <v>4200</v>
      </c>
      <c r="AC11" s="7" t="s">
        <v>398</v>
      </c>
      <c r="AD11" s="7" t="s">
        <v>398</v>
      </c>
      <c r="AE11" s="6" t="s">
        <v>398</v>
      </c>
      <c r="AF11" s="6" t="s">
        <v>398</v>
      </c>
      <c r="AG11" s="6" t="s">
        <v>398</v>
      </c>
      <c r="AH11" s="6">
        <v>40</v>
      </c>
      <c r="AI11" s="6">
        <v>40</v>
      </c>
      <c r="AJ11" s="6">
        <v>40</v>
      </c>
      <c r="AK11" s="7">
        <v>41</v>
      </c>
      <c r="AL11" s="7" t="s">
        <v>398</v>
      </c>
      <c r="AM11" s="7" t="s">
        <v>398</v>
      </c>
      <c r="AN11" s="7" t="s">
        <v>406</v>
      </c>
    </row>
    <row r="12" spans="1:40">
      <c r="A12" s="6" t="s">
        <v>4151</v>
      </c>
      <c r="B12" s="6" t="s">
        <v>427</v>
      </c>
      <c r="C12" s="4" t="s">
        <v>957</v>
      </c>
      <c r="D12" s="7" t="s">
        <v>4201</v>
      </c>
      <c r="E12" s="29" t="s">
        <v>490</v>
      </c>
      <c r="F12" s="7" t="s">
        <v>4202</v>
      </c>
      <c r="G12" s="6">
        <v>8015043055</v>
      </c>
      <c r="H12" s="7" t="s">
        <v>4203</v>
      </c>
      <c r="I12" s="7" t="s">
        <v>4204</v>
      </c>
      <c r="J12" s="7" t="s">
        <v>941</v>
      </c>
      <c r="K12" s="7" t="s">
        <v>942</v>
      </c>
      <c r="L12" s="7" t="s">
        <v>1026</v>
      </c>
      <c r="M12" s="7" t="s">
        <v>4205</v>
      </c>
      <c r="N12" s="15">
        <v>28680</v>
      </c>
      <c r="O12" s="7" t="s">
        <v>945</v>
      </c>
      <c r="P12" s="7" t="s">
        <v>946</v>
      </c>
      <c r="Q12" s="7" t="s">
        <v>963</v>
      </c>
      <c r="R12" s="7" t="s">
        <v>4206</v>
      </c>
      <c r="S12" s="7" t="s">
        <v>4207</v>
      </c>
      <c r="T12" s="7" t="s">
        <v>1369</v>
      </c>
      <c r="U12" s="7" t="s">
        <v>4158</v>
      </c>
      <c r="V12" s="7">
        <v>51997392880</v>
      </c>
      <c r="W12" s="7" t="s">
        <v>4208</v>
      </c>
      <c r="X12" s="7" t="s">
        <v>953</v>
      </c>
      <c r="Y12" s="7" t="s">
        <v>427</v>
      </c>
      <c r="Z12" s="7">
        <v>95599000</v>
      </c>
      <c r="AA12" s="7" t="s">
        <v>4209</v>
      </c>
      <c r="AB12" s="7" t="s">
        <v>4210</v>
      </c>
      <c r="AC12" s="28" t="s">
        <v>406</v>
      </c>
      <c r="AD12" s="28" t="s">
        <v>406</v>
      </c>
      <c r="AE12" s="27" t="s">
        <v>406</v>
      </c>
      <c r="AF12" s="27" t="s">
        <v>406</v>
      </c>
      <c r="AG12" s="27" t="s">
        <v>406</v>
      </c>
      <c r="AH12" s="27">
        <v>38</v>
      </c>
      <c r="AI12" s="27">
        <v>38</v>
      </c>
      <c r="AJ12" s="27">
        <v>38</v>
      </c>
      <c r="AK12" s="37">
        <v>38</v>
      </c>
      <c r="AL12" s="28" t="s">
        <v>406</v>
      </c>
      <c r="AM12" s="28" t="s">
        <v>406</v>
      </c>
      <c r="AN12" s="28" t="s">
        <v>406</v>
      </c>
    </row>
    <row r="13" ht="15.75" customHeight="1" spans="1:40">
      <c r="A13" s="6" t="s">
        <v>4151</v>
      </c>
      <c r="B13" s="6" t="s">
        <v>415</v>
      </c>
      <c r="C13" s="4" t="s">
        <v>957</v>
      </c>
      <c r="D13" s="7" t="s">
        <v>4211</v>
      </c>
      <c r="E13" s="29" t="s">
        <v>971</v>
      </c>
      <c r="F13" s="28" t="s">
        <v>4212</v>
      </c>
      <c r="G13" s="27">
        <v>1132229152</v>
      </c>
      <c r="H13" s="28" t="s">
        <v>2043</v>
      </c>
      <c r="I13" s="28" t="s">
        <v>4213</v>
      </c>
      <c r="J13" s="28" t="s">
        <v>941</v>
      </c>
      <c r="K13" s="28" t="s">
        <v>941</v>
      </c>
      <c r="L13" s="28" t="s">
        <v>943</v>
      </c>
      <c r="M13" s="28" t="s">
        <v>4214</v>
      </c>
      <c r="N13" s="34">
        <v>36734</v>
      </c>
      <c r="O13" s="28" t="s">
        <v>945</v>
      </c>
      <c r="P13" s="28" t="s">
        <v>1257</v>
      </c>
      <c r="Q13" s="28"/>
      <c r="R13" s="28" t="s">
        <v>4215</v>
      </c>
      <c r="S13" s="28" t="s">
        <v>4216</v>
      </c>
      <c r="T13" s="28" t="s">
        <v>1044</v>
      </c>
      <c r="U13" s="28" t="s">
        <v>4217</v>
      </c>
      <c r="V13" s="28" t="s">
        <v>4218</v>
      </c>
      <c r="W13" s="28" t="s">
        <v>4158</v>
      </c>
      <c r="X13" s="28" t="s">
        <v>953</v>
      </c>
      <c r="Y13" s="28" t="s">
        <v>4219</v>
      </c>
      <c r="Z13" s="28" t="s">
        <v>4220</v>
      </c>
      <c r="AA13" s="28" t="s">
        <v>4221</v>
      </c>
      <c r="AB13" s="28" t="s">
        <v>4222</v>
      </c>
      <c r="AC13" s="28" t="s">
        <v>406</v>
      </c>
      <c r="AD13" s="28" t="s">
        <v>406</v>
      </c>
      <c r="AE13" s="27" t="s">
        <v>406</v>
      </c>
      <c r="AF13" s="27" t="s">
        <v>406</v>
      </c>
      <c r="AG13" s="27" t="s">
        <v>406</v>
      </c>
      <c r="AH13" s="27">
        <v>41</v>
      </c>
      <c r="AI13" s="27">
        <v>41</v>
      </c>
      <c r="AJ13" s="27">
        <v>41</v>
      </c>
      <c r="AK13" s="37">
        <v>41</v>
      </c>
      <c r="AL13" s="28" t="s">
        <v>406</v>
      </c>
      <c r="AM13" s="28" t="s">
        <v>406</v>
      </c>
      <c r="AN13" s="28" t="s">
        <v>396</v>
      </c>
    </row>
    <row r="14" ht="15.75" customHeight="1" spans="1:40">
      <c r="A14" s="6" t="s">
        <v>4151</v>
      </c>
      <c r="B14" s="6" t="s">
        <v>427</v>
      </c>
      <c r="C14" s="4" t="s">
        <v>957</v>
      </c>
      <c r="D14" s="7" t="s">
        <v>4223</v>
      </c>
      <c r="E14" s="29" t="s">
        <v>491</v>
      </c>
      <c r="F14" s="7" t="s">
        <v>4224</v>
      </c>
      <c r="G14" s="6">
        <v>7046315938</v>
      </c>
      <c r="H14" s="7" t="s">
        <v>2043</v>
      </c>
      <c r="I14" s="7" t="s">
        <v>4184</v>
      </c>
      <c r="J14" s="7" t="s">
        <v>941</v>
      </c>
      <c r="K14" s="7" t="s">
        <v>942</v>
      </c>
      <c r="L14" s="7" t="s">
        <v>1102</v>
      </c>
      <c r="M14" s="7" t="s">
        <v>4225</v>
      </c>
      <c r="N14" s="15">
        <v>27587</v>
      </c>
      <c r="O14" s="7" t="s">
        <v>1028</v>
      </c>
      <c r="P14" s="7" t="s">
        <v>946</v>
      </c>
      <c r="Q14" s="7" t="s">
        <v>963</v>
      </c>
      <c r="R14" s="7" t="s">
        <v>4226</v>
      </c>
      <c r="S14" s="7" t="s">
        <v>4227</v>
      </c>
      <c r="T14" s="7" t="s">
        <v>1030</v>
      </c>
      <c r="U14" s="7" t="s">
        <v>4158</v>
      </c>
      <c r="V14" s="7">
        <v>51985587281</v>
      </c>
      <c r="W14" s="7" t="s">
        <v>4228</v>
      </c>
      <c r="X14" s="7" t="s">
        <v>953</v>
      </c>
      <c r="Y14" s="7" t="s">
        <v>522</v>
      </c>
      <c r="Z14" s="7">
        <v>95595000</v>
      </c>
      <c r="AA14" s="7" t="s">
        <v>4229</v>
      </c>
      <c r="AB14" s="7" t="s">
        <v>1178</v>
      </c>
      <c r="AC14" s="7" t="s">
        <v>398</v>
      </c>
      <c r="AD14" s="7" t="s">
        <v>398</v>
      </c>
      <c r="AE14" s="6" t="s">
        <v>398</v>
      </c>
      <c r="AF14" s="6" t="s">
        <v>398</v>
      </c>
      <c r="AG14" s="6" t="s">
        <v>398</v>
      </c>
      <c r="AH14" s="6">
        <v>39</v>
      </c>
      <c r="AI14" s="6">
        <v>39</v>
      </c>
      <c r="AJ14" s="6">
        <v>39</v>
      </c>
      <c r="AK14" s="7">
        <v>39</v>
      </c>
      <c r="AL14" s="7" t="s">
        <v>398</v>
      </c>
      <c r="AM14" s="7" t="s">
        <v>398</v>
      </c>
      <c r="AN14" s="7" t="s">
        <v>396</v>
      </c>
    </row>
    <row r="15" ht="15.75" customHeight="1" spans="1:40">
      <c r="A15" s="6" t="s">
        <v>4151</v>
      </c>
      <c r="B15" s="6" t="s">
        <v>427</v>
      </c>
      <c r="C15" s="4" t="s">
        <v>957</v>
      </c>
      <c r="D15" s="7" t="s">
        <v>4230</v>
      </c>
      <c r="E15" s="29" t="s">
        <v>491</v>
      </c>
      <c r="F15" s="7" t="s">
        <v>4231</v>
      </c>
      <c r="G15" s="6">
        <v>8081932108</v>
      </c>
      <c r="H15" s="7" t="s">
        <v>4169</v>
      </c>
      <c r="I15" s="7" t="s">
        <v>4232</v>
      </c>
      <c r="J15" s="7" t="s">
        <v>942</v>
      </c>
      <c r="K15" s="7" t="s">
        <v>942</v>
      </c>
      <c r="L15" s="7" t="s">
        <v>1080</v>
      </c>
      <c r="M15" s="7" t="s">
        <v>4233</v>
      </c>
      <c r="N15" s="15">
        <v>31745</v>
      </c>
      <c r="O15" s="7" t="s">
        <v>945</v>
      </c>
      <c r="P15" s="7" t="s">
        <v>1041</v>
      </c>
      <c r="Q15" s="7" t="s">
        <v>963</v>
      </c>
      <c r="R15" s="7" t="s">
        <v>4234</v>
      </c>
      <c r="S15" s="7" t="s">
        <v>4235</v>
      </c>
      <c r="T15" s="7" t="s">
        <v>1030</v>
      </c>
      <c r="U15" s="7" t="s">
        <v>4158</v>
      </c>
      <c r="V15" s="7">
        <v>51996376459</v>
      </c>
      <c r="W15" s="7" t="s">
        <v>4236</v>
      </c>
      <c r="X15" s="7" t="s">
        <v>953</v>
      </c>
      <c r="Y15" s="7" t="s">
        <v>4237</v>
      </c>
      <c r="Z15" s="7">
        <v>95548000</v>
      </c>
      <c r="AA15" s="7" t="s">
        <v>4238</v>
      </c>
      <c r="AB15" s="7" t="s">
        <v>1178</v>
      </c>
      <c r="AC15" s="28" t="s">
        <v>399</v>
      </c>
      <c r="AD15" s="28" t="s">
        <v>399</v>
      </c>
      <c r="AE15" s="27" t="s">
        <v>399</v>
      </c>
      <c r="AF15" s="27" t="s">
        <v>399</v>
      </c>
      <c r="AG15" s="27" t="s">
        <v>399</v>
      </c>
      <c r="AH15" s="27">
        <v>42</v>
      </c>
      <c r="AI15" s="27">
        <v>42</v>
      </c>
      <c r="AJ15" s="27">
        <v>42</v>
      </c>
      <c r="AK15" s="37">
        <v>42</v>
      </c>
      <c r="AL15" s="28" t="s">
        <v>399</v>
      </c>
      <c r="AM15" s="28" t="s">
        <v>399</v>
      </c>
      <c r="AN15" s="28" t="s">
        <v>406</v>
      </c>
    </row>
    <row r="16" ht="15.75" customHeight="1" spans="1:40">
      <c r="A16" s="6" t="s">
        <v>4151</v>
      </c>
      <c r="B16" s="6" t="s">
        <v>427</v>
      </c>
      <c r="C16" s="4" t="s">
        <v>957</v>
      </c>
      <c r="D16" s="7" t="s">
        <v>4239</v>
      </c>
      <c r="E16" s="29" t="s">
        <v>971</v>
      </c>
      <c r="F16" s="7" t="s">
        <v>4240</v>
      </c>
      <c r="G16" s="6" t="s">
        <v>4241</v>
      </c>
      <c r="H16" s="7" t="s">
        <v>4169</v>
      </c>
      <c r="I16" s="7" t="s">
        <v>4170</v>
      </c>
      <c r="J16" s="7" t="s">
        <v>942</v>
      </c>
      <c r="K16" s="7" t="s">
        <v>942</v>
      </c>
      <c r="L16" s="7" t="s">
        <v>2122</v>
      </c>
      <c r="M16" s="7" t="s">
        <v>4242</v>
      </c>
      <c r="N16" s="15">
        <v>29965</v>
      </c>
      <c r="O16" s="7" t="s">
        <v>1028</v>
      </c>
      <c r="P16" s="7" t="s">
        <v>946</v>
      </c>
      <c r="Q16" s="7" t="s">
        <v>947</v>
      </c>
      <c r="R16" s="7" t="s">
        <v>4243</v>
      </c>
      <c r="S16" s="7" t="s">
        <v>4244</v>
      </c>
      <c r="T16" s="7" t="s">
        <v>1044</v>
      </c>
      <c r="U16" s="7" t="s">
        <v>4158</v>
      </c>
      <c r="V16" s="7">
        <v>51996078772</v>
      </c>
      <c r="W16" s="7" t="s">
        <v>4245</v>
      </c>
      <c r="X16" s="7" t="s">
        <v>953</v>
      </c>
      <c r="Y16" s="7" t="s">
        <v>4246</v>
      </c>
      <c r="Z16" s="7">
        <v>95590000</v>
      </c>
      <c r="AA16" s="7" t="s">
        <v>4247</v>
      </c>
      <c r="AB16" s="7" t="s">
        <v>1178</v>
      </c>
      <c r="AC16" s="7" t="s">
        <v>395</v>
      </c>
      <c r="AD16" s="7" t="s">
        <v>395</v>
      </c>
      <c r="AE16" s="6" t="s">
        <v>395</v>
      </c>
      <c r="AF16" s="6" t="s">
        <v>395</v>
      </c>
      <c r="AG16" s="6" t="s">
        <v>395</v>
      </c>
      <c r="AH16" s="6">
        <v>37</v>
      </c>
      <c r="AI16" s="6">
        <v>37</v>
      </c>
      <c r="AJ16" s="6">
        <v>37</v>
      </c>
      <c r="AK16" s="7">
        <v>37</v>
      </c>
      <c r="AL16" s="7" t="s">
        <v>395</v>
      </c>
      <c r="AM16" s="7" t="s">
        <v>395</v>
      </c>
      <c r="AN16" s="7" t="s">
        <v>396</v>
      </c>
    </row>
    <row r="17" ht="15.75" customHeight="1" spans="1:40">
      <c r="A17" s="6" t="s">
        <v>4151</v>
      </c>
      <c r="B17" s="6"/>
      <c r="C17" s="4" t="s">
        <v>4165</v>
      </c>
      <c r="D17" s="7" t="s">
        <v>334</v>
      </c>
      <c r="E17" s="29" t="s">
        <v>491</v>
      </c>
      <c r="F17" s="7" t="s">
        <v>4248</v>
      </c>
      <c r="G17" s="6"/>
      <c r="H17" s="7"/>
      <c r="I17" s="7"/>
      <c r="J17" s="7"/>
      <c r="K17" s="7"/>
      <c r="L17" s="7"/>
      <c r="M17" s="7"/>
      <c r="N17" s="15"/>
      <c r="O17" s="7"/>
      <c r="P17" s="7"/>
      <c r="Q17" s="7"/>
      <c r="R17" s="7"/>
      <c r="S17" s="7"/>
      <c r="T17" s="7"/>
      <c r="U17" s="7"/>
      <c r="V17" s="7"/>
      <c r="W17" s="7"/>
      <c r="X17" s="7"/>
      <c r="Y17" s="7"/>
      <c r="Z17" s="7"/>
      <c r="AA17" s="7"/>
      <c r="AB17" s="7"/>
      <c r="AC17" s="7"/>
      <c r="AD17" s="7"/>
      <c r="AE17" s="6"/>
      <c r="AF17" s="6"/>
      <c r="AG17" s="6"/>
      <c r="AH17" s="6"/>
      <c r="AI17" s="6"/>
      <c r="AJ17" s="6"/>
      <c r="AK17" s="7"/>
      <c r="AL17" s="7"/>
      <c r="AM17" s="7"/>
      <c r="AN17" s="7"/>
    </row>
    <row r="18" ht="15.75" customHeight="1" spans="1:40">
      <c r="A18" s="6" t="s">
        <v>4151</v>
      </c>
      <c r="B18" s="32" t="s">
        <v>415</v>
      </c>
      <c r="C18" s="4" t="s">
        <v>957</v>
      </c>
      <c r="D18" s="33" t="s">
        <v>335</v>
      </c>
      <c r="E18" s="29" t="s">
        <v>491</v>
      </c>
      <c r="F18" s="28" t="s">
        <v>4249</v>
      </c>
      <c r="G18" s="27">
        <v>21122119791</v>
      </c>
      <c r="H18" s="28" t="s">
        <v>2043</v>
      </c>
      <c r="I18" s="28" t="s">
        <v>4250</v>
      </c>
      <c r="J18" s="28" t="s">
        <v>941</v>
      </c>
      <c r="K18" s="28" t="s">
        <v>942</v>
      </c>
      <c r="L18" s="28" t="s">
        <v>975</v>
      </c>
      <c r="M18" s="28" t="s">
        <v>4251</v>
      </c>
      <c r="N18" s="34">
        <v>30433</v>
      </c>
      <c r="O18" s="28" t="s">
        <v>945</v>
      </c>
      <c r="P18" s="28" t="s">
        <v>1041</v>
      </c>
      <c r="Q18" s="28" t="s">
        <v>963</v>
      </c>
      <c r="R18" s="28" t="s">
        <v>4252</v>
      </c>
      <c r="S18" s="28" t="s">
        <v>4253</v>
      </c>
      <c r="T18" s="28" t="s">
        <v>965</v>
      </c>
      <c r="U18" s="28" t="s">
        <v>4158</v>
      </c>
      <c r="V18" s="28" t="s">
        <v>4254</v>
      </c>
      <c r="W18" s="28" t="s">
        <v>4255</v>
      </c>
      <c r="X18" s="28" t="s">
        <v>953</v>
      </c>
      <c r="Y18" s="28" t="s">
        <v>415</v>
      </c>
      <c r="Z18" s="28" t="s">
        <v>4256</v>
      </c>
      <c r="AA18" s="28" t="s">
        <v>4257</v>
      </c>
      <c r="AB18" s="28" t="s">
        <v>1178</v>
      </c>
      <c r="AC18" s="28" t="s">
        <v>406</v>
      </c>
      <c r="AD18" s="28" t="s">
        <v>406</v>
      </c>
      <c r="AE18" s="27" t="s">
        <v>406</v>
      </c>
      <c r="AF18" s="27" t="s">
        <v>406</v>
      </c>
      <c r="AG18" s="27" t="s">
        <v>406</v>
      </c>
      <c r="AH18" s="27">
        <v>40</v>
      </c>
      <c r="AI18" s="27">
        <v>40</v>
      </c>
      <c r="AJ18" s="27">
        <v>40</v>
      </c>
      <c r="AK18" s="37">
        <v>40</v>
      </c>
      <c r="AL18" s="28" t="s">
        <v>406</v>
      </c>
      <c r="AM18" s="28" t="s">
        <v>406</v>
      </c>
      <c r="AN18" s="28" t="s">
        <v>396</v>
      </c>
    </row>
    <row r="19" ht="15.75" customHeight="1" spans="1:40">
      <c r="A19" s="6" t="s">
        <v>4151</v>
      </c>
      <c r="B19" s="6" t="s">
        <v>427</v>
      </c>
      <c r="C19" s="4" t="s">
        <v>957</v>
      </c>
      <c r="D19" s="7" t="s">
        <v>4258</v>
      </c>
      <c r="E19" s="29" t="s">
        <v>490</v>
      </c>
      <c r="F19" s="7" t="s">
        <v>4259</v>
      </c>
      <c r="G19" s="6">
        <v>8087795831</v>
      </c>
      <c r="H19" s="7" t="s">
        <v>4203</v>
      </c>
      <c r="I19" s="7" t="s">
        <v>4260</v>
      </c>
      <c r="J19" s="7" t="s">
        <v>941</v>
      </c>
      <c r="K19" s="7" t="s">
        <v>942</v>
      </c>
      <c r="L19" s="7" t="s">
        <v>975</v>
      </c>
      <c r="M19" s="7" t="s">
        <v>4261</v>
      </c>
      <c r="N19" s="15">
        <v>29960</v>
      </c>
      <c r="O19" s="7" t="s">
        <v>945</v>
      </c>
      <c r="P19" s="7" t="s">
        <v>946</v>
      </c>
      <c r="Q19" s="7" t="s">
        <v>963</v>
      </c>
      <c r="R19" s="7" t="s">
        <v>4262</v>
      </c>
      <c r="S19" s="7" t="s">
        <v>4263</v>
      </c>
      <c r="T19" s="7" t="s">
        <v>1030</v>
      </c>
      <c r="U19" s="7" t="s">
        <v>4158</v>
      </c>
      <c r="V19" s="7">
        <v>51992159880</v>
      </c>
      <c r="W19" s="7" t="s">
        <v>4264</v>
      </c>
      <c r="X19" s="7" t="s">
        <v>953</v>
      </c>
      <c r="Y19" s="7" t="s">
        <v>427</v>
      </c>
      <c r="Z19" s="7">
        <v>95599000</v>
      </c>
      <c r="AA19" s="7" t="s">
        <v>4265</v>
      </c>
      <c r="AB19" s="7" t="s">
        <v>4266</v>
      </c>
      <c r="AC19" s="28" t="s">
        <v>406</v>
      </c>
      <c r="AD19" s="28" t="s">
        <v>406</v>
      </c>
      <c r="AE19" s="27" t="s">
        <v>406</v>
      </c>
      <c r="AF19" s="27" t="s">
        <v>406</v>
      </c>
      <c r="AG19" s="27" t="s">
        <v>406</v>
      </c>
      <c r="AH19" s="27">
        <v>40</v>
      </c>
      <c r="AI19" s="27">
        <v>40</v>
      </c>
      <c r="AJ19" s="27">
        <v>40</v>
      </c>
      <c r="AK19" s="37">
        <v>40</v>
      </c>
      <c r="AL19" s="28" t="s">
        <v>406</v>
      </c>
      <c r="AM19" s="28" t="s">
        <v>406</v>
      </c>
      <c r="AN19" s="28" t="s">
        <v>406</v>
      </c>
    </row>
    <row r="20" ht="15.75" customHeight="1" spans="1:40">
      <c r="A20" s="6" t="s">
        <v>4151</v>
      </c>
      <c r="B20" s="6" t="s">
        <v>427</v>
      </c>
      <c r="C20" s="4" t="s">
        <v>957</v>
      </c>
      <c r="D20" s="7" t="s">
        <v>4267</v>
      </c>
      <c r="E20" s="29" t="s">
        <v>490</v>
      </c>
      <c r="F20" s="7" t="s">
        <v>4268</v>
      </c>
      <c r="G20" s="6">
        <v>2086328991</v>
      </c>
      <c r="H20" s="7" t="s">
        <v>2043</v>
      </c>
      <c r="I20" s="7" t="s">
        <v>4269</v>
      </c>
      <c r="J20" s="7" t="s">
        <v>941</v>
      </c>
      <c r="K20" s="7" t="s">
        <v>942</v>
      </c>
      <c r="L20" s="7" t="s">
        <v>975</v>
      </c>
      <c r="M20" s="7" t="s">
        <v>4270</v>
      </c>
      <c r="N20" s="15">
        <v>29960</v>
      </c>
      <c r="O20" s="7" t="s">
        <v>945</v>
      </c>
      <c r="P20" s="7" t="s">
        <v>946</v>
      </c>
      <c r="Q20" s="7" t="s">
        <v>963</v>
      </c>
      <c r="R20" s="7" t="s">
        <v>4271</v>
      </c>
      <c r="S20" s="7" t="s">
        <v>4263</v>
      </c>
      <c r="T20" s="7" t="s">
        <v>1030</v>
      </c>
      <c r="U20" s="7" t="s">
        <v>4158</v>
      </c>
      <c r="V20" s="7">
        <v>51998833674</v>
      </c>
      <c r="W20" s="7" t="s">
        <v>4272</v>
      </c>
      <c r="X20" s="7" t="s">
        <v>953</v>
      </c>
      <c r="Y20" s="7" t="s">
        <v>427</v>
      </c>
      <c r="Z20" s="7">
        <v>95599000</v>
      </c>
      <c r="AA20" s="7" t="s">
        <v>4273</v>
      </c>
      <c r="AB20" s="7" t="s">
        <v>4266</v>
      </c>
      <c r="AC20" s="28" t="s">
        <v>406</v>
      </c>
      <c r="AD20" s="28" t="s">
        <v>406</v>
      </c>
      <c r="AE20" s="27" t="s">
        <v>406</v>
      </c>
      <c r="AF20" s="27" t="s">
        <v>406</v>
      </c>
      <c r="AG20" s="27" t="s">
        <v>406</v>
      </c>
      <c r="AH20" s="27">
        <v>40</v>
      </c>
      <c r="AI20" s="27">
        <v>40</v>
      </c>
      <c r="AJ20" s="27">
        <v>40</v>
      </c>
      <c r="AK20" s="37">
        <v>40</v>
      </c>
      <c r="AL20" s="28" t="s">
        <v>406</v>
      </c>
      <c r="AM20" s="28" t="s">
        <v>406</v>
      </c>
      <c r="AN20" s="28" t="s">
        <v>406</v>
      </c>
    </row>
    <row r="21" ht="15.75" customHeight="1" spans="1:40">
      <c r="A21" s="6" t="s">
        <v>4151</v>
      </c>
      <c r="B21" s="6" t="s">
        <v>427</v>
      </c>
      <c r="C21" s="4" t="s">
        <v>957</v>
      </c>
      <c r="D21" s="7" t="s">
        <v>338</v>
      </c>
      <c r="E21" s="29" t="s">
        <v>491</v>
      </c>
      <c r="F21" s="7" t="s">
        <v>4274</v>
      </c>
      <c r="G21" s="6">
        <v>1113090904</v>
      </c>
      <c r="H21" s="7" t="s">
        <v>2043</v>
      </c>
      <c r="I21" s="7" t="s">
        <v>4269</v>
      </c>
      <c r="J21" s="7" t="s">
        <v>941</v>
      </c>
      <c r="K21" s="7" t="s">
        <v>941</v>
      </c>
      <c r="L21" s="7" t="s">
        <v>1068</v>
      </c>
      <c r="M21" s="7" t="s">
        <v>4275</v>
      </c>
      <c r="N21" s="15">
        <v>29607</v>
      </c>
      <c r="O21" s="7" t="s">
        <v>945</v>
      </c>
      <c r="P21" s="7" t="s">
        <v>946</v>
      </c>
      <c r="Q21" s="7" t="s">
        <v>963</v>
      </c>
      <c r="R21" s="7" t="s">
        <v>4276</v>
      </c>
      <c r="S21" s="7" t="s">
        <v>4263</v>
      </c>
      <c r="T21" s="7" t="s">
        <v>1044</v>
      </c>
      <c r="U21" s="7" t="s">
        <v>4158</v>
      </c>
      <c r="V21" s="7">
        <v>51992559781</v>
      </c>
      <c r="W21" s="7" t="s">
        <v>4277</v>
      </c>
      <c r="X21" s="7" t="s">
        <v>953</v>
      </c>
      <c r="Y21" s="7" t="s">
        <v>427</v>
      </c>
      <c r="Z21" s="7">
        <v>95599000</v>
      </c>
      <c r="AA21" s="7" t="s">
        <v>4278</v>
      </c>
      <c r="AB21" s="7" t="s">
        <v>4266</v>
      </c>
      <c r="AC21" s="7" t="s">
        <v>406</v>
      </c>
      <c r="AD21" s="7" t="s">
        <v>406</v>
      </c>
      <c r="AE21" s="6" t="s">
        <v>406</v>
      </c>
      <c r="AF21" s="6" t="s">
        <v>406</v>
      </c>
      <c r="AG21" s="6" t="s">
        <v>406</v>
      </c>
      <c r="AH21" s="6">
        <v>39</v>
      </c>
      <c r="AI21" s="6">
        <v>39</v>
      </c>
      <c r="AJ21" s="6">
        <v>39</v>
      </c>
      <c r="AK21" s="7">
        <v>39</v>
      </c>
      <c r="AL21" s="7" t="s">
        <v>406</v>
      </c>
      <c r="AM21" s="7" t="s">
        <v>406</v>
      </c>
      <c r="AN21" s="7" t="s">
        <v>406</v>
      </c>
    </row>
    <row r="22" ht="15.75" customHeight="1" spans="1:40">
      <c r="A22" s="6" t="s">
        <v>4151</v>
      </c>
      <c r="B22" s="6" t="s">
        <v>415</v>
      </c>
      <c r="C22" s="4" t="s">
        <v>957</v>
      </c>
      <c r="D22" s="7" t="s">
        <v>156</v>
      </c>
      <c r="E22" s="29" t="s">
        <v>971</v>
      </c>
      <c r="F22" s="28" t="s">
        <v>4279</v>
      </c>
      <c r="G22" s="27">
        <v>8122538294</v>
      </c>
      <c r="H22" s="28" t="s">
        <v>4203</v>
      </c>
      <c r="I22" s="28" t="s">
        <v>4280</v>
      </c>
      <c r="J22" s="28" t="s">
        <v>941</v>
      </c>
      <c r="K22" s="28" t="s">
        <v>941</v>
      </c>
      <c r="L22" s="28" t="s">
        <v>943</v>
      </c>
      <c r="M22" s="28" t="s">
        <v>4185</v>
      </c>
      <c r="N22" s="34">
        <v>35996</v>
      </c>
      <c r="O22" s="28" t="s">
        <v>945</v>
      </c>
      <c r="P22" s="28" t="s">
        <v>946</v>
      </c>
      <c r="Q22" s="28" t="s">
        <v>963</v>
      </c>
      <c r="R22" s="28" t="s">
        <v>4281</v>
      </c>
      <c r="S22" s="28" t="s">
        <v>4282</v>
      </c>
      <c r="T22" s="28" t="s">
        <v>1011</v>
      </c>
      <c r="U22" s="35">
        <v>36254316</v>
      </c>
      <c r="V22" s="28" t="s">
        <v>4283</v>
      </c>
      <c r="W22" s="28" t="s">
        <v>4284</v>
      </c>
      <c r="X22" s="28" t="s">
        <v>953</v>
      </c>
      <c r="Y22" s="28" t="s">
        <v>4219</v>
      </c>
      <c r="Z22" s="28" t="s">
        <v>4220</v>
      </c>
      <c r="AA22" s="28" t="s">
        <v>4285</v>
      </c>
      <c r="AB22" s="28" t="s">
        <v>4286</v>
      </c>
      <c r="AC22" s="28" t="s">
        <v>395</v>
      </c>
      <c r="AD22" s="28" t="s">
        <v>396</v>
      </c>
      <c r="AE22" s="27" t="s">
        <v>396</v>
      </c>
      <c r="AF22" s="27" t="s">
        <v>396</v>
      </c>
      <c r="AG22" s="27" t="s">
        <v>396</v>
      </c>
      <c r="AH22" s="27">
        <v>41</v>
      </c>
      <c r="AI22" s="27">
        <v>41</v>
      </c>
      <c r="AJ22" s="27">
        <v>41</v>
      </c>
      <c r="AK22" s="37">
        <v>41</v>
      </c>
      <c r="AL22" s="28" t="s">
        <v>396</v>
      </c>
      <c r="AM22" s="28" t="s">
        <v>395</v>
      </c>
      <c r="AN22" s="28" t="s">
        <v>396</v>
      </c>
    </row>
    <row r="23" ht="15.75" customHeight="1" spans="1:40">
      <c r="A23" s="6" t="s">
        <v>4151</v>
      </c>
      <c r="B23" s="6" t="s">
        <v>427</v>
      </c>
      <c r="C23" s="4" t="s">
        <v>957</v>
      </c>
      <c r="D23" s="7" t="s">
        <v>4287</v>
      </c>
      <c r="E23" s="29" t="s">
        <v>491</v>
      </c>
      <c r="F23" s="7" t="s">
        <v>4288</v>
      </c>
      <c r="G23" s="6">
        <v>1052146568</v>
      </c>
      <c r="H23" s="7" t="s">
        <v>4203</v>
      </c>
      <c r="I23" s="7" t="s">
        <v>4260</v>
      </c>
      <c r="J23" s="7" t="s">
        <v>942</v>
      </c>
      <c r="K23" s="7" t="s">
        <v>942</v>
      </c>
      <c r="L23" s="7" t="s">
        <v>975</v>
      </c>
      <c r="M23" s="7" t="s">
        <v>4289</v>
      </c>
      <c r="N23" s="15">
        <v>26887</v>
      </c>
      <c r="O23" s="7" t="s">
        <v>945</v>
      </c>
      <c r="P23" s="7" t="s">
        <v>946</v>
      </c>
      <c r="Q23" s="7" t="s">
        <v>963</v>
      </c>
      <c r="R23" s="7" t="s">
        <v>4290</v>
      </c>
      <c r="S23" s="7" t="s">
        <v>4263</v>
      </c>
      <c r="T23" s="7" t="s">
        <v>950</v>
      </c>
      <c r="U23" s="7" t="s">
        <v>4158</v>
      </c>
      <c r="V23" s="7">
        <v>51995942264</v>
      </c>
      <c r="W23" s="7" t="s">
        <v>4291</v>
      </c>
      <c r="X23" s="7" t="s">
        <v>953</v>
      </c>
      <c r="Y23" s="7" t="s">
        <v>427</v>
      </c>
      <c r="Z23" s="7">
        <v>95599000</v>
      </c>
      <c r="AA23" s="7" t="s">
        <v>4292</v>
      </c>
      <c r="AB23" s="7" t="s">
        <v>1178</v>
      </c>
      <c r="AC23" s="28" t="s">
        <v>399</v>
      </c>
      <c r="AD23" s="28" t="s">
        <v>399</v>
      </c>
      <c r="AE23" s="27" t="s">
        <v>399</v>
      </c>
      <c r="AF23" s="27" t="s">
        <v>399</v>
      </c>
      <c r="AG23" s="27" t="s">
        <v>399</v>
      </c>
      <c r="AH23" s="27">
        <v>42</v>
      </c>
      <c r="AI23" s="27">
        <v>42</v>
      </c>
      <c r="AJ23" s="27">
        <v>42</v>
      </c>
      <c r="AK23" s="37">
        <v>42</v>
      </c>
      <c r="AL23" s="28" t="s">
        <v>399</v>
      </c>
      <c r="AM23" s="28" t="s">
        <v>399</v>
      </c>
      <c r="AN23" s="28" t="s">
        <v>406</v>
      </c>
    </row>
    <row r="24" ht="15.75" customHeight="1" spans="1:40">
      <c r="A24" s="6" t="s">
        <v>4151</v>
      </c>
      <c r="B24" s="6" t="s">
        <v>427</v>
      </c>
      <c r="C24" s="4" t="s">
        <v>957</v>
      </c>
      <c r="D24" s="7" t="s">
        <v>340</v>
      </c>
      <c r="E24" s="29" t="s">
        <v>491</v>
      </c>
      <c r="F24" s="7" t="s">
        <v>4293</v>
      </c>
      <c r="G24" s="6">
        <v>2066264835</v>
      </c>
      <c r="H24" s="7" t="s">
        <v>4203</v>
      </c>
      <c r="I24" s="7" t="s">
        <v>4294</v>
      </c>
      <c r="J24" s="7" t="s">
        <v>942</v>
      </c>
      <c r="K24" s="7" t="s">
        <v>942</v>
      </c>
      <c r="L24" s="7" t="s">
        <v>1102</v>
      </c>
      <c r="M24" s="7" t="s">
        <v>4295</v>
      </c>
      <c r="N24" s="15">
        <v>29397</v>
      </c>
      <c r="O24" s="7" t="s">
        <v>945</v>
      </c>
      <c r="P24" s="7" t="s">
        <v>1104</v>
      </c>
      <c r="Q24" s="7" t="s">
        <v>963</v>
      </c>
      <c r="R24" s="7" t="s">
        <v>4296</v>
      </c>
      <c r="S24" s="7" t="s">
        <v>4263</v>
      </c>
      <c r="T24" s="7" t="s">
        <v>1030</v>
      </c>
      <c r="U24" s="7" t="s">
        <v>4158</v>
      </c>
      <c r="V24" s="7">
        <v>51984554505</v>
      </c>
      <c r="W24" s="7" t="s">
        <v>4297</v>
      </c>
      <c r="X24" s="7" t="s">
        <v>953</v>
      </c>
      <c r="Y24" s="7" t="s">
        <v>427</v>
      </c>
      <c r="Z24" s="7">
        <v>95599000</v>
      </c>
      <c r="AA24" s="7" t="s">
        <v>4298</v>
      </c>
      <c r="AB24" s="7" t="s">
        <v>4299</v>
      </c>
      <c r="AC24" s="28" t="s">
        <v>399</v>
      </c>
      <c r="AD24" s="28" t="s">
        <v>399</v>
      </c>
      <c r="AE24" s="27" t="s">
        <v>399</v>
      </c>
      <c r="AF24" s="27" t="s">
        <v>399</v>
      </c>
      <c r="AG24" s="27" t="s">
        <v>399</v>
      </c>
      <c r="AH24" s="27">
        <v>41</v>
      </c>
      <c r="AI24" s="27">
        <v>41</v>
      </c>
      <c r="AJ24" s="27">
        <v>41</v>
      </c>
      <c r="AK24" s="37">
        <v>41</v>
      </c>
      <c r="AL24" s="28" t="s">
        <v>399</v>
      </c>
      <c r="AM24" s="28" t="s">
        <v>399</v>
      </c>
      <c r="AN24" s="28" t="s">
        <v>406</v>
      </c>
    </row>
    <row r="25" ht="15.75" customHeight="1" spans="1:40">
      <c r="A25" s="6" t="s">
        <v>4151</v>
      </c>
      <c r="B25" s="6" t="s">
        <v>427</v>
      </c>
      <c r="C25" s="4" t="s">
        <v>957</v>
      </c>
      <c r="D25" s="7" t="s">
        <v>4300</v>
      </c>
      <c r="E25" s="29" t="s">
        <v>971</v>
      </c>
      <c r="F25" s="7" t="s">
        <v>4301</v>
      </c>
      <c r="G25" s="6">
        <v>9086247526</v>
      </c>
      <c r="H25" s="7" t="s">
        <v>2043</v>
      </c>
      <c r="I25" s="7" t="s">
        <v>4184</v>
      </c>
      <c r="J25" s="7" t="s">
        <v>942</v>
      </c>
      <c r="K25" s="7" t="s">
        <v>942</v>
      </c>
      <c r="L25" s="7" t="s">
        <v>943</v>
      </c>
      <c r="M25" s="7" t="s">
        <v>1376</v>
      </c>
      <c r="N25" s="16">
        <v>29583</v>
      </c>
      <c r="O25" s="7" t="s">
        <v>945</v>
      </c>
      <c r="P25" s="7" t="s">
        <v>946</v>
      </c>
      <c r="Q25" s="7" t="s">
        <v>963</v>
      </c>
      <c r="R25" s="7" t="s">
        <v>4302</v>
      </c>
      <c r="S25" s="7" t="s">
        <v>4263</v>
      </c>
      <c r="T25" s="7" t="s">
        <v>1011</v>
      </c>
      <c r="U25" s="7" t="s">
        <v>4158</v>
      </c>
      <c r="V25" s="7">
        <v>11973969770</v>
      </c>
      <c r="W25" s="7">
        <v>11973969770</v>
      </c>
      <c r="X25" s="7" t="s">
        <v>953</v>
      </c>
      <c r="Y25" s="7" t="s">
        <v>427</v>
      </c>
      <c r="Z25" s="7">
        <v>95599000</v>
      </c>
      <c r="AA25" s="7" t="s">
        <v>4303</v>
      </c>
      <c r="AB25" s="7" t="s">
        <v>4266</v>
      </c>
      <c r="AC25" s="7" t="s">
        <v>398</v>
      </c>
      <c r="AD25" s="7" t="s">
        <v>398</v>
      </c>
      <c r="AE25" s="6" t="s">
        <v>398</v>
      </c>
      <c r="AF25" s="6" t="s">
        <v>398</v>
      </c>
      <c r="AG25" s="6" t="s">
        <v>398</v>
      </c>
      <c r="AH25" s="6">
        <v>42</v>
      </c>
      <c r="AI25" s="6">
        <v>42</v>
      </c>
      <c r="AJ25" s="6">
        <v>42</v>
      </c>
      <c r="AK25" s="7">
        <v>42</v>
      </c>
      <c r="AL25" s="7" t="s">
        <v>398</v>
      </c>
      <c r="AM25" s="7" t="s">
        <v>398</v>
      </c>
      <c r="AN25" s="7" t="s">
        <v>406</v>
      </c>
    </row>
    <row r="26" ht="15.75" customHeight="1" spans="1:40">
      <c r="A26" s="6" t="s">
        <v>4151</v>
      </c>
      <c r="B26" s="6"/>
      <c r="C26" s="4" t="s">
        <v>4165</v>
      </c>
      <c r="D26" s="7" t="s">
        <v>341</v>
      </c>
      <c r="E26" s="29" t="s">
        <v>491</v>
      </c>
      <c r="F26" s="7" t="s">
        <v>4304</v>
      </c>
      <c r="G26" s="6"/>
      <c r="H26" s="7"/>
      <c r="I26" s="7"/>
      <c r="J26" s="7"/>
      <c r="K26" s="7"/>
      <c r="L26" s="7"/>
      <c r="M26" s="7"/>
      <c r="N26" s="15"/>
      <c r="O26" s="7"/>
      <c r="P26" s="7"/>
      <c r="Q26" s="7"/>
      <c r="R26" s="7"/>
      <c r="S26" s="7"/>
      <c r="T26" s="7"/>
      <c r="U26" s="7"/>
      <c r="V26" s="7"/>
      <c r="W26" s="7"/>
      <c r="X26" s="7"/>
      <c r="Y26" s="7"/>
      <c r="Z26" s="7"/>
      <c r="AA26" s="7"/>
      <c r="AB26" s="7"/>
      <c r="AC26" s="7"/>
      <c r="AD26" s="7"/>
      <c r="AE26" s="6"/>
      <c r="AF26" s="6"/>
      <c r="AG26" s="6"/>
      <c r="AH26" s="6"/>
      <c r="AI26" s="6"/>
      <c r="AJ26" s="6"/>
      <c r="AK26" s="7"/>
      <c r="AL26" s="7"/>
      <c r="AM26" s="7"/>
      <c r="AN26" s="7"/>
    </row>
    <row r="27" ht="15.75" customHeight="1" spans="1:40">
      <c r="A27" s="6" t="s">
        <v>4151</v>
      </c>
      <c r="B27" s="6" t="s">
        <v>427</v>
      </c>
      <c r="C27" s="4" t="s">
        <v>957</v>
      </c>
      <c r="D27" s="7" t="s">
        <v>4305</v>
      </c>
      <c r="E27" s="29" t="s">
        <v>971</v>
      </c>
      <c r="F27" s="7" t="s">
        <v>4306</v>
      </c>
      <c r="G27" s="6">
        <v>7132764163</v>
      </c>
      <c r="H27" s="7" t="s">
        <v>4169</v>
      </c>
      <c r="I27" s="7" t="s">
        <v>4307</v>
      </c>
      <c r="J27" s="7" t="s">
        <v>942</v>
      </c>
      <c r="K27" s="7" t="s">
        <v>942</v>
      </c>
      <c r="L27" s="7"/>
      <c r="M27" s="7" t="s">
        <v>4308</v>
      </c>
      <c r="N27" s="15">
        <v>37888</v>
      </c>
      <c r="O27" s="7" t="s">
        <v>1028</v>
      </c>
      <c r="P27" s="7" t="s">
        <v>946</v>
      </c>
      <c r="Q27" s="7" t="s">
        <v>963</v>
      </c>
      <c r="R27" s="36" t="s">
        <v>4309</v>
      </c>
      <c r="S27" s="7" t="s">
        <v>4263</v>
      </c>
      <c r="T27" s="7" t="s">
        <v>1030</v>
      </c>
      <c r="U27" s="7" t="s">
        <v>4158</v>
      </c>
      <c r="V27" s="7">
        <v>51995377232</v>
      </c>
      <c r="W27" s="7">
        <v>51995377232</v>
      </c>
      <c r="X27" s="7" t="s">
        <v>953</v>
      </c>
      <c r="Y27" s="7" t="s">
        <v>427</v>
      </c>
      <c r="Z27" s="7">
        <v>95599000</v>
      </c>
      <c r="AA27" s="7" t="s">
        <v>4310</v>
      </c>
      <c r="AB27" s="7" t="s">
        <v>1178</v>
      </c>
      <c r="AC27" s="28" t="s">
        <v>406</v>
      </c>
      <c r="AD27" s="28" t="s">
        <v>406</v>
      </c>
      <c r="AE27" s="27" t="s">
        <v>396</v>
      </c>
      <c r="AF27" s="27" t="s">
        <v>396</v>
      </c>
      <c r="AG27" s="27" t="s">
        <v>406</v>
      </c>
      <c r="AH27" s="27">
        <v>38</v>
      </c>
      <c r="AI27" s="27">
        <v>38</v>
      </c>
      <c r="AJ27" s="27">
        <v>38</v>
      </c>
      <c r="AK27" s="37">
        <v>38</v>
      </c>
      <c r="AL27" s="28" t="s">
        <v>396</v>
      </c>
      <c r="AM27" s="28" t="s">
        <v>396</v>
      </c>
      <c r="AN27" s="28" t="s">
        <v>396</v>
      </c>
    </row>
    <row r="28" ht="15.75" customHeight="1" spans="1:40">
      <c r="A28" s="6" t="s">
        <v>4151</v>
      </c>
      <c r="B28" s="6" t="s">
        <v>427</v>
      </c>
      <c r="C28" s="4" t="s">
        <v>957</v>
      </c>
      <c r="D28" s="7" t="s">
        <v>158</v>
      </c>
      <c r="E28" s="29" t="s">
        <v>971</v>
      </c>
      <c r="F28" s="7" t="s">
        <v>4311</v>
      </c>
      <c r="G28" s="6">
        <v>7107423779</v>
      </c>
      <c r="H28" s="7" t="s">
        <v>2043</v>
      </c>
      <c r="I28" s="7" t="s">
        <v>4184</v>
      </c>
      <c r="J28" s="7" t="s">
        <v>941</v>
      </c>
      <c r="K28" s="7" t="s">
        <v>942</v>
      </c>
      <c r="L28" s="7" t="s">
        <v>1068</v>
      </c>
      <c r="M28" s="7" t="s">
        <v>4312</v>
      </c>
      <c r="N28" s="15">
        <v>34643</v>
      </c>
      <c r="O28" s="7" t="s">
        <v>945</v>
      </c>
      <c r="P28" s="7" t="s">
        <v>946</v>
      </c>
      <c r="Q28" s="7" t="s">
        <v>963</v>
      </c>
      <c r="R28" s="7" t="s">
        <v>4313</v>
      </c>
      <c r="S28" s="7" t="s">
        <v>4263</v>
      </c>
      <c r="T28" s="7" t="s">
        <v>1011</v>
      </c>
      <c r="U28" s="7" t="s">
        <v>4158</v>
      </c>
      <c r="V28" s="7">
        <v>51992770580</v>
      </c>
      <c r="W28" s="7" t="s">
        <v>4314</v>
      </c>
      <c r="X28" s="7" t="s">
        <v>953</v>
      </c>
      <c r="Y28" s="7" t="s">
        <v>427</v>
      </c>
      <c r="Z28" s="7">
        <v>95599000</v>
      </c>
      <c r="AA28" s="7" t="s">
        <v>4315</v>
      </c>
      <c r="AB28" s="7" t="s">
        <v>1178</v>
      </c>
      <c r="AC28" s="7" t="s">
        <v>398</v>
      </c>
      <c r="AD28" s="7" t="s">
        <v>398</v>
      </c>
      <c r="AE28" s="6" t="s">
        <v>398</v>
      </c>
      <c r="AF28" s="6" t="s">
        <v>398</v>
      </c>
      <c r="AG28" s="6" t="s">
        <v>398</v>
      </c>
      <c r="AH28" s="6">
        <v>44</v>
      </c>
      <c r="AI28" s="6">
        <v>44</v>
      </c>
      <c r="AJ28" s="6">
        <v>44</v>
      </c>
      <c r="AK28" s="7">
        <v>44</v>
      </c>
      <c r="AL28" s="7" t="s">
        <v>398</v>
      </c>
      <c r="AM28" s="7" t="s">
        <v>398</v>
      </c>
      <c r="AN28" s="7" t="s">
        <v>406</v>
      </c>
    </row>
    <row r="29" ht="15.75" customHeight="1" spans="1:40">
      <c r="A29" s="6" t="s">
        <v>4151</v>
      </c>
      <c r="B29" s="6"/>
      <c r="C29" s="4" t="s">
        <v>4165</v>
      </c>
      <c r="D29" s="7" t="s">
        <v>342</v>
      </c>
      <c r="E29" s="29" t="s">
        <v>491</v>
      </c>
      <c r="F29" s="7" t="s">
        <v>4316</v>
      </c>
      <c r="G29" s="6"/>
      <c r="H29" s="7"/>
      <c r="I29" s="7"/>
      <c r="J29" s="7"/>
      <c r="K29" s="7"/>
      <c r="L29" s="7"/>
      <c r="M29" s="7"/>
      <c r="N29" s="15"/>
      <c r="O29" s="7"/>
      <c r="P29" s="7"/>
      <c r="Q29" s="7"/>
      <c r="R29" s="7"/>
      <c r="S29" s="7"/>
      <c r="T29" s="7"/>
      <c r="U29" s="7"/>
      <c r="V29" s="7"/>
      <c r="W29" s="7"/>
      <c r="X29" s="7"/>
      <c r="Y29" s="7"/>
      <c r="Z29" s="7"/>
      <c r="AA29" s="7"/>
      <c r="AB29" s="7"/>
      <c r="AC29" s="7"/>
      <c r="AD29" s="7"/>
      <c r="AE29" s="6"/>
      <c r="AF29" s="6"/>
      <c r="AG29" s="6"/>
      <c r="AH29" s="6"/>
      <c r="AI29" s="6"/>
      <c r="AJ29" s="6"/>
      <c r="AK29" s="7"/>
      <c r="AL29" s="7"/>
      <c r="AM29" s="7"/>
      <c r="AN29" s="7"/>
    </row>
    <row r="30" ht="15.75" customHeight="1" spans="1:40">
      <c r="A30" s="6" t="s">
        <v>4151</v>
      </c>
      <c r="B30" s="6" t="s">
        <v>415</v>
      </c>
      <c r="C30" s="4" t="s">
        <v>957</v>
      </c>
      <c r="D30" s="7" t="s">
        <v>4317</v>
      </c>
      <c r="E30" s="29" t="s">
        <v>971</v>
      </c>
      <c r="F30" s="28" t="s">
        <v>4318</v>
      </c>
      <c r="G30" s="27">
        <v>2115831162</v>
      </c>
      <c r="H30" s="28" t="s">
        <v>4203</v>
      </c>
      <c r="I30" s="28" t="s">
        <v>4319</v>
      </c>
      <c r="J30" s="28" t="s">
        <v>941</v>
      </c>
      <c r="K30" s="28" t="s">
        <v>942</v>
      </c>
      <c r="L30" s="28" t="s">
        <v>975</v>
      </c>
      <c r="M30" s="28" t="s">
        <v>4320</v>
      </c>
      <c r="N30" s="34">
        <v>33132</v>
      </c>
      <c r="O30" s="28" t="s">
        <v>945</v>
      </c>
      <c r="P30" s="28" t="s">
        <v>946</v>
      </c>
      <c r="Q30" s="28" t="s">
        <v>1245</v>
      </c>
      <c r="R30" s="28" t="s">
        <v>4321</v>
      </c>
      <c r="S30" s="28" t="s">
        <v>4322</v>
      </c>
      <c r="T30" s="28" t="s">
        <v>950</v>
      </c>
      <c r="U30" s="28" t="s">
        <v>4158</v>
      </c>
      <c r="V30" s="28" t="s">
        <v>4323</v>
      </c>
      <c r="W30" s="28" t="s">
        <v>4323</v>
      </c>
      <c r="X30" s="28" t="s">
        <v>953</v>
      </c>
      <c r="Y30" s="28" t="s">
        <v>415</v>
      </c>
      <c r="Z30" s="28" t="s">
        <v>4324</v>
      </c>
      <c r="AA30" s="28" t="s">
        <v>4325</v>
      </c>
      <c r="AB30" s="28" t="s">
        <v>4326</v>
      </c>
      <c r="AC30" s="28" t="s">
        <v>406</v>
      </c>
      <c r="AD30" s="28" t="s">
        <v>406</v>
      </c>
      <c r="AE30" s="27" t="s">
        <v>406</v>
      </c>
      <c r="AF30" s="27" t="s">
        <v>406</v>
      </c>
      <c r="AG30" s="27" t="s">
        <v>406</v>
      </c>
      <c r="AH30" s="27">
        <v>43</v>
      </c>
      <c r="AI30" s="27">
        <v>42</v>
      </c>
      <c r="AJ30" s="27">
        <v>42</v>
      </c>
      <c r="AK30" s="37">
        <v>42</v>
      </c>
      <c r="AL30" s="28" t="s">
        <v>406</v>
      </c>
      <c r="AM30" s="28" t="s">
        <v>406</v>
      </c>
      <c r="AN30" s="28" t="s">
        <v>406</v>
      </c>
    </row>
    <row r="31" ht="15.75" customHeight="1" spans="1:40">
      <c r="A31" s="6" t="s">
        <v>4151</v>
      </c>
      <c r="B31" s="6" t="s">
        <v>427</v>
      </c>
      <c r="C31" s="4" t="s">
        <v>957</v>
      </c>
      <c r="D31" s="7" t="s">
        <v>160</v>
      </c>
      <c r="E31" s="29" t="s">
        <v>971</v>
      </c>
      <c r="F31" s="7" t="s">
        <v>4327</v>
      </c>
      <c r="G31" s="6">
        <v>1012015218</v>
      </c>
      <c r="H31" s="7" t="s">
        <v>2043</v>
      </c>
      <c r="I31" s="7" t="s">
        <v>4328</v>
      </c>
      <c r="J31" s="7" t="s">
        <v>941</v>
      </c>
      <c r="K31" s="7" t="s">
        <v>942</v>
      </c>
      <c r="L31" s="7" t="s">
        <v>1068</v>
      </c>
      <c r="M31" s="7" t="s">
        <v>4329</v>
      </c>
      <c r="N31" s="15">
        <v>21460</v>
      </c>
      <c r="O31" s="7" t="s">
        <v>945</v>
      </c>
      <c r="P31" s="7" t="s">
        <v>946</v>
      </c>
      <c r="Q31" s="7" t="s">
        <v>1245</v>
      </c>
      <c r="R31" s="7" t="s">
        <v>4330</v>
      </c>
      <c r="S31" s="7" t="s">
        <v>4263</v>
      </c>
      <c r="T31" s="7" t="s">
        <v>1030</v>
      </c>
      <c r="U31" s="7" t="s">
        <v>4158</v>
      </c>
      <c r="V31" s="7">
        <v>51993100985</v>
      </c>
      <c r="W31" s="7">
        <v>51993510844</v>
      </c>
      <c r="X31" s="7" t="s">
        <v>953</v>
      </c>
      <c r="Y31" s="7" t="s">
        <v>4198</v>
      </c>
      <c r="Z31" s="7">
        <v>95625000</v>
      </c>
      <c r="AA31" s="7" t="s">
        <v>4331</v>
      </c>
      <c r="AB31" s="7" t="s">
        <v>1178</v>
      </c>
      <c r="AC31" s="7" t="s">
        <v>395</v>
      </c>
      <c r="AD31" s="7" t="s">
        <v>396</v>
      </c>
      <c r="AE31" s="6" t="s">
        <v>396</v>
      </c>
      <c r="AF31" s="6" t="s">
        <v>396</v>
      </c>
      <c r="AG31" s="6" t="s">
        <v>396</v>
      </c>
      <c r="AH31" s="6">
        <v>39</v>
      </c>
      <c r="AI31" s="6">
        <v>39</v>
      </c>
      <c r="AJ31" s="6">
        <v>39</v>
      </c>
      <c r="AK31" s="7">
        <v>39</v>
      </c>
      <c r="AL31" s="7" t="s">
        <v>395</v>
      </c>
      <c r="AM31" s="7" t="s">
        <v>395</v>
      </c>
      <c r="AN31" s="7" t="s">
        <v>396</v>
      </c>
    </row>
    <row r="32" ht="15.75" customHeight="1" spans="1:40">
      <c r="A32" s="6" t="s">
        <v>4151</v>
      </c>
      <c r="B32" s="6" t="s">
        <v>427</v>
      </c>
      <c r="C32" s="4" t="s">
        <v>957</v>
      </c>
      <c r="D32" s="7" t="s">
        <v>343</v>
      </c>
      <c r="E32" s="29" t="s">
        <v>490</v>
      </c>
      <c r="F32" s="7" t="s">
        <v>4332</v>
      </c>
      <c r="G32" s="6">
        <v>3083139026</v>
      </c>
      <c r="H32" s="7" t="s">
        <v>2043</v>
      </c>
      <c r="I32" s="7" t="s">
        <v>4333</v>
      </c>
      <c r="J32" s="7" t="s">
        <v>941</v>
      </c>
      <c r="K32" s="7" t="s">
        <v>942</v>
      </c>
      <c r="L32" s="7" t="s">
        <v>943</v>
      </c>
      <c r="M32" s="7" t="s">
        <v>1627</v>
      </c>
      <c r="N32" s="15">
        <v>30093</v>
      </c>
      <c r="O32" s="7" t="s">
        <v>945</v>
      </c>
      <c r="P32" s="7" t="s">
        <v>946</v>
      </c>
      <c r="Q32" s="7" t="s">
        <v>963</v>
      </c>
      <c r="R32" s="36" t="s">
        <v>4334</v>
      </c>
      <c r="S32" s="7" t="s">
        <v>4263</v>
      </c>
      <c r="T32" s="7" t="s">
        <v>950</v>
      </c>
      <c r="U32" s="7" t="s">
        <v>4158</v>
      </c>
      <c r="V32" s="7">
        <v>51991333873</v>
      </c>
      <c r="W32" s="7">
        <v>51991942217</v>
      </c>
      <c r="X32" s="7" t="s">
        <v>953</v>
      </c>
      <c r="Y32" s="7" t="s">
        <v>4237</v>
      </c>
      <c r="Z32" s="7">
        <v>95540000</v>
      </c>
      <c r="AA32" s="7" t="s">
        <v>4335</v>
      </c>
      <c r="AB32" s="7" t="s">
        <v>4336</v>
      </c>
      <c r="AC32" s="28" t="s">
        <v>399</v>
      </c>
      <c r="AD32" s="28" t="s">
        <v>399</v>
      </c>
      <c r="AE32" s="27" t="s">
        <v>399</v>
      </c>
      <c r="AF32" s="27" t="s">
        <v>399</v>
      </c>
      <c r="AG32" s="27" t="s">
        <v>399</v>
      </c>
      <c r="AH32" s="27">
        <v>42</v>
      </c>
      <c r="AI32" s="27">
        <v>42</v>
      </c>
      <c r="AJ32" s="27">
        <v>42</v>
      </c>
      <c r="AK32" s="37">
        <v>43</v>
      </c>
      <c r="AL32" s="28" t="s">
        <v>399</v>
      </c>
      <c r="AM32" s="28" t="s">
        <v>399</v>
      </c>
      <c r="AN32" s="28" t="s">
        <v>406</v>
      </c>
    </row>
    <row r="33" ht="15.75" customHeight="1" spans="1:40">
      <c r="A33" s="6" t="s">
        <v>4151</v>
      </c>
      <c r="B33" s="6" t="s">
        <v>427</v>
      </c>
      <c r="C33" s="4" t="s">
        <v>957</v>
      </c>
      <c r="D33" s="7" t="s">
        <v>4337</v>
      </c>
      <c r="E33" s="29" t="s">
        <v>971</v>
      </c>
      <c r="F33" s="7" t="s">
        <v>4338</v>
      </c>
      <c r="G33" s="6">
        <v>1086202486</v>
      </c>
      <c r="H33" s="7" t="s">
        <v>4169</v>
      </c>
      <c r="I33" s="7" t="s">
        <v>4339</v>
      </c>
      <c r="J33" s="7" t="s">
        <v>942</v>
      </c>
      <c r="K33" s="7" t="s">
        <v>942</v>
      </c>
      <c r="L33" s="7" t="s">
        <v>975</v>
      </c>
      <c r="M33" s="7" t="s">
        <v>4340</v>
      </c>
      <c r="N33" s="15">
        <v>31867</v>
      </c>
      <c r="O33" s="7" t="s">
        <v>1028</v>
      </c>
      <c r="P33" s="7" t="s">
        <v>946</v>
      </c>
      <c r="Q33" s="7" t="s">
        <v>947</v>
      </c>
      <c r="R33" s="7" t="s">
        <v>4341</v>
      </c>
      <c r="S33" s="7" t="s">
        <v>4263</v>
      </c>
      <c r="T33" s="7" t="s">
        <v>1369</v>
      </c>
      <c r="U33" s="7" t="s">
        <v>4158</v>
      </c>
      <c r="V33" s="7">
        <v>51985608606</v>
      </c>
      <c r="W33" s="7" t="s">
        <v>4342</v>
      </c>
      <c r="X33" s="7" t="s">
        <v>953</v>
      </c>
      <c r="Y33" s="7" t="s">
        <v>427</v>
      </c>
      <c r="Z33" s="7">
        <v>95599000</v>
      </c>
      <c r="AA33" s="7" t="s">
        <v>4343</v>
      </c>
      <c r="AB33" s="7" t="s">
        <v>1178</v>
      </c>
      <c r="AC33" s="7" t="s">
        <v>395</v>
      </c>
      <c r="AD33" s="7" t="s">
        <v>395</v>
      </c>
      <c r="AE33" s="6" t="s">
        <v>395</v>
      </c>
      <c r="AF33" s="6" t="s">
        <v>395</v>
      </c>
      <c r="AG33" s="6" t="s">
        <v>395</v>
      </c>
      <c r="AH33" s="6">
        <v>34</v>
      </c>
      <c r="AI33" s="6">
        <v>34</v>
      </c>
      <c r="AJ33" s="6">
        <v>34</v>
      </c>
      <c r="AK33" s="7">
        <v>35</v>
      </c>
      <c r="AL33" s="7" t="s">
        <v>395</v>
      </c>
      <c r="AM33" s="7" t="s">
        <v>395</v>
      </c>
      <c r="AN33" s="7" t="s">
        <v>396</v>
      </c>
    </row>
    <row r="34" ht="15.75" customHeight="1" spans="1:40">
      <c r="A34" s="6" t="s">
        <v>4151</v>
      </c>
      <c r="B34" s="6" t="s">
        <v>415</v>
      </c>
      <c r="C34" s="4" t="s">
        <v>957</v>
      </c>
      <c r="D34" s="7" t="s">
        <v>344</v>
      </c>
      <c r="E34" s="29" t="s">
        <v>490</v>
      </c>
      <c r="F34" s="28" t="s">
        <v>4344</v>
      </c>
      <c r="G34" s="27">
        <v>9122978861</v>
      </c>
      <c r="H34" s="28" t="s">
        <v>2043</v>
      </c>
      <c r="I34" s="28" t="s">
        <v>4345</v>
      </c>
      <c r="J34" s="28" t="s">
        <v>941</v>
      </c>
      <c r="K34" s="28" t="s">
        <v>942</v>
      </c>
      <c r="L34" s="28" t="s">
        <v>975</v>
      </c>
      <c r="M34" s="28" t="s">
        <v>4346</v>
      </c>
      <c r="N34" s="34">
        <v>37442</v>
      </c>
      <c r="O34" s="28" t="s">
        <v>945</v>
      </c>
      <c r="P34" s="28" t="s">
        <v>946</v>
      </c>
      <c r="Q34" s="28" t="s">
        <v>963</v>
      </c>
      <c r="R34" s="28" t="s">
        <v>4347</v>
      </c>
      <c r="S34" s="28" t="s">
        <v>4348</v>
      </c>
      <c r="T34" s="28" t="s">
        <v>1011</v>
      </c>
      <c r="U34" s="28" t="s">
        <v>4158</v>
      </c>
      <c r="V34" s="28" t="s">
        <v>4349</v>
      </c>
      <c r="W34" s="28" t="s">
        <v>4350</v>
      </c>
      <c r="X34" s="28" t="s">
        <v>953</v>
      </c>
      <c r="Y34" s="28" t="s">
        <v>4351</v>
      </c>
      <c r="Z34" s="28" t="s">
        <v>4352</v>
      </c>
      <c r="AA34" s="28" t="s">
        <v>4353</v>
      </c>
      <c r="AB34" s="28" t="s">
        <v>4354</v>
      </c>
      <c r="AC34" s="28" t="s">
        <v>396</v>
      </c>
      <c r="AD34" s="28" t="s">
        <v>406</v>
      </c>
      <c r="AE34" s="27" t="s">
        <v>396</v>
      </c>
      <c r="AF34" s="27" t="s">
        <v>396</v>
      </c>
      <c r="AG34" s="27" t="s">
        <v>396</v>
      </c>
      <c r="AH34" s="27">
        <v>41</v>
      </c>
      <c r="AI34" s="27">
        <v>41</v>
      </c>
      <c r="AJ34" s="27">
        <v>41</v>
      </c>
      <c r="AK34" s="37">
        <v>41</v>
      </c>
      <c r="AL34" s="28" t="s">
        <v>396</v>
      </c>
      <c r="AM34" s="28" t="s">
        <v>396</v>
      </c>
      <c r="AN34" s="28" t="s">
        <v>396</v>
      </c>
    </row>
    <row r="35" ht="15.75" customHeight="1" spans="1:40">
      <c r="A35" s="6" t="s">
        <v>4151</v>
      </c>
      <c r="B35" s="6" t="s">
        <v>427</v>
      </c>
      <c r="C35" s="4" t="s">
        <v>957</v>
      </c>
      <c r="D35" s="7" t="s">
        <v>4355</v>
      </c>
      <c r="E35" s="29" t="s">
        <v>971</v>
      </c>
      <c r="F35" s="7" t="s">
        <v>4356</v>
      </c>
      <c r="G35" s="6">
        <v>7058613857</v>
      </c>
      <c r="H35" s="7" t="s">
        <v>4203</v>
      </c>
      <c r="I35" s="7" t="s">
        <v>4204</v>
      </c>
      <c r="J35" s="7" t="s">
        <v>942</v>
      </c>
      <c r="K35" s="7" t="s">
        <v>942</v>
      </c>
      <c r="L35" s="7" t="s">
        <v>975</v>
      </c>
      <c r="M35" s="7" t="s">
        <v>4357</v>
      </c>
      <c r="N35" s="15">
        <v>30391</v>
      </c>
      <c r="O35" s="7" t="s">
        <v>945</v>
      </c>
      <c r="P35" s="7" t="s">
        <v>946</v>
      </c>
      <c r="Q35" s="7" t="s">
        <v>947</v>
      </c>
      <c r="R35" s="7" t="s">
        <v>4358</v>
      </c>
      <c r="S35" s="7" t="s">
        <v>4263</v>
      </c>
      <c r="T35" s="7" t="s">
        <v>1011</v>
      </c>
      <c r="U35" s="7" t="s">
        <v>4158</v>
      </c>
      <c r="V35" s="7">
        <v>51994157668</v>
      </c>
      <c r="W35" s="7">
        <v>5132497237</v>
      </c>
      <c r="X35" s="7" t="s">
        <v>953</v>
      </c>
      <c r="Y35" s="7" t="s">
        <v>1773</v>
      </c>
      <c r="Z35" s="7">
        <v>90820180</v>
      </c>
      <c r="AA35" s="7" t="s">
        <v>4359</v>
      </c>
      <c r="AB35" s="7" t="s">
        <v>4360</v>
      </c>
      <c r="AC35" s="28" t="s">
        <v>399</v>
      </c>
      <c r="AD35" s="28" t="s">
        <v>406</v>
      </c>
      <c r="AE35" s="27" t="s">
        <v>406</v>
      </c>
      <c r="AF35" s="27" t="s">
        <v>406</v>
      </c>
      <c r="AG35" s="27" t="s">
        <v>406</v>
      </c>
      <c r="AH35" s="27">
        <v>40</v>
      </c>
      <c r="AI35" s="27">
        <v>40</v>
      </c>
      <c r="AJ35" s="27">
        <v>40</v>
      </c>
      <c r="AK35" s="37">
        <v>41</v>
      </c>
      <c r="AL35" s="28" t="s">
        <v>406</v>
      </c>
      <c r="AM35" s="28" t="s">
        <v>406</v>
      </c>
      <c r="AN35" s="28" t="s">
        <v>406</v>
      </c>
    </row>
    <row r="36" ht="15.75" customHeight="1" spans="1:40">
      <c r="A36" s="6" t="s">
        <v>4151</v>
      </c>
      <c r="B36" s="6" t="s">
        <v>415</v>
      </c>
      <c r="C36" s="4" t="s">
        <v>957</v>
      </c>
      <c r="D36" s="7" t="s">
        <v>345</v>
      </c>
      <c r="E36" s="29" t="s">
        <v>492</v>
      </c>
      <c r="F36" s="28" t="s">
        <v>4361</v>
      </c>
      <c r="G36" s="27">
        <v>1117352417</v>
      </c>
      <c r="H36" s="28" t="s">
        <v>2043</v>
      </c>
      <c r="I36" s="28" t="s">
        <v>4362</v>
      </c>
      <c r="J36" s="28" t="s">
        <v>941</v>
      </c>
      <c r="K36" s="28" t="s">
        <v>942</v>
      </c>
      <c r="L36" s="28" t="s">
        <v>975</v>
      </c>
      <c r="M36" s="28" t="s">
        <v>3278</v>
      </c>
      <c r="N36" s="34">
        <v>34472</v>
      </c>
      <c r="O36" s="28" t="s">
        <v>945</v>
      </c>
      <c r="P36" s="28" t="s">
        <v>946</v>
      </c>
      <c r="Q36" s="28"/>
      <c r="R36" s="28" t="s">
        <v>4363</v>
      </c>
      <c r="S36" s="28" t="s">
        <v>4364</v>
      </c>
      <c r="T36" s="28" t="s">
        <v>965</v>
      </c>
      <c r="U36" s="28" t="s">
        <v>4158</v>
      </c>
      <c r="V36" s="28" t="s">
        <v>4365</v>
      </c>
      <c r="W36" s="28" t="s">
        <v>4366</v>
      </c>
      <c r="X36" s="28" t="s">
        <v>953</v>
      </c>
      <c r="Y36" s="28" t="s">
        <v>415</v>
      </c>
      <c r="Z36" s="28" t="s">
        <v>4256</v>
      </c>
      <c r="AA36" s="28" t="s">
        <v>4367</v>
      </c>
      <c r="AB36" s="28" t="s">
        <v>1178</v>
      </c>
      <c r="AC36" s="28" t="s">
        <v>406</v>
      </c>
      <c r="AD36" s="28" t="s">
        <v>406</v>
      </c>
      <c r="AE36" s="27" t="s">
        <v>406</v>
      </c>
      <c r="AF36" s="27" t="s">
        <v>406</v>
      </c>
      <c r="AG36" s="27" t="s">
        <v>406</v>
      </c>
      <c r="AH36" s="27">
        <v>41</v>
      </c>
      <c r="AI36" s="27">
        <v>41</v>
      </c>
      <c r="AJ36" s="27">
        <v>41</v>
      </c>
      <c r="AK36" s="37">
        <v>41</v>
      </c>
      <c r="AL36" s="28" t="s">
        <v>406</v>
      </c>
      <c r="AM36" s="28" t="s">
        <v>406</v>
      </c>
      <c r="AN36" s="28" t="s">
        <v>406</v>
      </c>
    </row>
    <row r="37" ht="15.75" customHeight="1" spans="1:40">
      <c r="A37" s="6" t="s">
        <v>4151</v>
      </c>
      <c r="B37" s="6" t="s">
        <v>427</v>
      </c>
      <c r="C37" s="4" t="s">
        <v>957</v>
      </c>
      <c r="D37" s="7" t="s">
        <v>4368</v>
      </c>
      <c r="E37" s="29" t="s">
        <v>491</v>
      </c>
      <c r="F37" s="7" t="s">
        <v>4369</v>
      </c>
      <c r="G37" s="6">
        <v>9138160735</v>
      </c>
      <c r="H37" s="7" t="s">
        <v>2043</v>
      </c>
      <c r="I37" s="7" t="s">
        <v>4307</v>
      </c>
      <c r="J37" s="7" t="s">
        <v>942</v>
      </c>
      <c r="K37" s="7" t="s">
        <v>942</v>
      </c>
      <c r="L37" s="7" t="s">
        <v>943</v>
      </c>
      <c r="M37" s="7" t="s">
        <v>1009</v>
      </c>
      <c r="N37" s="15">
        <v>38454</v>
      </c>
      <c r="O37" s="7" t="s">
        <v>945</v>
      </c>
      <c r="P37" s="7" t="s">
        <v>946</v>
      </c>
      <c r="Q37" s="7" t="s">
        <v>963</v>
      </c>
      <c r="R37" s="28" t="s">
        <v>4370</v>
      </c>
      <c r="S37" s="28" t="s">
        <v>4263</v>
      </c>
      <c r="T37" s="7" t="s">
        <v>950</v>
      </c>
      <c r="U37" s="28" t="s">
        <v>4158</v>
      </c>
      <c r="V37" s="28">
        <v>51992492575</v>
      </c>
      <c r="W37" s="28">
        <v>51991736007</v>
      </c>
      <c r="X37" s="28" t="s">
        <v>953</v>
      </c>
      <c r="Y37" s="7" t="s">
        <v>4246</v>
      </c>
      <c r="Z37" s="28">
        <v>95590000</v>
      </c>
      <c r="AA37" s="28" t="s">
        <v>4371</v>
      </c>
      <c r="AB37" s="28" t="s">
        <v>1178</v>
      </c>
      <c r="AC37" s="28" t="s">
        <v>399</v>
      </c>
      <c r="AD37" s="28" t="s">
        <v>399</v>
      </c>
      <c r="AE37" s="27" t="s">
        <v>399</v>
      </c>
      <c r="AF37" s="27" t="s">
        <v>399</v>
      </c>
      <c r="AG37" s="27" t="s">
        <v>399</v>
      </c>
      <c r="AH37" s="27">
        <v>42</v>
      </c>
      <c r="AI37" s="27">
        <v>42</v>
      </c>
      <c r="AJ37" s="27">
        <v>42</v>
      </c>
      <c r="AK37" s="37">
        <v>42</v>
      </c>
      <c r="AL37" s="28" t="s">
        <v>399</v>
      </c>
      <c r="AM37" s="28" t="s">
        <v>399</v>
      </c>
      <c r="AN37" s="28" t="s">
        <v>406</v>
      </c>
    </row>
    <row r="38" ht="15.75" customHeight="1" spans="1:40">
      <c r="A38" s="6" t="s">
        <v>4151</v>
      </c>
      <c r="B38" s="6" t="s">
        <v>415</v>
      </c>
      <c r="C38" s="4" t="s">
        <v>957</v>
      </c>
      <c r="D38" s="7" t="s">
        <v>346</v>
      </c>
      <c r="E38" s="29" t="s">
        <v>491</v>
      </c>
      <c r="F38" s="28" t="s">
        <v>4372</v>
      </c>
      <c r="G38" s="27">
        <v>9075200395</v>
      </c>
      <c r="H38" s="28" t="s">
        <v>2043</v>
      </c>
      <c r="I38" s="28" t="s">
        <v>4373</v>
      </c>
      <c r="J38" s="28" t="s">
        <v>942</v>
      </c>
      <c r="K38" s="28" t="s">
        <v>941</v>
      </c>
      <c r="L38" s="28" t="s">
        <v>1102</v>
      </c>
      <c r="M38" s="28" t="s">
        <v>4374</v>
      </c>
      <c r="N38" s="34">
        <v>28334</v>
      </c>
      <c r="O38" s="28" t="s">
        <v>1028</v>
      </c>
      <c r="P38" s="28" t="s">
        <v>946</v>
      </c>
      <c r="Q38" s="28" t="s">
        <v>963</v>
      </c>
      <c r="R38" s="28" t="s">
        <v>4375</v>
      </c>
      <c r="S38" s="28" t="s">
        <v>4376</v>
      </c>
      <c r="T38" s="28" t="s">
        <v>1044</v>
      </c>
      <c r="U38" s="28" t="s">
        <v>4158</v>
      </c>
      <c r="V38" s="28" t="s">
        <v>4377</v>
      </c>
      <c r="W38" s="28" t="s">
        <v>4378</v>
      </c>
      <c r="X38" s="28" t="s">
        <v>953</v>
      </c>
      <c r="Y38" s="28" t="s">
        <v>4219</v>
      </c>
      <c r="Z38" s="28" t="s">
        <v>4220</v>
      </c>
      <c r="AA38" s="28" t="s">
        <v>4379</v>
      </c>
      <c r="AB38" s="28" t="s">
        <v>4380</v>
      </c>
      <c r="AC38" s="28" t="s">
        <v>406</v>
      </c>
      <c r="AD38" s="28" t="s">
        <v>406</v>
      </c>
      <c r="AE38" s="27" t="s">
        <v>396</v>
      </c>
      <c r="AF38" s="27" t="s">
        <v>406</v>
      </c>
      <c r="AG38" s="27" t="s">
        <v>406</v>
      </c>
      <c r="AH38" s="27">
        <v>38</v>
      </c>
      <c r="AI38" s="27">
        <v>36</v>
      </c>
      <c r="AJ38" s="27">
        <v>37</v>
      </c>
      <c r="AK38" s="37">
        <v>36</v>
      </c>
      <c r="AL38" s="28" t="s">
        <v>406</v>
      </c>
      <c r="AM38" s="28" t="s">
        <v>396</v>
      </c>
      <c r="AN38" s="28" t="s">
        <v>396</v>
      </c>
    </row>
    <row r="39" ht="15.75" customHeight="1" spans="1:40">
      <c r="A39" s="6"/>
      <c r="B39" s="6"/>
      <c r="C39" s="4"/>
      <c r="D39" s="7" t="s">
        <v>4381</v>
      </c>
      <c r="E39" s="6" t="s">
        <v>491</v>
      </c>
      <c r="F39" s="7" t="s">
        <v>4382</v>
      </c>
      <c r="G39" s="6"/>
      <c r="H39" s="7"/>
      <c r="I39" s="7"/>
      <c r="J39" s="7"/>
      <c r="K39" s="7"/>
      <c r="L39" s="7"/>
      <c r="M39" s="7"/>
      <c r="N39" s="15"/>
      <c r="O39" s="7"/>
      <c r="P39" s="7"/>
      <c r="Q39" s="7"/>
      <c r="R39" s="7"/>
      <c r="S39" s="7"/>
      <c r="T39" s="7"/>
      <c r="U39" s="7"/>
      <c r="V39" s="7"/>
      <c r="W39" s="7"/>
      <c r="X39" s="7"/>
      <c r="Y39" s="7"/>
      <c r="Z39" s="7"/>
      <c r="AA39" s="7"/>
      <c r="AB39" s="7"/>
      <c r="AC39" s="7"/>
      <c r="AD39" s="7"/>
      <c r="AE39" s="6"/>
      <c r="AF39" s="6"/>
      <c r="AG39" s="6"/>
      <c r="AH39" s="6"/>
      <c r="AI39" s="6"/>
      <c r="AJ39" s="6"/>
      <c r="AK39" s="7"/>
      <c r="AL39" s="7"/>
      <c r="AM39" s="7"/>
      <c r="AN39" s="7"/>
    </row>
    <row r="40" ht="15.75" customHeight="1" spans="1:40">
      <c r="A40" s="6" t="s">
        <v>4151</v>
      </c>
      <c r="B40" s="6" t="s">
        <v>427</v>
      </c>
      <c r="C40" s="4" t="s">
        <v>957</v>
      </c>
      <c r="D40" s="7" t="s">
        <v>347</v>
      </c>
      <c r="E40" s="29" t="s">
        <v>491</v>
      </c>
      <c r="F40" s="7" t="s">
        <v>4383</v>
      </c>
      <c r="G40" s="6">
        <v>5047679021</v>
      </c>
      <c r="H40" s="7" t="s">
        <v>2043</v>
      </c>
      <c r="I40" s="7" t="s">
        <v>4184</v>
      </c>
      <c r="J40" s="7" t="s">
        <v>941</v>
      </c>
      <c r="K40" s="7" t="s">
        <v>942</v>
      </c>
      <c r="L40" s="7" t="s">
        <v>975</v>
      </c>
      <c r="M40" s="7" t="s">
        <v>4384</v>
      </c>
      <c r="N40" s="15">
        <v>26275</v>
      </c>
      <c r="O40" s="7" t="s">
        <v>945</v>
      </c>
      <c r="P40" s="7" t="s">
        <v>1041</v>
      </c>
      <c r="Q40" s="7" t="s">
        <v>963</v>
      </c>
      <c r="R40" s="7" t="s">
        <v>4385</v>
      </c>
      <c r="S40" s="7" t="s">
        <v>4263</v>
      </c>
      <c r="T40" s="7" t="s">
        <v>1030</v>
      </c>
      <c r="U40" s="7" t="s">
        <v>4158</v>
      </c>
      <c r="V40" s="7">
        <v>51993484224</v>
      </c>
      <c r="W40" s="7">
        <v>51984679456</v>
      </c>
      <c r="X40" s="7" t="s">
        <v>953</v>
      </c>
      <c r="Y40" s="7" t="s">
        <v>427</v>
      </c>
      <c r="Z40" s="7">
        <v>95599000</v>
      </c>
      <c r="AA40" s="7" t="s">
        <v>4386</v>
      </c>
      <c r="AB40" s="7" t="s">
        <v>1178</v>
      </c>
      <c r="AC40" s="7" t="s">
        <v>396</v>
      </c>
      <c r="AD40" s="7" t="s">
        <v>396</v>
      </c>
      <c r="AE40" s="6" t="s">
        <v>406</v>
      </c>
      <c r="AF40" s="6" t="s">
        <v>406</v>
      </c>
      <c r="AG40" s="6" t="s">
        <v>396</v>
      </c>
      <c r="AH40" s="6">
        <v>39</v>
      </c>
      <c r="AI40" s="6">
        <v>39</v>
      </c>
      <c r="AJ40" s="6">
        <v>39</v>
      </c>
      <c r="AK40" s="7">
        <v>39</v>
      </c>
      <c r="AL40" s="7" t="s">
        <v>406</v>
      </c>
      <c r="AM40" s="7" t="s">
        <v>406</v>
      </c>
      <c r="AN40" s="7" t="s">
        <v>406</v>
      </c>
    </row>
    <row r="41" ht="15.75" customHeight="1" spans="1:40">
      <c r="A41" s="6" t="s">
        <v>4151</v>
      </c>
      <c r="B41" s="6" t="s">
        <v>427</v>
      </c>
      <c r="C41" s="4" t="s">
        <v>957</v>
      </c>
      <c r="D41" s="7" t="s">
        <v>4387</v>
      </c>
      <c r="E41" s="29" t="s">
        <v>971</v>
      </c>
      <c r="F41" s="7" t="s">
        <v>4388</v>
      </c>
      <c r="G41" s="6">
        <v>6037430649</v>
      </c>
      <c r="H41" s="7" t="s">
        <v>4203</v>
      </c>
      <c r="I41" s="7" t="s">
        <v>4294</v>
      </c>
      <c r="J41" s="7" t="s">
        <v>941</v>
      </c>
      <c r="K41" s="7" t="s">
        <v>942</v>
      </c>
      <c r="L41" s="7" t="s">
        <v>943</v>
      </c>
      <c r="M41" s="7" t="s">
        <v>4389</v>
      </c>
      <c r="N41" s="15">
        <v>22030</v>
      </c>
      <c r="O41" s="7" t="s">
        <v>945</v>
      </c>
      <c r="P41" s="7" t="s">
        <v>946</v>
      </c>
      <c r="Q41" s="7" t="s">
        <v>963</v>
      </c>
      <c r="R41" s="7" t="s">
        <v>4390</v>
      </c>
      <c r="S41" s="7" t="s">
        <v>4263</v>
      </c>
      <c r="T41" s="7" t="s">
        <v>1030</v>
      </c>
      <c r="U41" s="7" t="s">
        <v>4158</v>
      </c>
      <c r="V41" s="7">
        <v>51996018748</v>
      </c>
      <c r="W41" s="7">
        <v>51996018748</v>
      </c>
      <c r="X41" s="7" t="s">
        <v>953</v>
      </c>
      <c r="Y41" s="7" t="s">
        <v>427</v>
      </c>
      <c r="Z41" s="7">
        <v>95599000</v>
      </c>
      <c r="AA41" s="7" t="s">
        <v>4391</v>
      </c>
      <c r="AB41" s="7" t="s">
        <v>1178</v>
      </c>
      <c r="AC41" s="7" t="s">
        <v>396</v>
      </c>
      <c r="AD41" s="7" t="s">
        <v>396</v>
      </c>
      <c r="AE41" s="6" t="s">
        <v>406</v>
      </c>
      <c r="AF41" s="6" t="s">
        <v>406</v>
      </c>
      <c r="AG41" s="6" t="s">
        <v>396</v>
      </c>
      <c r="AH41" s="6">
        <v>39</v>
      </c>
      <c r="AI41" s="6">
        <v>39</v>
      </c>
      <c r="AJ41" s="6">
        <v>39</v>
      </c>
      <c r="AK41" s="7">
        <v>39</v>
      </c>
      <c r="AL41" s="7" t="s">
        <v>406</v>
      </c>
      <c r="AM41" s="7" t="s">
        <v>406</v>
      </c>
      <c r="AN41" s="7" t="s">
        <v>406</v>
      </c>
    </row>
    <row r="42" ht="15.75" customHeight="1" spans="1:40">
      <c r="A42" s="6" t="s">
        <v>4151</v>
      </c>
      <c r="B42" s="6"/>
      <c r="C42" s="4" t="s">
        <v>4165</v>
      </c>
      <c r="D42" s="7" t="s">
        <v>348</v>
      </c>
      <c r="E42" s="29" t="s">
        <v>491</v>
      </c>
      <c r="F42" s="7" t="s">
        <v>4392</v>
      </c>
      <c r="G42" s="6"/>
      <c r="H42" s="7"/>
      <c r="I42" s="7"/>
      <c r="J42" s="7"/>
      <c r="K42" s="7"/>
      <c r="L42" s="7"/>
      <c r="M42" s="7"/>
      <c r="N42" s="15"/>
      <c r="O42" s="7"/>
      <c r="P42" s="7"/>
      <c r="Q42" s="7"/>
      <c r="R42" s="7"/>
      <c r="S42" s="7"/>
      <c r="T42" s="7"/>
      <c r="U42" s="7"/>
      <c r="V42" s="7"/>
      <c r="W42" s="7"/>
      <c r="X42" s="7"/>
      <c r="Y42" s="7"/>
      <c r="Z42" s="7"/>
      <c r="AA42" s="7"/>
      <c r="AB42" s="7"/>
      <c r="AC42" s="7"/>
      <c r="AD42" s="7"/>
      <c r="AE42" s="6"/>
      <c r="AF42" s="6"/>
      <c r="AG42" s="6"/>
      <c r="AH42" s="6"/>
      <c r="AI42" s="6"/>
      <c r="AJ42" s="6"/>
      <c r="AK42" s="7"/>
      <c r="AL42" s="7"/>
      <c r="AM42" s="7"/>
      <c r="AN42" s="7"/>
    </row>
    <row r="43" ht="15.75" customHeight="1" spans="1:40">
      <c r="A43" s="6" t="s">
        <v>4151</v>
      </c>
      <c r="B43" s="6" t="s">
        <v>427</v>
      </c>
      <c r="C43" s="4" t="s">
        <v>957</v>
      </c>
      <c r="D43" s="7" t="s">
        <v>4393</v>
      </c>
      <c r="E43" s="29" t="s">
        <v>971</v>
      </c>
      <c r="F43" s="7" t="s">
        <v>4394</v>
      </c>
      <c r="G43" s="6">
        <v>3127204455</v>
      </c>
      <c r="H43" s="7" t="s">
        <v>2043</v>
      </c>
      <c r="I43" s="7" t="s">
        <v>4184</v>
      </c>
      <c r="J43" s="7" t="s">
        <v>942</v>
      </c>
      <c r="K43" s="7" t="s">
        <v>942</v>
      </c>
      <c r="L43" s="7" t="s">
        <v>943</v>
      </c>
      <c r="M43" s="7" t="s">
        <v>1333</v>
      </c>
      <c r="N43" s="15">
        <v>35923</v>
      </c>
      <c r="O43" s="7" t="s">
        <v>1028</v>
      </c>
      <c r="P43" s="7" t="s">
        <v>946</v>
      </c>
      <c r="Q43" s="7"/>
      <c r="R43" s="7" t="s">
        <v>4395</v>
      </c>
      <c r="S43" s="7" t="s">
        <v>4263</v>
      </c>
      <c r="T43" s="7" t="s">
        <v>1011</v>
      </c>
      <c r="U43" s="7" t="s">
        <v>4158</v>
      </c>
      <c r="V43" s="7">
        <v>51994309450</v>
      </c>
      <c r="W43" s="7">
        <v>51994194838</v>
      </c>
      <c r="X43" s="7" t="s">
        <v>953</v>
      </c>
      <c r="Y43" s="7" t="s">
        <v>427</v>
      </c>
      <c r="Z43" s="7">
        <v>95599000</v>
      </c>
      <c r="AA43" s="7" t="s">
        <v>4396</v>
      </c>
      <c r="AB43" s="7" t="s">
        <v>4266</v>
      </c>
      <c r="AC43" s="7" t="s">
        <v>398</v>
      </c>
      <c r="AD43" s="7" t="s">
        <v>398</v>
      </c>
      <c r="AE43" s="6" t="s">
        <v>398</v>
      </c>
      <c r="AF43" s="6" t="s">
        <v>398</v>
      </c>
      <c r="AG43" s="6" t="s">
        <v>398</v>
      </c>
      <c r="AH43" s="6">
        <v>39</v>
      </c>
      <c r="AI43" s="6">
        <v>39</v>
      </c>
      <c r="AJ43" s="6">
        <v>39</v>
      </c>
      <c r="AK43" s="7">
        <v>40</v>
      </c>
      <c r="AL43" s="7" t="s">
        <v>398</v>
      </c>
      <c r="AM43" s="7" t="s">
        <v>406</v>
      </c>
      <c r="AN43" s="7" t="s">
        <v>406</v>
      </c>
    </row>
    <row r="44" ht="15.75" customHeight="1" spans="1:40">
      <c r="A44" s="6" t="s">
        <v>4151</v>
      </c>
      <c r="B44" s="6" t="s">
        <v>427</v>
      </c>
      <c r="C44" s="4" t="s">
        <v>957</v>
      </c>
      <c r="D44" s="7" t="s">
        <v>4397</v>
      </c>
      <c r="E44" s="29" t="s">
        <v>491</v>
      </c>
      <c r="F44" s="7" t="s">
        <v>4398</v>
      </c>
      <c r="G44" s="6">
        <v>5105857411</v>
      </c>
      <c r="H44" s="7" t="s">
        <v>4169</v>
      </c>
      <c r="I44" s="7" t="s">
        <v>4399</v>
      </c>
      <c r="J44" s="7" t="s">
        <v>942</v>
      </c>
      <c r="K44" s="7" t="s">
        <v>942</v>
      </c>
      <c r="L44" s="7" t="s">
        <v>975</v>
      </c>
      <c r="M44" s="7" t="s">
        <v>4400</v>
      </c>
      <c r="N44" s="15">
        <v>29238</v>
      </c>
      <c r="O44" s="7" t="s">
        <v>1028</v>
      </c>
      <c r="P44" s="7" t="s">
        <v>946</v>
      </c>
      <c r="Q44" s="7" t="s">
        <v>1245</v>
      </c>
      <c r="R44" s="36" t="s">
        <v>4401</v>
      </c>
      <c r="S44" s="7" t="s">
        <v>4263</v>
      </c>
      <c r="T44" s="7" t="s">
        <v>1044</v>
      </c>
      <c r="U44" s="7" t="s">
        <v>4158</v>
      </c>
      <c r="V44" s="7" t="s">
        <v>4402</v>
      </c>
      <c r="W44" s="7" t="s">
        <v>4403</v>
      </c>
      <c r="X44" s="7" t="s">
        <v>953</v>
      </c>
      <c r="Y44" s="7" t="s">
        <v>4198</v>
      </c>
      <c r="Z44" s="7">
        <v>95625000</v>
      </c>
      <c r="AA44" s="7" t="s">
        <v>4404</v>
      </c>
      <c r="AB44" s="7" t="s">
        <v>4200</v>
      </c>
      <c r="AC44" s="28" t="s">
        <v>395</v>
      </c>
      <c r="AD44" s="28" t="s">
        <v>395</v>
      </c>
      <c r="AE44" s="27" t="s">
        <v>396</v>
      </c>
      <c r="AF44" s="27" t="s">
        <v>396</v>
      </c>
      <c r="AG44" s="27" t="s">
        <v>395</v>
      </c>
      <c r="AH44" s="27">
        <v>36</v>
      </c>
      <c r="AI44" s="27">
        <v>36</v>
      </c>
      <c r="AJ44" s="27">
        <v>36</v>
      </c>
      <c r="AK44" s="37">
        <v>36</v>
      </c>
      <c r="AL44" s="28" t="s">
        <v>396</v>
      </c>
      <c r="AM44" s="28" t="s">
        <v>396</v>
      </c>
      <c r="AN44" s="28" t="s">
        <v>396</v>
      </c>
    </row>
    <row r="45" ht="15.75" customHeight="1" spans="1:40">
      <c r="A45" s="6" t="s">
        <v>4151</v>
      </c>
      <c r="B45" s="6"/>
      <c r="C45" s="4" t="s">
        <v>4165</v>
      </c>
      <c r="D45" s="7" t="s">
        <v>349</v>
      </c>
      <c r="E45" s="29" t="s">
        <v>491</v>
      </c>
      <c r="F45" s="7" t="s">
        <v>4405</v>
      </c>
      <c r="G45" s="6"/>
      <c r="H45" s="7"/>
      <c r="I45" s="7"/>
      <c r="J45" s="7"/>
      <c r="K45" s="7"/>
      <c r="L45" s="7"/>
      <c r="M45" s="7"/>
      <c r="N45" s="15"/>
      <c r="O45" s="7"/>
      <c r="P45" s="7"/>
      <c r="Q45" s="7"/>
      <c r="R45" s="7"/>
      <c r="S45" s="7"/>
      <c r="T45" s="7"/>
      <c r="U45" s="7"/>
      <c r="V45" s="7"/>
      <c r="W45" s="7"/>
      <c r="X45" s="7"/>
      <c r="Y45" s="7"/>
      <c r="Z45" s="7"/>
      <c r="AA45" s="7"/>
      <c r="AB45" s="7"/>
      <c r="AC45" s="7"/>
      <c r="AD45" s="7"/>
      <c r="AE45" s="6"/>
      <c r="AF45" s="6"/>
      <c r="AG45" s="6"/>
      <c r="AH45" s="6"/>
      <c r="AI45" s="6"/>
      <c r="AJ45" s="6"/>
      <c r="AK45" s="7"/>
      <c r="AL45" s="7"/>
      <c r="AM45" s="7"/>
      <c r="AN45" s="7"/>
    </row>
    <row r="46" ht="15.75" customHeight="1" spans="1:40">
      <c r="A46" s="6" t="s">
        <v>4151</v>
      </c>
      <c r="B46" s="6"/>
      <c r="C46" s="4" t="s">
        <v>4165</v>
      </c>
      <c r="D46" s="7" t="s">
        <v>350</v>
      </c>
      <c r="E46" s="29" t="s">
        <v>491</v>
      </c>
      <c r="F46" s="7" t="s">
        <v>4406</v>
      </c>
      <c r="G46" s="6"/>
      <c r="H46" s="7"/>
      <c r="I46" s="7"/>
      <c r="J46" s="7"/>
      <c r="K46" s="7"/>
      <c r="L46" s="7"/>
      <c r="M46" s="7"/>
      <c r="N46" s="15"/>
      <c r="O46" s="7"/>
      <c r="P46" s="7"/>
      <c r="Q46" s="7"/>
      <c r="R46" s="7"/>
      <c r="S46" s="7"/>
      <c r="T46" s="7"/>
      <c r="U46" s="7"/>
      <c r="V46" s="7"/>
      <c r="W46" s="7"/>
      <c r="X46" s="7"/>
      <c r="Y46" s="7"/>
      <c r="Z46" s="7"/>
      <c r="AA46" s="7"/>
      <c r="AB46" s="7"/>
      <c r="AC46" s="7"/>
      <c r="AD46" s="7"/>
      <c r="AE46" s="6"/>
      <c r="AF46" s="6"/>
      <c r="AG46" s="6"/>
      <c r="AH46" s="6"/>
      <c r="AI46" s="6"/>
      <c r="AJ46" s="6"/>
      <c r="AK46" s="7"/>
      <c r="AL46" s="7"/>
      <c r="AM46" s="7"/>
      <c r="AN46" s="7"/>
    </row>
    <row r="47" ht="15.75" customHeight="1" spans="1:40">
      <c r="A47" s="6" t="s">
        <v>4151</v>
      </c>
      <c r="B47" s="6" t="s">
        <v>427</v>
      </c>
      <c r="C47" s="4" t="s">
        <v>957</v>
      </c>
      <c r="D47" s="7" t="s">
        <v>4407</v>
      </c>
      <c r="E47" s="29" t="s">
        <v>971</v>
      </c>
      <c r="F47" s="7" t="s">
        <v>4408</v>
      </c>
      <c r="G47" s="6">
        <v>1123130674</v>
      </c>
      <c r="H47" s="7" t="s">
        <v>2043</v>
      </c>
      <c r="I47" s="7" t="s">
        <v>4184</v>
      </c>
      <c r="J47" s="7" t="s">
        <v>941</v>
      </c>
      <c r="K47" s="7" t="s">
        <v>942</v>
      </c>
      <c r="L47" s="7" t="s">
        <v>943</v>
      </c>
      <c r="M47" s="7" t="s">
        <v>4214</v>
      </c>
      <c r="N47" s="15">
        <v>34707</v>
      </c>
      <c r="O47" s="7" t="s">
        <v>945</v>
      </c>
      <c r="P47" s="7" t="s">
        <v>946</v>
      </c>
      <c r="Q47" s="7" t="s">
        <v>963</v>
      </c>
      <c r="R47" s="36" t="s">
        <v>4409</v>
      </c>
      <c r="S47" s="7" t="s">
        <v>4263</v>
      </c>
      <c r="T47" s="7" t="s">
        <v>1030</v>
      </c>
      <c r="U47" s="7" t="s">
        <v>4158</v>
      </c>
      <c r="V47" s="7" t="s">
        <v>4410</v>
      </c>
      <c r="W47" s="7" t="s">
        <v>4411</v>
      </c>
      <c r="X47" s="7" t="s">
        <v>953</v>
      </c>
      <c r="Y47" s="7" t="s">
        <v>427</v>
      </c>
      <c r="Z47" s="7">
        <v>95599000</v>
      </c>
      <c r="AA47" s="7" t="s">
        <v>4412</v>
      </c>
      <c r="AB47" s="7" t="s">
        <v>1178</v>
      </c>
      <c r="AC47" s="7" t="s">
        <v>396</v>
      </c>
      <c r="AD47" s="7" t="s">
        <v>406</v>
      </c>
      <c r="AE47" s="6" t="s">
        <v>406</v>
      </c>
      <c r="AF47" s="6" t="s">
        <v>406</v>
      </c>
      <c r="AG47" s="6" t="s">
        <v>406</v>
      </c>
      <c r="AH47" s="6">
        <v>40</v>
      </c>
      <c r="AI47" s="6">
        <v>40</v>
      </c>
      <c r="AJ47" s="6">
        <v>40</v>
      </c>
      <c r="AK47" s="7">
        <v>40</v>
      </c>
      <c r="AL47" s="7" t="s">
        <v>406</v>
      </c>
      <c r="AM47" s="7" t="s">
        <v>396</v>
      </c>
      <c r="AN47" s="7" t="s">
        <v>406</v>
      </c>
    </row>
    <row r="48" ht="15.75" customHeight="1" spans="1:40">
      <c r="A48" s="6" t="s">
        <v>4151</v>
      </c>
      <c r="B48" s="6"/>
      <c r="C48" s="4" t="s">
        <v>4165</v>
      </c>
      <c r="D48" s="7" t="s">
        <v>164</v>
      </c>
      <c r="E48" s="29" t="s">
        <v>971</v>
      </c>
      <c r="F48" s="7" t="s">
        <v>4413</v>
      </c>
      <c r="G48" s="6"/>
      <c r="H48" s="7"/>
      <c r="I48" s="7"/>
      <c r="J48" s="7"/>
      <c r="K48" s="7"/>
      <c r="L48" s="7"/>
      <c r="M48" s="7"/>
      <c r="N48" s="15"/>
      <c r="O48" s="7"/>
      <c r="P48" s="7"/>
      <c r="Q48" s="7"/>
      <c r="R48" s="7"/>
      <c r="S48" s="7"/>
      <c r="T48" s="7"/>
      <c r="U48" s="7"/>
      <c r="V48" s="7"/>
      <c r="W48" s="7"/>
      <c r="X48" s="7"/>
      <c r="Y48" s="7"/>
      <c r="Z48" s="7"/>
      <c r="AA48" s="7"/>
      <c r="AB48" s="7"/>
      <c r="AC48" s="7"/>
      <c r="AD48" s="7"/>
      <c r="AE48" s="6"/>
      <c r="AF48" s="6"/>
      <c r="AG48" s="6"/>
      <c r="AH48" s="6"/>
      <c r="AI48" s="6"/>
      <c r="AJ48" s="6"/>
      <c r="AK48" s="7"/>
      <c r="AL48" s="7"/>
      <c r="AM48" s="7"/>
      <c r="AN48" s="7"/>
    </row>
    <row r="49" ht="15.75" customHeight="1" spans="1:40">
      <c r="A49" s="6" t="s">
        <v>4151</v>
      </c>
      <c r="B49" s="6" t="s">
        <v>427</v>
      </c>
      <c r="C49" s="4" t="s">
        <v>957</v>
      </c>
      <c r="D49" s="7" t="s">
        <v>351</v>
      </c>
      <c r="E49" s="29" t="s">
        <v>492</v>
      </c>
      <c r="F49" s="7" t="s">
        <v>4414</v>
      </c>
      <c r="G49" s="6">
        <v>8124317101</v>
      </c>
      <c r="H49" s="7" t="s">
        <v>2043</v>
      </c>
      <c r="I49" s="7" t="s">
        <v>4184</v>
      </c>
      <c r="J49" s="7" t="s">
        <v>941</v>
      </c>
      <c r="K49" s="7" t="s">
        <v>942</v>
      </c>
      <c r="L49" s="7" t="s">
        <v>975</v>
      </c>
      <c r="M49" s="7" t="s">
        <v>4415</v>
      </c>
      <c r="N49" s="15">
        <v>36922</v>
      </c>
      <c r="O49" s="7" t="s">
        <v>945</v>
      </c>
      <c r="P49" s="7" t="s">
        <v>946</v>
      </c>
      <c r="Q49" s="7" t="s">
        <v>963</v>
      </c>
      <c r="R49" s="7" t="s">
        <v>4416</v>
      </c>
      <c r="S49" s="7" t="s">
        <v>4263</v>
      </c>
      <c r="T49" s="7" t="s">
        <v>1030</v>
      </c>
      <c r="U49" s="7" t="s">
        <v>4158</v>
      </c>
      <c r="V49" s="7">
        <v>51991484749</v>
      </c>
      <c r="W49" s="7" t="s">
        <v>4417</v>
      </c>
      <c r="X49" s="7" t="s">
        <v>953</v>
      </c>
      <c r="Y49" s="7" t="s">
        <v>4246</v>
      </c>
      <c r="Z49" s="7">
        <v>95590000</v>
      </c>
      <c r="AA49" s="7" t="s">
        <v>4418</v>
      </c>
      <c r="AB49" s="7" t="s">
        <v>1178</v>
      </c>
      <c r="AC49" s="28" t="s">
        <v>395</v>
      </c>
      <c r="AD49" s="28" t="s">
        <v>396</v>
      </c>
      <c r="AE49" s="27" t="s">
        <v>396</v>
      </c>
      <c r="AF49" s="27" t="s">
        <v>396</v>
      </c>
      <c r="AG49" s="27" t="s">
        <v>395</v>
      </c>
      <c r="AH49" s="27">
        <v>42</v>
      </c>
      <c r="AI49" s="27">
        <v>42</v>
      </c>
      <c r="AJ49" s="27">
        <v>42</v>
      </c>
      <c r="AK49" s="37">
        <v>42</v>
      </c>
      <c r="AL49" s="28" t="s">
        <v>396</v>
      </c>
      <c r="AM49" s="28" t="s">
        <v>396</v>
      </c>
      <c r="AN49" s="28" t="s">
        <v>395</v>
      </c>
    </row>
    <row r="50" ht="15.75" customHeight="1" spans="1:40">
      <c r="A50" s="6" t="s">
        <v>4151</v>
      </c>
      <c r="B50" s="6" t="s">
        <v>415</v>
      </c>
      <c r="C50" s="4" t="s">
        <v>957</v>
      </c>
      <c r="D50" s="7" t="s">
        <v>352</v>
      </c>
      <c r="E50" s="29" t="s">
        <v>491</v>
      </c>
      <c r="F50" s="28" t="s">
        <v>4419</v>
      </c>
      <c r="G50" s="27">
        <v>7105323311</v>
      </c>
      <c r="H50" s="28" t="s">
        <v>2043</v>
      </c>
      <c r="I50" s="28" t="s">
        <v>4420</v>
      </c>
      <c r="J50" s="28" t="s">
        <v>941</v>
      </c>
      <c r="K50" s="28" t="s">
        <v>942</v>
      </c>
      <c r="L50" s="28" t="s">
        <v>943</v>
      </c>
      <c r="M50" s="28" t="s">
        <v>4421</v>
      </c>
      <c r="N50" s="34">
        <v>34734</v>
      </c>
      <c r="O50" s="28" t="s">
        <v>945</v>
      </c>
      <c r="P50" s="28" t="s">
        <v>946</v>
      </c>
      <c r="Q50" s="28" t="s">
        <v>947</v>
      </c>
      <c r="R50" s="28" t="s">
        <v>4422</v>
      </c>
      <c r="S50" s="28" t="s">
        <v>4423</v>
      </c>
      <c r="T50" s="28" t="s">
        <v>1154</v>
      </c>
      <c r="U50" s="28" t="s">
        <v>4158</v>
      </c>
      <c r="V50" s="28" t="s">
        <v>4424</v>
      </c>
      <c r="W50" s="28" t="s">
        <v>4158</v>
      </c>
      <c r="X50" s="28" t="s">
        <v>953</v>
      </c>
      <c r="Y50" s="28" t="s">
        <v>4219</v>
      </c>
      <c r="Z50" s="28" t="s">
        <v>4220</v>
      </c>
      <c r="AA50" s="28" t="s">
        <v>4425</v>
      </c>
      <c r="AB50" s="28" t="s">
        <v>1178</v>
      </c>
      <c r="AC50" s="28" t="s">
        <v>396</v>
      </c>
      <c r="AD50" s="28" t="s">
        <v>396</v>
      </c>
      <c r="AE50" s="27" t="s">
        <v>396</v>
      </c>
      <c r="AF50" s="27" t="s">
        <v>396</v>
      </c>
      <c r="AG50" s="27" t="s">
        <v>396</v>
      </c>
      <c r="AH50" s="27">
        <v>41</v>
      </c>
      <c r="AI50" s="27">
        <v>41</v>
      </c>
      <c r="AJ50" s="27">
        <v>41</v>
      </c>
      <c r="AK50" s="37">
        <v>41</v>
      </c>
      <c r="AL50" s="28" t="s">
        <v>396</v>
      </c>
      <c r="AM50" s="28" t="s">
        <v>396</v>
      </c>
      <c r="AN50" s="28" t="s">
        <v>396</v>
      </c>
    </row>
    <row r="51" ht="15.75" customHeight="1" spans="1:40">
      <c r="A51" s="6" t="s">
        <v>4151</v>
      </c>
      <c r="B51" s="6"/>
      <c r="C51" s="4" t="s">
        <v>4165</v>
      </c>
      <c r="D51" s="7" t="s">
        <v>4426</v>
      </c>
      <c r="E51" s="29" t="s">
        <v>491</v>
      </c>
      <c r="F51" s="7" t="s">
        <v>4427</v>
      </c>
      <c r="G51" s="6"/>
      <c r="H51" s="7"/>
      <c r="I51" s="7"/>
      <c r="J51" s="7"/>
      <c r="K51" s="7"/>
      <c r="L51" s="7"/>
      <c r="M51" s="7"/>
      <c r="N51" s="15"/>
      <c r="O51" s="7"/>
      <c r="P51" s="7"/>
      <c r="Q51" s="7"/>
      <c r="R51" s="7"/>
      <c r="S51" s="7"/>
      <c r="T51" s="7"/>
      <c r="U51" s="7"/>
      <c r="V51" s="7"/>
      <c r="W51" s="7"/>
      <c r="X51" s="7"/>
      <c r="Y51" s="7"/>
      <c r="Z51" s="7"/>
      <c r="AA51" s="7"/>
      <c r="AB51" s="7"/>
      <c r="AC51" s="7"/>
      <c r="AD51" s="7"/>
      <c r="AE51" s="6"/>
      <c r="AF51" s="6"/>
      <c r="AG51" s="6"/>
      <c r="AH51" s="6"/>
      <c r="AI51" s="6"/>
      <c r="AJ51" s="6"/>
      <c r="AK51" s="7"/>
      <c r="AL51" s="7"/>
      <c r="AM51" s="7"/>
      <c r="AN51" s="7"/>
    </row>
    <row r="52" ht="15.75" customHeight="1" spans="1:40">
      <c r="A52" s="6" t="s">
        <v>4151</v>
      </c>
      <c r="B52" s="6" t="s">
        <v>427</v>
      </c>
      <c r="C52" s="4" t="s">
        <v>957</v>
      </c>
      <c r="D52" s="7" t="s">
        <v>4428</v>
      </c>
      <c r="E52" s="29" t="s">
        <v>971</v>
      </c>
      <c r="F52" s="7" t="s">
        <v>4429</v>
      </c>
      <c r="G52" s="6">
        <v>1114817875</v>
      </c>
      <c r="H52" s="7" t="s">
        <v>2043</v>
      </c>
      <c r="I52" s="7" t="s">
        <v>4184</v>
      </c>
      <c r="J52" s="7" t="s">
        <v>942</v>
      </c>
      <c r="K52" s="7" t="s">
        <v>941</v>
      </c>
      <c r="L52" s="7" t="s">
        <v>975</v>
      </c>
      <c r="M52" s="7" t="s">
        <v>962</v>
      </c>
      <c r="N52" s="15">
        <v>34369</v>
      </c>
      <c r="O52" s="7" t="s">
        <v>945</v>
      </c>
      <c r="P52" s="7" t="s">
        <v>946</v>
      </c>
      <c r="Q52" s="7" t="s">
        <v>963</v>
      </c>
      <c r="R52" s="7" t="s">
        <v>4430</v>
      </c>
      <c r="S52" s="7" t="s">
        <v>4263</v>
      </c>
      <c r="T52" s="7" t="s">
        <v>1044</v>
      </c>
      <c r="U52" s="28" t="s">
        <v>4158</v>
      </c>
      <c r="V52" s="7">
        <v>5199600795</v>
      </c>
      <c r="W52" s="7">
        <v>51996281974</v>
      </c>
      <c r="X52" s="7" t="s">
        <v>953</v>
      </c>
      <c r="Y52" s="7" t="s">
        <v>427</v>
      </c>
      <c r="Z52" s="7">
        <v>95599000</v>
      </c>
      <c r="AA52" s="7" t="s">
        <v>4431</v>
      </c>
      <c r="AB52" s="7" t="s">
        <v>1178</v>
      </c>
      <c r="AC52" s="7" t="s">
        <v>399</v>
      </c>
      <c r="AD52" s="7" t="s">
        <v>399</v>
      </c>
      <c r="AE52" s="6" t="s">
        <v>399</v>
      </c>
      <c r="AF52" s="6" t="s">
        <v>399</v>
      </c>
      <c r="AG52" s="6" t="s">
        <v>399</v>
      </c>
      <c r="AH52" s="6">
        <v>40</v>
      </c>
      <c r="AI52" s="6">
        <v>40</v>
      </c>
      <c r="AJ52" s="6">
        <v>40</v>
      </c>
      <c r="AK52" s="7">
        <v>40</v>
      </c>
      <c r="AL52" s="7" t="s">
        <v>399</v>
      </c>
      <c r="AM52" s="7" t="s">
        <v>399</v>
      </c>
      <c r="AN52" s="7" t="s">
        <v>396</v>
      </c>
    </row>
    <row r="53" ht="15.75" customHeight="1" spans="1:40">
      <c r="A53" s="6" t="s">
        <v>4151</v>
      </c>
      <c r="B53" s="6" t="s">
        <v>415</v>
      </c>
      <c r="C53" s="4" t="s">
        <v>957</v>
      </c>
      <c r="D53" s="7" t="s">
        <v>4432</v>
      </c>
      <c r="E53" s="29" t="s">
        <v>491</v>
      </c>
      <c r="F53" s="28" t="s">
        <v>4433</v>
      </c>
      <c r="G53" s="27">
        <v>2114896737</v>
      </c>
      <c r="H53" s="28" t="s">
        <v>4434</v>
      </c>
      <c r="I53" s="28" t="s">
        <v>4435</v>
      </c>
      <c r="J53" s="28" t="s">
        <v>941</v>
      </c>
      <c r="K53" s="28" t="s">
        <v>941</v>
      </c>
      <c r="L53" s="28" t="s">
        <v>943</v>
      </c>
      <c r="M53" s="28" t="s">
        <v>4436</v>
      </c>
      <c r="N53" s="34">
        <v>35499</v>
      </c>
      <c r="O53" s="28" t="s">
        <v>945</v>
      </c>
      <c r="P53" s="28" t="s">
        <v>946</v>
      </c>
      <c r="Q53" s="28" t="s">
        <v>947</v>
      </c>
      <c r="R53" s="28" t="s">
        <v>4437</v>
      </c>
      <c r="S53" s="28" t="s">
        <v>4438</v>
      </c>
      <c r="T53" s="28" t="s">
        <v>1011</v>
      </c>
      <c r="U53" s="28" t="s">
        <v>4158</v>
      </c>
      <c r="V53" s="28" t="s">
        <v>4439</v>
      </c>
      <c r="W53" s="28" t="s">
        <v>4158</v>
      </c>
      <c r="X53" s="28" t="s">
        <v>953</v>
      </c>
      <c r="Y53" s="28" t="s">
        <v>415</v>
      </c>
      <c r="Z53" s="28" t="s">
        <v>4256</v>
      </c>
      <c r="AA53" s="28" t="s">
        <v>4440</v>
      </c>
      <c r="AB53" s="28" t="s">
        <v>4441</v>
      </c>
      <c r="AC53" s="28" t="s">
        <v>398</v>
      </c>
      <c r="AD53" s="28" t="s">
        <v>3582</v>
      </c>
      <c r="AE53" s="27" t="s">
        <v>3582</v>
      </c>
      <c r="AF53" s="27" t="s">
        <v>3582</v>
      </c>
      <c r="AG53" s="27" t="s">
        <v>3582</v>
      </c>
      <c r="AH53" s="27">
        <v>41</v>
      </c>
      <c r="AI53" s="27">
        <v>41</v>
      </c>
      <c r="AJ53" s="27">
        <v>41</v>
      </c>
      <c r="AK53" s="37">
        <v>41</v>
      </c>
      <c r="AL53" s="28" t="s">
        <v>3582</v>
      </c>
      <c r="AM53" s="28" t="s">
        <v>398</v>
      </c>
      <c r="AN53" s="28" t="s">
        <v>406</v>
      </c>
    </row>
    <row r="54" ht="15.75" customHeight="1" spans="1:40">
      <c r="A54" s="6" t="s">
        <v>4151</v>
      </c>
      <c r="B54" s="6"/>
      <c r="C54" s="4" t="s">
        <v>4165</v>
      </c>
      <c r="D54" s="7" t="s">
        <v>4442</v>
      </c>
      <c r="E54" s="29" t="s">
        <v>491</v>
      </c>
      <c r="F54" s="7" t="s">
        <v>4443</v>
      </c>
      <c r="G54" s="6"/>
      <c r="H54" s="7"/>
      <c r="I54" s="7"/>
      <c r="J54" s="7"/>
      <c r="K54" s="7"/>
      <c r="L54" s="7"/>
      <c r="M54" s="7"/>
      <c r="N54" s="15"/>
      <c r="O54" s="7"/>
      <c r="P54" s="7"/>
      <c r="Q54" s="7"/>
      <c r="R54" s="7"/>
      <c r="S54" s="7"/>
      <c r="T54" s="7"/>
      <c r="U54" s="7"/>
      <c r="V54" s="7"/>
      <c r="W54" s="7"/>
      <c r="X54" s="7"/>
      <c r="Y54" s="7"/>
      <c r="Z54" s="7"/>
      <c r="AA54" s="7"/>
      <c r="AB54" s="7"/>
      <c r="AC54" s="7"/>
      <c r="AD54" s="7"/>
      <c r="AE54" s="6"/>
      <c r="AF54" s="6"/>
      <c r="AG54" s="6"/>
      <c r="AH54" s="6"/>
      <c r="AI54" s="6"/>
      <c r="AJ54" s="6"/>
      <c r="AK54" s="7"/>
      <c r="AL54" s="7"/>
      <c r="AM54" s="7"/>
      <c r="AN54" s="7"/>
    </row>
    <row r="55" ht="15.75" customHeight="1" spans="1:40">
      <c r="A55" s="6" t="s">
        <v>4151</v>
      </c>
      <c r="B55" s="6" t="s">
        <v>427</v>
      </c>
      <c r="C55" s="4" t="s">
        <v>957</v>
      </c>
      <c r="D55" s="7" t="s">
        <v>4444</v>
      </c>
      <c r="E55" s="29" t="s">
        <v>971</v>
      </c>
      <c r="F55" s="7" t="s">
        <v>4445</v>
      </c>
      <c r="G55" s="6">
        <v>1054355456</v>
      </c>
      <c r="H55" s="7" t="s">
        <v>4446</v>
      </c>
      <c r="I55" s="7" t="s">
        <v>4184</v>
      </c>
      <c r="J55" s="7" t="s">
        <v>942</v>
      </c>
      <c r="K55" s="7" t="s">
        <v>942</v>
      </c>
      <c r="L55" s="7" t="s">
        <v>975</v>
      </c>
      <c r="M55" s="7" t="s">
        <v>4447</v>
      </c>
      <c r="N55" s="15">
        <v>28579</v>
      </c>
      <c r="O55" s="7" t="s">
        <v>945</v>
      </c>
      <c r="P55" s="7" t="s">
        <v>1104</v>
      </c>
      <c r="Q55" s="7" t="s">
        <v>1245</v>
      </c>
      <c r="R55" s="7" t="s">
        <v>4448</v>
      </c>
      <c r="S55" s="7" t="s">
        <v>4263</v>
      </c>
      <c r="T55" s="7" t="s">
        <v>965</v>
      </c>
      <c r="U55" s="28" t="s">
        <v>4158</v>
      </c>
      <c r="V55" s="7">
        <v>51992478630</v>
      </c>
      <c r="W55" s="7">
        <v>51998240499</v>
      </c>
      <c r="X55" s="7" t="s">
        <v>953</v>
      </c>
      <c r="Y55" s="7" t="s">
        <v>3889</v>
      </c>
      <c r="Z55" s="7">
        <v>93265000</v>
      </c>
      <c r="AA55" s="7" t="s">
        <v>4449</v>
      </c>
      <c r="AB55" s="7" t="s">
        <v>1178</v>
      </c>
      <c r="AC55" s="28" t="s">
        <v>398</v>
      </c>
      <c r="AD55" s="28" t="s">
        <v>398</v>
      </c>
      <c r="AE55" s="27" t="s">
        <v>398</v>
      </c>
      <c r="AF55" s="27" t="s">
        <v>398</v>
      </c>
      <c r="AG55" s="27" t="s">
        <v>398</v>
      </c>
      <c r="AH55" s="27">
        <v>41</v>
      </c>
      <c r="AI55" s="27">
        <v>41</v>
      </c>
      <c r="AJ55" s="27">
        <v>41</v>
      </c>
      <c r="AK55" s="37">
        <v>41</v>
      </c>
      <c r="AL55" s="28" t="s">
        <v>398</v>
      </c>
      <c r="AM55" s="28" t="s">
        <v>398</v>
      </c>
      <c r="AN55" s="28" t="s">
        <v>406</v>
      </c>
    </row>
    <row r="56" ht="15.75" customHeight="1" spans="1:40">
      <c r="A56" s="6" t="s">
        <v>4151</v>
      </c>
      <c r="B56" s="6"/>
      <c r="C56" s="4" t="s">
        <v>4165</v>
      </c>
      <c r="D56" s="7" t="s">
        <v>166</v>
      </c>
      <c r="E56" s="29" t="s">
        <v>971</v>
      </c>
      <c r="F56" s="7" t="s">
        <v>4450</v>
      </c>
      <c r="G56" s="6"/>
      <c r="H56" s="7"/>
      <c r="I56" s="7"/>
      <c r="J56" s="7"/>
      <c r="K56" s="7"/>
      <c r="L56" s="7"/>
      <c r="M56" s="7"/>
      <c r="N56" s="15"/>
      <c r="O56" s="7"/>
      <c r="P56" s="7"/>
      <c r="Q56" s="7"/>
      <c r="R56" s="7"/>
      <c r="S56" s="7"/>
      <c r="T56" s="7"/>
      <c r="U56" s="7"/>
      <c r="V56" s="7"/>
      <c r="W56" s="7"/>
      <c r="X56" s="7"/>
      <c r="Y56" s="7"/>
      <c r="Z56" s="7"/>
      <c r="AA56" s="7"/>
      <c r="AB56" s="7"/>
      <c r="AC56" s="7"/>
      <c r="AD56" s="7"/>
      <c r="AE56" s="6"/>
      <c r="AF56" s="6"/>
      <c r="AG56" s="6"/>
      <c r="AH56" s="6"/>
      <c r="AI56" s="6"/>
      <c r="AJ56" s="6"/>
      <c r="AK56" s="7"/>
      <c r="AL56" s="7"/>
      <c r="AM56" s="7"/>
      <c r="AN56" s="7"/>
    </row>
    <row r="57" ht="15.75" customHeight="1" spans="1:40">
      <c r="A57" s="6" t="s">
        <v>4151</v>
      </c>
      <c r="B57" s="6" t="s">
        <v>427</v>
      </c>
      <c r="C57" s="4" t="s">
        <v>957</v>
      </c>
      <c r="D57" s="7" t="s">
        <v>4451</v>
      </c>
      <c r="E57" s="29" t="s">
        <v>971</v>
      </c>
      <c r="F57" s="7" t="s">
        <v>4452</v>
      </c>
      <c r="G57" s="6">
        <v>5066490938</v>
      </c>
      <c r="H57" s="7" t="s">
        <v>4169</v>
      </c>
      <c r="I57" s="7" t="s">
        <v>4453</v>
      </c>
      <c r="J57" s="7" t="s">
        <v>942</v>
      </c>
      <c r="K57" s="7" t="s">
        <v>942</v>
      </c>
      <c r="L57" s="7" t="s">
        <v>1080</v>
      </c>
      <c r="M57" s="7" t="s">
        <v>4454</v>
      </c>
      <c r="N57" s="34">
        <v>28809</v>
      </c>
      <c r="O57" s="7" t="s">
        <v>945</v>
      </c>
      <c r="P57" s="7" t="s">
        <v>946</v>
      </c>
      <c r="Q57" s="7" t="s">
        <v>963</v>
      </c>
      <c r="R57" s="28" t="s">
        <v>4455</v>
      </c>
      <c r="S57" s="28" t="s">
        <v>4263</v>
      </c>
      <c r="T57" s="7" t="s">
        <v>965</v>
      </c>
      <c r="U57" s="28" t="s">
        <v>4158</v>
      </c>
      <c r="V57" s="28">
        <v>51995959499</v>
      </c>
      <c r="W57" s="28">
        <v>51992759048</v>
      </c>
      <c r="X57" s="28" t="s">
        <v>953</v>
      </c>
      <c r="Y57" s="7" t="s">
        <v>4237</v>
      </c>
      <c r="Z57" s="28">
        <v>95540000</v>
      </c>
      <c r="AA57" s="28" t="s">
        <v>4456</v>
      </c>
      <c r="AB57" s="28" t="s">
        <v>4457</v>
      </c>
      <c r="AC57" s="7" t="s">
        <v>406</v>
      </c>
      <c r="AD57" s="7" t="s">
        <v>406</v>
      </c>
      <c r="AE57" s="6" t="s">
        <v>406</v>
      </c>
      <c r="AF57" s="6" t="s">
        <v>406</v>
      </c>
      <c r="AG57" s="6" t="s">
        <v>406</v>
      </c>
      <c r="AH57" s="6">
        <v>41</v>
      </c>
      <c r="AI57" s="6">
        <v>41</v>
      </c>
      <c r="AJ57" s="6">
        <v>41</v>
      </c>
      <c r="AK57" s="7">
        <v>41</v>
      </c>
      <c r="AL57" s="7" t="s">
        <v>406</v>
      </c>
      <c r="AM57" s="7" t="s">
        <v>406</v>
      </c>
      <c r="AN57" s="7" t="s">
        <v>396</v>
      </c>
    </row>
    <row r="58" ht="15.75" customHeight="1" spans="1:40">
      <c r="A58" s="6" t="s">
        <v>4151</v>
      </c>
      <c r="B58" s="6" t="s">
        <v>427</v>
      </c>
      <c r="C58" s="4" t="s">
        <v>957</v>
      </c>
      <c r="D58" s="7" t="s">
        <v>354</v>
      </c>
      <c r="E58" s="29" t="s">
        <v>491</v>
      </c>
      <c r="F58" s="7" t="s">
        <v>4458</v>
      </c>
      <c r="G58" s="6">
        <v>1083740488</v>
      </c>
      <c r="H58" s="7" t="s">
        <v>2043</v>
      </c>
      <c r="I58" s="7" t="s">
        <v>4459</v>
      </c>
      <c r="J58" s="7" t="s">
        <v>941</v>
      </c>
      <c r="K58" s="7" t="s">
        <v>942</v>
      </c>
      <c r="L58" s="7" t="s">
        <v>943</v>
      </c>
      <c r="M58" s="7" t="s">
        <v>4460</v>
      </c>
      <c r="N58" s="15">
        <v>29302</v>
      </c>
      <c r="O58" s="7" t="s">
        <v>945</v>
      </c>
      <c r="P58" s="7" t="s">
        <v>946</v>
      </c>
      <c r="Q58" s="7" t="s">
        <v>947</v>
      </c>
      <c r="R58" s="7" t="s">
        <v>4461</v>
      </c>
      <c r="S58" s="7" t="s">
        <v>4263</v>
      </c>
      <c r="T58" s="7" t="s">
        <v>1369</v>
      </c>
      <c r="U58" s="7" t="s">
        <v>4158</v>
      </c>
      <c r="V58" s="7">
        <v>51998271328</v>
      </c>
      <c r="W58" s="7">
        <v>51995942264</v>
      </c>
      <c r="X58" s="7" t="s">
        <v>953</v>
      </c>
      <c r="Y58" s="7" t="s">
        <v>427</v>
      </c>
      <c r="Z58" s="7">
        <v>95599000</v>
      </c>
      <c r="AA58" s="7" t="s">
        <v>4292</v>
      </c>
      <c r="AB58" s="7" t="s">
        <v>1178</v>
      </c>
      <c r="AC58" s="7" t="s">
        <v>406</v>
      </c>
      <c r="AD58" s="7" t="s">
        <v>406</v>
      </c>
      <c r="AE58" s="6" t="s">
        <v>406</v>
      </c>
      <c r="AF58" s="6" t="s">
        <v>406</v>
      </c>
      <c r="AG58" s="6" t="s">
        <v>406</v>
      </c>
      <c r="AH58" s="6">
        <v>37</v>
      </c>
      <c r="AI58" s="6">
        <v>37</v>
      </c>
      <c r="AJ58" s="6">
        <v>37</v>
      </c>
      <c r="AK58" s="7">
        <v>37</v>
      </c>
      <c r="AL58" s="7" t="s">
        <v>406</v>
      </c>
      <c r="AM58" s="7" t="s">
        <v>406</v>
      </c>
      <c r="AN58" s="7" t="s">
        <v>396</v>
      </c>
    </row>
    <row r="59" ht="15.75" customHeight="1" spans="1:40">
      <c r="A59" s="6" t="s">
        <v>4151</v>
      </c>
      <c r="B59" s="6" t="s">
        <v>427</v>
      </c>
      <c r="C59" s="4" t="s">
        <v>957</v>
      </c>
      <c r="D59" s="7" t="s">
        <v>355</v>
      </c>
      <c r="E59" s="29" t="s">
        <v>491</v>
      </c>
      <c r="F59" s="7" t="s">
        <v>4462</v>
      </c>
      <c r="G59" s="6">
        <v>7085362791</v>
      </c>
      <c r="H59" s="7" t="s">
        <v>4203</v>
      </c>
      <c r="I59" s="7" t="s">
        <v>4463</v>
      </c>
      <c r="J59" s="7" t="s">
        <v>942</v>
      </c>
      <c r="K59" s="7" t="s">
        <v>942</v>
      </c>
      <c r="L59" s="7" t="s">
        <v>975</v>
      </c>
      <c r="M59" s="7" t="s">
        <v>4464</v>
      </c>
      <c r="N59" s="15">
        <v>31176</v>
      </c>
      <c r="O59" s="7" t="s">
        <v>945</v>
      </c>
      <c r="P59" s="7" t="s">
        <v>946</v>
      </c>
      <c r="Q59" s="7" t="s">
        <v>1245</v>
      </c>
      <c r="R59" s="7" t="s">
        <v>4465</v>
      </c>
      <c r="S59" s="7" t="s">
        <v>4263</v>
      </c>
      <c r="T59" s="7" t="s">
        <v>1044</v>
      </c>
      <c r="U59" s="7" t="s">
        <v>4158</v>
      </c>
      <c r="V59" s="7" t="s">
        <v>4466</v>
      </c>
      <c r="W59" s="7" t="s">
        <v>4467</v>
      </c>
      <c r="X59" s="7" t="s">
        <v>953</v>
      </c>
      <c r="Y59" s="7" t="s">
        <v>427</v>
      </c>
      <c r="Z59" s="7">
        <v>95599000</v>
      </c>
      <c r="AA59" s="7" t="s">
        <v>4468</v>
      </c>
      <c r="AB59" s="7" t="s">
        <v>1178</v>
      </c>
      <c r="AC59" s="7" t="s">
        <v>406</v>
      </c>
      <c r="AD59" s="7" t="s">
        <v>406</v>
      </c>
      <c r="AE59" s="6" t="s">
        <v>406</v>
      </c>
      <c r="AF59" s="6" t="s">
        <v>406</v>
      </c>
      <c r="AG59" s="6" t="s">
        <v>406</v>
      </c>
      <c r="AH59" s="6">
        <v>39</v>
      </c>
      <c r="AI59" s="6">
        <v>39</v>
      </c>
      <c r="AJ59" s="6">
        <v>39</v>
      </c>
      <c r="AK59" s="7">
        <v>39</v>
      </c>
      <c r="AL59" s="7" t="s">
        <v>406</v>
      </c>
      <c r="AM59" s="7" t="s">
        <v>406</v>
      </c>
      <c r="AN59" s="7" t="s">
        <v>406</v>
      </c>
    </row>
    <row r="60" ht="15.75" customHeight="1" spans="1:40">
      <c r="A60" s="6" t="s">
        <v>4151</v>
      </c>
      <c r="B60" s="6" t="s">
        <v>427</v>
      </c>
      <c r="C60" s="4" t="s">
        <v>957</v>
      </c>
      <c r="D60" s="7" t="s">
        <v>356</v>
      </c>
      <c r="E60" s="29" t="s">
        <v>490</v>
      </c>
      <c r="F60" s="7" t="s">
        <v>4469</v>
      </c>
      <c r="G60" s="6">
        <v>4073278154</v>
      </c>
      <c r="H60" s="7" t="s">
        <v>4169</v>
      </c>
      <c r="I60" s="7" t="s">
        <v>4470</v>
      </c>
      <c r="J60" s="7" t="s">
        <v>942</v>
      </c>
      <c r="K60" s="7" t="s">
        <v>942</v>
      </c>
      <c r="L60" s="7" t="s">
        <v>943</v>
      </c>
      <c r="M60" s="7" t="s">
        <v>4471</v>
      </c>
      <c r="N60" s="15">
        <v>31810</v>
      </c>
      <c r="O60" s="7" t="s">
        <v>1028</v>
      </c>
      <c r="P60" s="7" t="s">
        <v>946</v>
      </c>
      <c r="Q60" s="7" t="s">
        <v>1245</v>
      </c>
      <c r="R60" s="7" t="s">
        <v>4472</v>
      </c>
      <c r="S60" s="7" t="s">
        <v>4263</v>
      </c>
      <c r="T60" s="7" t="s">
        <v>1369</v>
      </c>
      <c r="U60" s="7" t="s">
        <v>4158</v>
      </c>
      <c r="V60" s="7">
        <v>51994304469</v>
      </c>
      <c r="W60" s="7" t="s">
        <v>4473</v>
      </c>
      <c r="X60" s="7" t="s">
        <v>953</v>
      </c>
      <c r="Y60" s="7" t="s">
        <v>427</v>
      </c>
      <c r="Z60" s="7">
        <v>95599000</v>
      </c>
      <c r="AA60" s="7" t="s">
        <v>4265</v>
      </c>
      <c r="AB60" s="7" t="s">
        <v>4266</v>
      </c>
      <c r="AC60" s="28" t="s">
        <v>396</v>
      </c>
      <c r="AD60" s="28" t="s">
        <v>396</v>
      </c>
      <c r="AE60" s="27" t="s">
        <v>406</v>
      </c>
      <c r="AF60" s="27" t="s">
        <v>406</v>
      </c>
      <c r="AG60" s="27" t="s">
        <v>396</v>
      </c>
      <c r="AH60" s="27">
        <v>36</v>
      </c>
      <c r="AI60" s="27">
        <v>36</v>
      </c>
      <c r="AJ60" s="27">
        <v>36</v>
      </c>
      <c r="AK60" s="37">
        <v>36</v>
      </c>
      <c r="AL60" s="28" t="s">
        <v>396</v>
      </c>
      <c r="AM60" s="28" t="s">
        <v>395</v>
      </c>
      <c r="AN60" s="28" t="s">
        <v>396</v>
      </c>
    </row>
    <row r="61" ht="15.75" customHeight="1" spans="1:40">
      <c r="A61" s="6"/>
      <c r="B61" s="6"/>
      <c r="C61" s="4"/>
      <c r="D61" s="7" t="s">
        <v>4474</v>
      </c>
      <c r="E61" s="6" t="s">
        <v>491</v>
      </c>
      <c r="F61" s="7" t="s">
        <v>4475</v>
      </c>
      <c r="G61" s="6"/>
      <c r="H61" s="7"/>
      <c r="I61" s="7"/>
      <c r="J61" s="7"/>
      <c r="K61" s="7"/>
      <c r="L61" s="7"/>
      <c r="M61" s="7"/>
      <c r="N61" s="15"/>
      <c r="O61" s="7"/>
      <c r="P61" s="7"/>
      <c r="Q61" s="7"/>
      <c r="R61" s="7"/>
      <c r="S61" s="7"/>
      <c r="T61" s="7"/>
      <c r="U61" s="7"/>
      <c r="V61" s="7"/>
      <c r="W61" s="7"/>
      <c r="X61" s="7"/>
      <c r="Y61" s="7"/>
      <c r="Z61" s="7"/>
      <c r="AA61" s="7"/>
      <c r="AB61" s="7"/>
      <c r="AC61" s="7"/>
      <c r="AD61" s="7"/>
      <c r="AE61" s="6"/>
      <c r="AF61" s="6"/>
      <c r="AG61" s="6"/>
      <c r="AH61" s="6"/>
      <c r="AI61" s="6"/>
      <c r="AJ61" s="6"/>
      <c r="AK61" s="7"/>
      <c r="AL61" s="7"/>
      <c r="AM61" s="7"/>
      <c r="AN61" s="7"/>
    </row>
    <row r="62" ht="15.75" customHeight="1" spans="1:40">
      <c r="A62" s="6"/>
      <c r="B62" s="6"/>
      <c r="C62" s="4"/>
      <c r="D62" s="7" t="s">
        <v>4476</v>
      </c>
      <c r="E62" s="6" t="s">
        <v>491</v>
      </c>
      <c r="F62" s="7" t="s">
        <v>4477</v>
      </c>
      <c r="G62" s="6"/>
      <c r="H62" s="7"/>
      <c r="I62" s="7"/>
      <c r="J62" s="7"/>
      <c r="K62" s="7"/>
      <c r="L62" s="7"/>
      <c r="M62" s="7"/>
      <c r="N62" s="15"/>
      <c r="O62" s="7"/>
      <c r="P62" s="7"/>
      <c r="Q62" s="7"/>
      <c r="R62" s="7"/>
      <c r="S62" s="7"/>
      <c r="T62" s="7"/>
      <c r="U62" s="7"/>
      <c r="V62" s="7"/>
      <c r="W62" s="7"/>
      <c r="X62" s="7"/>
      <c r="Y62" s="7"/>
      <c r="Z62" s="7"/>
      <c r="AA62" s="7"/>
      <c r="AB62" s="7"/>
      <c r="AC62" s="7"/>
      <c r="AD62" s="7"/>
      <c r="AE62" s="6"/>
      <c r="AF62" s="6"/>
      <c r="AG62" s="6"/>
      <c r="AH62" s="6"/>
      <c r="AI62" s="6"/>
      <c r="AJ62" s="6"/>
      <c r="AK62" s="7"/>
      <c r="AL62" s="7"/>
      <c r="AM62" s="7"/>
      <c r="AN62" s="7"/>
    </row>
    <row r="63" ht="15.75" customHeight="1" spans="1:40">
      <c r="A63" s="6" t="s">
        <v>4151</v>
      </c>
      <c r="B63" s="6" t="s">
        <v>427</v>
      </c>
      <c r="C63" s="4" t="s">
        <v>957</v>
      </c>
      <c r="D63" s="7" t="s">
        <v>357</v>
      </c>
      <c r="E63" s="29" t="s">
        <v>491</v>
      </c>
      <c r="F63" s="7" t="s">
        <v>4478</v>
      </c>
      <c r="G63" s="6">
        <v>1095728182</v>
      </c>
      <c r="H63" s="7" t="s">
        <v>2043</v>
      </c>
      <c r="I63" s="7" t="s">
        <v>4479</v>
      </c>
      <c r="J63" s="7" t="s">
        <v>942</v>
      </c>
      <c r="K63" s="7" t="s">
        <v>942</v>
      </c>
      <c r="L63" s="28"/>
      <c r="M63" s="7" t="s">
        <v>4480</v>
      </c>
      <c r="N63" s="15">
        <v>32535</v>
      </c>
      <c r="O63" s="7" t="s">
        <v>945</v>
      </c>
      <c r="P63" s="7" t="s">
        <v>946</v>
      </c>
      <c r="Q63" s="7" t="s">
        <v>963</v>
      </c>
      <c r="R63" s="7" t="s">
        <v>4481</v>
      </c>
      <c r="S63" s="7" t="s">
        <v>4263</v>
      </c>
      <c r="T63" s="7" t="s">
        <v>1011</v>
      </c>
      <c r="U63" s="7" t="s">
        <v>4158</v>
      </c>
      <c r="V63" s="7" t="s">
        <v>4482</v>
      </c>
      <c r="W63" s="7" t="s">
        <v>4483</v>
      </c>
      <c r="X63" s="7" t="s">
        <v>953</v>
      </c>
      <c r="Y63" s="7" t="s">
        <v>427</v>
      </c>
      <c r="Z63" s="7">
        <v>95599000</v>
      </c>
      <c r="AA63" s="7" t="s">
        <v>4484</v>
      </c>
      <c r="AB63" s="7" t="s">
        <v>4485</v>
      </c>
      <c r="AC63" s="7" t="s">
        <v>399</v>
      </c>
      <c r="AD63" s="7" t="s">
        <v>399</v>
      </c>
      <c r="AE63" s="6" t="s">
        <v>399</v>
      </c>
      <c r="AF63" s="6" t="s">
        <v>399</v>
      </c>
      <c r="AG63" s="6" t="s">
        <v>399</v>
      </c>
      <c r="AH63" s="6">
        <v>40</v>
      </c>
      <c r="AI63" s="6">
        <v>40</v>
      </c>
      <c r="AJ63" s="6">
        <v>40</v>
      </c>
      <c r="AK63" s="7">
        <v>41</v>
      </c>
      <c r="AL63" s="7" t="s">
        <v>399</v>
      </c>
      <c r="AM63" s="7" t="s">
        <v>399</v>
      </c>
      <c r="AN63" s="7" t="s">
        <v>406</v>
      </c>
    </row>
    <row r="64" ht="15.75" customHeight="1" spans="1:40">
      <c r="A64" s="6" t="s">
        <v>4151</v>
      </c>
      <c r="B64" s="6" t="s">
        <v>427</v>
      </c>
      <c r="C64" s="4" t="s">
        <v>957</v>
      </c>
      <c r="D64" s="7" t="s">
        <v>4486</v>
      </c>
      <c r="E64" s="29" t="s">
        <v>491</v>
      </c>
      <c r="F64" s="7" t="s">
        <v>4487</v>
      </c>
      <c r="G64" s="6">
        <v>3085581654</v>
      </c>
      <c r="H64" s="7" t="s">
        <v>2043</v>
      </c>
      <c r="I64" s="7" t="s">
        <v>4328</v>
      </c>
      <c r="J64" s="7" t="s">
        <v>942</v>
      </c>
      <c r="K64" s="7" t="s">
        <v>942</v>
      </c>
      <c r="L64" s="7" t="s">
        <v>1068</v>
      </c>
      <c r="M64" s="7" t="s">
        <v>1060</v>
      </c>
      <c r="N64" s="15">
        <v>32157</v>
      </c>
      <c r="O64" s="7" t="s">
        <v>1028</v>
      </c>
      <c r="P64" s="7" t="s">
        <v>946</v>
      </c>
      <c r="Q64" s="7" t="s">
        <v>1245</v>
      </c>
      <c r="R64" s="7" t="s">
        <v>4488</v>
      </c>
      <c r="S64" s="7" t="s">
        <v>4263</v>
      </c>
      <c r="T64" s="7" t="s">
        <v>1011</v>
      </c>
      <c r="U64" s="7" t="s">
        <v>4158</v>
      </c>
      <c r="V64" s="7" t="s">
        <v>4489</v>
      </c>
      <c r="W64" s="7" t="s">
        <v>4490</v>
      </c>
      <c r="X64" s="7" t="s">
        <v>953</v>
      </c>
      <c r="Y64" s="7" t="s">
        <v>4237</v>
      </c>
      <c r="Z64" s="7">
        <v>95540000</v>
      </c>
      <c r="AA64" s="7" t="s">
        <v>4491</v>
      </c>
      <c r="AB64" s="7" t="s">
        <v>4336</v>
      </c>
      <c r="AC64" s="28" t="s">
        <v>406</v>
      </c>
      <c r="AD64" s="28" t="s">
        <v>406</v>
      </c>
      <c r="AE64" s="27" t="s">
        <v>396</v>
      </c>
      <c r="AF64" s="27" t="s">
        <v>396</v>
      </c>
      <c r="AG64" s="27" t="s">
        <v>406</v>
      </c>
      <c r="AH64" s="27">
        <v>38</v>
      </c>
      <c r="AI64" s="27">
        <v>38</v>
      </c>
      <c r="AJ64" s="27">
        <v>38</v>
      </c>
      <c r="AK64" s="37">
        <v>39</v>
      </c>
      <c r="AL64" s="28" t="s">
        <v>396</v>
      </c>
      <c r="AM64" s="28" t="s">
        <v>396</v>
      </c>
      <c r="AN64" s="28" t="s">
        <v>396</v>
      </c>
    </row>
    <row r="65" ht="15.75" customHeight="1" spans="1:40">
      <c r="A65" s="6" t="s">
        <v>4151</v>
      </c>
      <c r="B65" s="6" t="s">
        <v>415</v>
      </c>
      <c r="C65" s="4" t="s">
        <v>957</v>
      </c>
      <c r="D65" s="7" t="s">
        <v>358</v>
      </c>
      <c r="E65" s="29" t="s">
        <v>491</v>
      </c>
      <c r="F65" s="28" t="s">
        <v>4492</v>
      </c>
      <c r="G65" s="27">
        <v>9136046936</v>
      </c>
      <c r="H65" s="28" t="s">
        <v>2043</v>
      </c>
      <c r="I65" s="28" t="s">
        <v>4493</v>
      </c>
      <c r="J65" s="28" t="s">
        <v>941</v>
      </c>
      <c r="K65" s="28" t="s">
        <v>942</v>
      </c>
      <c r="L65" s="28" t="s">
        <v>975</v>
      </c>
      <c r="M65" s="28" t="s">
        <v>4494</v>
      </c>
      <c r="N65" s="34">
        <v>37358</v>
      </c>
      <c r="O65" s="28" t="s">
        <v>945</v>
      </c>
      <c r="P65" s="28" t="s">
        <v>946</v>
      </c>
      <c r="Q65" s="28" t="s">
        <v>963</v>
      </c>
      <c r="R65" s="28" t="s">
        <v>4495</v>
      </c>
      <c r="S65" s="28" t="s">
        <v>4438</v>
      </c>
      <c r="T65" s="28" t="s">
        <v>950</v>
      </c>
      <c r="U65" s="28" t="s">
        <v>4158</v>
      </c>
      <c r="V65" s="28" t="s">
        <v>4496</v>
      </c>
      <c r="W65" s="28" t="s">
        <v>4497</v>
      </c>
      <c r="X65" s="28" t="s">
        <v>953</v>
      </c>
      <c r="Y65" s="28" t="s">
        <v>415</v>
      </c>
      <c r="Z65" s="28" t="s">
        <v>4256</v>
      </c>
      <c r="AA65" s="28" t="s">
        <v>4498</v>
      </c>
      <c r="AB65" s="28" t="s">
        <v>4441</v>
      </c>
      <c r="AC65" s="28" t="s">
        <v>398</v>
      </c>
      <c r="AD65" s="28" t="s">
        <v>3582</v>
      </c>
      <c r="AE65" s="27" t="s">
        <v>3582</v>
      </c>
      <c r="AF65" s="27" t="s">
        <v>3582</v>
      </c>
      <c r="AG65" s="27" t="s">
        <v>3582</v>
      </c>
      <c r="AH65" s="27">
        <v>42</v>
      </c>
      <c r="AI65" s="27">
        <v>42</v>
      </c>
      <c r="AJ65" s="27">
        <v>42</v>
      </c>
      <c r="AK65" s="37">
        <v>42</v>
      </c>
      <c r="AL65" s="28" t="s">
        <v>3582</v>
      </c>
      <c r="AM65" s="28" t="s">
        <v>398</v>
      </c>
      <c r="AN65" s="28" t="s">
        <v>406</v>
      </c>
    </row>
    <row r="66" ht="15.75" customHeight="1" spans="1:40">
      <c r="A66" s="6" t="s">
        <v>4151</v>
      </c>
      <c r="B66" s="6" t="s">
        <v>427</v>
      </c>
      <c r="C66" s="4" t="s">
        <v>957</v>
      </c>
      <c r="D66" s="7" t="s">
        <v>4499</v>
      </c>
      <c r="E66" s="29" t="s">
        <v>971</v>
      </c>
      <c r="F66" s="7" t="s">
        <v>4500</v>
      </c>
      <c r="G66" s="6">
        <v>7121903186</v>
      </c>
      <c r="H66" s="7" t="s">
        <v>4169</v>
      </c>
      <c r="I66" s="7" t="s">
        <v>4501</v>
      </c>
      <c r="J66" s="7" t="s">
        <v>942</v>
      </c>
      <c r="K66" s="7" t="s">
        <v>942</v>
      </c>
      <c r="L66" s="7" t="s">
        <v>975</v>
      </c>
      <c r="M66" s="7" t="s">
        <v>1391</v>
      </c>
      <c r="N66" s="15">
        <v>35290</v>
      </c>
      <c r="O66" s="7" t="s">
        <v>1028</v>
      </c>
      <c r="P66" s="7" t="s">
        <v>946</v>
      </c>
      <c r="Q66" s="7" t="s">
        <v>963</v>
      </c>
      <c r="R66" s="7" t="s">
        <v>4502</v>
      </c>
      <c r="S66" s="7" t="s">
        <v>4263</v>
      </c>
      <c r="T66" s="7" t="s">
        <v>1044</v>
      </c>
      <c r="U66" s="7" t="s">
        <v>4158</v>
      </c>
      <c r="V66" s="7" t="s">
        <v>4503</v>
      </c>
      <c r="W66" s="7" t="s">
        <v>4504</v>
      </c>
      <c r="X66" s="7" t="s">
        <v>953</v>
      </c>
      <c r="Y66" s="7" t="s">
        <v>427</v>
      </c>
      <c r="Z66" s="7">
        <v>95599000</v>
      </c>
      <c r="AA66" s="7" t="s">
        <v>4505</v>
      </c>
      <c r="AB66" s="7" t="s">
        <v>4485</v>
      </c>
      <c r="AC66" s="7" t="s">
        <v>406</v>
      </c>
      <c r="AD66" s="7" t="s">
        <v>406</v>
      </c>
      <c r="AE66" s="6" t="s">
        <v>406</v>
      </c>
      <c r="AF66" s="6" t="s">
        <v>406</v>
      </c>
      <c r="AG66" s="6" t="s">
        <v>406</v>
      </c>
      <c r="AH66" s="6">
        <v>38</v>
      </c>
      <c r="AI66" s="6">
        <v>38</v>
      </c>
      <c r="AJ66" s="6">
        <v>38</v>
      </c>
      <c r="AK66" s="7">
        <v>38</v>
      </c>
      <c r="AL66" s="7" t="s">
        <v>406</v>
      </c>
      <c r="AM66" s="7" t="s">
        <v>396</v>
      </c>
      <c r="AN66" s="7" t="s">
        <v>396</v>
      </c>
    </row>
    <row r="67" ht="15.75" customHeight="1" spans="1:40">
      <c r="A67" s="6" t="s">
        <v>4151</v>
      </c>
      <c r="B67" s="6" t="s">
        <v>427</v>
      </c>
      <c r="C67" s="4" t="s">
        <v>957</v>
      </c>
      <c r="D67" s="7" t="s">
        <v>359</v>
      </c>
      <c r="E67" s="29" t="s">
        <v>491</v>
      </c>
      <c r="F67" s="7" t="s">
        <v>4506</v>
      </c>
      <c r="G67" s="6">
        <v>1076636388</v>
      </c>
      <c r="H67" s="7" t="s">
        <v>4203</v>
      </c>
      <c r="I67" s="7" t="s">
        <v>4294</v>
      </c>
      <c r="J67" s="7" t="s">
        <v>942</v>
      </c>
      <c r="K67" s="7" t="s">
        <v>942</v>
      </c>
      <c r="L67" s="7" t="s">
        <v>943</v>
      </c>
      <c r="M67" s="7" t="s">
        <v>4507</v>
      </c>
      <c r="N67" s="16">
        <v>29181</v>
      </c>
      <c r="O67" s="7" t="s">
        <v>945</v>
      </c>
      <c r="P67" s="7" t="s">
        <v>946</v>
      </c>
      <c r="Q67" s="7" t="s">
        <v>963</v>
      </c>
      <c r="R67" s="7" t="s">
        <v>4508</v>
      </c>
      <c r="S67" s="7" t="s">
        <v>4263</v>
      </c>
      <c r="T67" s="7" t="s">
        <v>1044</v>
      </c>
      <c r="U67" s="7" t="s">
        <v>4158</v>
      </c>
      <c r="V67" s="7" t="s">
        <v>4503</v>
      </c>
      <c r="W67" s="7" t="s">
        <v>4503</v>
      </c>
      <c r="X67" s="7" t="s">
        <v>953</v>
      </c>
      <c r="Y67" s="7" t="s">
        <v>522</v>
      </c>
      <c r="Z67" s="7">
        <v>95595000</v>
      </c>
      <c r="AA67" s="7" t="s">
        <v>4509</v>
      </c>
      <c r="AB67" s="7" t="s">
        <v>4510</v>
      </c>
      <c r="AC67" s="7" t="s">
        <v>406</v>
      </c>
      <c r="AD67" s="7" t="s">
        <v>406</v>
      </c>
      <c r="AE67" s="6" t="s">
        <v>406</v>
      </c>
      <c r="AF67" s="6" t="s">
        <v>406</v>
      </c>
      <c r="AG67" s="6" t="s">
        <v>406</v>
      </c>
      <c r="AH67" s="6">
        <v>39</v>
      </c>
      <c r="AI67" s="6">
        <v>39</v>
      </c>
      <c r="AJ67" s="6">
        <v>39</v>
      </c>
      <c r="AK67" s="7">
        <v>40</v>
      </c>
      <c r="AL67" s="7" t="s">
        <v>406</v>
      </c>
      <c r="AM67" s="7" t="s">
        <v>406</v>
      </c>
      <c r="AN67" s="7" t="s">
        <v>406</v>
      </c>
    </row>
    <row r="68" ht="15.75" customHeight="1" spans="1:40">
      <c r="A68" s="6" t="s">
        <v>4151</v>
      </c>
      <c r="B68" s="6" t="s">
        <v>427</v>
      </c>
      <c r="C68" s="4" t="s">
        <v>957</v>
      </c>
      <c r="D68" s="7" t="s">
        <v>360</v>
      </c>
      <c r="E68" s="29" t="s">
        <v>492</v>
      </c>
      <c r="F68" s="7" t="s">
        <v>4511</v>
      </c>
      <c r="G68" s="6">
        <v>5034434836</v>
      </c>
      <c r="H68" s="7" t="s">
        <v>4169</v>
      </c>
      <c r="I68" s="7" t="s">
        <v>4512</v>
      </c>
      <c r="J68" s="7" t="s">
        <v>942</v>
      </c>
      <c r="K68" s="7" t="s">
        <v>942</v>
      </c>
      <c r="L68" s="7" t="s">
        <v>943</v>
      </c>
      <c r="M68" s="7" t="s">
        <v>4513</v>
      </c>
      <c r="N68" s="16">
        <v>25129</v>
      </c>
      <c r="O68" s="7" t="s">
        <v>1028</v>
      </c>
      <c r="P68" s="7" t="s">
        <v>946</v>
      </c>
      <c r="Q68" s="7" t="s">
        <v>1245</v>
      </c>
      <c r="R68" s="7" t="s">
        <v>4514</v>
      </c>
      <c r="S68" s="7" t="s">
        <v>4263</v>
      </c>
      <c r="T68" s="7" t="s">
        <v>1369</v>
      </c>
      <c r="U68" s="7" t="s">
        <v>4158</v>
      </c>
      <c r="V68" s="7" t="s">
        <v>4515</v>
      </c>
      <c r="W68" s="7" t="s">
        <v>4515</v>
      </c>
      <c r="X68" s="7" t="s">
        <v>953</v>
      </c>
      <c r="Y68" s="7" t="s">
        <v>427</v>
      </c>
      <c r="Z68" s="7">
        <v>95599000</v>
      </c>
      <c r="AA68" s="7" t="s">
        <v>4516</v>
      </c>
      <c r="AB68" s="7" t="s">
        <v>1178</v>
      </c>
      <c r="AC68" s="28" t="s">
        <v>396</v>
      </c>
      <c r="AD68" s="28" t="s">
        <v>406</v>
      </c>
      <c r="AE68" s="27" t="s">
        <v>406</v>
      </c>
      <c r="AF68" s="27" t="s">
        <v>406</v>
      </c>
      <c r="AG68" s="27" t="s">
        <v>396</v>
      </c>
      <c r="AH68" s="27">
        <v>36</v>
      </c>
      <c r="AI68" s="27">
        <v>36</v>
      </c>
      <c r="AJ68" s="27">
        <v>36</v>
      </c>
      <c r="AK68" s="37">
        <v>36</v>
      </c>
      <c r="AL68" s="28" t="s">
        <v>396</v>
      </c>
      <c r="AM68" s="28" t="s">
        <v>396</v>
      </c>
      <c r="AN68" s="28" t="s">
        <v>396</v>
      </c>
    </row>
    <row r="69" ht="15.75" customHeight="1" spans="1:40">
      <c r="A69" s="6" t="s">
        <v>4151</v>
      </c>
      <c r="B69" s="6" t="s">
        <v>427</v>
      </c>
      <c r="C69" s="4" t="s">
        <v>957</v>
      </c>
      <c r="D69" s="7" t="s">
        <v>4517</v>
      </c>
      <c r="E69" s="29" t="s">
        <v>491</v>
      </c>
      <c r="F69" s="7" t="s">
        <v>4518</v>
      </c>
      <c r="G69" s="6">
        <v>8117996515</v>
      </c>
      <c r="H69" s="7" t="s">
        <v>2043</v>
      </c>
      <c r="I69" s="7" t="s">
        <v>4328</v>
      </c>
      <c r="J69" s="7" t="s">
        <v>942</v>
      </c>
      <c r="K69" s="7" t="s">
        <v>942</v>
      </c>
      <c r="L69" s="7" t="s">
        <v>943</v>
      </c>
      <c r="M69" s="7" t="s">
        <v>4519</v>
      </c>
      <c r="N69" s="16">
        <v>37954</v>
      </c>
      <c r="O69" s="7" t="s">
        <v>945</v>
      </c>
      <c r="P69" s="7" t="s">
        <v>946</v>
      </c>
      <c r="Q69" s="7" t="s">
        <v>963</v>
      </c>
      <c r="R69" s="7" t="s">
        <v>4520</v>
      </c>
      <c r="S69" s="7" t="s">
        <v>4263</v>
      </c>
      <c r="T69" s="7" t="s">
        <v>1030</v>
      </c>
      <c r="U69" s="7" t="s">
        <v>4158</v>
      </c>
      <c r="V69" s="7" t="s">
        <v>4521</v>
      </c>
      <c r="W69" s="7" t="s">
        <v>4522</v>
      </c>
      <c r="X69" s="7" t="s">
        <v>953</v>
      </c>
      <c r="Y69" s="7" t="s">
        <v>427</v>
      </c>
      <c r="Z69" s="7">
        <v>95599000</v>
      </c>
      <c r="AA69" s="7" t="s">
        <v>4523</v>
      </c>
      <c r="AB69" s="7" t="s">
        <v>1178</v>
      </c>
      <c r="AC69" s="28" t="s">
        <v>399</v>
      </c>
      <c r="AD69" s="28" t="s">
        <v>406</v>
      </c>
      <c r="AE69" s="27" t="s">
        <v>396</v>
      </c>
      <c r="AF69" s="27" t="s">
        <v>396</v>
      </c>
      <c r="AG69" s="27" t="s">
        <v>406</v>
      </c>
      <c r="AH69" s="27">
        <v>39</v>
      </c>
      <c r="AI69" s="27">
        <v>39</v>
      </c>
      <c r="AJ69" s="27">
        <v>39</v>
      </c>
      <c r="AK69" s="37">
        <v>39</v>
      </c>
      <c r="AL69" s="28" t="s">
        <v>396</v>
      </c>
      <c r="AM69" s="28" t="s">
        <v>396</v>
      </c>
      <c r="AN69" s="28" t="s">
        <v>396</v>
      </c>
    </row>
    <row r="70" ht="15.75" customHeight="1" spans="1:40">
      <c r="A70" s="6" t="s">
        <v>4151</v>
      </c>
      <c r="B70" s="6" t="s">
        <v>427</v>
      </c>
      <c r="C70" s="4" t="s">
        <v>957</v>
      </c>
      <c r="D70" s="7" t="s">
        <v>4524</v>
      </c>
      <c r="E70" s="29" t="s">
        <v>491</v>
      </c>
      <c r="F70" s="7" t="s">
        <v>4525</v>
      </c>
      <c r="G70" s="6">
        <v>1082683929</v>
      </c>
      <c r="H70" s="7" t="s">
        <v>2043</v>
      </c>
      <c r="I70" s="7" t="s">
        <v>4184</v>
      </c>
      <c r="J70" s="7" t="s">
        <v>941</v>
      </c>
      <c r="K70" s="7" t="s">
        <v>942</v>
      </c>
      <c r="L70" s="7" t="s">
        <v>975</v>
      </c>
      <c r="M70" s="7" t="s">
        <v>4526</v>
      </c>
      <c r="N70" s="15">
        <v>31672</v>
      </c>
      <c r="O70" s="7" t="s">
        <v>945</v>
      </c>
      <c r="P70" s="7" t="s">
        <v>946</v>
      </c>
      <c r="Q70" s="7" t="s">
        <v>963</v>
      </c>
      <c r="R70" s="7" t="s">
        <v>4527</v>
      </c>
      <c r="S70" s="7" t="s">
        <v>4263</v>
      </c>
      <c r="T70" s="7" t="s">
        <v>1011</v>
      </c>
      <c r="U70" s="7" t="s">
        <v>4158</v>
      </c>
      <c r="V70" s="7" t="s">
        <v>4528</v>
      </c>
      <c r="W70" s="7" t="s">
        <v>4529</v>
      </c>
      <c r="X70" s="7" t="s">
        <v>953</v>
      </c>
      <c r="Y70" s="7" t="s">
        <v>427</v>
      </c>
      <c r="Z70" s="7">
        <v>95599000</v>
      </c>
      <c r="AA70" s="7" t="s">
        <v>4343</v>
      </c>
      <c r="AB70" s="7" t="s">
        <v>1178</v>
      </c>
      <c r="AC70" s="7" t="s">
        <v>406</v>
      </c>
      <c r="AD70" s="7" t="s">
        <v>406</v>
      </c>
      <c r="AE70" s="6" t="s">
        <v>406</v>
      </c>
      <c r="AF70" s="6" t="s">
        <v>406</v>
      </c>
      <c r="AG70" s="6" t="s">
        <v>406</v>
      </c>
      <c r="AH70" s="6">
        <v>41</v>
      </c>
      <c r="AI70" s="6">
        <v>41</v>
      </c>
      <c r="AJ70" s="6">
        <v>41</v>
      </c>
      <c r="AK70" s="7">
        <v>41</v>
      </c>
      <c r="AL70" s="7" t="s">
        <v>406</v>
      </c>
      <c r="AM70" s="7" t="s">
        <v>406</v>
      </c>
      <c r="AN70" s="7" t="s">
        <v>406</v>
      </c>
    </row>
    <row r="71" ht="15.75" customHeight="1" spans="1:40">
      <c r="A71" s="6" t="s">
        <v>4151</v>
      </c>
      <c r="B71" s="6" t="s">
        <v>427</v>
      </c>
      <c r="C71" s="4" t="s">
        <v>957</v>
      </c>
      <c r="D71" s="7" t="s">
        <v>4530</v>
      </c>
      <c r="E71" s="29" t="s">
        <v>971</v>
      </c>
      <c r="F71" s="7" t="s">
        <v>4531</v>
      </c>
      <c r="G71" s="6">
        <v>7108619664</v>
      </c>
      <c r="H71" s="7" t="s">
        <v>4446</v>
      </c>
      <c r="I71" s="7" t="s">
        <v>4184</v>
      </c>
      <c r="J71" s="7" t="s">
        <v>942</v>
      </c>
      <c r="K71" s="7" t="s">
        <v>942</v>
      </c>
      <c r="L71" s="7" t="s">
        <v>943</v>
      </c>
      <c r="M71" s="7" t="s">
        <v>1290</v>
      </c>
      <c r="N71" s="15">
        <v>32999</v>
      </c>
      <c r="O71" s="7" t="s">
        <v>945</v>
      </c>
      <c r="P71" s="7" t="s">
        <v>946</v>
      </c>
      <c r="Q71" s="7" t="s">
        <v>963</v>
      </c>
      <c r="R71" s="7" t="s">
        <v>4532</v>
      </c>
      <c r="S71" s="7" t="s">
        <v>4263</v>
      </c>
      <c r="T71" s="7" t="s">
        <v>1030</v>
      </c>
      <c r="U71" s="7" t="s">
        <v>4158</v>
      </c>
      <c r="V71" s="7" t="s">
        <v>4533</v>
      </c>
      <c r="W71" s="7" t="s">
        <v>4533</v>
      </c>
      <c r="X71" s="7" t="s">
        <v>953</v>
      </c>
      <c r="Y71" s="7" t="s">
        <v>4246</v>
      </c>
      <c r="Z71" s="7">
        <v>95590000</v>
      </c>
      <c r="AA71" s="7" t="s">
        <v>4534</v>
      </c>
      <c r="AB71" s="7" t="s">
        <v>1178</v>
      </c>
      <c r="AC71" s="7" t="s">
        <v>406</v>
      </c>
      <c r="AD71" s="7" t="s">
        <v>406</v>
      </c>
      <c r="AE71" s="6" t="s">
        <v>406</v>
      </c>
      <c r="AF71" s="6" t="s">
        <v>406</v>
      </c>
      <c r="AG71" s="6" t="s">
        <v>406</v>
      </c>
      <c r="AH71" s="6">
        <v>40</v>
      </c>
      <c r="AI71" s="6">
        <v>40</v>
      </c>
      <c r="AJ71" s="6">
        <v>40</v>
      </c>
      <c r="AK71" s="7">
        <v>40</v>
      </c>
      <c r="AL71" s="7" t="s">
        <v>406</v>
      </c>
      <c r="AM71" s="7" t="s">
        <v>406</v>
      </c>
      <c r="AN71" s="7" t="s">
        <v>406</v>
      </c>
    </row>
    <row r="72" ht="15.75" customHeight="1" spans="1:40">
      <c r="A72" s="6" t="s">
        <v>4151</v>
      </c>
      <c r="B72" s="6" t="s">
        <v>427</v>
      </c>
      <c r="C72" s="4" t="s">
        <v>957</v>
      </c>
      <c r="D72" s="7" t="s">
        <v>363</v>
      </c>
      <c r="E72" s="29" t="s">
        <v>491</v>
      </c>
      <c r="F72" s="7" t="s">
        <v>4535</v>
      </c>
      <c r="G72" s="6">
        <v>1087307177</v>
      </c>
      <c r="H72" s="7" t="s">
        <v>2043</v>
      </c>
      <c r="I72" s="7" t="s">
        <v>4328</v>
      </c>
      <c r="J72" s="7" t="s">
        <v>942</v>
      </c>
      <c r="K72" s="7" t="s">
        <v>942</v>
      </c>
      <c r="L72" s="7" t="s">
        <v>975</v>
      </c>
      <c r="M72" s="7" t="s">
        <v>4536</v>
      </c>
      <c r="N72" s="16">
        <v>31731</v>
      </c>
      <c r="O72" s="7" t="s">
        <v>945</v>
      </c>
      <c r="P72" s="7" t="s">
        <v>946</v>
      </c>
      <c r="Q72" s="7" t="s">
        <v>947</v>
      </c>
      <c r="R72" s="7" t="s">
        <v>4537</v>
      </c>
      <c r="S72" s="7" t="s">
        <v>4538</v>
      </c>
      <c r="T72" s="7" t="s">
        <v>965</v>
      </c>
      <c r="U72" s="7" t="s">
        <v>4158</v>
      </c>
      <c r="V72" s="7" t="s">
        <v>4539</v>
      </c>
      <c r="W72" s="7" t="s">
        <v>4540</v>
      </c>
      <c r="X72" s="7" t="s">
        <v>953</v>
      </c>
      <c r="Y72" s="7" t="s">
        <v>522</v>
      </c>
      <c r="Z72" s="7">
        <v>95595000</v>
      </c>
      <c r="AA72" s="7" t="s">
        <v>4541</v>
      </c>
      <c r="AB72" s="7" t="s">
        <v>1178</v>
      </c>
      <c r="AC72" s="28" t="s">
        <v>406</v>
      </c>
      <c r="AD72" s="28" t="s">
        <v>406</v>
      </c>
      <c r="AE72" s="27" t="s">
        <v>406</v>
      </c>
      <c r="AF72" s="27" t="s">
        <v>406</v>
      </c>
      <c r="AG72" s="27" t="s">
        <v>406</v>
      </c>
      <c r="AH72" s="27">
        <v>41</v>
      </c>
      <c r="AI72" s="27">
        <v>41</v>
      </c>
      <c r="AJ72" s="27">
        <v>41</v>
      </c>
      <c r="AK72" s="37">
        <v>41</v>
      </c>
      <c r="AL72" s="28" t="s">
        <v>406</v>
      </c>
      <c r="AM72" s="28" t="s">
        <v>406</v>
      </c>
      <c r="AN72" s="28" t="s">
        <v>406</v>
      </c>
    </row>
    <row r="73" ht="15.75" customHeight="1" spans="1:40">
      <c r="A73" s="6" t="s">
        <v>4151</v>
      </c>
      <c r="B73" s="6" t="s">
        <v>427</v>
      </c>
      <c r="C73" s="4" t="s">
        <v>957</v>
      </c>
      <c r="D73" s="7" t="s">
        <v>364</v>
      </c>
      <c r="E73" s="29" t="s">
        <v>491</v>
      </c>
      <c r="F73" s="7" t="s">
        <v>4542</v>
      </c>
      <c r="G73" s="6">
        <v>3032247334</v>
      </c>
      <c r="H73" s="7" t="s">
        <v>2043</v>
      </c>
      <c r="I73" s="7" t="s">
        <v>4328</v>
      </c>
      <c r="J73" s="7" t="s">
        <v>941</v>
      </c>
      <c r="K73" s="7" t="s">
        <v>941</v>
      </c>
      <c r="L73" s="7" t="s">
        <v>943</v>
      </c>
      <c r="M73" s="7" t="s">
        <v>4543</v>
      </c>
      <c r="N73" s="15">
        <v>26556</v>
      </c>
      <c r="O73" s="7" t="s">
        <v>945</v>
      </c>
      <c r="P73" s="7" t="s">
        <v>946</v>
      </c>
      <c r="Q73" s="7" t="s">
        <v>963</v>
      </c>
      <c r="R73" s="7" t="s">
        <v>4544</v>
      </c>
      <c r="S73" s="7" t="s">
        <v>4207</v>
      </c>
      <c r="T73" s="7" t="s">
        <v>965</v>
      </c>
      <c r="U73" s="7" t="s">
        <v>4158</v>
      </c>
      <c r="V73" s="7" t="s">
        <v>4545</v>
      </c>
      <c r="W73" s="7" t="s">
        <v>4546</v>
      </c>
      <c r="X73" s="7" t="s">
        <v>953</v>
      </c>
      <c r="Y73" s="7" t="s">
        <v>427</v>
      </c>
      <c r="Z73" s="7">
        <v>95599000</v>
      </c>
      <c r="AA73" s="7" t="s">
        <v>4547</v>
      </c>
      <c r="AB73" s="7" t="s">
        <v>1178</v>
      </c>
      <c r="AC73" s="7" t="s">
        <v>396</v>
      </c>
      <c r="AD73" s="7" t="s">
        <v>406</v>
      </c>
      <c r="AE73" s="6" t="s">
        <v>406</v>
      </c>
      <c r="AF73" s="6" t="s">
        <v>406</v>
      </c>
      <c r="AG73" s="6" t="s">
        <v>406</v>
      </c>
      <c r="AH73" s="6">
        <v>42</v>
      </c>
      <c r="AI73" s="6">
        <v>42</v>
      </c>
      <c r="AJ73" s="6">
        <v>42</v>
      </c>
      <c r="AK73" s="7">
        <v>42</v>
      </c>
      <c r="AL73" s="7" t="s">
        <v>406</v>
      </c>
      <c r="AM73" s="7" t="s">
        <v>396</v>
      </c>
      <c r="AN73" s="7" t="s">
        <v>396</v>
      </c>
    </row>
    <row r="74" ht="15.75" customHeight="1" spans="1:40">
      <c r="A74" s="6" t="s">
        <v>4151</v>
      </c>
      <c r="B74" s="6" t="s">
        <v>427</v>
      </c>
      <c r="C74" s="4" t="s">
        <v>957</v>
      </c>
      <c r="D74" s="7" t="s">
        <v>365</v>
      </c>
      <c r="E74" s="29" t="s">
        <v>490</v>
      </c>
      <c r="F74" s="7" t="s">
        <v>4548</v>
      </c>
      <c r="G74" s="6">
        <v>6079255821</v>
      </c>
      <c r="H74" s="7" t="s">
        <v>4203</v>
      </c>
      <c r="I74" s="7" t="s">
        <v>4260</v>
      </c>
      <c r="J74" s="7" t="s">
        <v>941</v>
      </c>
      <c r="K74" s="7" t="s">
        <v>942</v>
      </c>
      <c r="L74" s="7" t="s">
        <v>1026</v>
      </c>
      <c r="M74" s="7" t="s">
        <v>1826</v>
      </c>
      <c r="N74" s="15">
        <v>28317</v>
      </c>
      <c r="O74" s="7" t="s">
        <v>945</v>
      </c>
      <c r="P74" s="7" t="s">
        <v>946</v>
      </c>
      <c r="Q74" s="7" t="s">
        <v>947</v>
      </c>
      <c r="R74" s="7" t="s">
        <v>4549</v>
      </c>
      <c r="S74" s="7" t="s">
        <v>4550</v>
      </c>
      <c r="T74" s="7" t="s">
        <v>965</v>
      </c>
      <c r="U74" s="7" t="s">
        <v>4158</v>
      </c>
      <c r="V74" s="7" t="s">
        <v>4551</v>
      </c>
      <c r="W74" s="7" t="s">
        <v>4552</v>
      </c>
      <c r="X74" s="7" t="s">
        <v>953</v>
      </c>
      <c r="Y74" s="7" t="s">
        <v>427</v>
      </c>
      <c r="Z74" s="7">
        <v>95599000</v>
      </c>
      <c r="AA74" s="7" t="s">
        <v>4553</v>
      </c>
      <c r="AB74" s="7" t="s">
        <v>1178</v>
      </c>
      <c r="AC74" s="28" t="s">
        <v>398</v>
      </c>
      <c r="AD74" s="28" t="s">
        <v>398</v>
      </c>
      <c r="AE74" s="27" t="s">
        <v>398</v>
      </c>
      <c r="AF74" s="27" t="s">
        <v>398</v>
      </c>
      <c r="AG74" s="27" t="s">
        <v>398</v>
      </c>
      <c r="AH74" s="27">
        <v>42</v>
      </c>
      <c r="AI74" s="27">
        <v>42</v>
      </c>
      <c r="AJ74" s="27">
        <v>42</v>
      </c>
      <c r="AK74" s="37">
        <v>42</v>
      </c>
      <c r="AL74" s="28" t="s">
        <v>398</v>
      </c>
      <c r="AM74" s="28" t="s">
        <v>398</v>
      </c>
      <c r="AN74" s="28" t="s">
        <v>406</v>
      </c>
    </row>
    <row r="75" ht="15.75" customHeight="1" spans="1:40">
      <c r="A75" s="6" t="s">
        <v>4151</v>
      </c>
      <c r="B75" s="6"/>
      <c r="C75" s="4" t="s">
        <v>4165</v>
      </c>
      <c r="D75" s="7" t="s">
        <v>4554</v>
      </c>
      <c r="E75" s="29" t="s">
        <v>491</v>
      </c>
      <c r="F75" s="7" t="s">
        <v>4555</v>
      </c>
      <c r="G75" s="6"/>
      <c r="H75" s="7"/>
      <c r="I75" s="7"/>
      <c r="J75" s="7"/>
      <c r="K75" s="7"/>
      <c r="L75" s="7"/>
      <c r="M75" s="7"/>
      <c r="N75" s="15"/>
      <c r="O75" s="7"/>
      <c r="P75" s="7"/>
      <c r="Q75" s="7"/>
      <c r="R75" s="7"/>
      <c r="S75" s="7"/>
      <c r="T75" s="7"/>
      <c r="U75" s="7"/>
      <c r="V75" s="7"/>
      <c r="W75" s="7"/>
      <c r="X75" s="7"/>
      <c r="Y75" s="7"/>
      <c r="Z75" s="7"/>
      <c r="AA75" s="7"/>
      <c r="AB75" s="7"/>
      <c r="AC75" s="7"/>
      <c r="AD75" s="7"/>
      <c r="AE75" s="6"/>
      <c r="AF75" s="6"/>
      <c r="AG75" s="6"/>
      <c r="AH75" s="6"/>
      <c r="AI75" s="6"/>
      <c r="AJ75" s="6"/>
      <c r="AK75" s="7"/>
      <c r="AL75" s="7"/>
      <c r="AM75" s="7"/>
      <c r="AN75" s="7"/>
    </row>
    <row r="76" ht="15.75" customHeight="1" spans="1:40">
      <c r="A76" s="6" t="s">
        <v>4151</v>
      </c>
      <c r="B76" s="6" t="s">
        <v>427</v>
      </c>
      <c r="C76" s="4" t="s">
        <v>957</v>
      </c>
      <c r="D76" s="7" t="s">
        <v>4556</v>
      </c>
      <c r="E76" s="29" t="s">
        <v>971</v>
      </c>
      <c r="F76" s="7" t="s">
        <v>4557</v>
      </c>
      <c r="G76" s="6">
        <v>7093108665</v>
      </c>
      <c r="H76" s="7" t="s">
        <v>2043</v>
      </c>
      <c r="I76" s="7" t="s">
        <v>4184</v>
      </c>
      <c r="J76" s="7" t="s">
        <v>942</v>
      </c>
      <c r="K76" s="7" t="s">
        <v>942</v>
      </c>
      <c r="L76" s="7"/>
      <c r="M76" s="7" t="s">
        <v>4558</v>
      </c>
      <c r="N76" s="15">
        <v>30810</v>
      </c>
      <c r="O76" s="7" t="s">
        <v>945</v>
      </c>
      <c r="P76" s="7" t="s">
        <v>946</v>
      </c>
      <c r="Q76" s="7" t="s">
        <v>963</v>
      </c>
      <c r="R76" s="7" t="s">
        <v>4559</v>
      </c>
      <c r="S76" s="7" t="s">
        <v>4560</v>
      </c>
      <c r="T76" s="7" t="s">
        <v>1030</v>
      </c>
      <c r="U76" s="28" t="s">
        <v>4158</v>
      </c>
      <c r="V76" s="7" t="s">
        <v>4561</v>
      </c>
      <c r="W76" s="7" t="s">
        <v>4562</v>
      </c>
      <c r="X76" s="7" t="s">
        <v>953</v>
      </c>
      <c r="Y76" s="7" t="s">
        <v>427</v>
      </c>
      <c r="Z76" s="7">
        <v>95599000</v>
      </c>
      <c r="AA76" s="7" t="s">
        <v>4563</v>
      </c>
      <c r="AB76" s="7" t="s">
        <v>1178</v>
      </c>
      <c r="AC76" s="28" t="s">
        <v>406</v>
      </c>
      <c r="AD76" s="28" t="s">
        <v>406</v>
      </c>
      <c r="AE76" s="27" t="s">
        <v>406</v>
      </c>
      <c r="AF76" s="27" t="s">
        <v>406</v>
      </c>
      <c r="AG76" s="27" t="s">
        <v>406</v>
      </c>
      <c r="AH76" s="27">
        <v>39</v>
      </c>
      <c r="AI76" s="27">
        <v>39</v>
      </c>
      <c r="AJ76" s="27">
        <v>39</v>
      </c>
      <c r="AK76" s="37">
        <v>39</v>
      </c>
      <c r="AL76" s="28" t="s">
        <v>406</v>
      </c>
      <c r="AM76" s="28" t="s">
        <v>406</v>
      </c>
      <c r="AN76" s="28" t="s">
        <v>406</v>
      </c>
    </row>
    <row r="77" ht="15.75" customHeight="1" spans="1:40">
      <c r="A77" s="6" t="s">
        <v>4151</v>
      </c>
      <c r="B77" s="6" t="s">
        <v>427</v>
      </c>
      <c r="C77" s="4" t="s">
        <v>957</v>
      </c>
      <c r="D77" s="7" t="s">
        <v>4564</v>
      </c>
      <c r="E77" s="29" t="s">
        <v>490</v>
      </c>
      <c r="F77" s="7" t="s">
        <v>4565</v>
      </c>
      <c r="G77" s="6">
        <v>3070760917</v>
      </c>
      <c r="H77" s="7" t="s">
        <v>4203</v>
      </c>
      <c r="I77" s="7" t="s">
        <v>4566</v>
      </c>
      <c r="J77" s="7" t="s">
        <v>941</v>
      </c>
      <c r="K77" s="7" t="s">
        <v>942</v>
      </c>
      <c r="L77" s="7" t="s">
        <v>943</v>
      </c>
      <c r="M77" s="7" t="s">
        <v>4567</v>
      </c>
      <c r="N77" s="16">
        <v>29202</v>
      </c>
      <c r="O77" s="7" t="s">
        <v>1028</v>
      </c>
      <c r="P77" s="7" t="s">
        <v>946</v>
      </c>
      <c r="Q77" s="7" t="s">
        <v>947</v>
      </c>
      <c r="R77" s="7" t="s">
        <v>4568</v>
      </c>
      <c r="S77" s="7" t="s">
        <v>4560</v>
      </c>
      <c r="T77" s="7" t="s">
        <v>1044</v>
      </c>
      <c r="U77" s="28" t="s">
        <v>4158</v>
      </c>
      <c r="V77" s="7" t="s">
        <v>4569</v>
      </c>
      <c r="W77" s="7" t="s">
        <v>4570</v>
      </c>
      <c r="X77" s="7" t="s">
        <v>953</v>
      </c>
      <c r="Y77" s="7" t="s">
        <v>427</v>
      </c>
      <c r="Z77" s="7">
        <v>95599000</v>
      </c>
      <c r="AA77" s="7" t="s">
        <v>4571</v>
      </c>
      <c r="AB77" s="7" t="s">
        <v>4572</v>
      </c>
      <c r="AC77" s="28" t="s">
        <v>406</v>
      </c>
      <c r="AD77" s="28" t="s">
        <v>406</v>
      </c>
      <c r="AE77" s="27" t="s">
        <v>406</v>
      </c>
      <c r="AF77" s="27" t="s">
        <v>406</v>
      </c>
      <c r="AG77" s="27" t="s">
        <v>406</v>
      </c>
      <c r="AH77" s="27">
        <v>36</v>
      </c>
      <c r="AI77" s="27">
        <v>36</v>
      </c>
      <c r="AJ77" s="27">
        <v>36</v>
      </c>
      <c r="AK77" s="37">
        <v>37</v>
      </c>
      <c r="AL77" s="28" t="s">
        <v>406</v>
      </c>
      <c r="AM77" s="28" t="s">
        <v>406</v>
      </c>
      <c r="AN77" s="28" t="s">
        <v>396</v>
      </c>
    </row>
    <row r="78" ht="15.75" customHeight="1" spans="1:40">
      <c r="A78" s="6" t="s">
        <v>4151</v>
      </c>
      <c r="B78" s="6" t="s">
        <v>415</v>
      </c>
      <c r="C78" s="4" t="s">
        <v>957</v>
      </c>
      <c r="D78" s="7" t="s">
        <v>4573</v>
      </c>
      <c r="E78" s="29" t="s">
        <v>491</v>
      </c>
      <c r="F78" s="28" t="s">
        <v>4574</v>
      </c>
      <c r="G78" s="27">
        <v>2064288125</v>
      </c>
      <c r="H78" s="28" t="s">
        <v>4575</v>
      </c>
      <c r="I78" s="28" t="s">
        <v>4576</v>
      </c>
      <c r="J78" s="28" t="s">
        <v>941</v>
      </c>
      <c r="K78" s="28" t="s">
        <v>941</v>
      </c>
      <c r="L78" s="28" t="s">
        <v>975</v>
      </c>
      <c r="M78" s="28" t="s">
        <v>1326</v>
      </c>
      <c r="N78" s="34">
        <v>31073</v>
      </c>
      <c r="O78" s="28" t="s">
        <v>945</v>
      </c>
      <c r="P78" s="28" t="s">
        <v>946</v>
      </c>
      <c r="Q78" s="28" t="s">
        <v>947</v>
      </c>
      <c r="R78" s="28" t="s">
        <v>4577</v>
      </c>
      <c r="S78" s="28" t="s">
        <v>4578</v>
      </c>
      <c r="T78" s="28" t="s">
        <v>1044</v>
      </c>
      <c r="U78" s="28" t="s">
        <v>4158</v>
      </c>
      <c r="V78" s="28" t="s">
        <v>4579</v>
      </c>
      <c r="W78" s="28" t="s">
        <v>4580</v>
      </c>
      <c r="X78" s="28" t="s">
        <v>953</v>
      </c>
      <c r="Y78" s="28" t="s">
        <v>4581</v>
      </c>
      <c r="Z78" s="28" t="s">
        <v>4582</v>
      </c>
      <c r="AA78" s="28" t="s">
        <v>4583</v>
      </c>
      <c r="AB78" s="28" t="s">
        <v>4584</v>
      </c>
      <c r="AC78" s="28" t="s">
        <v>395</v>
      </c>
      <c r="AD78" s="28" t="s">
        <v>396</v>
      </c>
      <c r="AE78" s="27" t="s">
        <v>396</v>
      </c>
      <c r="AF78" s="27" t="s">
        <v>396</v>
      </c>
      <c r="AG78" s="27" t="s">
        <v>395</v>
      </c>
      <c r="AH78" s="27">
        <v>37</v>
      </c>
      <c r="AI78" s="27">
        <v>37</v>
      </c>
      <c r="AJ78" s="27">
        <v>37</v>
      </c>
      <c r="AK78" s="37">
        <v>38</v>
      </c>
      <c r="AL78" s="28" t="s">
        <v>395</v>
      </c>
      <c r="AM78" s="28" t="s">
        <v>395</v>
      </c>
      <c r="AN78" s="28" t="s">
        <v>395</v>
      </c>
    </row>
    <row r="79" ht="15.75" customHeight="1" spans="1:40">
      <c r="A79" s="6" t="s">
        <v>4151</v>
      </c>
      <c r="B79" s="6" t="s">
        <v>427</v>
      </c>
      <c r="C79" s="4" t="s">
        <v>957</v>
      </c>
      <c r="D79" s="7" t="s">
        <v>369</v>
      </c>
      <c r="E79" s="29" t="s">
        <v>490</v>
      </c>
      <c r="F79" s="7" t="s">
        <v>4585</v>
      </c>
      <c r="G79" s="6">
        <v>8052029744</v>
      </c>
      <c r="H79" s="7" t="s">
        <v>2043</v>
      </c>
      <c r="I79" s="7" t="s">
        <v>4184</v>
      </c>
      <c r="J79" s="7" t="s">
        <v>942</v>
      </c>
      <c r="K79" s="7" t="s">
        <v>942</v>
      </c>
      <c r="L79" s="28" t="s">
        <v>943</v>
      </c>
      <c r="M79" s="7" t="s">
        <v>4586</v>
      </c>
      <c r="N79" s="16">
        <v>26236</v>
      </c>
      <c r="O79" s="7" t="s">
        <v>945</v>
      </c>
      <c r="P79" s="7" t="s">
        <v>946</v>
      </c>
      <c r="Q79" s="7" t="s">
        <v>963</v>
      </c>
      <c r="R79" s="7" t="s">
        <v>4587</v>
      </c>
      <c r="S79" s="7" t="s">
        <v>4588</v>
      </c>
      <c r="T79" s="7" t="s">
        <v>1030</v>
      </c>
      <c r="U79" s="7" t="s">
        <v>4158</v>
      </c>
      <c r="V79" s="7" t="s">
        <v>4589</v>
      </c>
      <c r="W79" s="7">
        <v>5197292518</v>
      </c>
      <c r="X79" s="7" t="s">
        <v>953</v>
      </c>
      <c r="Y79" s="7" t="s">
        <v>427</v>
      </c>
      <c r="Z79" s="7">
        <v>95599000</v>
      </c>
      <c r="AA79" s="7" t="s">
        <v>4590</v>
      </c>
      <c r="AB79" s="7" t="s">
        <v>4572</v>
      </c>
      <c r="AC79" s="28" t="s">
        <v>406</v>
      </c>
      <c r="AD79" s="28" t="s">
        <v>406</v>
      </c>
      <c r="AE79" s="27" t="s">
        <v>406</v>
      </c>
      <c r="AF79" s="27" t="s">
        <v>406</v>
      </c>
      <c r="AG79" s="27" t="s">
        <v>406</v>
      </c>
      <c r="AH79" s="27">
        <v>40</v>
      </c>
      <c r="AI79" s="27">
        <v>40</v>
      </c>
      <c r="AJ79" s="27">
        <v>40</v>
      </c>
      <c r="AK79" s="37">
        <v>40</v>
      </c>
      <c r="AL79" s="28" t="s">
        <v>406</v>
      </c>
      <c r="AM79" s="28" t="s">
        <v>406</v>
      </c>
      <c r="AN79" s="28" t="s">
        <v>396</v>
      </c>
    </row>
    <row r="80" ht="15.75" customHeight="1" spans="1:40">
      <c r="A80" s="6" t="s">
        <v>4151</v>
      </c>
      <c r="B80" s="6" t="s">
        <v>427</v>
      </c>
      <c r="C80" s="4" t="s">
        <v>957</v>
      </c>
      <c r="D80" s="7" t="s">
        <v>4591</v>
      </c>
      <c r="E80" s="29" t="s">
        <v>971</v>
      </c>
      <c r="F80" s="7" t="s">
        <v>4592</v>
      </c>
      <c r="G80" s="6">
        <v>2097639104</v>
      </c>
      <c r="H80" s="7" t="s">
        <v>4169</v>
      </c>
      <c r="I80" s="7" t="s">
        <v>4184</v>
      </c>
      <c r="J80" s="7" t="s">
        <v>942</v>
      </c>
      <c r="K80" s="7" t="s">
        <v>942</v>
      </c>
      <c r="L80" s="7" t="s">
        <v>1026</v>
      </c>
      <c r="M80" s="7" t="s">
        <v>4593</v>
      </c>
      <c r="N80" s="15">
        <v>32816</v>
      </c>
      <c r="O80" s="7" t="s">
        <v>945</v>
      </c>
      <c r="P80" s="7" t="s">
        <v>946</v>
      </c>
      <c r="Q80" s="7" t="s">
        <v>963</v>
      </c>
      <c r="R80" s="7" t="s">
        <v>4594</v>
      </c>
      <c r="S80" s="7" t="s">
        <v>4595</v>
      </c>
      <c r="T80" s="7" t="s">
        <v>1011</v>
      </c>
      <c r="U80" s="7" t="s">
        <v>4158</v>
      </c>
      <c r="V80" s="7" t="s">
        <v>4596</v>
      </c>
      <c r="W80" s="7" t="s">
        <v>4597</v>
      </c>
      <c r="X80" s="7" t="s">
        <v>953</v>
      </c>
      <c r="Y80" s="7" t="s">
        <v>4246</v>
      </c>
      <c r="Z80" s="7">
        <v>95590000</v>
      </c>
      <c r="AA80" s="7" t="s">
        <v>4598</v>
      </c>
      <c r="AB80" s="7" t="s">
        <v>4599</v>
      </c>
      <c r="AC80" s="28" t="s">
        <v>406</v>
      </c>
      <c r="AD80" s="28" t="s">
        <v>406</v>
      </c>
      <c r="AE80" s="27" t="s">
        <v>399</v>
      </c>
      <c r="AF80" s="27" t="s">
        <v>399</v>
      </c>
      <c r="AG80" s="27" t="s">
        <v>406</v>
      </c>
      <c r="AH80" s="27">
        <v>41</v>
      </c>
      <c r="AI80" s="27">
        <v>41</v>
      </c>
      <c r="AJ80" s="27">
        <v>41</v>
      </c>
      <c r="AK80" s="37">
        <v>41</v>
      </c>
      <c r="AL80" s="28" t="s">
        <v>398</v>
      </c>
      <c r="AM80" s="28" t="s">
        <v>398</v>
      </c>
      <c r="AN80" s="28" t="s">
        <v>406</v>
      </c>
    </row>
    <row r="81" ht="15.75" customHeight="1" spans="1:40">
      <c r="A81" s="6"/>
      <c r="B81" s="6"/>
      <c r="C81" s="4"/>
      <c r="D81" s="7" t="s">
        <v>4600</v>
      </c>
      <c r="E81" s="6" t="s">
        <v>491</v>
      </c>
      <c r="F81" s="7" t="s">
        <v>4601</v>
      </c>
      <c r="G81" s="6"/>
      <c r="H81" s="7"/>
      <c r="I81" s="7"/>
      <c r="J81" s="7"/>
      <c r="K81" s="7"/>
      <c r="L81" s="7"/>
      <c r="M81" s="7"/>
      <c r="N81" s="15"/>
      <c r="O81" s="7"/>
      <c r="P81" s="7"/>
      <c r="Q81" s="7"/>
      <c r="R81" s="7"/>
      <c r="S81" s="7"/>
      <c r="T81" s="7"/>
      <c r="U81" s="7"/>
      <c r="V81" s="7"/>
      <c r="W81" s="7"/>
      <c r="X81" s="7"/>
      <c r="Y81" s="7"/>
      <c r="Z81" s="7"/>
      <c r="AA81" s="7"/>
      <c r="AB81" s="7"/>
      <c r="AC81" s="7"/>
      <c r="AD81" s="7"/>
      <c r="AE81" s="6"/>
      <c r="AF81" s="6"/>
      <c r="AG81" s="6"/>
      <c r="AH81" s="6"/>
      <c r="AI81" s="6"/>
      <c r="AJ81" s="6"/>
      <c r="AK81" s="7"/>
      <c r="AL81" s="7"/>
      <c r="AM81" s="7"/>
      <c r="AN81" s="7"/>
    </row>
    <row r="82" ht="15.75" customHeight="1" spans="1:40">
      <c r="A82" s="6" t="s">
        <v>4151</v>
      </c>
      <c r="B82" s="6"/>
      <c r="C82" s="4" t="s">
        <v>4165</v>
      </c>
      <c r="D82" s="7" t="s">
        <v>370</v>
      </c>
      <c r="E82" s="29" t="s">
        <v>491</v>
      </c>
      <c r="F82" s="7" t="s">
        <v>4602</v>
      </c>
      <c r="G82" s="6"/>
      <c r="H82" s="7"/>
      <c r="I82" s="7"/>
      <c r="J82" s="7"/>
      <c r="K82" s="7"/>
      <c r="L82" s="7"/>
      <c r="M82" s="7"/>
      <c r="N82" s="15"/>
      <c r="O82" s="7"/>
      <c r="P82" s="7"/>
      <c r="Q82" s="7"/>
      <c r="R82" s="7"/>
      <c r="S82" s="7"/>
      <c r="T82" s="7"/>
      <c r="U82" s="7"/>
      <c r="V82" s="7"/>
      <c r="W82" s="7"/>
      <c r="X82" s="7"/>
      <c r="Y82" s="7"/>
      <c r="Z82" s="7"/>
      <c r="AA82" s="7"/>
      <c r="AB82" s="7"/>
      <c r="AC82" s="7"/>
      <c r="AD82" s="7"/>
      <c r="AE82" s="6"/>
      <c r="AF82" s="6"/>
      <c r="AG82" s="6"/>
      <c r="AH82" s="6"/>
      <c r="AI82" s="6"/>
      <c r="AJ82" s="6"/>
      <c r="AK82" s="7"/>
      <c r="AL82" s="7"/>
      <c r="AM82" s="7"/>
      <c r="AN82" s="7"/>
    </row>
    <row r="83" ht="15.75" customHeight="1" spans="1:40">
      <c r="A83" s="6" t="s">
        <v>4151</v>
      </c>
      <c r="B83" s="6" t="s">
        <v>427</v>
      </c>
      <c r="C83" s="4" t="s">
        <v>957</v>
      </c>
      <c r="D83" s="7" t="s">
        <v>4603</v>
      </c>
      <c r="E83" s="29" t="s">
        <v>491</v>
      </c>
      <c r="F83" s="7" t="s">
        <v>4604</v>
      </c>
      <c r="G83" s="6">
        <v>1111545396</v>
      </c>
      <c r="H83" s="7" t="s">
        <v>4169</v>
      </c>
      <c r="I83" s="7" t="s">
        <v>4184</v>
      </c>
      <c r="J83" s="7" t="s">
        <v>942</v>
      </c>
      <c r="K83" s="7" t="s">
        <v>942</v>
      </c>
      <c r="L83" s="7" t="s">
        <v>1068</v>
      </c>
      <c r="M83" s="7" t="s">
        <v>4605</v>
      </c>
      <c r="N83" s="16">
        <v>34332</v>
      </c>
      <c r="O83" s="7" t="s">
        <v>945</v>
      </c>
      <c r="P83" s="7" t="s">
        <v>946</v>
      </c>
      <c r="Q83" s="7" t="s">
        <v>947</v>
      </c>
      <c r="R83" s="7" t="s">
        <v>4606</v>
      </c>
      <c r="S83" s="7" t="s">
        <v>4607</v>
      </c>
      <c r="T83" s="7" t="s">
        <v>1154</v>
      </c>
      <c r="U83" s="7" t="s">
        <v>4158</v>
      </c>
      <c r="V83" s="7" t="s">
        <v>4608</v>
      </c>
      <c r="W83" s="7" t="s">
        <v>4609</v>
      </c>
      <c r="X83" s="7" t="s">
        <v>953</v>
      </c>
      <c r="Y83" s="7" t="s">
        <v>4246</v>
      </c>
      <c r="Z83" s="7">
        <v>95590000</v>
      </c>
      <c r="AA83" s="7" t="s">
        <v>4610</v>
      </c>
      <c r="AB83" s="7" t="s">
        <v>4611</v>
      </c>
      <c r="AC83" s="28" t="s">
        <v>398</v>
      </c>
      <c r="AD83" s="28" t="s">
        <v>399</v>
      </c>
      <c r="AE83" s="27" t="s">
        <v>399</v>
      </c>
      <c r="AF83" s="27" t="s">
        <v>399</v>
      </c>
      <c r="AG83" s="27" t="s">
        <v>399</v>
      </c>
      <c r="AH83" s="27">
        <v>43</v>
      </c>
      <c r="AI83" s="27">
        <v>43</v>
      </c>
      <c r="AJ83" s="27">
        <v>43</v>
      </c>
      <c r="AK83" s="37">
        <v>43</v>
      </c>
      <c r="AL83" s="28" t="s">
        <v>398</v>
      </c>
      <c r="AM83" s="28" t="s">
        <v>398</v>
      </c>
      <c r="AN83" s="28" t="s">
        <v>406</v>
      </c>
    </row>
    <row r="84" ht="15.75" customHeight="1" spans="1:40">
      <c r="A84" s="6" t="s">
        <v>4151</v>
      </c>
      <c r="B84" s="6" t="s">
        <v>427</v>
      </c>
      <c r="C84" s="4" t="s">
        <v>957</v>
      </c>
      <c r="D84" s="7" t="s">
        <v>170</v>
      </c>
      <c r="E84" s="29" t="s">
        <v>971</v>
      </c>
      <c r="F84" s="7" t="s">
        <v>4612</v>
      </c>
      <c r="G84" s="6">
        <v>6054603599</v>
      </c>
      <c r="H84" s="7" t="s">
        <v>4169</v>
      </c>
      <c r="I84" s="7" t="s">
        <v>4184</v>
      </c>
      <c r="J84" s="7" t="s">
        <v>942</v>
      </c>
      <c r="K84" s="7" t="s">
        <v>942</v>
      </c>
      <c r="L84" s="7" t="s">
        <v>1068</v>
      </c>
      <c r="M84" s="7" t="s">
        <v>4613</v>
      </c>
      <c r="N84" s="15">
        <v>26032</v>
      </c>
      <c r="O84" s="7" t="s">
        <v>1028</v>
      </c>
      <c r="P84" s="7" t="s">
        <v>946</v>
      </c>
      <c r="Q84" s="7" t="s">
        <v>963</v>
      </c>
      <c r="R84" s="7" t="s">
        <v>4614</v>
      </c>
      <c r="S84" s="7" t="s">
        <v>4615</v>
      </c>
      <c r="T84" s="7" t="s">
        <v>1030</v>
      </c>
      <c r="U84" s="7" t="s">
        <v>4158</v>
      </c>
      <c r="V84" s="7" t="s">
        <v>4616</v>
      </c>
      <c r="W84" s="7" t="s">
        <v>4617</v>
      </c>
      <c r="X84" s="7" t="s">
        <v>953</v>
      </c>
      <c r="Y84" s="7" t="s">
        <v>4246</v>
      </c>
      <c r="Z84" s="7">
        <v>95590000</v>
      </c>
      <c r="AA84" s="7" t="s">
        <v>4618</v>
      </c>
      <c r="AB84" s="7" t="s">
        <v>1178</v>
      </c>
      <c r="AC84" s="7" t="s">
        <v>396</v>
      </c>
      <c r="AD84" s="7" t="s">
        <v>396</v>
      </c>
      <c r="AE84" s="6" t="s">
        <v>396</v>
      </c>
      <c r="AF84" s="6" t="s">
        <v>396</v>
      </c>
      <c r="AG84" s="6" t="s">
        <v>396</v>
      </c>
      <c r="AH84" s="6">
        <v>37</v>
      </c>
      <c r="AI84" s="6">
        <v>37</v>
      </c>
      <c r="AJ84" s="6">
        <v>37</v>
      </c>
      <c r="AK84" s="7">
        <v>37</v>
      </c>
      <c r="AL84" s="7" t="s">
        <v>396</v>
      </c>
      <c r="AM84" s="7" t="s">
        <v>396</v>
      </c>
      <c r="AN84" s="7" t="s">
        <v>396</v>
      </c>
    </row>
  </sheetData>
  <autoFilter ref="A1:AN84">
    <extLst/>
  </autoFilter>
  <conditionalFormatting sqref="E1">
    <cfRule type="containsText" dxfId="5" priority="1" operator="between" text="EAD">
      <formula>NOT(ISERROR(SEARCH("EAD",E1)))</formula>
    </cfRule>
    <cfRule type="containsText" dxfId="6" priority="2" operator="between" text="Não Tem">
      <formula>NOT(ISERROR(SEARCH("Não Tem",E1)))</formula>
    </cfRule>
    <cfRule type="containsText" dxfId="7" priority="3" operator="between" text="EAD + Presencial">
      <formula>NOT(ISERROR(SEARCH("EAD + Presencial",E1)))</formula>
    </cfRule>
  </conditionalFormatting>
  <dataValidations count="10">
    <dataValidation type="list" allowBlank="1" showErrorMessage="1" sqref="T2:T84">
      <formula1>Página5!$G:$G</formula1>
    </dataValidation>
    <dataValidation type="list" allowBlank="1" showErrorMessage="1" sqref="E1:E84">
      <formula1>"Curso CAB operador concluído,Módulo 2 e 3 concluído,Módulo 1 concluído"</formula1>
    </dataValidation>
    <dataValidation type="list" allowBlank="1" showErrorMessage="1" sqref="L2:L84">
      <formula1>Página5!$C:$C</formula1>
    </dataValidation>
    <dataValidation type="list" allowBlank="1" showErrorMessage="1" sqref="O2:O84">
      <formula1>Página5!$D:$D</formula1>
    </dataValidation>
    <dataValidation type="list" allowBlank="1" showErrorMessage="1" sqref="Y2:Y84">
      <formula1>Página5!$A:$A</formula1>
    </dataValidation>
    <dataValidation type="list" allowBlank="1" showErrorMessage="1" sqref="P2:P84">
      <formula1>Página5!$E:$E</formula1>
    </dataValidation>
    <dataValidation type="list" allowBlank="1" showErrorMessage="1" sqref="Q2:Q84">
      <formula1>Página5!$F:$F</formula1>
    </dataValidation>
    <dataValidation type="list" allowBlank="1" showErrorMessage="1" sqref="AC2:AG84;AL2:AN84">
      <formula1>"P,M,G,GG,EXG"</formula1>
    </dataValidation>
    <dataValidation type="list" allowBlank="1" showErrorMessage="1" sqref="AH2:AK84">
      <formula1>Página5!$H:$H</formula1>
    </dataValidation>
    <dataValidation type="list" allowBlank="1" showErrorMessage="1" sqref="J2:K84">
      <formula1>Página5!$B:$B</formula1>
    </dataValidation>
  </dataValidations>
  <hyperlinks>
    <hyperlink ref="R27" r:id="rId1" display="evellyn-ndsmorais@educar.rs.gov.br"/>
    <hyperlink ref="R32" r:id="rId2" display="silva.giovane@hotmail.com"/>
    <hyperlink ref="R44" r:id="rId3" display="jucimarabarretopedroso819@gmail.com"/>
    <hyperlink ref="R47" r:id="rId4" display="leandrosilva2695@gmail.com"/>
  </hyperlinks>
  <pageMargins left="0.511811024" right="0.511811024" top="0.787401575" bottom="0.787401575" header="0" footer="0"/>
  <pageSetup paperSize="1"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6"/>
  <sheetViews>
    <sheetView workbookViewId="0">
      <pane xSplit="4" ySplit="1" topLeftCell="E2" activePane="bottomRight" state="frozen"/>
      <selection/>
      <selection pane="topRight"/>
      <selection pane="bottomLeft"/>
      <selection pane="bottomRight" activeCell="E2" sqref="E2"/>
    </sheetView>
  </sheetViews>
  <sheetFormatPr defaultColWidth="14.4380952380952" defaultRowHeight="15" customHeight="1"/>
  <cols>
    <col min="1" max="1" width="7.88571428571429" customWidth="1"/>
    <col min="2" max="2" width="17.6666666666667" customWidth="1"/>
    <col min="3" max="3" width="11.3333333333333" customWidth="1"/>
    <col min="4" max="4" width="39.552380952381" customWidth="1"/>
    <col min="5" max="5" width="30.6666666666667" customWidth="1"/>
    <col min="6" max="6" width="20.6666666666667" customWidth="1"/>
    <col min="7" max="7" width="10.8857142857143" customWidth="1"/>
    <col min="8" max="8" width="19.4380952380952" customWidth="1"/>
    <col min="9" max="9" width="323.438095238095" customWidth="1"/>
    <col min="10" max="10" width="22.552380952381" customWidth="1"/>
    <col min="11" max="11" width="30.4380952380952" customWidth="1"/>
    <col min="12" max="12" width="16.1047619047619" customWidth="1"/>
    <col min="13" max="13" width="26.6666666666667" customWidth="1"/>
    <col min="14" max="14" width="30.8857142857143" customWidth="1"/>
    <col min="15" max="15" width="14.6666666666667" customWidth="1"/>
    <col min="16" max="16" width="12.8857142857143" customWidth="1"/>
    <col min="17" max="17" width="28.1047619047619" customWidth="1"/>
    <col min="18" max="18" width="34" customWidth="1"/>
    <col min="19" max="19" width="13.6666666666667" customWidth="1"/>
    <col min="20" max="20" width="22.8857142857143" customWidth="1"/>
    <col min="21" max="21" width="32.8857142857143" customWidth="1"/>
    <col min="22" max="22" width="29.552380952381" customWidth="1"/>
    <col min="23" max="23" width="35.552380952381" customWidth="1"/>
    <col min="24" max="24" width="19" customWidth="1"/>
    <col min="25" max="25" width="17.6666666666667" customWidth="1"/>
    <col min="26" max="26" width="15.6666666666667" customWidth="1"/>
    <col min="27" max="27" width="30.6666666666667" customWidth="1"/>
    <col min="28" max="28" width="19.6666666666667" customWidth="1"/>
    <col min="29" max="29" width="37.552380952381" customWidth="1"/>
    <col min="30" max="30" width="37.4380952380952" customWidth="1"/>
    <col min="31" max="31" width="23.4380952380952" customWidth="1"/>
    <col min="32" max="32" width="25" customWidth="1"/>
    <col min="33" max="33" width="21.552380952381" customWidth="1"/>
    <col min="34" max="34" width="18.6666666666667" customWidth="1"/>
    <col min="35" max="35" width="24.6666666666667" customWidth="1"/>
    <col min="36" max="36" width="17.1047619047619" customWidth="1"/>
    <col min="37" max="37" width="19.552380952381" customWidth="1"/>
    <col min="38" max="38" width="32.4380952380952" customWidth="1"/>
    <col min="39" max="39" width="25.8857142857143" customWidth="1"/>
    <col min="40" max="40" width="20" customWidth="1"/>
  </cols>
  <sheetData>
    <row r="1" customHeight="1" spans="1:40">
      <c r="A1" s="2" t="s">
        <v>410</v>
      </c>
      <c r="B1" s="2" t="s">
        <v>2021</v>
      </c>
      <c r="C1" s="26" t="s">
        <v>899</v>
      </c>
      <c r="D1" s="2" t="s">
        <v>900</v>
      </c>
      <c r="E1" s="5" t="s">
        <v>901</v>
      </c>
      <c r="F1" s="2" t="s">
        <v>902</v>
      </c>
      <c r="G1" s="2" t="s">
        <v>1</v>
      </c>
      <c r="H1" s="2" t="s">
        <v>903</v>
      </c>
      <c r="I1" s="2" t="s">
        <v>904</v>
      </c>
      <c r="J1" s="13" t="s">
        <v>905</v>
      </c>
      <c r="K1" s="13" t="s">
        <v>906</v>
      </c>
      <c r="L1" s="14" t="s">
        <v>907</v>
      </c>
      <c r="M1" s="14" t="s">
        <v>908</v>
      </c>
      <c r="N1" s="14" t="s">
        <v>909</v>
      </c>
      <c r="O1" s="14" t="s">
        <v>910</v>
      </c>
      <c r="P1" s="14" t="s">
        <v>911</v>
      </c>
      <c r="Q1" s="14" t="s">
        <v>912</v>
      </c>
      <c r="R1" s="14" t="s">
        <v>913</v>
      </c>
      <c r="S1" s="14" t="s">
        <v>914</v>
      </c>
      <c r="T1" s="14" t="s">
        <v>915</v>
      </c>
      <c r="U1" s="14" t="s">
        <v>916</v>
      </c>
      <c r="V1" s="14" t="s">
        <v>917</v>
      </c>
      <c r="W1" s="14" t="s">
        <v>918</v>
      </c>
      <c r="X1" s="14" t="s">
        <v>919</v>
      </c>
      <c r="Y1" s="14" t="s">
        <v>920</v>
      </c>
      <c r="Z1" s="14" t="s">
        <v>921</v>
      </c>
      <c r="AA1" s="14" t="s">
        <v>922</v>
      </c>
      <c r="AB1" s="14" t="s">
        <v>923</v>
      </c>
      <c r="AC1" s="31" t="s">
        <v>924</v>
      </c>
      <c r="AD1" s="31" t="s">
        <v>925</v>
      </c>
      <c r="AE1" s="31" t="s">
        <v>926</v>
      </c>
      <c r="AF1" s="31" t="s">
        <v>927</v>
      </c>
      <c r="AG1" s="31" t="s">
        <v>928</v>
      </c>
      <c r="AH1" s="31" t="s">
        <v>929</v>
      </c>
      <c r="AI1" s="31" t="s">
        <v>930</v>
      </c>
      <c r="AJ1" s="14" t="s">
        <v>931</v>
      </c>
      <c r="AK1" s="14" t="s">
        <v>932</v>
      </c>
      <c r="AL1" s="31" t="s">
        <v>933</v>
      </c>
      <c r="AM1" s="31" t="s">
        <v>934</v>
      </c>
      <c r="AN1" s="14" t="s">
        <v>935</v>
      </c>
    </row>
    <row r="2" customHeight="1" spans="1:40">
      <c r="A2" s="27" t="s">
        <v>384</v>
      </c>
      <c r="B2" s="27" t="s">
        <v>529</v>
      </c>
      <c r="C2" s="4" t="s">
        <v>957</v>
      </c>
      <c r="D2" s="28" t="s">
        <v>4619</v>
      </c>
      <c r="E2" s="29" t="s">
        <v>490</v>
      </c>
      <c r="F2" s="28" t="s">
        <v>4620</v>
      </c>
      <c r="G2" s="28">
        <v>1107948067</v>
      </c>
      <c r="H2" s="28" t="s">
        <v>939</v>
      </c>
      <c r="I2" s="28" t="s">
        <v>4621</v>
      </c>
      <c r="J2" s="28" t="s">
        <v>941</v>
      </c>
      <c r="K2" s="28" t="s">
        <v>942</v>
      </c>
      <c r="L2" s="28" t="s">
        <v>975</v>
      </c>
      <c r="M2" s="28" t="s">
        <v>4622</v>
      </c>
      <c r="N2" s="30">
        <v>34119</v>
      </c>
      <c r="O2" s="28" t="s">
        <v>945</v>
      </c>
      <c r="P2" s="28" t="s">
        <v>1041</v>
      </c>
      <c r="Q2" s="28" t="s">
        <v>963</v>
      </c>
      <c r="R2" s="28" t="s">
        <v>4623</v>
      </c>
      <c r="S2" s="28" t="s">
        <v>4624</v>
      </c>
      <c r="T2" s="28" t="s">
        <v>1030</v>
      </c>
      <c r="U2" s="28"/>
      <c r="V2" s="28" t="s">
        <v>4625</v>
      </c>
      <c r="W2" s="28"/>
      <c r="X2" s="28" t="s">
        <v>953</v>
      </c>
      <c r="Y2" s="28" t="s">
        <v>529</v>
      </c>
      <c r="Z2" s="28" t="s">
        <v>4626</v>
      </c>
      <c r="AA2" s="28" t="s">
        <v>4627</v>
      </c>
      <c r="AB2" s="28" t="s">
        <v>1086</v>
      </c>
      <c r="AC2" s="27" t="s">
        <v>398</v>
      </c>
      <c r="AD2" s="27" t="s">
        <v>398</v>
      </c>
      <c r="AE2" s="27" t="s">
        <v>398</v>
      </c>
      <c r="AF2" s="27" t="s">
        <v>398</v>
      </c>
      <c r="AG2" s="27" t="s">
        <v>398</v>
      </c>
      <c r="AH2" s="27">
        <v>42</v>
      </c>
      <c r="AI2" s="27">
        <v>42</v>
      </c>
      <c r="AJ2" s="28">
        <v>42</v>
      </c>
      <c r="AK2" s="28">
        <v>42</v>
      </c>
      <c r="AL2" s="27" t="s">
        <v>398</v>
      </c>
      <c r="AM2" s="27" t="s">
        <v>398</v>
      </c>
      <c r="AN2" s="28" t="s">
        <v>406</v>
      </c>
    </row>
    <row r="3" customHeight="1" spans="1:40">
      <c r="A3" s="27" t="s">
        <v>384</v>
      </c>
      <c r="B3" s="6" t="s">
        <v>529</v>
      </c>
      <c r="C3" s="4" t="s">
        <v>957</v>
      </c>
      <c r="D3" s="7" t="s">
        <v>8</v>
      </c>
      <c r="E3" s="29" t="s">
        <v>490</v>
      </c>
      <c r="F3" s="7" t="s">
        <v>4628</v>
      </c>
      <c r="G3" s="7">
        <v>3065369627</v>
      </c>
      <c r="H3" s="7" t="s">
        <v>4629</v>
      </c>
      <c r="I3" s="7" t="s">
        <v>4630</v>
      </c>
      <c r="J3" s="7" t="s">
        <v>941</v>
      </c>
      <c r="K3" s="7" t="s">
        <v>942</v>
      </c>
      <c r="L3" s="7" t="s">
        <v>975</v>
      </c>
      <c r="M3" s="7" t="s">
        <v>4631</v>
      </c>
      <c r="N3" s="15">
        <v>28639</v>
      </c>
      <c r="O3" s="7" t="s">
        <v>945</v>
      </c>
      <c r="P3" s="7" t="s">
        <v>946</v>
      </c>
      <c r="Q3" s="7" t="s">
        <v>947</v>
      </c>
      <c r="R3" s="7" t="s">
        <v>4632</v>
      </c>
      <c r="S3" s="7" t="s">
        <v>1989</v>
      </c>
      <c r="T3" s="7" t="s">
        <v>1011</v>
      </c>
      <c r="U3" s="7"/>
      <c r="V3" s="7" t="s">
        <v>4633</v>
      </c>
      <c r="W3" s="7" t="s">
        <v>4634</v>
      </c>
      <c r="X3" s="7" t="s">
        <v>953</v>
      </c>
      <c r="Y3" s="7" t="s">
        <v>529</v>
      </c>
      <c r="Z3" s="7" t="s">
        <v>4635</v>
      </c>
      <c r="AA3" s="7" t="s">
        <v>4636</v>
      </c>
      <c r="AB3" s="7" t="s">
        <v>1086</v>
      </c>
      <c r="AC3" s="6" t="s">
        <v>406</v>
      </c>
      <c r="AD3" s="6" t="s">
        <v>406</v>
      </c>
      <c r="AE3" s="6" t="s">
        <v>406</v>
      </c>
      <c r="AF3" s="6" t="s">
        <v>406</v>
      </c>
      <c r="AG3" s="6" t="s">
        <v>406</v>
      </c>
      <c r="AH3" s="6">
        <v>40</v>
      </c>
      <c r="AI3" s="6">
        <v>40</v>
      </c>
      <c r="AJ3" s="7">
        <v>40</v>
      </c>
      <c r="AK3" s="7">
        <v>40</v>
      </c>
      <c r="AL3" s="6" t="s">
        <v>406</v>
      </c>
      <c r="AM3" s="6" t="s">
        <v>406</v>
      </c>
      <c r="AN3" s="7" t="s">
        <v>396</v>
      </c>
    </row>
    <row r="4" customHeight="1" spans="1:40">
      <c r="A4" s="27" t="s">
        <v>384</v>
      </c>
      <c r="B4" s="6" t="s">
        <v>529</v>
      </c>
      <c r="C4" s="4" t="s">
        <v>957</v>
      </c>
      <c r="D4" s="7" t="s">
        <v>10</v>
      </c>
      <c r="E4" s="29" t="s">
        <v>491</v>
      </c>
      <c r="F4" s="7" t="s">
        <v>4637</v>
      </c>
      <c r="G4" s="7">
        <v>8081470984</v>
      </c>
      <c r="H4" s="7" t="s">
        <v>939</v>
      </c>
      <c r="I4" s="7" t="s">
        <v>4638</v>
      </c>
      <c r="J4" s="7" t="s">
        <v>941</v>
      </c>
      <c r="K4" s="7" t="s">
        <v>942</v>
      </c>
      <c r="L4" s="7" t="s">
        <v>943</v>
      </c>
      <c r="M4" s="7" t="s">
        <v>4639</v>
      </c>
      <c r="N4" s="15">
        <v>29628</v>
      </c>
      <c r="O4" s="7" t="s">
        <v>1028</v>
      </c>
      <c r="P4" s="7" t="s">
        <v>1257</v>
      </c>
      <c r="Q4" s="7" t="s">
        <v>963</v>
      </c>
      <c r="R4" s="7" t="s">
        <v>4640</v>
      </c>
      <c r="S4" s="7" t="s">
        <v>4641</v>
      </c>
      <c r="T4" s="7" t="s">
        <v>1030</v>
      </c>
      <c r="U4" s="7"/>
      <c r="V4" s="7" t="s">
        <v>4642</v>
      </c>
      <c r="W4" s="7"/>
      <c r="X4" s="7" t="s">
        <v>953</v>
      </c>
      <c r="Y4" s="7" t="s">
        <v>529</v>
      </c>
      <c r="Z4" s="7" t="s">
        <v>4635</v>
      </c>
      <c r="AA4" s="7" t="s">
        <v>4643</v>
      </c>
      <c r="AB4" s="7" t="s">
        <v>4644</v>
      </c>
      <c r="AC4" s="6" t="s">
        <v>398</v>
      </c>
      <c r="AD4" s="6" t="s">
        <v>398</v>
      </c>
      <c r="AE4" s="6" t="s">
        <v>398</v>
      </c>
      <c r="AF4" s="6" t="s">
        <v>398</v>
      </c>
      <c r="AG4" s="6" t="s">
        <v>398</v>
      </c>
      <c r="AH4" s="6">
        <v>40</v>
      </c>
      <c r="AI4" s="6">
        <v>40</v>
      </c>
      <c r="AJ4" s="7">
        <v>40</v>
      </c>
      <c r="AK4" s="7">
        <v>40</v>
      </c>
      <c r="AL4" s="6" t="s">
        <v>398</v>
      </c>
      <c r="AM4" s="6" t="s">
        <v>398</v>
      </c>
      <c r="AN4" s="7" t="s">
        <v>398</v>
      </c>
    </row>
    <row r="5" customHeight="1" spans="1:40">
      <c r="A5" s="27" t="s">
        <v>384</v>
      </c>
      <c r="B5" s="6" t="s">
        <v>529</v>
      </c>
      <c r="C5" s="4" t="s">
        <v>957</v>
      </c>
      <c r="D5" s="7" t="s">
        <v>12</v>
      </c>
      <c r="E5" s="29" t="s">
        <v>490</v>
      </c>
      <c r="F5" s="7" t="s">
        <v>4645</v>
      </c>
      <c r="G5" s="7">
        <v>2103506206</v>
      </c>
      <c r="H5" s="7" t="s">
        <v>4646</v>
      </c>
      <c r="I5" s="7" t="s">
        <v>4647</v>
      </c>
      <c r="J5" s="7" t="s">
        <v>941</v>
      </c>
      <c r="K5" s="7" t="s">
        <v>942</v>
      </c>
      <c r="L5" s="7" t="s">
        <v>943</v>
      </c>
      <c r="M5" s="7" t="s">
        <v>4648</v>
      </c>
      <c r="N5" s="15">
        <v>33531</v>
      </c>
      <c r="O5" s="7" t="s">
        <v>945</v>
      </c>
      <c r="P5" s="7" t="s">
        <v>946</v>
      </c>
      <c r="Q5" s="7" t="s">
        <v>963</v>
      </c>
      <c r="R5" s="7" t="s">
        <v>4649</v>
      </c>
      <c r="S5" s="7" t="s">
        <v>4650</v>
      </c>
      <c r="T5" s="7" t="s">
        <v>1044</v>
      </c>
      <c r="U5" s="7"/>
      <c r="V5" s="7" t="s">
        <v>4651</v>
      </c>
      <c r="W5" s="7" t="s">
        <v>4651</v>
      </c>
      <c r="X5" s="7" t="s">
        <v>953</v>
      </c>
      <c r="Y5" s="7" t="s">
        <v>529</v>
      </c>
      <c r="Z5" s="7" t="s">
        <v>4635</v>
      </c>
      <c r="AA5" s="7" t="s">
        <v>4652</v>
      </c>
      <c r="AB5" s="7" t="s">
        <v>4653</v>
      </c>
      <c r="AC5" s="6" t="s">
        <v>396</v>
      </c>
      <c r="AD5" s="6" t="s">
        <v>396</v>
      </c>
      <c r="AE5" s="6" t="s">
        <v>396</v>
      </c>
      <c r="AF5" s="6" t="s">
        <v>396</v>
      </c>
      <c r="AG5" s="6" t="s">
        <v>396</v>
      </c>
      <c r="AH5" s="6">
        <v>42</v>
      </c>
      <c r="AI5" s="6">
        <v>42</v>
      </c>
      <c r="AJ5" s="7">
        <v>42</v>
      </c>
      <c r="AK5" s="7">
        <v>42</v>
      </c>
      <c r="AL5" s="6" t="s">
        <v>396</v>
      </c>
      <c r="AM5" s="6" t="s">
        <v>396</v>
      </c>
      <c r="AN5" s="7" t="s">
        <v>396</v>
      </c>
    </row>
    <row r="6" customHeight="1" spans="1:40">
      <c r="A6" s="27" t="s">
        <v>384</v>
      </c>
      <c r="B6" s="6" t="s">
        <v>529</v>
      </c>
      <c r="C6" s="4" t="s">
        <v>957</v>
      </c>
      <c r="D6" s="7" t="s">
        <v>4654</v>
      </c>
      <c r="E6" s="29" t="s">
        <v>491</v>
      </c>
      <c r="F6" s="7" t="s">
        <v>4655</v>
      </c>
      <c r="G6" s="7">
        <v>1122804493</v>
      </c>
      <c r="H6" s="7" t="s">
        <v>939</v>
      </c>
      <c r="I6" s="7"/>
      <c r="J6" s="7" t="s">
        <v>941</v>
      </c>
      <c r="K6" s="7" t="s">
        <v>942</v>
      </c>
      <c r="L6" s="7" t="s">
        <v>975</v>
      </c>
      <c r="M6" s="7" t="s">
        <v>4656</v>
      </c>
      <c r="N6" s="15">
        <v>33254</v>
      </c>
      <c r="O6" s="7" t="s">
        <v>945</v>
      </c>
      <c r="P6" s="7" t="s">
        <v>946</v>
      </c>
      <c r="Q6" s="7" t="s">
        <v>963</v>
      </c>
      <c r="R6" s="7" t="s">
        <v>4657</v>
      </c>
      <c r="S6" s="7" t="s">
        <v>4658</v>
      </c>
      <c r="T6" s="7" t="s">
        <v>1011</v>
      </c>
      <c r="U6" s="7"/>
      <c r="V6" s="7"/>
      <c r="W6" s="7" t="s">
        <v>4659</v>
      </c>
      <c r="X6" s="7" t="s">
        <v>953</v>
      </c>
      <c r="Y6" s="7" t="s">
        <v>529</v>
      </c>
      <c r="Z6" s="7" t="s">
        <v>4635</v>
      </c>
      <c r="AA6" s="7" t="s">
        <v>4660</v>
      </c>
      <c r="AB6" s="7" t="s">
        <v>1086</v>
      </c>
      <c r="AC6" s="6" t="s">
        <v>406</v>
      </c>
      <c r="AD6" s="6" t="s">
        <v>406</v>
      </c>
      <c r="AE6" s="6" t="s">
        <v>406</v>
      </c>
      <c r="AF6" s="6" t="s">
        <v>406</v>
      </c>
      <c r="AG6" s="6" t="s">
        <v>406</v>
      </c>
      <c r="AH6" s="6">
        <v>42</v>
      </c>
      <c r="AI6" s="6">
        <v>42</v>
      </c>
      <c r="AJ6" s="7">
        <v>42</v>
      </c>
      <c r="AK6" s="7">
        <v>42</v>
      </c>
      <c r="AL6" s="6" t="s">
        <v>406</v>
      </c>
      <c r="AM6" s="6" t="s">
        <v>406</v>
      </c>
      <c r="AN6" s="7" t="s">
        <v>396</v>
      </c>
    </row>
    <row r="7" customHeight="1" spans="1:40">
      <c r="A7" s="27" t="s">
        <v>384</v>
      </c>
      <c r="B7" s="6" t="s">
        <v>529</v>
      </c>
      <c r="C7" s="4" t="s">
        <v>957</v>
      </c>
      <c r="D7" s="7" t="s">
        <v>14</v>
      </c>
      <c r="E7" s="29" t="s">
        <v>491</v>
      </c>
      <c r="F7" s="7" t="s">
        <v>4661</v>
      </c>
      <c r="G7" s="7">
        <v>1966682</v>
      </c>
      <c r="H7" s="7" t="s">
        <v>4646</v>
      </c>
      <c r="I7" s="7" t="s">
        <v>4662</v>
      </c>
      <c r="J7" s="7" t="s">
        <v>941</v>
      </c>
      <c r="K7" s="7" t="s">
        <v>942</v>
      </c>
      <c r="L7" s="7" t="s">
        <v>975</v>
      </c>
      <c r="M7" s="7" t="s">
        <v>4663</v>
      </c>
      <c r="N7" s="15">
        <v>30029</v>
      </c>
      <c r="O7" s="7" t="s">
        <v>945</v>
      </c>
      <c r="P7" s="7" t="s">
        <v>1041</v>
      </c>
      <c r="Q7" s="7" t="s">
        <v>1245</v>
      </c>
      <c r="R7" s="7" t="s">
        <v>4664</v>
      </c>
      <c r="S7" s="7" t="s">
        <v>4665</v>
      </c>
      <c r="T7" s="7" t="s">
        <v>965</v>
      </c>
      <c r="U7" s="7"/>
      <c r="V7" s="7" t="s">
        <v>4666</v>
      </c>
      <c r="W7" s="7" t="s">
        <v>4667</v>
      </c>
      <c r="X7" s="7"/>
      <c r="Y7" s="7" t="s">
        <v>529</v>
      </c>
      <c r="Z7" s="7" t="s">
        <v>4635</v>
      </c>
      <c r="AA7" s="7"/>
      <c r="AB7" s="7"/>
      <c r="AC7" s="6" t="s">
        <v>406</v>
      </c>
      <c r="AD7" s="6" t="s">
        <v>406</v>
      </c>
      <c r="AE7" s="6" t="s">
        <v>406</v>
      </c>
      <c r="AF7" s="6" t="s">
        <v>406</v>
      </c>
      <c r="AG7" s="6" t="s">
        <v>406</v>
      </c>
      <c r="AH7" s="6">
        <v>42</v>
      </c>
      <c r="AI7" s="6">
        <v>42</v>
      </c>
      <c r="AJ7" s="7">
        <v>42</v>
      </c>
      <c r="AK7" s="7">
        <v>42</v>
      </c>
      <c r="AL7" s="6" t="s">
        <v>406</v>
      </c>
      <c r="AM7" s="6" t="s">
        <v>406</v>
      </c>
      <c r="AN7" s="7" t="s">
        <v>396</v>
      </c>
    </row>
    <row r="8" customHeight="1" spans="1:40">
      <c r="A8" s="27" t="s">
        <v>384</v>
      </c>
      <c r="B8" s="6" t="s">
        <v>529</v>
      </c>
      <c r="C8" s="4" t="s">
        <v>957</v>
      </c>
      <c r="D8" s="7" t="s">
        <v>6</v>
      </c>
      <c r="E8" s="29" t="s">
        <v>971</v>
      </c>
      <c r="F8" s="7" t="s">
        <v>4668</v>
      </c>
      <c r="G8" s="7">
        <v>2117394144</v>
      </c>
      <c r="H8" s="7" t="s">
        <v>939</v>
      </c>
      <c r="I8" s="7"/>
      <c r="J8" s="7" t="s">
        <v>941</v>
      </c>
      <c r="K8" s="7" t="s">
        <v>942</v>
      </c>
      <c r="L8" s="7" t="s">
        <v>943</v>
      </c>
      <c r="M8" s="7" t="s">
        <v>4669</v>
      </c>
      <c r="N8" s="15">
        <v>36507</v>
      </c>
      <c r="O8" s="7" t="s">
        <v>945</v>
      </c>
      <c r="P8" s="7" t="s">
        <v>946</v>
      </c>
      <c r="Q8" s="7" t="s">
        <v>1245</v>
      </c>
      <c r="R8" s="7" t="s">
        <v>4670</v>
      </c>
      <c r="S8" s="7" t="s">
        <v>4650</v>
      </c>
      <c r="T8" s="7" t="s">
        <v>1011</v>
      </c>
      <c r="U8" s="7"/>
      <c r="V8" s="7" t="s">
        <v>4671</v>
      </c>
      <c r="W8" s="7"/>
      <c r="X8" s="7" t="s">
        <v>953</v>
      </c>
      <c r="Y8" s="7" t="s">
        <v>529</v>
      </c>
      <c r="Z8" s="7" t="s">
        <v>4635</v>
      </c>
      <c r="AA8" s="7" t="s">
        <v>4672</v>
      </c>
      <c r="AB8" s="7" t="s">
        <v>1086</v>
      </c>
      <c r="AC8" s="6" t="s">
        <v>396</v>
      </c>
      <c r="AD8" s="6" t="s">
        <v>396</v>
      </c>
      <c r="AE8" s="6" t="s">
        <v>396</v>
      </c>
      <c r="AF8" s="6" t="s">
        <v>396</v>
      </c>
      <c r="AG8" s="6" t="s">
        <v>396</v>
      </c>
      <c r="AH8" s="6">
        <v>42</v>
      </c>
      <c r="AI8" s="6">
        <v>42</v>
      </c>
      <c r="AJ8" s="7">
        <v>42</v>
      </c>
      <c r="AK8" s="7">
        <v>41</v>
      </c>
      <c r="AL8" s="6" t="s">
        <v>396</v>
      </c>
      <c r="AM8" s="6" t="s">
        <v>396</v>
      </c>
      <c r="AN8" s="7" t="s">
        <v>396</v>
      </c>
    </row>
    <row r="9" customHeight="1" spans="1:40">
      <c r="A9" s="27" t="s">
        <v>384</v>
      </c>
      <c r="B9" s="6" t="s">
        <v>529</v>
      </c>
      <c r="C9" s="4" t="s">
        <v>957</v>
      </c>
      <c r="D9" s="7" t="s">
        <v>17</v>
      </c>
      <c r="E9" s="29" t="s">
        <v>491</v>
      </c>
      <c r="F9" s="7" t="s">
        <v>4673</v>
      </c>
      <c r="G9" s="7">
        <v>4108587967</v>
      </c>
      <c r="H9" s="7" t="s">
        <v>939</v>
      </c>
      <c r="I9" s="7"/>
      <c r="J9" s="7" t="s">
        <v>942</v>
      </c>
      <c r="K9" s="7" t="s">
        <v>942</v>
      </c>
      <c r="L9" s="7" t="s">
        <v>943</v>
      </c>
      <c r="M9" s="7" t="s">
        <v>4674</v>
      </c>
      <c r="N9" s="15">
        <v>35381</v>
      </c>
      <c r="O9" s="7" t="s">
        <v>1028</v>
      </c>
      <c r="P9" s="7" t="s">
        <v>946</v>
      </c>
      <c r="Q9" s="7"/>
      <c r="R9" s="7" t="s">
        <v>4675</v>
      </c>
      <c r="S9" s="7" t="s">
        <v>4676</v>
      </c>
      <c r="T9" s="7" t="s">
        <v>1208</v>
      </c>
      <c r="U9" s="7"/>
      <c r="V9" s="7" t="s">
        <v>4677</v>
      </c>
      <c r="W9" s="7" t="s">
        <v>4677</v>
      </c>
      <c r="X9" s="7" t="s">
        <v>953</v>
      </c>
      <c r="Y9" s="7" t="s">
        <v>529</v>
      </c>
      <c r="Z9" s="7" t="s">
        <v>4635</v>
      </c>
      <c r="AA9" s="7" t="s">
        <v>4678</v>
      </c>
      <c r="AB9" s="7" t="s">
        <v>4679</v>
      </c>
      <c r="AC9" s="6" t="s">
        <v>395</v>
      </c>
      <c r="AD9" s="6" t="s">
        <v>395</v>
      </c>
      <c r="AE9" s="6" t="s">
        <v>395</v>
      </c>
      <c r="AF9" s="6" t="s">
        <v>395</v>
      </c>
      <c r="AG9" s="6" t="s">
        <v>395</v>
      </c>
      <c r="AH9" s="6">
        <v>35</v>
      </c>
      <c r="AI9" s="6">
        <v>35</v>
      </c>
      <c r="AJ9" s="7">
        <v>35</v>
      </c>
      <c r="AK9" s="7">
        <v>35</v>
      </c>
      <c r="AL9" s="6" t="s">
        <v>395</v>
      </c>
      <c r="AM9" s="6" t="s">
        <v>395</v>
      </c>
      <c r="AN9" s="7" t="s">
        <v>395</v>
      </c>
    </row>
    <row r="10" customHeight="1" spans="1:40">
      <c r="A10" s="27" t="s">
        <v>384</v>
      </c>
      <c r="B10" s="6" t="s">
        <v>529</v>
      </c>
      <c r="C10" s="4" t="s">
        <v>957</v>
      </c>
      <c r="D10" s="7" t="s">
        <v>19</v>
      </c>
      <c r="E10" s="29" t="s">
        <v>490</v>
      </c>
      <c r="F10" s="7" t="s">
        <v>4680</v>
      </c>
      <c r="G10" s="7">
        <v>9084455014</v>
      </c>
      <c r="H10" s="7" t="s">
        <v>939</v>
      </c>
      <c r="I10" s="7" t="s">
        <v>4681</v>
      </c>
      <c r="J10" s="7" t="s">
        <v>941</v>
      </c>
      <c r="K10" s="7" t="s">
        <v>942</v>
      </c>
      <c r="L10" s="7" t="s">
        <v>975</v>
      </c>
      <c r="M10" s="7" t="s">
        <v>4682</v>
      </c>
      <c r="N10" s="15">
        <v>28814</v>
      </c>
      <c r="O10" s="7" t="s">
        <v>945</v>
      </c>
      <c r="P10" s="7" t="s">
        <v>946</v>
      </c>
      <c r="Q10" s="7" t="s">
        <v>963</v>
      </c>
      <c r="R10" s="7" t="s">
        <v>4683</v>
      </c>
      <c r="S10" s="7" t="s">
        <v>4684</v>
      </c>
      <c r="T10" s="7" t="s">
        <v>1011</v>
      </c>
      <c r="U10" s="7"/>
      <c r="V10" s="7" t="s">
        <v>4685</v>
      </c>
      <c r="W10" s="7" t="s">
        <v>4686</v>
      </c>
      <c r="X10" s="7" t="s">
        <v>953</v>
      </c>
      <c r="Y10" s="7" t="s">
        <v>529</v>
      </c>
      <c r="Z10" s="7" t="s">
        <v>4635</v>
      </c>
      <c r="AA10" s="7" t="s">
        <v>4687</v>
      </c>
      <c r="AB10" s="7" t="s">
        <v>4679</v>
      </c>
      <c r="AC10" s="6" t="s">
        <v>398</v>
      </c>
      <c r="AD10" s="6" t="s">
        <v>398</v>
      </c>
      <c r="AE10" s="6" t="s">
        <v>398</v>
      </c>
      <c r="AF10" s="6" t="s">
        <v>398</v>
      </c>
      <c r="AG10" s="6" t="s">
        <v>398</v>
      </c>
      <c r="AH10" s="6">
        <v>42</v>
      </c>
      <c r="AI10" s="6">
        <v>42</v>
      </c>
      <c r="AJ10" s="7">
        <v>42</v>
      </c>
      <c r="AK10" s="7">
        <v>42</v>
      </c>
      <c r="AL10" s="6" t="s">
        <v>398</v>
      </c>
      <c r="AM10" s="6" t="s">
        <v>398</v>
      </c>
      <c r="AN10" s="7" t="s">
        <v>406</v>
      </c>
    </row>
    <row r="11" customHeight="1" spans="1:40">
      <c r="A11" s="27" t="s">
        <v>384</v>
      </c>
      <c r="B11" s="6" t="s">
        <v>529</v>
      </c>
      <c r="C11" s="4" t="s">
        <v>957</v>
      </c>
      <c r="D11" s="7" t="s">
        <v>9</v>
      </c>
      <c r="E11" s="29" t="s">
        <v>971</v>
      </c>
      <c r="F11" s="7" t="s">
        <v>4688</v>
      </c>
      <c r="G11" s="7">
        <v>5057826058</v>
      </c>
      <c r="H11" s="7" t="s">
        <v>4646</v>
      </c>
      <c r="I11" s="7" t="s">
        <v>4689</v>
      </c>
      <c r="J11" s="7" t="s">
        <v>941</v>
      </c>
      <c r="K11" s="7" t="s">
        <v>942</v>
      </c>
      <c r="L11" s="7" t="s">
        <v>943</v>
      </c>
      <c r="M11" s="7" t="s">
        <v>4690</v>
      </c>
      <c r="N11" s="15">
        <v>28213</v>
      </c>
      <c r="O11" s="7" t="s">
        <v>945</v>
      </c>
      <c r="P11" s="7" t="s">
        <v>946</v>
      </c>
      <c r="Q11" s="7" t="s">
        <v>1245</v>
      </c>
      <c r="R11" s="7" t="s">
        <v>4691</v>
      </c>
      <c r="S11" s="7" t="s">
        <v>4692</v>
      </c>
      <c r="T11" s="7" t="s">
        <v>1030</v>
      </c>
      <c r="U11" s="7"/>
      <c r="V11" s="7" t="s">
        <v>4693</v>
      </c>
      <c r="W11" s="7"/>
      <c r="X11" s="7" t="s">
        <v>953</v>
      </c>
      <c r="Y11" s="7" t="s">
        <v>529</v>
      </c>
      <c r="Z11" s="7" t="s">
        <v>4635</v>
      </c>
      <c r="AA11" s="7" t="s">
        <v>4694</v>
      </c>
      <c r="AB11" s="7" t="s">
        <v>4679</v>
      </c>
      <c r="AC11" s="6" t="s">
        <v>398</v>
      </c>
      <c r="AD11" s="6" t="s">
        <v>398</v>
      </c>
      <c r="AE11" s="6" t="s">
        <v>398</v>
      </c>
      <c r="AF11" s="6" t="s">
        <v>398</v>
      </c>
      <c r="AG11" s="6" t="s">
        <v>398</v>
      </c>
      <c r="AH11" s="6">
        <v>40</v>
      </c>
      <c r="AI11" s="6">
        <v>40</v>
      </c>
      <c r="AJ11" s="7">
        <v>40</v>
      </c>
      <c r="AK11" s="7">
        <v>40</v>
      </c>
      <c r="AL11" s="6" t="s">
        <v>398</v>
      </c>
      <c r="AM11" s="6" t="s">
        <v>398</v>
      </c>
      <c r="AN11" s="7" t="s">
        <v>406</v>
      </c>
    </row>
    <row r="12" customHeight="1" spans="1:40">
      <c r="A12" s="27" t="s">
        <v>384</v>
      </c>
      <c r="B12" s="6" t="s">
        <v>529</v>
      </c>
      <c r="C12" s="4" t="s">
        <v>957</v>
      </c>
      <c r="D12" s="7" t="s">
        <v>22</v>
      </c>
      <c r="E12" s="29" t="s">
        <v>491</v>
      </c>
      <c r="F12" s="7" t="s">
        <v>4695</v>
      </c>
      <c r="G12" s="7">
        <v>9057825268</v>
      </c>
      <c r="H12" s="7" t="s">
        <v>939</v>
      </c>
      <c r="I12" s="7" t="s">
        <v>4696</v>
      </c>
      <c r="J12" s="7" t="s">
        <v>942</v>
      </c>
      <c r="K12" s="7" t="s">
        <v>942</v>
      </c>
      <c r="L12" s="7" t="s">
        <v>1080</v>
      </c>
      <c r="M12" s="7" t="s">
        <v>4697</v>
      </c>
      <c r="N12" s="15">
        <v>26977</v>
      </c>
      <c r="O12" s="7" t="s">
        <v>945</v>
      </c>
      <c r="P12" s="7" t="s">
        <v>1257</v>
      </c>
      <c r="Q12" s="7" t="s">
        <v>963</v>
      </c>
      <c r="R12" s="7" t="s">
        <v>4698</v>
      </c>
      <c r="S12" s="7" t="s">
        <v>4699</v>
      </c>
      <c r="T12" s="7" t="s">
        <v>1044</v>
      </c>
      <c r="U12" s="7"/>
      <c r="V12" s="11" t="s">
        <v>4700</v>
      </c>
      <c r="W12" s="7"/>
      <c r="X12" s="7" t="s">
        <v>953</v>
      </c>
      <c r="Y12" s="7" t="s">
        <v>529</v>
      </c>
      <c r="Z12" s="7" t="s">
        <v>4626</v>
      </c>
      <c r="AA12" s="7" t="s">
        <v>4701</v>
      </c>
      <c r="AB12" s="7" t="s">
        <v>4702</v>
      </c>
      <c r="AC12" s="6" t="s">
        <v>406</v>
      </c>
      <c r="AD12" s="6" t="s">
        <v>406</v>
      </c>
      <c r="AE12" s="6" t="s">
        <v>406</v>
      </c>
      <c r="AF12" s="6" t="s">
        <v>406</v>
      </c>
      <c r="AG12" s="6" t="s">
        <v>406</v>
      </c>
      <c r="AH12" s="6">
        <v>38</v>
      </c>
      <c r="AI12" s="6">
        <v>38</v>
      </c>
      <c r="AJ12" s="7">
        <v>38</v>
      </c>
      <c r="AK12" s="7">
        <v>38</v>
      </c>
      <c r="AL12" s="6" t="s">
        <v>406</v>
      </c>
      <c r="AM12" s="6" t="s">
        <v>396</v>
      </c>
      <c r="AN12" s="7" t="s">
        <v>396</v>
      </c>
    </row>
    <row r="13" customHeight="1" spans="1:40">
      <c r="A13" s="27" t="s">
        <v>384</v>
      </c>
      <c r="B13" s="6" t="s">
        <v>529</v>
      </c>
      <c r="C13" s="4" t="s">
        <v>957</v>
      </c>
      <c r="D13" s="7" t="s">
        <v>4703</v>
      </c>
      <c r="E13" s="6" t="s">
        <v>491</v>
      </c>
      <c r="F13" s="7" t="s">
        <v>4704</v>
      </c>
      <c r="G13" s="7">
        <v>6091600401</v>
      </c>
      <c r="H13" s="7" t="s">
        <v>939</v>
      </c>
      <c r="I13" s="7" t="s">
        <v>4705</v>
      </c>
      <c r="J13" s="7" t="s">
        <v>941</v>
      </c>
      <c r="K13" s="7" t="s">
        <v>942</v>
      </c>
      <c r="L13" s="7" t="s">
        <v>943</v>
      </c>
      <c r="M13" s="7" t="s">
        <v>1311</v>
      </c>
      <c r="N13" s="15">
        <v>31807</v>
      </c>
      <c r="O13" s="7" t="s">
        <v>1028</v>
      </c>
      <c r="P13" s="7" t="s">
        <v>946</v>
      </c>
      <c r="Q13" s="7" t="s">
        <v>963</v>
      </c>
      <c r="R13" s="7" t="s">
        <v>4706</v>
      </c>
      <c r="S13" s="7" t="s">
        <v>4707</v>
      </c>
      <c r="T13" s="7" t="s">
        <v>1369</v>
      </c>
      <c r="U13" s="7"/>
      <c r="V13" s="7" t="s">
        <v>4708</v>
      </c>
      <c r="W13" s="7"/>
      <c r="X13" s="7" t="s">
        <v>953</v>
      </c>
      <c r="Y13" s="7" t="s">
        <v>529</v>
      </c>
      <c r="Z13" s="7" t="s">
        <v>4626</v>
      </c>
      <c r="AA13" s="7" t="s">
        <v>4709</v>
      </c>
      <c r="AB13" s="7" t="s">
        <v>1086</v>
      </c>
      <c r="AC13" s="6" t="s">
        <v>406</v>
      </c>
      <c r="AD13" s="6" t="s">
        <v>406</v>
      </c>
      <c r="AE13" s="6" t="s">
        <v>406</v>
      </c>
      <c r="AF13" s="6" t="s">
        <v>406</v>
      </c>
      <c r="AG13" s="6" t="s">
        <v>406</v>
      </c>
      <c r="AH13" s="6">
        <v>37</v>
      </c>
      <c r="AI13" s="6">
        <v>37</v>
      </c>
      <c r="AJ13" s="7">
        <v>37</v>
      </c>
      <c r="AK13" s="7">
        <v>38</v>
      </c>
      <c r="AL13" s="6" t="s">
        <v>406</v>
      </c>
      <c r="AM13" s="6" t="s">
        <v>406</v>
      </c>
      <c r="AN13" s="7" t="s">
        <v>396</v>
      </c>
    </row>
    <row r="14" customHeight="1" spans="1:40">
      <c r="A14" s="27" t="s">
        <v>384</v>
      </c>
      <c r="B14" s="6" t="s">
        <v>529</v>
      </c>
      <c r="C14" s="4" t="s">
        <v>957</v>
      </c>
      <c r="D14" s="7" t="s">
        <v>26</v>
      </c>
      <c r="E14" s="29" t="s">
        <v>491</v>
      </c>
      <c r="F14" s="7" t="s">
        <v>4710</v>
      </c>
      <c r="G14" s="7">
        <v>1065294892</v>
      </c>
      <c r="H14" s="7" t="s">
        <v>939</v>
      </c>
      <c r="I14" s="7" t="s">
        <v>4711</v>
      </c>
      <c r="J14" s="7" t="s">
        <v>942</v>
      </c>
      <c r="K14" s="7" t="s">
        <v>942</v>
      </c>
      <c r="L14" s="7" t="s">
        <v>975</v>
      </c>
      <c r="M14" s="7" t="s">
        <v>4712</v>
      </c>
      <c r="N14" s="15">
        <v>27882</v>
      </c>
      <c r="O14" s="7" t="s">
        <v>1028</v>
      </c>
      <c r="P14" s="7" t="s">
        <v>1257</v>
      </c>
      <c r="Q14" s="7" t="s">
        <v>963</v>
      </c>
      <c r="R14" s="7" t="s">
        <v>4713</v>
      </c>
      <c r="S14" s="7" t="s">
        <v>4714</v>
      </c>
      <c r="T14" s="7" t="s">
        <v>1044</v>
      </c>
      <c r="U14" s="7"/>
      <c r="V14" s="7" t="s">
        <v>4715</v>
      </c>
      <c r="W14" s="7"/>
      <c r="X14" s="7" t="s">
        <v>953</v>
      </c>
      <c r="Y14" s="7" t="s">
        <v>529</v>
      </c>
      <c r="Z14" s="7" t="s">
        <v>4626</v>
      </c>
      <c r="AA14" s="7" t="s">
        <v>4701</v>
      </c>
      <c r="AB14" s="7" t="s">
        <v>4702</v>
      </c>
      <c r="AC14" s="6" t="s">
        <v>396</v>
      </c>
      <c r="AD14" s="6" t="s">
        <v>396</v>
      </c>
      <c r="AE14" s="6" t="s">
        <v>396</v>
      </c>
      <c r="AF14" s="6" t="s">
        <v>396</v>
      </c>
      <c r="AG14" s="6" t="s">
        <v>396</v>
      </c>
      <c r="AH14" s="6">
        <v>35</v>
      </c>
      <c r="AI14" s="6">
        <v>35</v>
      </c>
      <c r="AJ14" s="7">
        <v>35</v>
      </c>
      <c r="AK14" s="7">
        <v>35</v>
      </c>
      <c r="AL14" s="6" t="s">
        <v>396</v>
      </c>
      <c r="AM14" s="6" t="s">
        <v>396</v>
      </c>
      <c r="AN14" s="7" t="s">
        <v>396</v>
      </c>
    </row>
    <row r="15" customHeight="1" spans="1:40">
      <c r="A15" s="27" t="s">
        <v>384</v>
      </c>
      <c r="B15" s="6"/>
      <c r="C15" s="4"/>
      <c r="D15" s="7" t="s">
        <v>128</v>
      </c>
      <c r="E15" s="29"/>
      <c r="F15" s="7" t="s">
        <v>4716</v>
      </c>
      <c r="G15" s="7"/>
      <c r="H15" s="7"/>
      <c r="I15" s="7"/>
      <c r="J15" s="7"/>
      <c r="K15" s="7"/>
      <c r="L15" s="7"/>
      <c r="M15" s="7"/>
      <c r="N15" s="15"/>
      <c r="O15" s="7"/>
      <c r="P15" s="7"/>
      <c r="Q15" s="7"/>
      <c r="R15" s="7"/>
      <c r="S15" s="7"/>
      <c r="T15" s="7"/>
      <c r="U15" s="7"/>
      <c r="V15" s="7"/>
      <c r="W15" s="7"/>
      <c r="X15" s="7"/>
      <c r="Y15" s="7"/>
      <c r="Z15" s="7"/>
      <c r="AA15" s="7"/>
      <c r="AB15" s="7"/>
      <c r="AC15" s="6"/>
      <c r="AD15" s="6"/>
      <c r="AE15" s="6"/>
      <c r="AF15" s="6"/>
      <c r="AG15" s="6"/>
      <c r="AH15" s="6"/>
      <c r="AI15" s="6"/>
      <c r="AJ15" s="7"/>
      <c r="AK15" s="7"/>
      <c r="AL15" s="6"/>
      <c r="AM15" s="6"/>
      <c r="AN15" s="7"/>
    </row>
    <row r="16" customHeight="1" spans="1:40">
      <c r="A16" s="27" t="s">
        <v>384</v>
      </c>
      <c r="B16" s="6" t="s">
        <v>529</v>
      </c>
      <c r="C16" s="4" t="s">
        <v>957</v>
      </c>
      <c r="D16" s="7" t="s">
        <v>28</v>
      </c>
      <c r="E16" s="29" t="s">
        <v>490</v>
      </c>
      <c r="F16" s="7" t="s">
        <v>4717</v>
      </c>
      <c r="G16" s="7">
        <v>3056292364</v>
      </c>
      <c r="H16" s="7" t="s">
        <v>939</v>
      </c>
      <c r="I16" s="7" t="s">
        <v>4718</v>
      </c>
      <c r="J16" s="7" t="s">
        <v>941</v>
      </c>
      <c r="K16" s="7" t="s">
        <v>942</v>
      </c>
      <c r="L16" s="7" t="s">
        <v>975</v>
      </c>
      <c r="M16" s="7" t="s">
        <v>4719</v>
      </c>
      <c r="N16" s="15">
        <v>26750</v>
      </c>
      <c r="O16" s="7" t="s">
        <v>1028</v>
      </c>
      <c r="P16" s="7" t="s">
        <v>946</v>
      </c>
      <c r="Q16" s="7" t="s">
        <v>963</v>
      </c>
      <c r="R16" s="7" t="s">
        <v>4720</v>
      </c>
      <c r="S16" s="7" t="s">
        <v>4699</v>
      </c>
      <c r="T16" s="7" t="s">
        <v>1030</v>
      </c>
      <c r="U16" s="7"/>
      <c r="V16" s="7" t="s">
        <v>4721</v>
      </c>
      <c r="W16" s="7" t="s">
        <v>4722</v>
      </c>
      <c r="X16" s="7" t="s">
        <v>953</v>
      </c>
      <c r="Y16" s="7" t="s">
        <v>529</v>
      </c>
      <c r="Z16" s="7" t="s">
        <v>4635</v>
      </c>
      <c r="AA16" s="7" t="s">
        <v>4723</v>
      </c>
      <c r="AB16" s="7" t="s">
        <v>2640</v>
      </c>
      <c r="AC16" s="6" t="s">
        <v>398</v>
      </c>
      <c r="AD16" s="6" t="s">
        <v>398</v>
      </c>
      <c r="AE16" s="6" t="s">
        <v>398</v>
      </c>
      <c r="AF16" s="6" t="s">
        <v>398</v>
      </c>
      <c r="AG16" s="6" t="s">
        <v>398</v>
      </c>
      <c r="AH16" s="6">
        <v>41</v>
      </c>
      <c r="AI16" s="6">
        <v>41</v>
      </c>
      <c r="AJ16" s="7">
        <v>41</v>
      </c>
      <c r="AK16" s="7">
        <v>41</v>
      </c>
      <c r="AL16" s="6" t="s">
        <v>398</v>
      </c>
      <c r="AM16" s="6" t="s">
        <v>398</v>
      </c>
      <c r="AN16" s="7" t="s">
        <v>406</v>
      </c>
    </row>
    <row r="17" customHeight="1" spans="1:40">
      <c r="A17" s="27" t="s">
        <v>384</v>
      </c>
      <c r="B17" s="6" t="s">
        <v>529</v>
      </c>
      <c r="C17" s="4" t="s">
        <v>957</v>
      </c>
      <c r="D17" s="7" t="s">
        <v>4724</v>
      </c>
      <c r="E17" s="29" t="s">
        <v>971</v>
      </c>
      <c r="F17" s="7" t="s">
        <v>4725</v>
      </c>
      <c r="G17" s="7">
        <v>9133018797</v>
      </c>
      <c r="H17" s="7" t="s">
        <v>939</v>
      </c>
      <c r="I17" s="7" t="s">
        <v>4726</v>
      </c>
      <c r="J17" s="7" t="s">
        <v>941</v>
      </c>
      <c r="K17" s="7" t="s">
        <v>942</v>
      </c>
      <c r="L17" s="7" t="s">
        <v>943</v>
      </c>
      <c r="M17" s="7" t="s">
        <v>4727</v>
      </c>
      <c r="N17" s="15">
        <v>37269</v>
      </c>
      <c r="O17" s="7" t="s">
        <v>945</v>
      </c>
      <c r="P17" s="7" t="s">
        <v>1257</v>
      </c>
      <c r="Q17" s="7" t="s">
        <v>963</v>
      </c>
      <c r="R17" s="7" t="s">
        <v>4728</v>
      </c>
      <c r="S17" s="7" t="s">
        <v>4729</v>
      </c>
      <c r="T17" s="7" t="s">
        <v>1011</v>
      </c>
      <c r="U17" s="7"/>
      <c r="V17" s="7" t="s">
        <v>4730</v>
      </c>
      <c r="W17" s="7"/>
      <c r="X17" s="7" t="s">
        <v>953</v>
      </c>
      <c r="Y17" s="7" t="s">
        <v>529</v>
      </c>
      <c r="Z17" s="7" t="s">
        <v>4635</v>
      </c>
      <c r="AA17" s="7" t="s">
        <v>4731</v>
      </c>
      <c r="AB17" s="7" t="s">
        <v>4732</v>
      </c>
      <c r="AC17" s="6" t="s">
        <v>396</v>
      </c>
      <c r="AD17" s="6" t="s">
        <v>396</v>
      </c>
      <c r="AE17" s="6" t="s">
        <v>396</v>
      </c>
      <c r="AF17" s="6" t="s">
        <v>396</v>
      </c>
      <c r="AG17" s="6" t="s">
        <v>396</v>
      </c>
      <c r="AH17" s="6">
        <v>40</v>
      </c>
      <c r="AI17" s="6">
        <v>40</v>
      </c>
      <c r="AJ17" s="7">
        <v>40</v>
      </c>
      <c r="AK17" s="7">
        <v>40</v>
      </c>
      <c r="AL17" s="6" t="s">
        <v>396</v>
      </c>
      <c r="AM17" s="6" t="s">
        <v>396</v>
      </c>
      <c r="AN17" s="7" t="s">
        <v>396</v>
      </c>
    </row>
    <row r="18" customHeight="1" spans="1:40">
      <c r="A18" s="27" t="s">
        <v>384</v>
      </c>
      <c r="B18" s="6"/>
      <c r="C18" s="4"/>
      <c r="D18" s="7" t="s">
        <v>132</v>
      </c>
      <c r="E18" s="29"/>
      <c r="F18" s="7" t="s">
        <v>4733</v>
      </c>
      <c r="G18" s="7"/>
      <c r="H18" s="7"/>
      <c r="I18" s="7"/>
      <c r="J18" s="7"/>
      <c r="K18" s="7"/>
      <c r="L18" s="7"/>
      <c r="M18" s="7"/>
      <c r="N18" s="15"/>
      <c r="O18" s="7"/>
      <c r="P18" s="7"/>
      <c r="Q18" s="7"/>
      <c r="R18" s="7"/>
      <c r="S18" s="7"/>
      <c r="T18" s="7"/>
      <c r="U18" s="7"/>
      <c r="V18" s="7"/>
      <c r="W18" s="7"/>
      <c r="X18" s="7"/>
      <c r="Y18" s="7"/>
      <c r="Z18" s="7"/>
      <c r="AA18" s="7"/>
      <c r="AB18" s="7"/>
      <c r="AC18" s="6"/>
      <c r="AD18" s="6"/>
      <c r="AE18" s="6"/>
      <c r="AF18" s="6"/>
      <c r="AG18" s="6"/>
      <c r="AH18" s="6"/>
      <c r="AI18" s="6"/>
      <c r="AJ18" s="7"/>
      <c r="AK18" s="7"/>
      <c r="AL18" s="6"/>
      <c r="AM18" s="6"/>
      <c r="AN18" s="7"/>
    </row>
    <row r="19" customHeight="1" spans="1:40">
      <c r="A19" s="27" t="s">
        <v>384</v>
      </c>
      <c r="B19" s="6" t="s">
        <v>529</v>
      </c>
      <c r="C19" s="4" t="s">
        <v>957</v>
      </c>
      <c r="D19" s="7" t="s">
        <v>4734</v>
      </c>
      <c r="E19" s="29" t="s">
        <v>491</v>
      </c>
      <c r="F19" s="7" t="s">
        <v>4735</v>
      </c>
      <c r="G19" s="7">
        <v>1127922266</v>
      </c>
      <c r="H19" s="7" t="s">
        <v>939</v>
      </c>
      <c r="I19" s="7" t="s">
        <v>4736</v>
      </c>
      <c r="J19" s="7" t="s">
        <v>941</v>
      </c>
      <c r="K19" s="7" t="s">
        <v>942</v>
      </c>
      <c r="L19" s="7" t="s">
        <v>975</v>
      </c>
      <c r="M19" s="7" t="s">
        <v>4737</v>
      </c>
      <c r="N19" s="15">
        <v>36747</v>
      </c>
      <c r="O19" s="7" t="s">
        <v>945</v>
      </c>
      <c r="P19" s="7" t="s">
        <v>1041</v>
      </c>
      <c r="Q19" s="7" t="s">
        <v>963</v>
      </c>
      <c r="R19" s="7" t="s">
        <v>4738</v>
      </c>
      <c r="S19" s="7" t="s">
        <v>1153</v>
      </c>
      <c r="T19" s="7" t="s">
        <v>965</v>
      </c>
      <c r="U19" s="7"/>
      <c r="V19" s="7" t="s">
        <v>4739</v>
      </c>
      <c r="W19" s="7"/>
      <c r="X19" s="7" t="s">
        <v>953</v>
      </c>
      <c r="Y19" s="7" t="s">
        <v>529</v>
      </c>
      <c r="Z19" s="7" t="s">
        <v>4626</v>
      </c>
      <c r="AA19" s="7" t="s">
        <v>4740</v>
      </c>
      <c r="AB19" s="7" t="s">
        <v>4732</v>
      </c>
      <c r="AC19" s="6" t="s">
        <v>406</v>
      </c>
      <c r="AD19" s="6" t="s">
        <v>406</v>
      </c>
      <c r="AE19" s="6" t="s">
        <v>406</v>
      </c>
      <c r="AF19" s="6" t="s">
        <v>406</v>
      </c>
      <c r="AG19" s="6" t="s">
        <v>406</v>
      </c>
      <c r="AH19" s="6">
        <v>41</v>
      </c>
      <c r="AI19" s="6">
        <v>41</v>
      </c>
      <c r="AJ19" s="7">
        <v>41</v>
      </c>
      <c r="AK19" s="7">
        <v>41</v>
      </c>
      <c r="AL19" s="6" t="s">
        <v>406</v>
      </c>
      <c r="AM19" s="6" t="s">
        <v>406</v>
      </c>
      <c r="AN19" s="7" t="s">
        <v>396</v>
      </c>
    </row>
    <row r="20" customHeight="1" spans="1:40">
      <c r="A20" s="27" t="s">
        <v>384</v>
      </c>
      <c r="B20" s="6" t="s">
        <v>529</v>
      </c>
      <c r="C20" s="4" t="s">
        <v>957</v>
      </c>
      <c r="D20" s="7" t="s">
        <v>32</v>
      </c>
      <c r="E20" s="29" t="s">
        <v>491</v>
      </c>
      <c r="F20" s="7" t="s">
        <v>4741</v>
      </c>
      <c r="G20" s="7">
        <v>1102909668</v>
      </c>
      <c r="H20" s="7" t="s">
        <v>939</v>
      </c>
      <c r="I20" s="7"/>
      <c r="J20" s="7" t="s">
        <v>942</v>
      </c>
      <c r="K20" s="7" t="s">
        <v>942</v>
      </c>
      <c r="L20" s="7" t="s">
        <v>1068</v>
      </c>
      <c r="M20" s="7" t="s">
        <v>4742</v>
      </c>
      <c r="N20" s="15">
        <v>32642</v>
      </c>
      <c r="O20" s="7" t="s">
        <v>945</v>
      </c>
      <c r="P20" s="7" t="s">
        <v>946</v>
      </c>
      <c r="Q20" s="7" t="s">
        <v>947</v>
      </c>
      <c r="R20" s="7" t="s">
        <v>4743</v>
      </c>
      <c r="S20" s="7"/>
      <c r="T20" s="7" t="s">
        <v>965</v>
      </c>
      <c r="U20" s="7"/>
      <c r="V20" s="7"/>
      <c r="W20" s="7" t="s">
        <v>4744</v>
      </c>
      <c r="X20" s="7" t="s">
        <v>953</v>
      </c>
      <c r="Y20" s="7" t="s">
        <v>529</v>
      </c>
      <c r="Z20" s="7" t="s">
        <v>4635</v>
      </c>
      <c r="AA20" s="7" t="s">
        <v>4745</v>
      </c>
      <c r="AB20" s="7" t="s">
        <v>4746</v>
      </c>
      <c r="AC20" s="6" t="s">
        <v>406</v>
      </c>
      <c r="AD20" s="6" t="s">
        <v>406</v>
      </c>
      <c r="AE20" s="6" t="s">
        <v>406</v>
      </c>
      <c r="AF20" s="6" t="s">
        <v>406</v>
      </c>
      <c r="AG20" s="6" t="s">
        <v>406</v>
      </c>
      <c r="AH20" s="6">
        <v>42</v>
      </c>
      <c r="AI20" s="6">
        <v>42</v>
      </c>
      <c r="AJ20" s="7">
        <v>42</v>
      </c>
      <c r="AK20" s="7">
        <v>42</v>
      </c>
      <c r="AL20" s="6" t="s">
        <v>406</v>
      </c>
      <c r="AM20" s="6" t="s">
        <v>406</v>
      </c>
      <c r="AN20" s="7" t="s">
        <v>406</v>
      </c>
    </row>
    <row r="21" customHeight="1" spans="1:40">
      <c r="A21" s="27" t="s">
        <v>384</v>
      </c>
      <c r="B21" s="6" t="s">
        <v>529</v>
      </c>
      <c r="C21" s="4" t="s">
        <v>957</v>
      </c>
      <c r="D21" s="7" t="s">
        <v>4747</v>
      </c>
      <c r="E21" s="6" t="s">
        <v>491</v>
      </c>
      <c r="F21" s="7" t="s">
        <v>4748</v>
      </c>
      <c r="G21" s="7">
        <v>1068577408</v>
      </c>
      <c r="H21" s="7" t="s">
        <v>939</v>
      </c>
      <c r="I21" s="7" t="s">
        <v>4681</v>
      </c>
      <c r="J21" s="7" t="s">
        <v>941</v>
      </c>
      <c r="K21" s="7" t="s">
        <v>942</v>
      </c>
      <c r="L21" s="7" t="s">
        <v>975</v>
      </c>
      <c r="M21" s="7" t="s">
        <v>3051</v>
      </c>
      <c r="N21" s="15">
        <v>28610</v>
      </c>
      <c r="O21" s="7" t="s">
        <v>945</v>
      </c>
      <c r="P21" s="7" t="s">
        <v>1257</v>
      </c>
      <c r="Q21" s="7" t="s">
        <v>963</v>
      </c>
      <c r="R21" s="7" t="s">
        <v>4749</v>
      </c>
      <c r="S21" s="7" t="s">
        <v>4750</v>
      </c>
      <c r="T21" s="7" t="s">
        <v>1154</v>
      </c>
      <c r="U21" s="7"/>
      <c r="V21" s="7" t="s">
        <v>4751</v>
      </c>
      <c r="W21" s="7"/>
      <c r="X21" s="7" t="s">
        <v>953</v>
      </c>
      <c r="Y21" s="7" t="s">
        <v>529</v>
      </c>
      <c r="Z21" s="7" t="s">
        <v>4635</v>
      </c>
      <c r="AA21" s="7" t="s">
        <v>4752</v>
      </c>
      <c r="AB21" s="7" t="s">
        <v>1086</v>
      </c>
      <c r="AC21" s="6" t="s">
        <v>396</v>
      </c>
      <c r="AD21" s="6" t="s">
        <v>396</v>
      </c>
      <c r="AE21" s="6" t="s">
        <v>406</v>
      </c>
      <c r="AF21" s="6" t="s">
        <v>406</v>
      </c>
      <c r="AG21" s="6" t="s">
        <v>406</v>
      </c>
      <c r="AH21" s="6">
        <v>42</v>
      </c>
      <c r="AI21" s="6">
        <v>42</v>
      </c>
      <c r="AJ21" s="7">
        <v>42</v>
      </c>
      <c r="AK21" s="7">
        <v>42</v>
      </c>
      <c r="AL21" s="6" t="s">
        <v>406</v>
      </c>
      <c r="AM21" s="6" t="s">
        <v>396</v>
      </c>
      <c r="AN21" s="7" t="s">
        <v>396</v>
      </c>
    </row>
    <row r="22" customHeight="1" spans="1:40">
      <c r="A22" s="27" t="s">
        <v>384</v>
      </c>
      <c r="B22" s="6" t="s">
        <v>529</v>
      </c>
      <c r="C22" s="4" t="s">
        <v>957</v>
      </c>
      <c r="D22" s="7" t="s">
        <v>13</v>
      </c>
      <c r="E22" s="29" t="s">
        <v>491</v>
      </c>
      <c r="F22" s="7" t="s">
        <v>4753</v>
      </c>
      <c r="G22" s="7">
        <v>7056988351</v>
      </c>
      <c r="H22" s="7" t="s">
        <v>939</v>
      </c>
      <c r="I22" s="7" t="s">
        <v>4754</v>
      </c>
      <c r="J22" s="7" t="s">
        <v>941</v>
      </c>
      <c r="K22" s="7" t="s">
        <v>942</v>
      </c>
      <c r="L22" s="7" t="s">
        <v>975</v>
      </c>
      <c r="M22" s="7" t="s">
        <v>4755</v>
      </c>
      <c r="N22" s="15">
        <v>25473</v>
      </c>
      <c r="O22" s="7" t="s">
        <v>1028</v>
      </c>
      <c r="P22" s="7" t="s">
        <v>1257</v>
      </c>
      <c r="Q22" s="7" t="s">
        <v>963</v>
      </c>
      <c r="R22" s="7" t="s">
        <v>4756</v>
      </c>
      <c r="S22" s="7" t="s">
        <v>4757</v>
      </c>
      <c r="T22" s="7" t="s">
        <v>1044</v>
      </c>
      <c r="U22" s="7"/>
      <c r="V22" s="7" t="s">
        <v>4758</v>
      </c>
      <c r="W22" s="7"/>
      <c r="X22" s="7" t="s">
        <v>953</v>
      </c>
      <c r="Y22" s="7" t="s">
        <v>529</v>
      </c>
      <c r="Z22" s="7" t="s">
        <v>4635</v>
      </c>
      <c r="AA22" s="7" t="s">
        <v>4759</v>
      </c>
      <c r="AB22" s="7" t="s">
        <v>4679</v>
      </c>
      <c r="AC22" s="6" t="s">
        <v>396</v>
      </c>
      <c r="AD22" s="6" t="s">
        <v>396</v>
      </c>
      <c r="AE22" s="6" t="s">
        <v>396</v>
      </c>
      <c r="AF22" s="6" t="s">
        <v>396</v>
      </c>
      <c r="AG22" s="6" t="s">
        <v>396</v>
      </c>
      <c r="AH22" s="6">
        <v>37</v>
      </c>
      <c r="AI22" s="6">
        <v>37</v>
      </c>
      <c r="AJ22" s="7">
        <v>37</v>
      </c>
      <c r="AK22" s="7">
        <v>38</v>
      </c>
      <c r="AL22" s="6" t="s">
        <v>396</v>
      </c>
      <c r="AM22" s="6" t="s">
        <v>396</v>
      </c>
      <c r="AN22" s="7" t="s">
        <v>396</v>
      </c>
    </row>
    <row r="23" customHeight="1" spans="1:40">
      <c r="A23" s="27" t="s">
        <v>384</v>
      </c>
      <c r="B23" s="6" t="s">
        <v>529</v>
      </c>
      <c r="C23" s="4" t="s">
        <v>957</v>
      </c>
      <c r="D23" s="7" t="s">
        <v>36</v>
      </c>
      <c r="E23" s="6" t="s">
        <v>491</v>
      </c>
      <c r="F23" s="7" t="s">
        <v>4760</v>
      </c>
      <c r="G23" s="7">
        <v>6108986677</v>
      </c>
      <c r="H23" s="7" t="s">
        <v>4761</v>
      </c>
      <c r="I23" s="7" t="s">
        <v>4762</v>
      </c>
      <c r="J23" s="7" t="s">
        <v>941</v>
      </c>
      <c r="K23" s="7" t="s">
        <v>942</v>
      </c>
      <c r="L23" s="7" t="s">
        <v>943</v>
      </c>
      <c r="M23" s="7" t="s">
        <v>4763</v>
      </c>
      <c r="N23" s="15">
        <v>36920</v>
      </c>
      <c r="O23" s="7" t="s">
        <v>945</v>
      </c>
      <c r="P23" s="7" t="s">
        <v>946</v>
      </c>
      <c r="Q23" s="7" t="s">
        <v>963</v>
      </c>
      <c r="R23" s="7" t="s">
        <v>4764</v>
      </c>
      <c r="S23" s="7" t="s">
        <v>4765</v>
      </c>
      <c r="T23" s="7" t="s">
        <v>1030</v>
      </c>
      <c r="U23" s="7"/>
      <c r="V23" s="7" t="s">
        <v>4766</v>
      </c>
      <c r="W23" s="7"/>
      <c r="X23" s="7" t="s">
        <v>953</v>
      </c>
      <c r="Y23" s="7" t="s">
        <v>529</v>
      </c>
      <c r="Z23" s="7" t="s">
        <v>4635</v>
      </c>
      <c r="AA23" s="7" t="s">
        <v>4767</v>
      </c>
      <c r="AB23" s="7" t="s">
        <v>4702</v>
      </c>
      <c r="AC23" s="6" t="s">
        <v>396</v>
      </c>
      <c r="AD23" s="6" t="s">
        <v>396</v>
      </c>
      <c r="AE23" s="6" t="s">
        <v>396</v>
      </c>
      <c r="AF23" s="6" t="s">
        <v>396</v>
      </c>
      <c r="AG23" s="6" t="s">
        <v>396</v>
      </c>
      <c r="AH23" s="6">
        <v>39</v>
      </c>
      <c r="AI23" s="6">
        <v>39</v>
      </c>
      <c r="AJ23" s="7">
        <v>39</v>
      </c>
      <c r="AK23" s="7">
        <v>39</v>
      </c>
      <c r="AL23" s="6" t="s">
        <v>396</v>
      </c>
      <c r="AM23" s="6" t="s">
        <v>396</v>
      </c>
      <c r="AN23" s="7" t="s">
        <v>396</v>
      </c>
    </row>
    <row r="24" customHeight="1" spans="1:40">
      <c r="A24" s="27" t="s">
        <v>384</v>
      </c>
      <c r="B24" s="6" t="s">
        <v>529</v>
      </c>
      <c r="C24" s="4" t="s">
        <v>957</v>
      </c>
      <c r="D24" s="7" t="s">
        <v>38</v>
      </c>
      <c r="E24" s="29" t="s">
        <v>490</v>
      </c>
      <c r="F24" s="7" t="s">
        <v>4768</v>
      </c>
      <c r="G24" s="7">
        <v>7128244841</v>
      </c>
      <c r="H24" s="7" t="s">
        <v>939</v>
      </c>
      <c r="I24" s="7" t="s">
        <v>4769</v>
      </c>
      <c r="J24" s="7" t="s">
        <v>941</v>
      </c>
      <c r="K24" s="7" t="s">
        <v>942</v>
      </c>
      <c r="L24" s="7"/>
      <c r="M24" s="7" t="s">
        <v>4770</v>
      </c>
      <c r="N24" s="15">
        <v>37543</v>
      </c>
      <c r="O24" s="7" t="s">
        <v>945</v>
      </c>
      <c r="P24" s="7" t="s">
        <v>1257</v>
      </c>
      <c r="Q24" s="7" t="s">
        <v>947</v>
      </c>
      <c r="R24" s="7" t="s">
        <v>4771</v>
      </c>
      <c r="S24" s="7" t="s">
        <v>4772</v>
      </c>
      <c r="T24" s="7" t="s">
        <v>1011</v>
      </c>
      <c r="U24" s="7"/>
      <c r="V24" s="7" t="s">
        <v>4773</v>
      </c>
      <c r="W24" s="7"/>
      <c r="X24" s="7" t="s">
        <v>953</v>
      </c>
      <c r="Y24" s="7" t="s">
        <v>529</v>
      </c>
      <c r="Z24" s="7" t="s">
        <v>4635</v>
      </c>
      <c r="AA24" s="7" t="s">
        <v>4774</v>
      </c>
      <c r="AB24" s="7" t="s">
        <v>4702</v>
      </c>
      <c r="AC24" s="6" t="s">
        <v>406</v>
      </c>
      <c r="AD24" s="6" t="s">
        <v>406</v>
      </c>
      <c r="AE24" s="6" t="s">
        <v>406</v>
      </c>
      <c r="AF24" s="6" t="s">
        <v>406</v>
      </c>
      <c r="AG24" s="6" t="s">
        <v>406</v>
      </c>
      <c r="AH24" s="6">
        <v>42</v>
      </c>
      <c r="AI24" s="6">
        <v>42</v>
      </c>
      <c r="AJ24" s="7">
        <v>42</v>
      </c>
      <c r="AK24" s="7">
        <v>42</v>
      </c>
      <c r="AL24" s="6" t="s">
        <v>406</v>
      </c>
      <c r="AM24" s="6" t="s">
        <v>406</v>
      </c>
      <c r="AN24" s="7" t="s">
        <v>396</v>
      </c>
    </row>
    <row r="25" customHeight="1" spans="1:40">
      <c r="A25" s="27" t="s">
        <v>384</v>
      </c>
      <c r="B25" s="6" t="s">
        <v>529</v>
      </c>
      <c r="C25" s="4" t="s">
        <v>957</v>
      </c>
      <c r="D25" s="7" t="s">
        <v>4775</v>
      </c>
      <c r="E25" s="29" t="s">
        <v>971</v>
      </c>
      <c r="F25" s="7" t="s">
        <v>4776</v>
      </c>
      <c r="G25" s="7">
        <v>1098333642</v>
      </c>
      <c r="H25" s="7" t="s">
        <v>939</v>
      </c>
      <c r="I25" s="7" t="s">
        <v>4777</v>
      </c>
      <c r="J25" s="7" t="s">
        <v>942</v>
      </c>
      <c r="K25" s="7" t="s">
        <v>942</v>
      </c>
      <c r="L25" s="7"/>
      <c r="M25" s="7" t="s">
        <v>1619</v>
      </c>
      <c r="N25" s="15">
        <v>33322</v>
      </c>
      <c r="O25" s="7" t="s">
        <v>945</v>
      </c>
      <c r="P25" s="7" t="s">
        <v>946</v>
      </c>
      <c r="Q25" s="7" t="s">
        <v>963</v>
      </c>
      <c r="R25" s="7"/>
      <c r="S25" s="7" t="s">
        <v>1153</v>
      </c>
      <c r="T25" s="7" t="s">
        <v>965</v>
      </c>
      <c r="U25" s="7"/>
      <c r="V25" s="7" t="s">
        <v>4778</v>
      </c>
      <c r="W25" s="7"/>
      <c r="X25" s="7" t="s">
        <v>953</v>
      </c>
      <c r="Y25" s="7" t="s">
        <v>531</v>
      </c>
      <c r="Z25" s="7" t="s">
        <v>4779</v>
      </c>
      <c r="AA25" s="7" t="s">
        <v>4780</v>
      </c>
      <c r="AB25" s="7" t="s">
        <v>4781</v>
      </c>
      <c r="AC25" s="6" t="s">
        <v>406</v>
      </c>
      <c r="AD25" s="6" t="s">
        <v>406</v>
      </c>
      <c r="AE25" s="6" t="s">
        <v>406</v>
      </c>
      <c r="AF25" s="6" t="s">
        <v>406</v>
      </c>
      <c r="AG25" s="6" t="s">
        <v>406</v>
      </c>
      <c r="AH25" s="6">
        <v>43</v>
      </c>
      <c r="AI25" s="6">
        <v>43</v>
      </c>
      <c r="AJ25" s="7">
        <v>43</v>
      </c>
      <c r="AK25" s="7">
        <v>43</v>
      </c>
      <c r="AL25" s="6" t="s">
        <v>406</v>
      </c>
      <c r="AM25" s="6" t="s">
        <v>406</v>
      </c>
      <c r="AN25" s="7" t="s">
        <v>406</v>
      </c>
    </row>
    <row r="26" customHeight="1" spans="1:40">
      <c r="A26" s="27" t="s">
        <v>384</v>
      </c>
      <c r="B26" s="6" t="s">
        <v>529</v>
      </c>
      <c r="C26" s="4" t="s">
        <v>957</v>
      </c>
      <c r="D26" s="7" t="s">
        <v>40</v>
      </c>
      <c r="E26" s="29" t="s">
        <v>971</v>
      </c>
      <c r="F26" s="7" t="s">
        <v>4782</v>
      </c>
      <c r="G26" s="7">
        <v>1101129276</v>
      </c>
      <c r="H26" s="7" t="s">
        <v>939</v>
      </c>
      <c r="I26" s="7" t="s">
        <v>4783</v>
      </c>
      <c r="J26" s="7" t="s">
        <v>942</v>
      </c>
      <c r="K26" s="7" t="s">
        <v>942</v>
      </c>
      <c r="L26" s="7" t="s">
        <v>943</v>
      </c>
      <c r="M26" s="7" t="s">
        <v>4784</v>
      </c>
      <c r="N26" s="15">
        <v>32954</v>
      </c>
      <c r="O26" s="7" t="s">
        <v>1028</v>
      </c>
      <c r="P26" s="7" t="s">
        <v>946</v>
      </c>
      <c r="Q26" s="7" t="s">
        <v>963</v>
      </c>
      <c r="R26" s="7" t="s">
        <v>4785</v>
      </c>
      <c r="S26" s="7" t="s">
        <v>4750</v>
      </c>
      <c r="T26" s="7" t="s">
        <v>1044</v>
      </c>
      <c r="U26" s="7"/>
      <c r="V26" s="7" t="s">
        <v>4786</v>
      </c>
      <c r="W26" s="7"/>
      <c r="X26" s="7" t="s">
        <v>953</v>
      </c>
      <c r="Y26" s="7" t="s">
        <v>529</v>
      </c>
      <c r="Z26" s="7" t="s">
        <v>4635</v>
      </c>
      <c r="AA26" s="7" t="s">
        <v>4787</v>
      </c>
      <c r="AB26" s="7" t="s">
        <v>1277</v>
      </c>
      <c r="AC26" s="6" t="s">
        <v>396</v>
      </c>
      <c r="AD26" s="6" t="s">
        <v>396</v>
      </c>
      <c r="AE26" s="6" t="s">
        <v>396</v>
      </c>
      <c r="AF26" s="6" t="s">
        <v>396</v>
      </c>
      <c r="AG26" s="6" t="s">
        <v>396</v>
      </c>
      <c r="AH26" s="6">
        <v>37</v>
      </c>
      <c r="AI26" s="6">
        <v>37</v>
      </c>
      <c r="AJ26" s="7">
        <v>37</v>
      </c>
      <c r="AK26" s="7">
        <v>37</v>
      </c>
      <c r="AL26" s="6" t="s">
        <v>396</v>
      </c>
      <c r="AM26" s="6" t="s">
        <v>396</v>
      </c>
      <c r="AN26" s="7" t="s">
        <v>396</v>
      </c>
    </row>
    <row r="27" customHeight="1" spans="1:40">
      <c r="A27" s="6"/>
      <c r="B27" s="6"/>
      <c r="C27" s="4"/>
      <c r="D27" s="7" t="s">
        <v>40</v>
      </c>
      <c r="E27" s="6" t="s">
        <v>491</v>
      </c>
      <c r="F27" s="7" t="s">
        <v>4788</v>
      </c>
      <c r="G27" s="7"/>
      <c r="H27" s="7"/>
      <c r="I27" s="7"/>
      <c r="J27" s="7"/>
      <c r="K27" s="7"/>
      <c r="L27" s="7"/>
      <c r="M27" s="7"/>
      <c r="N27" s="15"/>
      <c r="O27" s="7"/>
      <c r="P27" s="7"/>
      <c r="Q27" s="7"/>
      <c r="R27" s="7"/>
      <c r="S27" s="7"/>
      <c r="T27" s="7"/>
      <c r="U27" s="7"/>
      <c r="V27" s="7"/>
      <c r="W27" s="7"/>
      <c r="X27" s="7"/>
      <c r="Y27" s="7"/>
      <c r="Z27" s="7"/>
      <c r="AA27" s="7"/>
      <c r="AB27" s="7"/>
      <c r="AC27" s="6"/>
      <c r="AD27" s="6"/>
      <c r="AE27" s="6"/>
      <c r="AF27" s="6"/>
      <c r="AG27" s="6"/>
      <c r="AH27" s="6"/>
      <c r="AI27" s="6"/>
      <c r="AJ27" s="7"/>
      <c r="AK27" s="7"/>
      <c r="AL27" s="6"/>
      <c r="AM27" s="6"/>
      <c r="AN27" s="7"/>
    </row>
    <row r="28" customHeight="1" spans="1:40">
      <c r="A28" s="6"/>
      <c r="B28" s="6"/>
      <c r="C28" s="4"/>
      <c r="D28" s="7" t="s">
        <v>4789</v>
      </c>
      <c r="E28" s="6" t="s">
        <v>491</v>
      </c>
      <c r="F28" s="7" t="s">
        <v>4790</v>
      </c>
      <c r="G28" s="7"/>
      <c r="H28" s="7"/>
      <c r="I28" s="7"/>
      <c r="J28" s="7"/>
      <c r="K28" s="7"/>
      <c r="L28" s="7"/>
      <c r="M28" s="7"/>
      <c r="N28" s="15"/>
      <c r="O28" s="7"/>
      <c r="P28" s="7"/>
      <c r="Q28" s="7"/>
      <c r="R28" s="7"/>
      <c r="S28" s="7"/>
      <c r="T28" s="7"/>
      <c r="U28" s="7"/>
      <c r="V28" s="7"/>
      <c r="W28" s="7"/>
      <c r="X28" s="7"/>
      <c r="Y28" s="7"/>
      <c r="Z28" s="7"/>
      <c r="AA28" s="7"/>
      <c r="AB28" s="7"/>
      <c r="AC28" s="6"/>
      <c r="AD28" s="6"/>
      <c r="AE28" s="6"/>
      <c r="AF28" s="6"/>
      <c r="AG28" s="6"/>
      <c r="AH28" s="6"/>
      <c r="AI28" s="6"/>
      <c r="AJ28" s="7"/>
      <c r="AK28" s="7"/>
      <c r="AL28" s="6"/>
      <c r="AM28" s="6"/>
      <c r="AN28" s="7"/>
    </row>
    <row r="29" customHeight="1" spans="1:40">
      <c r="A29" s="27" t="s">
        <v>384</v>
      </c>
      <c r="B29" s="6"/>
      <c r="C29" s="4"/>
      <c r="D29" s="7" t="s">
        <v>134</v>
      </c>
      <c r="E29" s="29"/>
      <c r="F29" s="7" t="s">
        <v>4791</v>
      </c>
      <c r="G29" s="7"/>
      <c r="H29" s="7"/>
      <c r="I29" s="7"/>
      <c r="J29" s="7"/>
      <c r="K29" s="7"/>
      <c r="L29" s="7"/>
      <c r="M29" s="7"/>
      <c r="N29" s="15"/>
      <c r="O29" s="7"/>
      <c r="P29" s="7"/>
      <c r="Q29" s="7"/>
      <c r="R29" s="7"/>
      <c r="S29" s="7"/>
      <c r="T29" s="7"/>
      <c r="U29" s="7"/>
      <c r="V29" s="7"/>
      <c r="W29" s="7"/>
      <c r="X29" s="7"/>
      <c r="Y29" s="7"/>
      <c r="Z29" s="7"/>
      <c r="AA29" s="7"/>
      <c r="AB29" s="7"/>
      <c r="AC29" s="6"/>
      <c r="AD29" s="6"/>
      <c r="AE29" s="6"/>
      <c r="AF29" s="6"/>
      <c r="AG29" s="6"/>
      <c r="AH29" s="6"/>
      <c r="AI29" s="6"/>
      <c r="AJ29" s="7"/>
      <c r="AK29" s="7"/>
      <c r="AL29" s="6"/>
      <c r="AM29" s="6"/>
      <c r="AN29" s="7"/>
    </row>
    <row r="30" customHeight="1" spans="1:40">
      <c r="A30" s="27" t="s">
        <v>384</v>
      </c>
      <c r="B30" s="6" t="s">
        <v>529</v>
      </c>
      <c r="C30" s="4" t="s">
        <v>957</v>
      </c>
      <c r="D30" s="7" t="s">
        <v>42</v>
      </c>
      <c r="E30" s="29" t="s">
        <v>491</v>
      </c>
      <c r="F30" s="7" t="s">
        <v>4792</v>
      </c>
      <c r="G30" s="7">
        <v>7082934618</v>
      </c>
      <c r="H30" s="7" t="s">
        <v>4629</v>
      </c>
      <c r="I30" s="7" t="s">
        <v>4793</v>
      </c>
      <c r="J30" s="7" t="s">
        <v>941</v>
      </c>
      <c r="K30" s="7" t="s">
        <v>942</v>
      </c>
      <c r="L30" s="7" t="s">
        <v>975</v>
      </c>
      <c r="M30" s="7" t="s">
        <v>4794</v>
      </c>
      <c r="N30" s="15">
        <v>30627</v>
      </c>
      <c r="O30" s="7" t="s">
        <v>945</v>
      </c>
      <c r="P30" s="7" t="s">
        <v>1257</v>
      </c>
      <c r="Q30" s="7" t="s">
        <v>1245</v>
      </c>
      <c r="R30" s="7" t="s">
        <v>4795</v>
      </c>
      <c r="S30" s="7" t="s">
        <v>1153</v>
      </c>
      <c r="T30" s="7" t="s">
        <v>950</v>
      </c>
      <c r="U30" s="7"/>
      <c r="V30" s="7" t="s">
        <v>4796</v>
      </c>
      <c r="W30" s="7" t="s">
        <v>4797</v>
      </c>
      <c r="X30" s="7" t="s">
        <v>953</v>
      </c>
      <c r="Y30" s="7" t="s">
        <v>529</v>
      </c>
      <c r="Z30" s="7" t="s">
        <v>4626</v>
      </c>
      <c r="AA30" s="7" t="s">
        <v>4798</v>
      </c>
      <c r="AB30" s="7" t="s">
        <v>4702</v>
      </c>
      <c r="AC30" s="6" t="s">
        <v>406</v>
      </c>
      <c r="AD30" s="6" t="s">
        <v>406</v>
      </c>
      <c r="AE30" s="6" t="s">
        <v>406</v>
      </c>
      <c r="AF30" s="6" t="s">
        <v>406</v>
      </c>
      <c r="AG30" s="6" t="s">
        <v>406</v>
      </c>
      <c r="AH30" s="6">
        <v>42</v>
      </c>
      <c r="AI30" s="6">
        <v>42</v>
      </c>
      <c r="AJ30" s="7">
        <v>42</v>
      </c>
      <c r="AK30" s="7">
        <v>42</v>
      </c>
      <c r="AL30" s="6" t="s">
        <v>406</v>
      </c>
      <c r="AM30" s="6" t="s">
        <v>406</v>
      </c>
      <c r="AN30" s="7" t="s">
        <v>396</v>
      </c>
    </row>
    <row r="31" customHeight="1" spans="1:40">
      <c r="A31" s="27" t="s">
        <v>384</v>
      </c>
      <c r="B31" s="6" t="s">
        <v>529</v>
      </c>
      <c r="C31" s="4" t="s">
        <v>957</v>
      </c>
      <c r="D31" s="7" t="s">
        <v>45</v>
      </c>
      <c r="E31" s="29" t="s">
        <v>491</v>
      </c>
      <c r="F31" s="7" t="s">
        <v>4799</v>
      </c>
      <c r="G31" s="7">
        <v>3110929431</v>
      </c>
      <c r="H31" s="7" t="s">
        <v>939</v>
      </c>
      <c r="I31" s="7" t="s">
        <v>4800</v>
      </c>
      <c r="J31" s="7"/>
      <c r="K31" s="7" t="s">
        <v>942</v>
      </c>
      <c r="L31" s="7" t="s">
        <v>1026</v>
      </c>
      <c r="M31" s="7" t="s">
        <v>1133</v>
      </c>
      <c r="N31" s="15">
        <v>35826</v>
      </c>
      <c r="O31" s="7" t="s">
        <v>945</v>
      </c>
      <c r="P31" s="7" t="s">
        <v>946</v>
      </c>
      <c r="Q31" s="7" t="s">
        <v>963</v>
      </c>
      <c r="R31" s="7" t="s">
        <v>4801</v>
      </c>
      <c r="S31" s="7" t="s">
        <v>4729</v>
      </c>
      <c r="T31" s="7" t="s">
        <v>1044</v>
      </c>
      <c r="U31" s="7"/>
      <c r="V31" s="7" t="s">
        <v>4802</v>
      </c>
      <c r="W31" s="7"/>
      <c r="X31" s="7" t="s">
        <v>953</v>
      </c>
      <c r="Y31" s="7" t="s">
        <v>529</v>
      </c>
      <c r="Z31" s="7" t="s">
        <v>4635</v>
      </c>
      <c r="AA31" s="7" t="s">
        <v>4803</v>
      </c>
      <c r="AB31" s="7" t="s">
        <v>4804</v>
      </c>
      <c r="AC31" s="6" t="s">
        <v>395</v>
      </c>
      <c r="AD31" s="6" t="s">
        <v>395</v>
      </c>
      <c r="AE31" s="6" t="s">
        <v>395</v>
      </c>
      <c r="AF31" s="6" t="s">
        <v>395</v>
      </c>
      <c r="AG31" s="6" t="s">
        <v>395</v>
      </c>
      <c r="AH31" s="6">
        <v>37</v>
      </c>
      <c r="AI31" s="6">
        <v>37</v>
      </c>
      <c r="AJ31" s="7">
        <v>37</v>
      </c>
      <c r="AK31" s="7">
        <v>37</v>
      </c>
      <c r="AL31" s="6" t="s">
        <v>395</v>
      </c>
      <c r="AM31" s="6" t="s">
        <v>395</v>
      </c>
      <c r="AN31" s="7" t="s">
        <v>395</v>
      </c>
    </row>
    <row r="32" customHeight="1" spans="1:40">
      <c r="A32" s="27" t="s">
        <v>384</v>
      </c>
      <c r="B32" s="6" t="s">
        <v>529</v>
      </c>
      <c r="C32" s="4" t="s">
        <v>957</v>
      </c>
      <c r="D32" s="7" t="s">
        <v>47</v>
      </c>
      <c r="E32" s="29" t="s">
        <v>490</v>
      </c>
      <c r="F32" s="7" t="s">
        <v>4805</v>
      </c>
      <c r="G32" s="7">
        <v>2056293117</v>
      </c>
      <c r="H32" s="7" t="s">
        <v>939</v>
      </c>
      <c r="I32" s="7" t="s">
        <v>4806</v>
      </c>
      <c r="J32" s="7" t="s">
        <v>941</v>
      </c>
      <c r="K32" s="7" t="s">
        <v>942</v>
      </c>
      <c r="L32" s="7" t="s">
        <v>1068</v>
      </c>
      <c r="M32" s="7" t="s">
        <v>4536</v>
      </c>
      <c r="N32" s="15">
        <v>23605</v>
      </c>
      <c r="O32" s="7" t="s">
        <v>1028</v>
      </c>
      <c r="P32" s="7" t="s">
        <v>946</v>
      </c>
      <c r="Q32" s="7" t="s">
        <v>1245</v>
      </c>
      <c r="R32" s="7" t="s">
        <v>4807</v>
      </c>
      <c r="S32" s="7" t="s">
        <v>4714</v>
      </c>
      <c r="T32" s="7" t="s">
        <v>1044</v>
      </c>
      <c r="U32" s="7"/>
      <c r="V32" s="7" t="s">
        <v>4808</v>
      </c>
      <c r="W32" s="7" t="s">
        <v>4633</v>
      </c>
      <c r="X32" s="7" t="s">
        <v>953</v>
      </c>
      <c r="Y32" s="7" t="s">
        <v>529</v>
      </c>
      <c r="Z32" s="7" t="s">
        <v>4635</v>
      </c>
      <c r="AA32" s="7" t="s">
        <v>4809</v>
      </c>
      <c r="AB32" s="7" t="s">
        <v>1086</v>
      </c>
      <c r="AC32" s="6" t="s">
        <v>396</v>
      </c>
      <c r="AD32" s="6" t="s">
        <v>396</v>
      </c>
      <c r="AE32" s="6" t="s">
        <v>396</v>
      </c>
      <c r="AF32" s="6" t="s">
        <v>406</v>
      </c>
      <c r="AG32" s="6" t="s">
        <v>396</v>
      </c>
      <c r="AH32" s="6">
        <v>34</v>
      </c>
      <c r="AI32" s="6">
        <v>34</v>
      </c>
      <c r="AJ32" s="7">
        <v>34</v>
      </c>
      <c r="AK32" s="7">
        <v>35</v>
      </c>
      <c r="AL32" s="6" t="s">
        <v>396</v>
      </c>
      <c r="AM32" s="6" t="s">
        <v>396</v>
      </c>
      <c r="AN32" s="7" t="s">
        <v>396</v>
      </c>
    </row>
    <row r="33" customHeight="1" spans="1:40">
      <c r="A33" s="27" t="s">
        <v>384</v>
      </c>
      <c r="B33" s="6" t="s">
        <v>529</v>
      </c>
      <c r="C33" s="4" t="s">
        <v>957</v>
      </c>
      <c r="D33" s="7" t="s">
        <v>4810</v>
      </c>
      <c r="E33" s="29" t="s">
        <v>971</v>
      </c>
      <c r="F33" s="7" t="s">
        <v>4811</v>
      </c>
      <c r="G33" s="7">
        <v>1084827441</v>
      </c>
      <c r="H33" s="7" t="s">
        <v>939</v>
      </c>
      <c r="I33" s="7" t="s">
        <v>4681</v>
      </c>
      <c r="J33" s="7" t="s">
        <v>941</v>
      </c>
      <c r="K33" s="7" t="s">
        <v>942</v>
      </c>
      <c r="L33" s="7" t="s">
        <v>943</v>
      </c>
      <c r="M33" s="7" t="s">
        <v>4812</v>
      </c>
      <c r="N33" s="15">
        <v>30802</v>
      </c>
      <c r="O33" s="7" t="s">
        <v>1028</v>
      </c>
      <c r="P33" s="7" t="s">
        <v>946</v>
      </c>
      <c r="Q33" s="7" t="s">
        <v>1245</v>
      </c>
      <c r="R33" s="7" t="s">
        <v>4813</v>
      </c>
      <c r="S33" s="7" t="s">
        <v>4814</v>
      </c>
      <c r="T33" s="7" t="s">
        <v>1369</v>
      </c>
      <c r="U33" s="7"/>
      <c r="V33" s="7" t="s">
        <v>4815</v>
      </c>
      <c r="W33" s="7"/>
      <c r="X33" s="7" t="s">
        <v>953</v>
      </c>
      <c r="Y33" s="7" t="s">
        <v>529</v>
      </c>
      <c r="Z33" s="7" t="s">
        <v>4626</v>
      </c>
      <c r="AA33" s="7" t="s">
        <v>4816</v>
      </c>
      <c r="AB33" s="7" t="s">
        <v>1086</v>
      </c>
      <c r="AC33" s="6" t="s">
        <v>396</v>
      </c>
      <c r="AD33" s="6" t="s">
        <v>396</v>
      </c>
      <c r="AE33" s="6" t="s">
        <v>396</v>
      </c>
      <c r="AF33" s="6" t="s">
        <v>396</v>
      </c>
      <c r="AG33" s="6" t="s">
        <v>396</v>
      </c>
      <c r="AH33" s="6">
        <v>35</v>
      </c>
      <c r="AI33" s="6">
        <v>35</v>
      </c>
      <c r="AJ33" s="7">
        <v>35</v>
      </c>
      <c r="AK33" s="7">
        <v>35</v>
      </c>
      <c r="AL33" s="6" t="s">
        <v>396</v>
      </c>
      <c r="AM33" s="6" t="s">
        <v>396</v>
      </c>
      <c r="AN33" s="7" t="s">
        <v>395</v>
      </c>
    </row>
    <row r="34" customHeight="1" spans="1:40">
      <c r="A34" s="27" t="s">
        <v>384</v>
      </c>
      <c r="B34" s="6" t="s">
        <v>529</v>
      </c>
      <c r="C34" s="4" t="s">
        <v>957</v>
      </c>
      <c r="D34" s="7" t="s">
        <v>49</v>
      </c>
      <c r="E34" s="29" t="s">
        <v>490</v>
      </c>
      <c r="F34" s="7" t="s">
        <v>4817</v>
      </c>
      <c r="G34" s="7">
        <v>9124345043</v>
      </c>
      <c r="H34" s="7" t="s">
        <v>939</v>
      </c>
      <c r="I34" s="7" t="s">
        <v>4818</v>
      </c>
      <c r="J34" s="7" t="s">
        <v>941</v>
      </c>
      <c r="K34" s="7" t="s">
        <v>942</v>
      </c>
      <c r="L34" s="7" t="s">
        <v>975</v>
      </c>
      <c r="M34" s="7" t="s">
        <v>4819</v>
      </c>
      <c r="N34" s="15">
        <v>35856</v>
      </c>
      <c r="O34" s="7" t="s">
        <v>1028</v>
      </c>
      <c r="P34" s="7" t="s">
        <v>1041</v>
      </c>
      <c r="Q34" s="7" t="s">
        <v>947</v>
      </c>
      <c r="R34" s="7" t="s">
        <v>4820</v>
      </c>
      <c r="S34" s="7" t="s">
        <v>4699</v>
      </c>
      <c r="T34" s="7" t="s">
        <v>1208</v>
      </c>
      <c r="U34" s="7"/>
      <c r="V34" s="7" t="s">
        <v>4821</v>
      </c>
      <c r="W34" s="7"/>
      <c r="X34" s="7" t="s">
        <v>953</v>
      </c>
      <c r="Y34" s="7" t="s">
        <v>529</v>
      </c>
      <c r="Z34" s="7" t="s">
        <v>4635</v>
      </c>
      <c r="AA34" s="7" t="s">
        <v>4822</v>
      </c>
      <c r="AB34" s="7" t="s">
        <v>4653</v>
      </c>
      <c r="AC34" s="6" t="s">
        <v>398</v>
      </c>
      <c r="AD34" s="6" t="s">
        <v>398</v>
      </c>
      <c r="AE34" s="6" t="s">
        <v>398</v>
      </c>
      <c r="AF34" s="6" t="s">
        <v>398</v>
      </c>
      <c r="AG34" s="6" t="s">
        <v>398</v>
      </c>
      <c r="AH34" s="6">
        <v>36</v>
      </c>
      <c r="AI34" s="6">
        <v>36</v>
      </c>
      <c r="AJ34" s="7">
        <v>36</v>
      </c>
      <c r="AK34" s="7">
        <v>36</v>
      </c>
      <c r="AL34" s="6" t="s">
        <v>398</v>
      </c>
      <c r="AM34" s="6" t="s">
        <v>398</v>
      </c>
      <c r="AN34" s="7" t="s">
        <v>406</v>
      </c>
    </row>
    <row r="35" customHeight="1" spans="1:40">
      <c r="A35" s="27" t="s">
        <v>384</v>
      </c>
      <c r="B35" s="6" t="s">
        <v>529</v>
      </c>
      <c r="C35" s="4" t="s">
        <v>957</v>
      </c>
      <c r="D35" s="7" t="s">
        <v>4823</v>
      </c>
      <c r="E35" s="29" t="s">
        <v>491</v>
      </c>
      <c r="F35" s="7" t="s">
        <v>4824</v>
      </c>
      <c r="G35" s="7">
        <v>2065316164</v>
      </c>
      <c r="H35" s="7" t="s">
        <v>939</v>
      </c>
      <c r="I35" s="7" t="s">
        <v>4825</v>
      </c>
      <c r="J35" s="7" t="s">
        <v>941</v>
      </c>
      <c r="K35" s="7" t="s">
        <v>942</v>
      </c>
      <c r="L35" s="7" t="s">
        <v>975</v>
      </c>
      <c r="M35" s="7" t="s">
        <v>4447</v>
      </c>
      <c r="N35" s="15">
        <v>29833</v>
      </c>
      <c r="O35" s="7" t="s">
        <v>945</v>
      </c>
      <c r="P35" s="7" t="s">
        <v>946</v>
      </c>
      <c r="Q35" s="7" t="s">
        <v>963</v>
      </c>
      <c r="R35" s="7" t="s">
        <v>4826</v>
      </c>
      <c r="S35" s="7" t="s">
        <v>4827</v>
      </c>
      <c r="T35" s="7" t="s">
        <v>1030</v>
      </c>
      <c r="U35" s="7"/>
      <c r="V35" s="7" t="s">
        <v>4828</v>
      </c>
      <c r="W35" s="7"/>
      <c r="X35" s="7" t="s">
        <v>953</v>
      </c>
      <c r="Y35" s="7" t="s">
        <v>529</v>
      </c>
      <c r="Z35" s="7" t="s">
        <v>4635</v>
      </c>
      <c r="AA35" s="7" t="s">
        <v>4829</v>
      </c>
      <c r="AB35" s="7" t="s">
        <v>1086</v>
      </c>
      <c r="AC35" s="6" t="s">
        <v>396</v>
      </c>
      <c r="AD35" s="6" t="s">
        <v>396</v>
      </c>
      <c r="AE35" s="6" t="s">
        <v>396</v>
      </c>
      <c r="AF35" s="6" t="s">
        <v>396</v>
      </c>
      <c r="AG35" s="6" t="s">
        <v>396</v>
      </c>
      <c r="AH35" s="6">
        <v>41</v>
      </c>
      <c r="AI35" s="6">
        <v>41</v>
      </c>
      <c r="AJ35" s="7">
        <v>41</v>
      </c>
      <c r="AK35" s="7">
        <v>41</v>
      </c>
      <c r="AL35" s="6" t="s">
        <v>396</v>
      </c>
      <c r="AM35" s="6" t="s">
        <v>396</v>
      </c>
      <c r="AN35" s="7" t="s">
        <v>396</v>
      </c>
    </row>
    <row r="36" customHeight="1" spans="1:40">
      <c r="A36" s="27" t="s">
        <v>384</v>
      </c>
      <c r="B36" s="6"/>
      <c r="C36" s="4"/>
      <c r="D36" s="7" t="s">
        <v>136</v>
      </c>
      <c r="E36" s="29"/>
      <c r="F36" s="7" t="s">
        <v>4830</v>
      </c>
      <c r="G36" s="7"/>
      <c r="H36" s="7"/>
      <c r="I36" s="7"/>
      <c r="J36" s="7"/>
      <c r="K36" s="7"/>
      <c r="L36" s="7"/>
      <c r="M36" s="7"/>
      <c r="N36" s="15"/>
      <c r="O36" s="7"/>
      <c r="P36" s="7"/>
      <c r="Q36" s="7"/>
      <c r="R36" s="7"/>
      <c r="S36" s="7"/>
      <c r="T36" s="7"/>
      <c r="U36" s="7"/>
      <c r="V36" s="7"/>
      <c r="W36" s="7"/>
      <c r="X36" s="7"/>
      <c r="Y36" s="7"/>
      <c r="Z36" s="7"/>
      <c r="AA36" s="7"/>
      <c r="AB36" s="7"/>
      <c r="AC36" s="6"/>
      <c r="AD36" s="6"/>
      <c r="AE36" s="6"/>
      <c r="AF36" s="6"/>
      <c r="AG36" s="6"/>
      <c r="AH36" s="6"/>
      <c r="AI36" s="6"/>
      <c r="AJ36" s="7"/>
      <c r="AK36" s="7"/>
      <c r="AL36" s="6"/>
      <c r="AM36" s="6"/>
      <c r="AN36" s="7"/>
    </row>
    <row r="37" customHeight="1" spans="1:40">
      <c r="A37" s="27" t="s">
        <v>384</v>
      </c>
      <c r="B37" s="6" t="s">
        <v>529</v>
      </c>
      <c r="C37" s="4" t="s">
        <v>957</v>
      </c>
      <c r="D37" s="7" t="s">
        <v>4831</v>
      </c>
      <c r="E37" s="29" t="s">
        <v>491</v>
      </c>
      <c r="F37" s="7" t="s">
        <v>4832</v>
      </c>
      <c r="G37" s="7">
        <v>7045296154</v>
      </c>
      <c r="H37" s="7" t="s">
        <v>939</v>
      </c>
      <c r="I37" s="7"/>
      <c r="J37" s="7" t="s">
        <v>941</v>
      </c>
      <c r="K37" s="7" t="s">
        <v>942</v>
      </c>
      <c r="L37" s="7" t="s">
        <v>975</v>
      </c>
      <c r="M37" s="7" t="s">
        <v>3419</v>
      </c>
      <c r="N37" s="15">
        <v>24485</v>
      </c>
      <c r="O37" s="7" t="s">
        <v>945</v>
      </c>
      <c r="P37" s="7" t="s">
        <v>946</v>
      </c>
      <c r="Q37" s="7" t="s">
        <v>963</v>
      </c>
      <c r="R37" s="7" t="s">
        <v>4833</v>
      </c>
      <c r="S37" s="7" t="s">
        <v>4750</v>
      </c>
      <c r="T37" s="7" t="s">
        <v>1011</v>
      </c>
      <c r="U37" s="7"/>
      <c r="V37" s="7" t="s">
        <v>4834</v>
      </c>
      <c r="W37" s="7"/>
      <c r="X37" s="7" t="s">
        <v>953</v>
      </c>
      <c r="Y37" s="7" t="s">
        <v>529</v>
      </c>
      <c r="Z37" s="7" t="s">
        <v>4635</v>
      </c>
      <c r="AA37" s="7" t="s">
        <v>4759</v>
      </c>
      <c r="AB37" s="7" t="s">
        <v>4679</v>
      </c>
      <c r="AC37" s="6" t="s">
        <v>406</v>
      </c>
      <c r="AD37" s="6" t="s">
        <v>406</v>
      </c>
      <c r="AE37" s="6" t="s">
        <v>406</v>
      </c>
      <c r="AF37" s="6" t="s">
        <v>406</v>
      </c>
      <c r="AG37" s="6" t="s">
        <v>406</v>
      </c>
      <c r="AH37" s="6">
        <v>42</v>
      </c>
      <c r="AI37" s="6">
        <v>42</v>
      </c>
      <c r="AJ37" s="7">
        <v>42</v>
      </c>
      <c r="AK37" s="7">
        <v>42</v>
      </c>
      <c r="AL37" s="6" t="s">
        <v>406</v>
      </c>
      <c r="AM37" s="6" t="s">
        <v>406</v>
      </c>
      <c r="AN37" s="7" t="s">
        <v>396</v>
      </c>
    </row>
    <row r="38" customHeight="1" spans="1:40">
      <c r="A38" s="27" t="s">
        <v>384</v>
      </c>
      <c r="B38" s="6" t="s">
        <v>529</v>
      </c>
      <c r="C38" s="4" t="s">
        <v>957</v>
      </c>
      <c r="D38" s="7" t="s">
        <v>54</v>
      </c>
      <c r="E38" s="29" t="s">
        <v>491</v>
      </c>
      <c r="F38" s="7" t="s">
        <v>4835</v>
      </c>
      <c r="G38" s="7">
        <v>6112641698</v>
      </c>
      <c r="H38" s="7" t="s">
        <v>939</v>
      </c>
      <c r="I38" s="7" t="s">
        <v>4836</v>
      </c>
      <c r="J38" s="7" t="s">
        <v>941</v>
      </c>
      <c r="K38" s="7" t="s">
        <v>942</v>
      </c>
      <c r="L38" s="7" t="s">
        <v>975</v>
      </c>
      <c r="M38" s="7" t="s">
        <v>4519</v>
      </c>
      <c r="N38" s="15">
        <v>35374</v>
      </c>
      <c r="O38" s="7" t="s">
        <v>945</v>
      </c>
      <c r="P38" s="7" t="s">
        <v>946</v>
      </c>
      <c r="Q38" s="7" t="s">
        <v>963</v>
      </c>
      <c r="R38" s="7" t="s">
        <v>4837</v>
      </c>
      <c r="S38" s="7" t="s">
        <v>4624</v>
      </c>
      <c r="T38" s="7" t="s">
        <v>1030</v>
      </c>
      <c r="U38" s="7"/>
      <c r="V38" s="7" t="s">
        <v>4838</v>
      </c>
      <c r="W38" s="7" t="s">
        <v>4839</v>
      </c>
      <c r="X38" s="7" t="s">
        <v>953</v>
      </c>
      <c r="Y38" s="7" t="s">
        <v>575</v>
      </c>
      <c r="Z38" s="7" t="s">
        <v>4840</v>
      </c>
      <c r="AA38" s="7" t="s">
        <v>4841</v>
      </c>
      <c r="AB38" s="7" t="s">
        <v>4842</v>
      </c>
      <c r="AC38" s="6" t="s">
        <v>398</v>
      </c>
      <c r="AD38" s="6" t="s">
        <v>398</v>
      </c>
      <c r="AE38" s="6" t="s">
        <v>398</v>
      </c>
      <c r="AF38" s="6" t="s">
        <v>398</v>
      </c>
      <c r="AG38" s="6" t="s">
        <v>398</v>
      </c>
      <c r="AH38" s="6">
        <v>40</v>
      </c>
      <c r="AI38" s="6">
        <v>40</v>
      </c>
      <c r="AJ38" s="7">
        <v>40</v>
      </c>
      <c r="AK38" s="7">
        <v>40</v>
      </c>
      <c r="AL38" s="6" t="s">
        <v>398</v>
      </c>
      <c r="AM38" s="6" t="s">
        <v>398</v>
      </c>
      <c r="AN38" s="7" t="s">
        <v>406</v>
      </c>
    </row>
    <row r="39" customHeight="1" spans="1:40">
      <c r="A39" s="27" t="s">
        <v>384</v>
      </c>
      <c r="B39" s="6" t="s">
        <v>529</v>
      </c>
      <c r="C39" s="4" t="s">
        <v>957</v>
      </c>
      <c r="D39" s="7" t="s">
        <v>56</v>
      </c>
      <c r="E39" s="29" t="s">
        <v>491</v>
      </c>
      <c r="F39" s="7" t="s">
        <v>4843</v>
      </c>
      <c r="G39" s="7">
        <v>1084826864</v>
      </c>
      <c r="H39" s="7" t="s">
        <v>939</v>
      </c>
      <c r="I39" s="7" t="s">
        <v>4844</v>
      </c>
      <c r="J39" s="7" t="s">
        <v>941</v>
      </c>
      <c r="K39" s="7" t="s">
        <v>942</v>
      </c>
      <c r="L39" s="7" t="s">
        <v>975</v>
      </c>
      <c r="M39" s="7" t="s">
        <v>4845</v>
      </c>
      <c r="N39" s="15">
        <v>30745</v>
      </c>
      <c r="O39" s="7" t="s">
        <v>1028</v>
      </c>
      <c r="P39" s="7" t="s">
        <v>1041</v>
      </c>
      <c r="Q39" s="7" t="s">
        <v>1245</v>
      </c>
      <c r="R39" s="7" t="s">
        <v>4846</v>
      </c>
      <c r="S39" s="7" t="s">
        <v>4650</v>
      </c>
      <c r="T39" s="7" t="s">
        <v>1044</v>
      </c>
      <c r="U39" s="7"/>
      <c r="V39" s="7" t="s">
        <v>4847</v>
      </c>
      <c r="W39" s="7" t="s">
        <v>4848</v>
      </c>
      <c r="X39" s="7" t="s">
        <v>953</v>
      </c>
      <c r="Y39" s="7" t="s">
        <v>529</v>
      </c>
      <c r="Z39" s="7" t="s">
        <v>4635</v>
      </c>
      <c r="AA39" s="7" t="s">
        <v>4849</v>
      </c>
      <c r="AB39" s="7" t="s">
        <v>1086</v>
      </c>
      <c r="AC39" s="6" t="s">
        <v>396</v>
      </c>
      <c r="AD39" s="6" t="s">
        <v>406</v>
      </c>
      <c r="AE39" s="6" t="s">
        <v>396</v>
      </c>
      <c r="AF39" s="6" t="s">
        <v>396</v>
      </c>
      <c r="AG39" s="6" t="s">
        <v>396</v>
      </c>
      <c r="AH39" s="6">
        <v>34</v>
      </c>
      <c r="AI39" s="6">
        <v>34</v>
      </c>
      <c r="AJ39" s="7">
        <v>34</v>
      </c>
      <c r="AK39" s="7">
        <v>34</v>
      </c>
      <c r="AL39" s="6" t="s">
        <v>406</v>
      </c>
      <c r="AM39" s="6" t="s">
        <v>406</v>
      </c>
      <c r="AN39" s="7" t="s">
        <v>396</v>
      </c>
    </row>
    <row r="40" customHeight="1" spans="1:40">
      <c r="A40" s="27" t="s">
        <v>384</v>
      </c>
      <c r="B40" s="6"/>
      <c r="C40" s="4"/>
      <c r="D40" s="7" t="s">
        <v>138</v>
      </c>
      <c r="E40" s="29"/>
      <c r="F40" s="7" t="s">
        <v>4850</v>
      </c>
      <c r="G40" s="7"/>
      <c r="H40" s="7"/>
      <c r="I40" s="7"/>
      <c r="J40" s="7"/>
      <c r="K40" s="7"/>
      <c r="L40" s="7"/>
      <c r="M40" s="7"/>
      <c r="N40" s="15"/>
      <c r="O40" s="7"/>
      <c r="P40" s="7"/>
      <c r="Q40" s="7"/>
      <c r="R40" s="7"/>
      <c r="S40" s="7"/>
      <c r="T40" s="7"/>
      <c r="U40" s="7"/>
      <c r="V40" s="7"/>
      <c r="W40" s="7"/>
      <c r="X40" s="7"/>
      <c r="Y40" s="7"/>
      <c r="Z40" s="7"/>
      <c r="AA40" s="7"/>
      <c r="AB40" s="7"/>
      <c r="AC40" s="6"/>
      <c r="AD40" s="6"/>
      <c r="AE40" s="6"/>
      <c r="AF40" s="6"/>
      <c r="AG40" s="6"/>
      <c r="AH40" s="6"/>
      <c r="AI40" s="6"/>
      <c r="AJ40" s="7"/>
      <c r="AK40" s="7"/>
      <c r="AL40" s="6"/>
      <c r="AM40" s="6"/>
      <c r="AN40" s="7"/>
    </row>
    <row r="41" customHeight="1" spans="1:40">
      <c r="A41" s="27" t="s">
        <v>384</v>
      </c>
      <c r="B41" s="6" t="s">
        <v>529</v>
      </c>
      <c r="C41" s="4" t="s">
        <v>957</v>
      </c>
      <c r="D41" s="7" t="s">
        <v>58</v>
      </c>
      <c r="E41" s="29" t="s">
        <v>491</v>
      </c>
      <c r="F41" s="7" t="s">
        <v>4851</v>
      </c>
      <c r="G41" s="7">
        <v>1103940902</v>
      </c>
      <c r="H41" s="7" t="s">
        <v>939</v>
      </c>
      <c r="I41" s="7" t="s">
        <v>4852</v>
      </c>
      <c r="J41" s="7" t="s">
        <v>941</v>
      </c>
      <c r="K41" s="7" t="s">
        <v>942</v>
      </c>
      <c r="L41" s="7" t="s">
        <v>943</v>
      </c>
      <c r="M41" s="7" t="s">
        <v>4853</v>
      </c>
      <c r="N41" s="15">
        <v>33757</v>
      </c>
      <c r="O41" s="7" t="s">
        <v>1028</v>
      </c>
      <c r="P41" s="7" t="s">
        <v>946</v>
      </c>
      <c r="Q41" s="7" t="s">
        <v>963</v>
      </c>
      <c r="R41" s="7" t="s">
        <v>4854</v>
      </c>
      <c r="S41" s="7" t="s">
        <v>4855</v>
      </c>
      <c r="T41" s="7" t="s">
        <v>1369</v>
      </c>
      <c r="U41" s="7"/>
      <c r="V41" s="7"/>
      <c r="W41" s="7" t="s">
        <v>4856</v>
      </c>
      <c r="X41" s="7" t="s">
        <v>953</v>
      </c>
      <c r="Y41" s="7" t="s">
        <v>529</v>
      </c>
      <c r="Z41" s="7" t="s">
        <v>4635</v>
      </c>
      <c r="AA41" s="7" t="s">
        <v>4745</v>
      </c>
      <c r="AB41" s="7" t="s">
        <v>4746</v>
      </c>
      <c r="AC41" s="6" t="s">
        <v>396</v>
      </c>
      <c r="AD41" s="6" t="s">
        <v>396</v>
      </c>
      <c r="AE41" s="6" t="s">
        <v>396</v>
      </c>
      <c r="AF41" s="6" t="s">
        <v>396</v>
      </c>
      <c r="AG41" s="6" t="s">
        <v>396</v>
      </c>
      <c r="AH41" s="6">
        <v>35</v>
      </c>
      <c r="AI41" s="6">
        <v>35</v>
      </c>
      <c r="AJ41" s="7">
        <v>35</v>
      </c>
      <c r="AK41" s="7">
        <v>35</v>
      </c>
      <c r="AL41" s="6" t="s">
        <v>396</v>
      </c>
      <c r="AM41" s="6" t="s">
        <v>396</v>
      </c>
      <c r="AN41" s="7" t="s">
        <v>396</v>
      </c>
    </row>
    <row r="42" customHeight="1" spans="1:40">
      <c r="A42" s="6"/>
      <c r="B42" s="6"/>
      <c r="C42" s="4"/>
      <c r="D42" s="7" t="s">
        <v>4857</v>
      </c>
      <c r="E42" s="6" t="s">
        <v>492</v>
      </c>
      <c r="F42" s="7" t="s">
        <v>4858</v>
      </c>
      <c r="G42" s="7"/>
      <c r="H42" s="7"/>
      <c r="I42" s="7"/>
      <c r="J42" s="7"/>
      <c r="K42" s="7"/>
      <c r="L42" s="7"/>
      <c r="M42" s="7"/>
      <c r="N42" s="15"/>
      <c r="O42" s="7"/>
      <c r="P42" s="7"/>
      <c r="Q42" s="7"/>
      <c r="R42" s="7"/>
      <c r="S42" s="7"/>
      <c r="T42" s="7"/>
      <c r="U42" s="7"/>
      <c r="V42" s="7"/>
      <c r="W42" s="7"/>
      <c r="X42" s="7"/>
      <c r="Y42" s="7"/>
      <c r="Z42" s="7"/>
      <c r="AA42" s="7"/>
      <c r="AB42" s="7"/>
      <c r="AC42" s="6"/>
      <c r="AD42" s="6"/>
      <c r="AE42" s="6"/>
      <c r="AF42" s="6"/>
      <c r="AG42" s="6"/>
      <c r="AH42" s="6"/>
      <c r="AI42" s="6"/>
      <c r="AJ42" s="7"/>
      <c r="AK42" s="7"/>
      <c r="AL42" s="6"/>
      <c r="AM42" s="6"/>
      <c r="AN42" s="7"/>
    </row>
    <row r="43" customHeight="1" spans="1:40">
      <c r="A43" s="27" t="s">
        <v>384</v>
      </c>
      <c r="B43" s="6"/>
      <c r="C43" s="4"/>
      <c r="D43" s="7" t="s">
        <v>142</v>
      </c>
      <c r="E43" s="29"/>
      <c r="F43" s="7" t="s">
        <v>4859</v>
      </c>
      <c r="G43" s="7"/>
      <c r="H43" s="7"/>
      <c r="I43" s="7"/>
      <c r="J43" s="7"/>
      <c r="K43" s="7"/>
      <c r="L43" s="7"/>
      <c r="M43" s="7"/>
      <c r="N43" s="15"/>
      <c r="O43" s="7"/>
      <c r="P43" s="7"/>
      <c r="Q43" s="7"/>
      <c r="R43" s="7"/>
      <c r="S43" s="7"/>
      <c r="T43" s="7"/>
      <c r="U43" s="7"/>
      <c r="V43" s="7"/>
      <c r="W43" s="7"/>
      <c r="X43" s="7"/>
      <c r="Y43" s="7"/>
      <c r="Z43" s="7"/>
      <c r="AA43" s="7"/>
      <c r="AB43" s="7"/>
      <c r="AC43" s="6"/>
      <c r="AD43" s="6"/>
      <c r="AE43" s="6"/>
      <c r="AF43" s="6"/>
      <c r="AG43" s="6"/>
      <c r="AH43" s="6"/>
      <c r="AI43" s="6"/>
      <c r="AJ43" s="7"/>
      <c r="AK43" s="7"/>
      <c r="AL43" s="6"/>
      <c r="AM43" s="6"/>
      <c r="AN43" s="7"/>
    </row>
    <row r="44" customHeight="1" spans="1:40">
      <c r="A44" s="27" t="s">
        <v>384</v>
      </c>
      <c r="B44" s="6" t="s">
        <v>529</v>
      </c>
      <c r="C44" s="4" t="s">
        <v>957</v>
      </c>
      <c r="D44" s="7" t="s">
        <v>4860</v>
      </c>
      <c r="E44" s="29" t="s">
        <v>491</v>
      </c>
      <c r="F44" s="7" t="s">
        <v>4861</v>
      </c>
      <c r="G44" s="7">
        <v>4075173866</v>
      </c>
      <c r="H44" s="7" t="s">
        <v>4862</v>
      </c>
      <c r="I44" s="7" t="s">
        <v>4863</v>
      </c>
      <c r="J44" s="7" t="s">
        <v>941</v>
      </c>
      <c r="K44" s="7" t="s">
        <v>942</v>
      </c>
      <c r="L44" s="7" t="s">
        <v>975</v>
      </c>
      <c r="M44" s="7" t="s">
        <v>4864</v>
      </c>
      <c r="N44" s="15">
        <v>28685</v>
      </c>
      <c r="O44" s="7" t="s">
        <v>945</v>
      </c>
      <c r="P44" s="7" t="s">
        <v>946</v>
      </c>
      <c r="Q44" s="7" t="s">
        <v>963</v>
      </c>
      <c r="R44" s="7" t="s">
        <v>4865</v>
      </c>
      <c r="S44" s="7" t="s">
        <v>4866</v>
      </c>
      <c r="T44" s="7" t="s">
        <v>1369</v>
      </c>
      <c r="U44" s="7"/>
      <c r="V44" s="7" t="s">
        <v>4867</v>
      </c>
      <c r="W44" s="7" t="s">
        <v>4868</v>
      </c>
      <c r="X44" s="7" t="s">
        <v>953</v>
      </c>
      <c r="Y44" s="7" t="s">
        <v>529</v>
      </c>
      <c r="Z44" s="7" t="s">
        <v>4635</v>
      </c>
      <c r="AA44" s="7" t="s">
        <v>4869</v>
      </c>
      <c r="AB44" s="7" t="s">
        <v>1086</v>
      </c>
      <c r="AC44" s="6" t="s">
        <v>396</v>
      </c>
      <c r="AD44" s="6" t="s">
        <v>396</v>
      </c>
      <c r="AE44" s="6" t="s">
        <v>396</v>
      </c>
      <c r="AF44" s="6" t="s">
        <v>406</v>
      </c>
      <c r="AG44" s="6" t="s">
        <v>396</v>
      </c>
      <c r="AH44" s="6">
        <v>39</v>
      </c>
      <c r="AI44" s="6">
        <v>39</v>
      </c>
      <c r="AJ44" s="7">
        <v>39</v>
      </c>
      <c r="AK44" s="7">
        <v>39</v>
      </c>
      <c r="AL44" s="6" t="s">
        <v>396</v>
      </c>
      <c r="AM44" s="6" t="s">
        <v>406</v>
      </c>
      <c r="AN44" s="7" t="s">
        <v>396</v>
      </c>
    </row>
    <row r="45" customHeight="1" spans="1:40">
      <c r="A45" s="27" t="s">
        <v>384</v>
      </c>
      <c r="B45" s="6" t="s">
        <v>529</v>
      </c>
      <c r="C45" s="4" t="s">
        <v>957</v>
      </c>
      <c r="D45" s="7" t="s">
        <v>4870</v>
      </c>
      <c r="E45" s="29" t="s">
        <v>971</v>
      </c>
      <c r="F45" s="7" t="s">
        <v>4871</v>
      </c>
      <c r="G45" s="7">
        <v>1122127085</v>
      </c>
      <c r="H45" s="7" t="s">
        <v>939</v>
      </c>
      <c r="I45" s="7" t="s">
        <v>1067</v>
      </c>
      <c r="J45" s="7" t="s">
        <v>941</v>
      </c>
      <c r="K45" s="7" t="s">
        <v>942</v>
      </c>
      <c r="L45" s="7" t="s">
        <v>943</v>
      </c>
      <c r="M45" s="7" t="s">
        <v>1967</v>
      </c>
      <c r="N45" s="15">
        <v>36583</v>
      </c>
      <c r="O45" s="7" t="s">
        <v>945</v>
      </c>
      <c r="P45" s="7" t="s">
        <v>946</v>
      </c>
      <c r="Q45" s="7" t="s">
        <v>963</v>
      </c>
      <c r="R45" s="7" t="s">
        <v>4872</v>
      </c>
      <c r="S45" s="7" t="s">
        <v>4873</v>
      </c>
      <c r="T45" s="7" t="s">
        <v>965</v>
      </c>
      <c r="U45" s="7"/>
      <c r="V45" s="7"/>
      <c r="W45" s="7" t="s">
        <v>4874</v>
      </c>
      <c r="X45" s="7" t="s">
        <v>953</v>
      </c>
      <c r="Y45" s="7" t="s">
        <v>531</v>
      </c>
      <c r="Z45" s="7" t="s">
        <v>4779</v>
      </c>
      <c r="AA45" s="7" t="s">
        <v>4875</v>
      </c>
      <c r="AB45" s="7" t="s">
        <v>4876</v>
      </c>
      <c r="AC45" s="6" t="s">
        <v>398</v>
      </c>
      <c r="AD45" s="6" t="s">
        <v>398</v>
      </c>
      <c r="AE45" s="6" t="s">
        <v>398</v>
      </c>
      <c r="AF45" s="6" t="s">
        <v>398</v>
      </c>
      <c r="AG45" s="6" t="s">
        <v>398</v>
      </c>
      <c r="AH45" s="6">
        <v>49</v>
      </c>
      <c r="AI45" s="6">
        <v>49</v>
      </c>
      <c r="AJ45" s="7">
        <v>49</v>
      </c>
      <c r="AK45" s="7">
        <v>49</v>
      </c>
      <c r="AL45" s="6" t="s">
        <v>398</v>
      </c>
      <c r="AM45" s="6" t="s">
        <v>398</v>
      </c>
      <c r="AN45" s="7" t="s">
        <v>396</v>
      </c>
    </row>
    <row r="46" customHeight="1" spans="1:40">
      <c r="A46" s="27" t="s">
        <v>384</v>
      </c>
      <c r="B46" s="6" t="s">
        <v>529</v>
      </c>
      <c r="C46" s="4" t="s">
        <v>957</v>
      </c>
      <c r="D46" s="7" t="s">
        <v>62</v>
      </c>
      <c r="E46" s="29" t="s">
        <v>491</v>
      </c>
      <c r="F46" s="7" t="s">
        <v>4877</v>
      </c>
      <c r="G46" s="7">
        <v>2111469447</v>
      </c>
      <c r="H46" s="7" t="s">
        <v>939</v>
      </c>
      <c r="I46" s="7" t="s">
        <v>4878</v>
      </c>
      <c r="J46" s="7" t="s">
        <v>941</v>
      </c>
      <c r="K46" s="7" t="s">
        <v>942</v>
      </c>
      <c r="L46" s="7" t="s">
        <v>1102</v>
      </c>
      <c r="M46" s="7" t="s">
        <v>1967</v>
      </c>
      <c r="N46" s="15">
        <v>35093</v>
      </c>
      <c r="O46" s="7" t="s">
        <v>945</v>
      </c>
      <c r="P46" s="7" t="s">
        <v>946</v>
      </c>
      <c r="Q46" s="7" t="s">
        <v>1245</v>
      </c>
      <c r="R46" s="7" t="s">
        <v>4879</v>
      </c>
      <c r="S46" s="7" t="s">
        <v>4665</v>
      </c>
      <c r="T46" s="7" t="s">
        <v>1030</v>
      </c>
      <c r="U46" s="7"/>
      <c r="V46" s="7" t="s">
        <v>4880</v>
      </c>
      <c r="W46" s="7" t="s">
        <v>4881</v>
      </c>
      <c r="X46" s="7" t="s">
        <v>953</v>
      </c>
      <c r="Y46" s="7" t="s">
        <v>529</v>
      </c>
      <c r="Z46" s="7" t="s">
        <v>4635</v>
      </c>
      <c r="AA46" s="7" t="s">
        <v>4882</v>
      </c>
      <c r="AB46" s="7" t="s">
        <v>4679</v>
      </c>
      <c r="AC46" s="6" t="s">
        <v>396</v>
      </c>
      <c r="AD46" s="6" t="s">
        <v>406</v>
      </c>
      <c r="AE46" s="6" t="s">
        <v>406</v>
      </c>
      <c r="AF46" s="6" t="s">
        <v>406</v>
      </c>
      <c r="AG46" s="6" t="s">
        <v>406</v>
      </c>
      <c r="AH46" s="6">
        <v>39</v>
      </c>
      <c r="AI46" s="6">
        <v>39</v>
      </c>
      <c r="AJ46" s="7">
        <v>39</v>
      </c>
      <c r="AK46" s="7">
        <v>39</v>
      </c>
      <c r="AL46" s="6" t="s">
        <v>406</v>
      </c>
      <c r="AM46" s="6" t="s">
        <v>406</v>
      </c>
      <c r="AN46" s="7" t="s">
        <v>396</v>
      </c>
    </row>
  </sheetData>
  <autoFilter ref="A1:AN46">
    <extLst/>
  </autoFilter>
  <conditionalFormatting sqref="E1">
    <cfRule type="containsText" dxfId="5" priority="1" operator="between" text="EAD">
      <formula>NOT(ISERROR(SEARCH("EAD",E1)))</formula>
    </cfRule>
    <cfRule type="containsText" dxfId="6" priority="2" operator="between" text="Não Tem">
      <formula>NOT(ISERROR(SEARCH("Não Tem",E1)))</formula>
    </cfRule>
    <cfRule type="containsText" dxfId="7" priority="3" operator="between" text="EAD + Presencial">
      <formula>NOT(ISERROR(SEARCH("EAD + Presencial",E1)))</formula>
    </cfRule>
  </conditionalFormatting>
  <dataValidations count="10">
    <dataValidation type="list" allowBlank="1" showErrorMessage="1" sqref="T2:T46">
      <formula1>Página5!$G:$G</formula1>
    </dataValidation>
    <dataValidation type="list" allowBlank="1" showErrorMessage="1" sqref="E1:E14;E16:E17;E19:E28;E30:E35;E37:E39;E41:E42;E44:E46">
      <formula1>"Curso CAB operador concluído,Módulo 2 e 3 concluído,Módulo 1 concluído"</formula1>
    </dataValidation>
    <dataValidation type="list" allowBlank="1" showErrorMessage="1" sqref="L2:L46">
      <formula1>Página5!$C:$C</formula1>
    </dataValidation>
    <dataValidation type="list" allowBlank="1" showErrorMessage="1" sqref="O2:O46">
      <formula1>Página5!$D:$D</formula1>
    </dataValidation>
    <dataValidation type="list" allowBlank="1" showErrorMessage="1" sqref="Y2:Y46">
      <formula1>Página5!$A:$A</formula1>
    </dataValidation>
    <dataValidation type="list" allowBlank="1" showErrorMessage="1" sqref="P2:P46">
      <formula1>Página5!$E:$E</formula1>
    </dataValidation>
    <dataValidation type="list" allowBlank="1" showErrorMessage="1" sqref="Q2:Q46">
      <formula1>Página5!$F:$F</formula1>
    </dataValidation>
    <dataValidation type="list" allowBlank="1" showErrorMessage="1" sqref="AC2:AG46;AL2:AN46">
      <formula1>"P,M,G,GG,EXG"</formula1>
    </dataValidation>
    <dataValidation type="list" allowBlank="1" showErrorMessage="1" sqref="AH2:AK46">
      <formula1>Página5!$H:$H</formula1>
    </dataValidation>
    <dataValidation type="list" allowBlank="1" showErrorMessage="1" sqref="J2:K46">
      <formula1>Página5!$B:$B</formula1>
    </dataValidation>
  </dataValidations>
  <pageMargins left="0.511811024" right="0.511811024" top="0.787401575" bottom="0.787401575" header="0" footer="0"/>
  <pageSetup paperSize="1"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1"/>
  <sheetViews>
    <sheetView tabSelected="1" workbookViewId="0">
      <pane xSplit="1" topLeftCell="B1" activePane="topRight" state="frozen"/>
      <selection/>
      <selection pane="topRight" activeCell="A1" sqref="A1"/>
    </sheetView>
  </sheetViews>
  <sheetFormatPr defaultColWidth="14.4380952380952" defaultRowHeight="15" customHeight="1"/>
  <cols>
    <col min="1" max="1" width="22.3333333333333" customWidth="1"/>
    <col min="2" max="2" width="14.2190476190476" customWidth="1"/>
    <col min="3" max="3" width="10.8857142857143" customWidth="1"/>
    <col min="4" max="4" width="19" customWidth="1"/>
    <col min="5" max="5" width="12.3333333333333" customWidth="1"/>
    <col min="6" max="6" width="13.552380952381" customWidth="1"/>
    <col min="7" max="7" width="28.8857142857143" customWidth="1"/>
    <col min="8" max="8" width="13.8857142857143" customWidth="1"/>
    <col min="9" max="9" width="12.7809523809524" customWidth="1"/>
    <col min="10" max="10" width="11.3333333333333" customWidth="1"/>
    <col min="11" max="11" width="26.4380952380952" customWidth="1"/>
    <col min="12" max="12" width="16.552380952381" customWidth="1"/>
  </cols>
  <sheetData>
    <row r="1" spans="1:12">
      <c r="A1" s="2" t="s">
        <v>900</v>
      </c>
      <c r="B1" s="2" t="s">
        <v>902</v>
      </c>
      <c r="C1" s="2" t="s">
        <v>1</v>
      </c>
      <c r="D1" s="2" t="s">
        <v>903</v>
      </c>
      <c r="E1" s="14" t="s">
        <v>908</v>
      </c>
      <c r="F1" s="14" t="s">
        <v>909</v>
      </c>
      <c r="G1" s="14" t="s">
        <v>913</v>
      </c>
      <c r="H1" s="14" t="s">
        <v>917</v>
      </c>
      <c r="I1" s="14" t="s">
        <v>920</v>
      </c>
      <c r="J1" s="14" t="s">
        <v>921</v>
      </c>
      <c r="K1" s="14" t="s">
        <v>922</v>
      </c>
      <c r="L1" s="14" t="s">
        <v>923</v>
      </c>
    </row>
    <row r="2" s="17" customFormat="1" spans="1:12">
      <c r="A2" s="18" t="s">
        <v>4883</v>
      </c>
      <c r="B2" s="18"/>
      <c r="C2" s="18"/>
      <c r="D2" s="18"/>
      <c r="E2" s="19"/>
      <c r="F2" s="19"/>
      <c r="G2" s="19"/>
      <c r="H2" s="19"/>
      <c r="I2" s="19"/>
      <c r="J2" s="19"/>
      <c r="K2" s="19"/>
      <c r="L2" s="19"/>
    </row>
    <row r="3" ht="15.75" customHeight="1" spans="1:12">
      <c r="A3" s="20" t="s">
        <v>4884</v>
      </c>
      <c r="B3" s="20" t="s">
        <v>4885</v>
      </c>
      <c r="C3" s="20">
        <v>1042693646</v>
      </c>
      <c r="D3" s="20" t="s">
        <v>2924</v>
      </c>
      <c r="E3" s="20" t="s">
        <v>4886</v>
      </c>
      <c r="F3" s="21">
        <v>26609</v>
      </c>
      <c r="G3" s="20" t="s">
        <v>4887</v>
      </c>
      <c r="H3" s="20" t="s">
        <v>4888</v>
      </c>
      <c r="I3" s="20" t="s">
        <v>569</v>
      </c>
      <c r="J3" s="20" t="s">
        <v>4889</v>
      </c>
      <c r="K3" s="20" t="s">
        <v>4890</v>
      </c>
      <c r="L3" s="20" t="s">
        <v>1178</v>
      </c>
    </row>
    <row r="4" ht="15.75" customHeight="1" spans="1:12">
      <c r="A4" s="20" t="s">
        <v>4891</v>
      </c>
      <c r="B4" s="20" t="s">
        <v>4892</v>
      </c>
      <c r="C4" s="20">
        <v>3050399124</v>
      </c>
      <c r="D4" s="20" t="s">
        <v>4893</v>
      </c>
      <c r="E4" s="20" t="s">
        <v>4894</v>
      </c>
      <c r="F4" s="21">
        <v>28634</v>
      </c>
      <c r="G4" s="20" t="s">
        <v>4895</v>
      </c>
      <c r="H4" s="20" t="s">
        <v>4896</v>
      </c>
      <c r="I4" s="20" t="s">
        <v>569</v>
      </c>
      <c r="J4" s="20" t="s">
        <v>4889</v>
      </c>
      <c r="K4" s="20" t="s">
        <v>4897</v>
      </c>
      <c r="L4" s="20" t="s">
        <v>1178</v>
      </c>
    </row>
    <row r="5" ht="15.75" customHeight="1" spans="1:12">
      <c r="A5" s="20" t="s">
        <v>4898</v>
      </c>
      <c r="B5" s="20" t="s">
        <v>4899</v>
      </c>
      <c r="C5" s="20">
        <v>3051505737</v>
      </c>
      <c r="D5" s="20" t="s">
        <v>4900</v>
      </c>
      <c r="E5" s="20" t="s">
        <v>4901</v>
      </c>
      <c r="F5" s="21">
        <v>24973</v>
      </c>
      <c r="G5" s="20" t="s">
        <v>4902</v>
      </c>
      <c r="H5" s="20" t="s">
        <v>4903</v>
      </c>
      <c r="I5" s="20" t="s">
        <v>569</v>
      </c>
      <c r="J5" s="20" t="s">
        <v>4889</v>
      </c>
      <c r="K5" s="20" t="s">
        <v>4904</v>
      </c>
      <c r="L5" s="20" t="s">
        <v>4905</v>
      </c>
    </row>
    <row r="6" ht="15.75" customHeight="1" spans="1:12">
      <c r="A6" s="20" t="s">
        <v>4906</v>
      </c>
      <c r="B6" s="20" t="s">
        <v>4907</v>
      </c>
      <c r="C6" s="20">
        <v>4064719844</v>
      </c>
      <c r="D6" s="20" t="s">
        <v>4908</v>
      </c>
      <c r="E6" s="20" t="s">
        <v>4909</v>
      </c>
      <c r="F6" s="21">
        <v>27813</v>
      </c>
      <c r="G6" s="20" t="s">
        <v>4910</v>
      </c>
      <c r="H6" s="20" t="s">
        <v>4911</v>
      </c>
      <c r="I6" s="20" t="s">
        <v>569</v>
      </c>
      <c r="J6" s="20" t="s">
        <v>4889</v>
      </c>
      <c r="K6" s="20" t="s">
        <v>4912</v>
      </c>
      <c r="L6" s="20" t="s">
        <v>4913</v>
      </c>
    </row>
    <row r="7" spans="1:12">
      <c r="A7" s="20" t="s">
        <v>4914</v>
      </c>
      <c r="B7" s="20" t="s">
        <v>4915</v>
      </c>
      <c r="C7" s="20">
        <v>9086950285</v>
      </c>
      <c r="D7" s="20" t="s">
        <v>2806</v>
      </c>
      <c r="E7" s="20" t="s">
        <v>4916</v>
      </c>
      <c r="F7" s="22">
        <v>31141</v>
      </c>
      <c r="G7" s="23" t="s">
        <v>4917</v>
      </c>
      <c r="H7" s="20" t="s">
        <v>4918</v>
      </c>
      <c r="I7" s="20" t="s">
        <v>569</v>
      </c>
      <c r="J7" s="20" t="s">
        <v>4889</v>
      </c>
      <c r="K7" s="20" t="s">
        <v>4919</v>
      </c>
      <c r="L7" s="20" t="s">
        <v>4920</v>
      </c>
    </row>
    <row r="8" ht="15.75" customHeight="1" spans="1:12">
      <c r="A8" s="20" t="s">
        <v>4921</v>
      </c>
      <c r="B8" s="20" t="s">
        <v>4922</v>
      </c>
      <c r="C8" s="20">
        <v>1039119671</v>
      </c>
      <c r="D8" s="20" t="s">
        <v>4923</v>
      </c>
      <c r="E8" s="20" t="s">
        <v>4924</v>
      </c>
      <c r="F8" s="21">
        <v>25721</v>
      </c>
      <c r="G8" s="20" t="s">
        <v>4925</v>
      </c>
      <c r="H8" s="20" t="s">
        <v>4926</v>
      </c>
      <c r="I8" s="20" t="s">
        <v>569</v>
      </c>
      <c r="J8" s="20" t="s">
        <v>4889</v>
      </c>
      <c r="K8" s="20" t="s">
        <v>4927</v>
      </c>
      <c r="L8" s="20" t="s">
        <v>4928</v>
      </c>
    </row>
    <row r="9" ht="15.75" customHeight="1" spans="1:12">
      <c r="A9" s="20"/>
      <c r="B9" s="20"/>
      <c r="C9" s="20"/>
      <c r="D9" s="20"/>
      <c r="E9" s="20"/>
      <c r="F9" s="21"/>
      <c r="G9" s="20"/>
      <c r="H9" s="20"/>
      <c r="I9" s="20"/>
      <c r="J9" s="20"/>
      <c r="K9" s="20"/>
      <c r="L9" s="20"/>
    </row>
    <row r="10" ht="15.75" customHeight="1" spans="1:12">
      <c r="A10" s="20" t="s">
        <v>4929</v>
      </c>
      <c r="B10" s="20"/>
      <c r="C10" s="20"/>
      <c r="D10" s="20"/>
      <c r="E10" s="20"/>
      <c r="F10" s="21"/>
      <c r="G10" s="20"/>
      <c r="H10" s="20"/>
      <c r="I10" s="20"/>
      <c r="J10" s="20"/>
      <c r="K10" s="20"/>
      <c r="L10" s="20"/>
    </row>
    <row r="11" ht="15.75" customHeight="1" spans="1:12">
      <c r="A11" s="20" t="s">
        <v>4930</v>
      </c>
      <c r="B11" s="20" t="s">
        <v>4931</v>
      </c>
      <c r="C11" s="20">
        <v>9093887751</v>
      </c>
      <c r="D11" s="20" t="s">
        <v>4932</v>
      </c>
      <c r="E11" s="20" t="s">
        <v>4933</v>
      </c>
      <c r="F11" s="21">
        <v>33464</v>
      </c>
      <c r="G11" s="20" t="s">
        <v>4934</v>
      </c>
      <c r="H11" s="20" t="s">
        <v>4935</v>
      </c>
      <c r="I11" s="20" t="s">
        <v>569</v>
      </c>
      <c r="J11" s="20" t="s">
        <v>4889</v>
      </c>
      <c r="K11" s="20" t="s">
        <v>4936</v>
      </c>
      <c r="L11" s="20" t="s">
        <v>4920</v>
      </c>
    </row>
    <row r="12" spans="1:12">
      <c r="A12" s="20" t="s">
        <v>4937</v>
      </c>
      <c r="B12" s="20" t="s">
        <v>4938</v>
      </c>
      <c r="C12" s="20">
        <v>1073695189</v>
      </c>
      <c r="D12" s="20" t="s">
        <v>4932</v>
      </c>
      <c r="E12" s="20" t="s">
        <v>4939</v>
      </c>
      <c r="F12" s="21">
        <v>28161</v>
      </c>
      <c r="G12" s="20" t="s">
        <v>4940</v>
      </c>
      <c r="H12" s="20" t="s">
        <v>4941</v>
      </c>
      <c r="I12" s="20" t="s">
        <v>569</v>
      </c>
      <c r="J12" s="20" t="s">
        <v>4889</v>
      </c>
      <c r="K12" s="20" t="s">
        <v>4942</v>
      </c>
      <c r="L12" s="20" t="s">
        <v>4943</v>
      </c>
    </row>
    <row r="13" spans="1:12">
      <c r="A13" s="20" t="s">
        <v>4944</v>
      </c>
      <c r="B13" s="20" t="s">
        <v>4945</v>
      </c>
      <c r="C13" s="20">
        <v>4111579621</v>
      </c>
      <c r="D13" s="20" t="s">
        <v>4932</v>
      </c>
      <c r="E13" s="20" t="s">
        <v>4946</v>
      </c>
      <c r="F13" s="21">
        <v>29808</v>
      </c>
      <c r="G13" s="20" t="s">
        <v>4947</v>
      </c>
      <c r="H13" s="20" t="s">
        <v>4948</v>
      </c>
      <c r="I13" s="20" t="s">
        <v>569</v>
      </c>
      <c r="J13" s="20" t="s">
        <v>4889</v>
      </c>
      <c r="K13" s="20" t="s">
        <v>4949</v>
      </c>
      <c r="L13" s="20" t="s">
        <v>4950</v>
      </c>
    </row>
    <row r="14" ht="15.75" customHeight="1" spans="1:12">
      <c r="A14" s="20" t="s">
        <v>4951</v>
      </c>
      <c r="B14" s="20"/>
      <c r="C14" s="20"/>
      <c r="D14" s="20"/>
      <c r="E14" s="20"/>
      <c r="F14" s="21"/>
      <c r="G14" s="20"/>
      <c r="H14" s="20"/>
      <c r="I14" s="20"/>
      <c r="J14" s="20"/>
      <c r="K14" s="20"/>
      <c r="L14" s="20"/>
    </row>
    <row r="15" spans="1:12">
      <c r="A15" s="20" t="s">
        <v>4952</v>
      </c>
      <c r="B15" s="20" t="s">
        <v>4953</v>
      </c>
      <c r="C15" s="20">
        <v>9088753356</v>
      </c>
      <c r="D15" s="20" t="s">
        <v>4954</v>
      </c>
      <c r="E15" s="20" t="s">
        <v>4955</v>
      </c>
      <c r="F15" s="21">
        <v>31153</v>
      </c>
      <c r="G15" s="20" t="s">
        <v>4956</v>
      </c>
      <c r="H15" s="20" t="s">
        <v>4957</v>
      </c>
      <c r="I15" s="20" t="s">
        <v>569</v>
      </c>
      <c r="J15" s="20" t="s">
        <v>4889</v>
      </c>
      <c r="K15" s="20" t="s">
        <v>4958</v>
      </c>
      <c r="L15" s="20" t="s">
        <v>1178</v>
      </c>
    </row>
    <row r="16" spans="1:12">
      <c r="A16" s="20" t="s">
        <v>4959</v>
      </c>
      <c r="B16" s="20" t="s">
        <v>4960</v>
      </c>
      <c r="C16" s="20">
        <v>2063605758</v>
      </c>
      <c r="D16" s="20" t="s">
        <v>4954</v>
      </c>
      <c r="E16" s="20" t="s">
        <v>4961</v>
      </c>
      <c r="F16" s="21">
        <v>28999</v>
      </c>
      <c r="G16" s="20" t="s">
        <v>4962</v>
      </c>
      <c r="H16" s="20" t="s">
        <v>4963</v>
      </c>
      <c r="I16" s="20" t="s">
        <v>569</v>
      </c>
      <c r="J16" s="20" t="s">
        <v>4889</v>
      </c>
      <c r="K16" s="20" t="s">
        <v>4964</v>
      </c>
      <c r="L16" s="20" t="s">
        <v>4965</v>
      </c>
    </row>
    <row r="17" spans="1:12">
      <c r="A17" s="20" t="s">
        <v>4966</v>
      </c>
      <c r="B17" s="20" t="s">
        <v>4967</v>
      </c>
      <c r="C17" s="20">
        <v>9011037174</v>
      </c>
      <c r="D17" s="20" t="s">
        <v>4954</v>
      </c>
      <c r="E17" s="20" t="s">
        <v>4968</v>
      </c>
      <c r="F17" s="21">
        <v>21309</v>
      </c>
      <c r="G17" s="24" t="s">
        <v>4969</v>
      </c>
      <c r="H17" s="20" t="s">
        <v>4970</v>
      </c>
      <c r="I17" s="20" t="s">
        <v>569</v>
      </c>
      <c r="J17" s="20" t="s">
        <v>4889</v>
      </c>
      <c r="K17" s="20" t="s">
        <v>4971</v>
      </c>
      <c r="L17" s="20" t="s">
        <v>4971</v>
      </c>
    </row>
    <row r="18" customHeight="1" spans="1:12">
      <c r="A18" s="20" t="s">
        <v>4972</v>
      </c>
      <c r="B18" s="20" t="s">
        <v>4973</v>
      </c>
      <c r="C18" s="20">
        <v>9057039993</v>
      </c>
      <c r="D18" s="20" t="s">
        <v>4954</v>
      </c>
      <c r="E18" s="20" t="s">
        <v>4974</v>
      </c>
      <c r="F18" s="25">
        <v>28561</v>
      </c>
      <c r="G18" s="24" t="s">
        <v>4975</v>
      </c>
      <c r="H18" s="20" t="s">
        <v>4976</v>
      </c>
      <c r="I18" s="20" t="s">
        <v>569</v>
      </c>
      <c r="J18" s="20" t="s">
        <v>4889</v>
      </c>
      <c r="K18" s="20" t="s">
        <v>4977</v>
      </c>
      <c r="L18" s="20" t="s">
        <v>4978</v>
      </c>
    </row>
    <row r="19" ht="15.75" customHeight="1" spans="1:12">
      <c r="A19" s="7"/>
      <c r="B19" s="7"/>
      <c r="C19" s="7"/>
      <c r="D19" s="7"/>
      <c r="E19" s="7"/>
      <c r="F19" s="15"/>
      <c r="G19" s="7"/>
      <c r="H19" s="7"/>
      <c r="I19" s="7"/>
      <c r="J19" s="7"/>
      <c r="K19" s="7"/>
      <c r="L19" s="7"/>
    </row>
    <row r="21" spans="1:12">
      <c r="A21" s="7"/>
      <c r="B21" s="7"/>
      <c r="C21" s="7"/>
      <c r="D21" s="7"/>
      <c r="E21" s="7"/>
      <c r="F21" s="15"/>
      <c r="G21" s="7"/>
      <c r="H21" s="7"/>
      <c r="I21" s="7"/>
      <c r="J21" s="7"/>
      <c r="K21" s="7"/>
      <c r="L21" s="7"/>
    </row>
  </sheetData>
  <autoFilter ref="A1:L21">
    <extLst/>
  </autoFilter>
  <dataValidations count="1">
    <dataValidation type="list" allowBlank="1" showErrorMessage="1" sqref="I21;I3:I19">
      <formula1>Página5!$A:$A</formula1>
    </dataValidation>
  </dataValidations>
  <hyperlinks>
    <hyperlink ref="G18" r:id="rId1" display="marcio.toillier@gmail.com"/>
    <hyperlink ref="G17" r:id="rId2" display="ricardokrindegs592@gmail.com"/>
  </hyperlinks>
  <pageMargins left="0.511811024" right="0.511811024" top="0.787401575" bottom="0.787401575" header="0" footer="0"/>
  <pageSetup paperSize="1"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22"/>
  <sheetViews>
    <sheetView workbookViewId="0">
      <pane xSplit="4" ySplit="1" topLeftCell="E2" activePane="bottomRight" state="frozen"/>
      <selection/>
      <selection pane="topRight"/>
      <selection pane="bottomLeft"/>
      <selection pane="bottomRight" activeCell="E2" sqref="E2"/>
    </sheetView>
  </sheetViews>
  <sheetFormatPr defaultColWidth="14.4380952380952" defaultRowHeight="15" customHeight="1"/>
  <cols>
    <col min="1" max="1" width="7.88571428571429" customWidth="1"/>
    <col min="2" max="2" width="17.6666666666667" customWidth="1"/>
    <col min="3" max="3" width="11.3333333333333" customWidth="1"/>
    <col min="4" max="4" width="33.4380952380952" customWidth="1"/>
    <col min="5" max="5" width="30.1047619047619" customWidth="1"/>
    <col min="6" max="6" width="20.6666666666667" customWidth="1"/>
    <col min="7" max="7" width="11.6666666666667" customWidth="1"/>
    <col min="8" max="8" width="29.1047619047619" customWidth="1"/>
    <col min="9" max="9" width="112.885714285714" customWidth="1"/>
    <col min="10" max="10" width="22.552380952381" customWidth="1"/>
    <col min="11" max="11" width="30.4380952380952" customWidth="1"/>
    <col min="12" max="12" width="16.1047619047619" customWidth="1"/>
    <col min="13" max="13" width="26.6666666666667" customWidth="1"/>
    <col min="14" max="14" width="30.8857142857143" customWidth="1"/>
    <col min="15" max="15" width="14.6666666666667" customWidth="1"/>
    <col min="16" max="16" width="12.8857142857143" customWidth="1"/>
    <col min="17" max="17" width="26.8857142857143" customWidth="1"/>
    <col min="18" max="18" width="28.4380952380952" customWidth="1"/>
    <col min="19" max="19" width="13.6666666666667" customWidth="1"/>
    <col min="20" max="20" width="22.8857142857143" customWidth="1"/>
    <col min="21" max="21" width="32.8857142857143" customWidth="1"/>
    <col min="22" max="22" width="29.552380952381" customWidth="1"/>
    <col min="23" max="23" width="35.552380952381" customWidth="1"/>
    <col min="24" max="24" width="19" customWidth="1"/>
    <col min="25" max="25" width="18.8857142857143" customWidth="1"/>
    <col min="26" max="26" width="15.6666666666667" customWidth="1"/>
    <col min="27" max="27" width="31" customWidth="1"/>
    <col min="28" max="28" width="19.6666666666667" customWidth="1"/>
    <col min="29" max="29" width="37.552380952381" customWidth="1"/>
    <col min="30" max="30" width="37.4380952380952" customWidth="1"/>
    <col min="31" max="31" width="23.4380952380952" customWidth="1"/>
    <col min="32" max="32" width="25" customWidth="1"/>
    <col min="33" max="33" width="21.552380952381" customWidth="1"/>
    <col min="34" max="34" width="18.6666666666667" customWidth="1"/>
    <col min="35" max="35" width="24.6666666666667" customWidth="1"/>
    <col min="36" max="36" width="17.1047619047619" customWidth="1"/>
    <col min="37" max="37" width="19.552380952381" customWidth="1"/>
    <col min="38" max="38" width="32.4380952380952" customWidth="1"/>
    <col min="39" max="39" width="25.8857142857143" customWidth="1"/>
    <col min="40" max="40" width="20" customWidth="1"/>
  </cols>
  <sheetData>
    <row r="1" customHeight="1" spans="1:40">
      <c r="A1" s="2" t="s">
        <v>410</v>
      </c>
      <c r="B1" s="3" t="s">
        <v>2021</v>
      </c>
      <c r="C1" s="4" t="s">
        <v>899</v>
      </c>
      <c r="D1" s="3" t="s">
        <v>900</v>
      </c>
      <c r="E1" s="5" t="s">
        <v>901</v>
      </c>
      <c r="F1" s="3" t="s">
        <v>902</v>
      </c>
      <c r="G1" s="3" t="s">
        <v>1</v>
      </c>
      <c r="H1" s="3" t="s">
        <v>903</v>
      </c>
      <c r="I1" s="3" t="s">
        <v>904</v>
      </c>
      <c r="J1" s="13" t="s">
        <v>905</v>
      </c>
      <c r="K1" s="13" t="s">
        <v>906</v>
      </c>
      <c r="L1" s="14" t="s">
        <v>907</v>
      </c>
      <c r="M1" s="14" t="s">
        <v>908</v>
      </c>
      <c r="N1" s="14" t="s">
        <v>909</v>
      </c>
      <c r="O1" s="14" t="s">
        <v>910</v>
      </c>
      <c r="P1" s="14" t="s">
        <v>911</v>
      </c>
      <c r="Q1" s="14" t="s">
        <v>912</v>
      </c>
      <c r="R1" s="14" t="s">
        <v>913</v>
      </c>
      <c r="S1" s="14" t="s">
        <v>914</v>
      </c>
      <c r="T1" s="14" t="s">
        <v>915</v>
      </c>
      <c r="U1" s="14" t="s">
        <v>916</v>
      </c>
      <c r="V1" s="14" t="s">
        <v>917</v>
      </c>
      <c r="W1" s="14" t="s">
        <v>918</v>
      </c>
      <c r="X1" s="14" t="s">
        <v>919</v>
      </c>
      <c r="Y1" s="14" t="s">
        <v>920</v>
      </c>
      <c r="Z1" s="14" t="s">
        <v>921</v>
      </c>
      <c r="AA1" s="14" t="s">
        <v>922</v>
      </c>
      <c r="AB1" s="14" t="s">
        <v>923</v>
      </c>
      <c r="AC1" s="14" t="s">
        <v>924</v>
      </c>
      <c r="AD1" s="14" t="s">
        <v>925</v>
      </c>
      <c r="AE1" s="14" t="s">
        <v>926</v>
      </c>
      <c r="AF1" s="14" t="s">
        <v>927</v>
      </c>
      <c r="AG1" s="14" t="s">
        <v>928</v>
      </c>
      <c r="AH1" s="14" t="s">
        <v>929</v>
      </c>
      <c r="AI1" s="14" t="s">
        <v>930</v>
      </c>
      <c r="AJ1" s="14" t="s">
        <v>931</v>
      </c>
      <c r="AK1" s="14" t="s">
        <v>932</v>
      </c>
      <c r="AL1" s="14" t="s">
        <v>933</v>
      </c>
      <c r="AM1" s="14" t="s">
        <v>934</v>
      </c>
      <c r="AN1" s="14" t="s">
        <v>935</v>
      </c>
    </row>
    <row r="2" customHeight="1" spans="1:40">
      <c r="A2" s="6"/>
      <c r="B2" s="7"/>
      <c r="C2" s="8"/>
      <c r="D2" s="7" t="s">
        <v>4979</v>
      </c>
      <c r="E2" s="6" t="s">
        <v>491</v>
      </c>
      <c r="F2" s="9" t="s">
        <v>4980</v>
      </c>
      <c r="G2" s="7"/>
      <c r="H2" s="7"/>
      <c r="I2" s="7"/>
      <c r="J2" s="7"/>
      <c r="K2" s="7"/>
      <c r="L2" s="7"/>
      <c r="M2" s="7"/>
      <c r="N2" s="15"/>
      <c r="O2" s="7"/>
      <c r="P2" s="7"/>
      <c r="Q2" s="7"/>
      <c r="R2" s="7"/>
      <c r="S2" s="7"/>
      <c r="T2" s="7"/>
      <c r="U2" s="7"/>
      <c r="V2" s="7"/>
      <c r="W2" s="7"/>
      <c r="X2" s="7"/>
      <c r="Y2" s="7"/>
      <c r="Z2" s="7"/>
      <c r="AA2" s="7"/>
      <c r="AB2" s="7"/>
      <c r="AC2" s="7"/>
      <c r="AD2" s="7"/>
      <c r="AE2" s="7"/>
      <c r="AF2" s="7"/>
      <c r="AG2" s="7"/>
      <c r="AH2" s="7"/>
      <c r="AI2" s="7"/>
      <c r="AJ2" s="7"/>
      <c r="AK2" s="7"/>
      <c r="AL2" s="7"/>
      <c r="AM2" s="7"/>
      <c r="AN2" s="7"/>
    </row>
    <row r="3" customHeight="1" spans="1:40">
      <c r="A3" s="6" t="s">
        <v>387</v>
      </c>
      <c r="B3" s="6" t="s">
        <v>484</v>
      </c>
      <c r="C3" s="4" t="s">
        <v>937</v>
      </c>
      <c r="D3" s="7" t="s">
        <v>4981</v>
      </c>
      <c r="E3" s="6" t="s">
        <v>490</v>
      </c>
      <c r="F3" s="7" t="s">
        <v>4982</v>
      </c>
      <c r="G3" s="10">
        <v>5034876598</v>
      </c>
      <c r="H3" s="7" t="s">
        <v>939</v>
      </c>
      <c r="I3" s="7" t="s">
        <v>4983</v>
      </c>
      <c r="J3" s="7" t="s">
        <v>941</v>
      </c>
      <c r="K3" s="7" t="s">
        <v>941</v>
      </c>
      <c r="L3" s="7" t="s">
        <v>975</v>
      </c>
      <c r="M3" s="7" t="s">
        <v>4984</v>
      </c>
      <c r="N3" s="16">
        <v>24399</v>
      </c>
      <c r="O3" s="7" t="s">
        <v>945</v>
      </c>
      <c r="P3" s="7" t="s">
        <v>1257</v>
      </c>
      <c r="Q3" s="7" t="s">
        <v>963</v>
      </c>
      <c r="R3" s="7"/>
      <c r="S3" s="7">
        <v>84</v>
      </c>
      <c r="T3" s="7" t="s">
        <v>1030</v>
      </c>
      <c r="U3" s="7"/>
      <c r="V3" s="7" t="s">
        <v>4985</v>
      </c>
      <c r="W3" s="7" t="s">
        <v>4986</v>
      </c>
      <c r="X3" s="7" t="s">
        <v>953</v>
      </c>
      <c r="Y3" s="7" t="s">
        <v>484</v>
      </c>
      <c r="Z3" s="7" t="s">
        <v>4987</v>
      </c>
      <c r="AA3" s="7" t="s">
        <v>4988</v>
      </c>
      <c r="AB3" s="7" t="s">
        <v>4989</v>
      </c>
      <c r="AC3" s="7" t="s">
        <v>396</v>
      </c>
      <c r="AD3" s="7" t="s">
        <v>396</v>
      </c>
      <c r="AE3" s="7" t="s">
        <v>396</v>
      </c>
      <c r="AF3" s="7" t="s">
        <v>406</v>
      </c>
      <c r="AG3" s="7" t="s">
        <v>406</v>
      </c>
      <c r="AH3" s="7">
        <v>41</v>
      </c>
      <c r="AI3" s="7">
        <v>41</v>
      </c>
      <c r="AJ3" s="7">
        <v>41</v>
      </c>
      <c r="AK3" s="7">
        <v>41</v>
      </c>
      <c r="AL3" s="7" t="s">
        <v>406</v>
      </c>
      <c r="AM3" s="7" t="s">
        <v>406</v>
      </c>
      <c r="AN3" s="7" t="s">
        <v>406</v>
      </c>
    </row>
    <row r="4" customHeight="1" spans="1:40">
      <c r="A4" s="6" t="s">
        <v>387</v>
      </c>
      <c r="B4" s="6" t="s">
        <v>484</v>
      </c>
      <c r="C4" s="4" t="s">
        <v>937</v>
      </c>
      <c r="D4" s="7" t="s">
        <v>46</v>
      </c>
      <c r="E4" s="6" t="s">
        <v>492</v>
      </c>
      <c r="F4" s="7" t="s">
        <v>4990</v>
      </c>
      <c r="G4" s="10">
        <v>1061797427</v>
      </c>
      <c r="H4" s="7" t="s">
        <v>939</v>
      </c>
      <c r="I4" s="7" t="s">
        <v>4983</v>
      </c>
      <c r="J4" s="7" t="s">
        <v>941</v>
      </c>
      <c r="K4" s="7" t="s">
        <v>941</v>
      </c>
      <c r="L4" s="7" t="s">
        <v>975</v>
      </c>
      <c r="M4" s="7" t="s">
        <v>4991</v>
      </c>
      <c r="N4" s="15">
        <v>26834</v>
      </c>
      <c r="O4" s="7" t="s">
        <v>945</v>
      </c>
      <c r="P4" s="7" t="s">
        <v>946</v>
      </c>
      <c r="Q4" s="7" t="s">
        <v>963</v>
      </c>
      <c r="R4" s="7"/>
      <c r="S4" s="7">
        <v>68</v>
      </c>
      <c r="T4" s="7" t="s">
        <v>1011</v>
      </c>
      <c r="U4" s="7"/>
      <c r="V4" s="7" t="s">
        <v>4992</v>
      </c>
      <c r="W4" s="7" t="s">
        <v>4986</v>
      </c>
      <c r="X4" s="7" t="s">
        <v>953</v>
      </c>
      <c r="Y4" s="7" t="s">
        <v>484</v>
      </c>
      <c r="Z4" s="7" t="s">
        <v>4993</v>
      </c>
      <c r="AA4" s="7" t="s">
        <v>4994</v>
      </c>
      <c r="AB4" s="7" t="s">
        <v>4995</v>
      </c>
      <c r="AC4" s="7" t="s">
        <v>406</v>
      </c>
      <c r="AD4" s="7" t="s">
        <v>406</v>
      </c>
      <c r="AE4" s="7" t="s">
        <v>406</v>
      </c>
      <c r="AF4" s="7" t="s">
        <v>406</v>
      </c>
      <c r="AG4" s="7" t="s">
        <v>406</v>
      </c>
      <c r="AH4" s="7">
        <v>40</v>
      </c>
      <c r="AI4" s="7">
        <v>40</v>
      </c>
      <c r="AJ4" s="7">
        <v>40</v>
      </c>
      <c r="AK4" s="7">
        <v>40</v>
      </c>
      <c r="AL4" s="7" t="s">
        <v>406</v>
      </c>
      <c r="AM4" s="7" t="s">
        <v>406</v>
      </c>
      <c r="AN4" s="7" t="s">
        <v>406</v>
      </c>
    </row>
    <row r="5" customHeight="1" spans="1:40">
      <c r="A5" s="6"/>
      <c r="B5" s="7"/>
      <c r="C5" s="8"/>
      <c r="D5" s="7" t="s">
        <v>4996</v>
      </c>
      <c r="E5" s="6" t="s">
        <v>491</v>
      </c>
      <c r="F5" s="9" t="s">
        <v>4997</v>
      </c>
      <c r="G5" s="7"/>
      <c r="H5" s="7"/>
      <c r="I5" s="7"/>
      <c r="J5" s="7"/>
      <c r="K5" s="7"/>
      <c r="L5" s="7"/>
      <c r="M5" s="7"/>
      <c r="N5" s="15"/>
      <c r="O5" s="7"/>
      <c r="P5" s="7"/>
      <c r="Q5" s="7"/>
      <c r="R5" s="7"/>
      <c r="S5" s="7"/>
      <c r="T5" s="7"/>
      <c r="U5" s="7"/>
      <c r="V5" s="7"/>
      <c r="W5" s="7"/>
      <c r="X5" s="7"/>
      <c r="Y5" s="7"/>
      <c r="Z5" s="7"/>
      <c r="AA5" s="7"/>
      <c r="AB5" s="7"/>
      <c r="AC5" s="7"/>
      <c r="AD5" s="7"/>
      <c r="AE5" s="7"/>
      <c r="AF5" s="7"/>
      <c r="AG5" s="7"/>
      <c r="AH5" s="7"/>
      <c r="AI5" s="7"/>
      <c r="AJ5" s="7"/>
      <c r="AK5" s="7"/>
      <c r="AL5" s="7"/>
      <c r="AM5" s="7"/>
      <c r="AN5" s="7"/>
    </row>
    <row r="6" customHeight="1" spans="1:40">
      <c r="A6" s="6"/>
      <c r="B6" s="7"/>
      <c r="C6" s="8"/>
      <c r="D6" s="7" t="s">
        <v>4998</v>
      </c>
      <c r="E6" s="6" t="s">
        <v>491</v>
      </c>
      <c r="F6" s="9" t="s">
        <v>4999</v>
      </c>
      <c r="G6" s="7"/>
      <c r="H6" s="7"/>
      <c r="I6" s="7"/>
      <c r="J6" s="7"/>
      <c r="K6" s="7"/>
      <c r="L6" s="7"/>
      <c r="M6" s="7"/>
      <c r="N6" s="15"/>
      <c r="O6" s="7"/>
      <c r="P6" s="7"/>
      <c r="Q6" s="7"/>
      <c r="R6" s="7"/>
      <c r="S6" s="7"/>
      <c r="T6" s="7"/>
      <c r="U6" s="7"/>
      <c r="V6" s="7"/>
      <c r="W6" s="7"/>
      <c r="X6" s="7"/>
      <c r="Y6" s="7"/>
      <c r="Z6" s="7"/>
      <c r="AA6" s="7"/>
      <c r="AB6" s="7"/>
      <c r="AC6" s="7"/>
      <c r="AD6" s="7"/>
      <c r="AE6" s="7"/>
      <c r="AF6" s="7"/>
      <c r="AG6" s="7"/>
      <c r="AH6" s="7"/>
      <c r="AI6" s="7"/>
      <c r="AJ6" s="7"/>
      <c r="AK6" s="7"/>
      <c r="AL6" s="7"/>
      <c r="AM6" s="7"/>
      <c r="AN6" s="7"/>
    </row>
    <row r="7" customHeight="1" spans="1:40">
      <c r="A7" s="6" t="s">
        <v>387</v>
      </c>
      <c r="B7" s="6" t="s">
        <v>486</v>
      </c>
      <c r="C7" s="4" t="s">
        <v>937</v>
      </c>
      <c r="D7" s="7" t="s">
        <v>128</v>
      </c>
      <c r="E7" s="6" t="s">
        <v>490</v>
      </c>
      <c r="F7" s="7" t="s">
        <v>4716</v>
      </c>
      <c r="G7" s="10">
        <v>1061126411</v>
      </c>
      <c r="H7" s="11" t="s">
        <v>5000</v>
      </c>
      <c r="I7" s="7" t="s">
        <v>5001</v>
      </c>
      <c r="J7" s="7" t="s">
        <v>941</v>
      </c>
      <c r="K7" s="7" t="s">
        <v>941</v>
      </c>
      <c r="L7" s="7" t="s">
        <v>943</v>
      </c>
      <c r="M7" s="7" t="s">
        <v>5002</v>
      </c>
      <c r="N7" s="16">
        <v>27685</v>
      </c>
      <c r="O7" s="7" t="s">
        <v>945</v>
      </c>
      <c r="P7" s="7" t="s">
        <v>946</v>
      </c>
      <c r="Q7" s="7" t="s">
        <v>963</v>
      </c>
      <c r="R7" s="7"/>
      <c r="S7" s="7">
        <v>80</v>
      </c>
      <c r="T7" s="7" t="s">
        <v>1044</v>
      </c>
      <c r="U7" s="7" t="s">
        <v>5003</v>
      </c>
      <c r="V7" s="7" t="s">
        <v>5004</v>
      </c>
      <c r="W7" s="7" t="s">
        <v>5005</v>
      </c>
      <c r="X7" s="7" t="s">
        <v>953</v>
      </c>
      <c r="Y7" s="7" t="s">
        <v>486</v>
      </c>
      <c r="Z7" s="7" t="s">
        <v>5006</v>
      </c>
      <c r="AA7" s="7"/>
      <c r="AB7" s="7"/>
      <c r="AC7" s="7" t="s">
        <v>406</v>
      </c>
      <c r="AD7" s="7" t="s">
        <v>406</v>
      </c>
      <c r="AE7" s="7" t="s">
        <v>406</v>
      </c>
      <c r="AF7" s="7" t="s">
        <v>406</v>
      </c>
      <c r="AG7" s="7" t="s">
        <v>406</v>
      </c>
      <c r="AH7" s="7">
        <v>34</v>
      </c>
      <c r="AI7" s="7">
        <v>34</v>
      </c>
      <c r="AJ7" s="7">
        <v>34</v>
      </c>
      <c r="AK7" s="7">
        <v>34</v>
      </c>
      <c r="AL7" s="7" t="s">
        <v>406</v>
      </c>
      <c r="AM7" s="7" t="s">
        <v>406</v>
      </c>
      <c r="AN7" s="7" t="s">
        <v>396</v>
      </c>
    </row>
    <row r="8" customHeight="1" spans="1:40">
      <c r="A8" s="6" t="s">
        <v>387</v>
      </c>
      <c r="B8" s="6" t="s">
        <v>484</v>
      </c>
      <c r="C8" s="4" t="s">
        <v>937</v>
      </c>
      <c r="D8" s="7" t="s">
        <v>130</v>
      </c>
      <c r="E8" s="6" t="s">
        <v>490</v>
      </c>
      <c r="F8" s="7" t="s">
        <v>5007</v>
      </c>
      <c r="G8" s="10">
        <v>4054179298</v>
      </c>
      <c r="H8" s="7" t="s">
        <v>5008</v>
      </c>
      <c r="I8" s="7" t="s">
        <v>4983</v>
      </c>
      <c r="J8" s="7" t="s">
        <v>941</v>
      </c>
      <c r="K8" s="7" t="s">
        <v>941</v>
      </c>
      <c r="L8" s="7" t="s">
        <v>2122</v>
      </c>
      <c r="M8" s="7" t="s">
        <v>5009</v>
      </c>
      <c r="N8" s="15">
        <v>27673</v>
      </c>
      <c r="O8" s="7" t="s">
        <v>945</v>
      </c>
      <c r="P8" s="7" t="s">
        <v>946</v>
      </c>
      <c r="Q8" s="7" t="s">
        <v>963</v>
      </c>
      <c r="R8" s="7"/>
      <c r="S8" s="7">
        <v>120</v>
      </c>
      <c r="T8" s="7" t="s">
        <v>2929</v>
      </c>
      <c r="U8" s="7"/>
      <c r="V8" s="7" t="s">
        <v>5010</v>
      </c>
      <c r="W8" s="7"/>
      <c r="X8" s="7" t="s">
        <v>953</v>
      </c>
      <c r="Y8" s="7" t="s">
        <v>484</v>
      </c>
      <c r="Z8" s="7" t="s">
        <v>4987</v>
      </c>
      <c r="AA8" s="7" t="s">
        <v>5011</v>
      </c>
      <c r="AB8" s="7" t="s">
        <v>5012</v>
      </c>
      <c r="AC8" s="7" t="s">
        <v>398</v>
      </c>
      <c r="AD8" s="7" t="s">
        <v>398</v>
      </c>
      <c r="AE8" s="7" t="s">
        <v>398</v>
      </c>
      <c r="AF8" s="7" t="s">
        <v>406</v>
      </c>
      <c r="AG8" s="7" t="s">
        <v>398</v>
      </c>
      <c r="AH8" s="7">
        <v>41</v>
      </c>
      <c r="AI8" s="7">
        <v>41</v>
      </c>
      <c r="AJ8" s="7">
        <v>41</v>
      </c>
      <c r="AK8" s="7">
        <v>41</v>
      </c>
      <c r="AL8" s="7" t="s">
        <v>406</v>
      </c>
      <c r="AM8" s="7" t="s">
        <v>406</v>
      </c>
      <c r="AN8" s="7" t="s">
        <v>406</v>
      </c>
    </row>
    <row r="9" customHeight="1" spans="1:40">
      <c r="A9" s="6" t="s">
        <v>387</v>
      </c>
      <c r="B9" s="6" t="s">
        <v>486</v>
      </c>
      <c r="C9" s="4" t="s">
        <v>937</v>
      </c>
      <c r="D9" s="7" t="s">
        <v>132</v>
      </c>
      <c r="E9" s="6" t="s">
        <v>490</v>
      </c>
      <c r="F9" s="7" t="s">
        <v>4733</v>
      </c>
      <c r="G9" s="10">
        <v>2085625801</v>
      </c>
      <c r="H9" s="7" t="s">
        <v>5000</v>
      </c>
      <c r="I9" s="7" t="s">
        <v>5013</v>
      </c>
      <c r="J9" s="7" t="s">
        <v>941</v>
      </c>
      <c r="K9" s="7" t="s">
        <v>941</v>
      </c>
      <c r="L9" s="7" t="s">
        <v>975</v>
      </c>
      <c r="M9" s="7" t="s">
        <v>3313</v>
      </c>
      <c r="N9" s="15">
        <v>26614</v>
      </c>
      <c r="O9" s="7" t="s">
        <v>945</v>
      </c>
      <c r="P9" s="7" t="s">
        <v>1041</v>
      </c>
      <c r="Q9" s="7" t="s">
        <v>963</v>
      </c>
      <c r="R9" s="7" t="s">
        <v>5014</v>
      </c>
      <c r="S9" s="7">
        <v>74</v>
      </c>
      <c r="T9" s="7" t="s">
        <v>1044</v>
      </c>
      <c r="U9" s="7"/>
      <c r="V9" s="7" t="s">
        <v>5015</v>
      </c>
      <c r="W9" s="7" t="s">
        <v>5016</v>
      </c>
      <c r="X9" s="7" t="s">
        <v>953</v>
      </c>
      <c r="Y9" s="7" t="s">
        <v>486</v>
      </c>
      <c r="Z9" s="7" t="s">
        <v>5017</v>
      </c>
      <c r="AA9" s="7" t="s">
        <v>5018</v>
      </c>
      <c r="AB9" s="7" t="s">
        <v>5019</v>
      </c>
      <c r="AC9" s="7" t="s">
        <v>396</v>
      </c>
      <c r="AD9" s="7" t="s">
        <v>396</v>
      </c>
      <c r="AE9" s="7" t="s">
        <v>396</v>
      </c>
      <c r="AF9" s="7" t="s">
        <v>406</v>
      </c>
      <c r="AG9" s="7" t="s">
        <v>396</v>
      </c>
      <c r="AH9" s="7">
        <v>34</v>
      </c>
      <c r="AI9" s="7">
        <v>34</v>
      </c>
      <c r="AJ9" s="7">
        <v>34</v>
      </c>
      <c r="AK9" s="7">
        <v>34</v>
      </c>
      <c r="AL9" s="7" t="s">
        <v>396</v>
      </c>
      <c r="AM9" s="7" t="s">
        <v>395</v>
      </c>
      <c r="AN9" s="7" t="s">
        <v>396</v>
      </c>
    </row>
    <row r="10" customHeight="1" spans="1:40">
      <c r="A10" s="6" t="s">
        <v>387</v>
      </c>
      <c r="B10" s="6" t="s">
        <v>484</v>
      </c>
      <c r="C10" s="4" t="s">
        <v>937</v>
      </c>
      <c r="D10" s="7" t="s">
        <v>5020</v>
      </c>
      <c r="E10" s="6" t="s">
        <v>490</v>
      </c>
      <c r="F10" s="7" t="s">
        <v>5021</v>
      </c>
      <c r="G10" s="10">
        <v>1046213482</v>
      </c>
      <c r="H10" s="7" t="s">
        <v>5008</v>
      </c>
      <c r="I10" s="7" t="s">
        <v>4983</v>
      </c>
      <c r="J10" s="7" t="s">
        <v>941</v>
      </c>
      <c r="K10" s="7" t="s">
        <v>941</v>
      </c>
      <c r="L10" s="7" t="s">
        <v>975</v>
      </c>
      <c r="M10" s="7" t="s">
        <v>5022</v>
      </c>
      <c r="N10" s="15">
        <v>22091</v>
      </c>
      <c r="O10" s="7" t="s">
        <v>945</v>
      </c>
      <c r="P10" s="7" t="s">
        <v>1257</v>
      </c>
      <c r="Q10" s="7" t="s">
        <v>963</v>
      </c>
      <c r="R10" s="7"/>
      <c r="S10" s="7"/>
      <c r="T10" s="7" t="s">
        <v>965</v>
      </c>
      <c r="U10" s="7"/>
      <c r="V10" s="7" t="s">
        <v>5023</v>
      </c>
      <c r="W10" s="7"/>
      <c r="X10" s="7" t="s">
        <v>953</v>
      </c>
      <c r="Y10" s="7" t="s">
        <v>484</v>
      </c>
      <c r="Z10" s="7" t="s">
        <v>4993</v>
      </c>
      <c r="AA10" s="7" t="s">
        <v>5024</v>
      </c>
      <c r="AB10" s="7" t="s">
        <v>5012</v>
      </c>
      <c r="AC10" s="7" t="s">
        <v>396</v>
      </c>
      <c r="AD10" s="7" t="s">
        <v>396</v>
      </c>
      <c r="AE10" s="7" t="s">
        <v>396</v>
      </c>
      <c r="AF10" s="7" t="s">
        <v>406</v>
      </c>
      <c r="AG10" s="7" t="s">
        <v>406</v>
      </c>
      <c r="AH10" s="7">
        <v>40</v>
      </c>
      <c r="AI10" s="7">
        <v>40</v>
      </c>
      <c r="AJ10" s="7">
        <v>40</v>
      </c>
      <c r="AK10" s="7">
        <v>41</v>
      </c>
      <c r="AL10" s="7" t="s">
        <v>406</v>
      </c>
      <c r="AM10" s="7" t="s">
        <v>406</v>
      </c>
      <c r="AN10" s="7" t="s">
        <v>396</v>
      </c>
    </row>
    <row r="11" customHeight="1" spans="1:40">
      <c r="A11" s="6"/>
      <c r="B11" s="7"/>
      <c r="C11" s="8"/>
      <c r="D11" s="7" t="s">
        <v>5025</v>
      </c>
      <c r="E11" s="6" t="s">
        <v>491</v>
      </c>
      <c r="F11" s="9" t="s">
        <v>5026</v>
      </c>
      <c r="G11" s="7"/>
      <c r="H11" s="7"/>
      <c r="I11" s="7"/>
      <c r="J11" s="7"/>
      <c r="K11" s="7"/>
      <c r="L11" s="7"/>
      <c r="M11" s="7"/>
      <c r="N11" s="15"/>
      <c r="O11" s="7"/>
      <c r="P11" s="7"/>
      <c r="Q11" s="7"/>
      <c r="R11" s="7"/>
      <c r="S11" s="7"/>
      <c r="T11" s="7"/>
      <c r="U11" s="7"/>
      <c r="V11" s="7"/>
      <c r="W11" s="7"/>
      <c r="X11" s="7"/>
      <c r="Y11" s="7"/>
      <c r="Z11" s="7"/>
      <c r="AA11" s="7"/>
      <c r="AB11" s="7"/>
      <c r="AC11" s="7"/>
      <c r="AD11" s="7"/>
      <c r="AE11" s="7"/>
      <c r="AF11" s="7"/>
      <c r="AG11" s="7"/>
      <c r="AH11" s="7"/>
      <c r="AI11" s="7"/>
      <c r="AJ11" s="7"/>
      <c r="AK11" s="7"/>
      <c r="AL11" s="7"/>
      <c r="AM11" s="7"/>
      <c r="AN11" s="7"/>
    </row>
    <row r="12" customHeight="1" spans="1:40">
      <c r="A12" s="6" t="s">
        <v>387</v>
      </c>
      <c r="B12" s="6" t="s">
        <v>484</v>
      </c>
      <c r="C12" s="4" t="s">
        <v>937</v>
      </c>
      <c r="D12" s="7" t="s">
        <v>5027</v>
      </c>
      <c r="E12" s="6" t="s">
        <v>490</v>
      </c>
      <c r="F12" s="7" t="s">
        <v>5028</v>
      </c>
      <c r="G12" s="10">
        <v>7059958772</v>
      </c>
      <c r="H12" s="7" t="s">
        <v>5008</v>
      </c>
      <c r="I12" s="7" t="s">
        <v>4983</v>
      </c>
      <c r="J12" s="7" t="s">
        <v>941</v>
      </c>
      <c r="K12" s="7" t="s">
        <v>941</v>
      </c>
      <c r="L12" s="7" t="s">
        <v>975</v>
      </c>
      <c r="M12" s="7" t="s">
        <v>5029</v>
      </c>
      <c r="N12" s="15">
        <v>27464</v>
      </c>
      <c r="O12" s="7" t="s">
        <v>945</v>
      </c>
      <c r="P12" s="7" t="s">
        <v>946</v>
      </c>
      <c r="Q12" s="7" t="s">
        <v>1245</v>
      </c>
      <c r="R12" s="7" t="s">
        <v>5030</v>
      </c>
      <c r="S12" s="7">
        <v>80</v>
      </c>
      <c r="T12" s="7" t="s">
        <v>1030</v>
      </c>
      <c r="U12" s="7"/>
      <c r="V12" s="7" t="s">
        <v>5031</v>
      </c>
      <c r="W12" s="7" t="s">
        <v>4986</v>
      </c>
      <c r="X12" s="7" t="s">
        <v>953</v>
      </c>
      <c r="Y12" s="7" t="s">
        <v>484</v>
      </c>
      <c r="Z12" s="7" t="s">
        <v>4993</v>
      </c>
      <c r="AA12" s="7" t="s">
        <v>5032</v>
      </c>
      <c r="AB12" s="7" t="s">
        <v>4995</v>
      </c>
      <c r="AC12" s="7" t="s">
        <v>396</v>
      </c>
      <c r="AD12" s="7" t="s">
        <v>396</v>
      </c>
      <c r="AE12" s="7" t="s">
        <v>396</v>
      </c>
      <c r="AF12" s="7" t="s">
        <v>406</v>
      </c>
      <c r="AG12" s="7" t="s">
        <v>406</v>
      </c>
      <c r="AH12" s="7">
        <v>41</v>
      </c>
      <c r="AI12" s="7">
        <v>41</v>
      </c>
      <c r="AJ12" s="7">
        <v>41</v>
      </c>
      <c r="AK12" s="7">
        <v>41</v>
      </c>
      <c r="AL12" s="7" t="s">
        <v>406</v>
      </c>
      <c r="AM12" s="7" t="s">
        <v>406</v>
      </c>
      <c r="AN12" s="7" t="s">
        <v>396</v>
      </c>
    </row>
    <row r="13" customHeight="1" spans="1:40">
      <c r="A13" s="6" t="s">
        <v>387</v>
      </c>
      <c r="B13" s="6" t="s">
        <v>486</v>
      </c>
      <c r="C13" s="4" t="s">
        <v>937</v>
      </c>
      <c r="D13" s="7" t="s">
        <v>5033</v>
      </c>
      <c r="E13" s="6" t="s">
        <v>492</v>
      </c>
      <c r="F13" s="7" t="s">
        <v>4791</v>
      </c>
      <c r="G13" s="10">
        <v>1076938362</v>
      </c>
      <c r="H13" s="11" t="s">
        <v>5000</v>
      </c>
      <c r="I13" s="7" t="s">
        <v>5034</v>
      </c>
      <c r="J13" s="7" t="s">
        <v>941</v>
      </c>
      <c r="K13" s="7" t="s">
        <v>941</v>
      </c>
      <c r="L13" s="7" t="s">
        <v>975</v>
      </c>
      <c r="M13" s="7" t="s">
        <v>5002</v>
      </c>
      <c r="N13" s="15">
        <v>30486</v>
      </c>
      <c r="O13" s="7" t="s">
        <v>945</v>
      </c>
      <c r="P13" s="7" t="s">
        <v>946</v>
      </c>
      <c r="Q13" s="7" t="s">
        <v>963</v>
      </c>
      <c r="R13" s="7"/>
      <c r="S13" s="7">
        <v>80</v>
      </c>
      <c r="T13" s="7" t="s">
        <v>1030</v>
      </c>
      <c r="U13" s="7"/>
      <c r="V13" s="7" t="s">
        <v>5035</v>
      </c>
      <c r="W13" s="7"/>
      <c r="X13" s="7" t="s">
        <v>953</v>
      </c>
      <c r="Y13" s="7" t="s">
        <v>486</v>
      </c>
      <c r="Z13" s="7" t="s">
        <v>5036</v>
      </c>
      <c r="AA13" s="7" t="s">
        <v>5037</v>
      </c>
      <c r="AB13" s="7" t="s">
        <v>1178</v>
      </c>
      <c r="AC13" s="7" t="s">
        <v>396</v>
      </c>
      <c r="AD13" s="7" t="s">
        <v>396</v>
      </c>
      <c r="AE13" s="7" t="s">
        <v>396</v>
      </c>
      <c r="AF13" s="7" t="s">
        <v>406</v>
      </c>
      <c r="AG13" s="7" t="s">
        <v>406</v>
      </c>
      <c r="AH13" s="7">
        <v>34</v>
      </c>
      <c r="AI13" s="7">
        <v>34</v>
      </c>
      <c r="AJ13" s="7">
        <v>34</v>
      </c>
      <c r="AK13" s="7">
        <v>34</v>
      </c>
      <c r="AL13" s="7" t="s">
        <v>406</v>
      </c>
      <c r="AM13" s="7" t="s">
        <v>396</v>
      </c>
      <c r="AN13" s="7" t="s">
        <v>396</v>
      </c>
    </row>
    <row r="14" customHeight="1" spans="1:40">
      <c r="A14" s="6"/>
      <c r="B14" s="7"/>
      <c r="C14" s="8"/>
      <c r="D14" s="7" t="s">
        <v>5038</v>
      </c>
      <c r="E14" s="6" t="s">
        <v>491</v>
      </c>
      <c r="F14" s="9" t="s">
        <v>5039</v>
      </c>
      <c r="G14" s="7"/>
      <c r="H14" s="7"/>
      <c r="I14" s="7"/>
      <c r="J14" s="7"/>
      <c r="K14" s="7"/>
      <c r="L14" s="7"/>
      <c r="M14" s="7"/>
      <c r="N14" s="15"/>
      <c r="O14" s="7"/>
      <c r="P14" s="7"/>
      <c r="Q14" s="7"/>
      <c r="R14" s="7"/>
      <c r="S14" s="7"/>
      <c r="T14" s="7"/>
      <c r="U14" s="7"/>
      <c r="V14" s="7"/>
      <c r="W14" s="7"/>
      <c r="X14" s="7"/>
      <c r="Y14" s="7"/>
      <c r="Z14" s="7"/>
      <c r="AA14" s="7"/>
      <c r="AB14" s="7"/>
      <c r="AC14" s="7"/>
      <c r="AD14" s="7"/>
      <c r="AE14" s="7"/>
      <c r="AF14" s="7"/>
      <c r="AG14" s="7"/>
      <c r="AH14" s="7"/>
      <c r="AI14" s="7"/>
      <c r="AJ14" s="7"/>
      <c r="AK14" s="7"/>
      <c r="AL14" s="7"/>
      <c r="AM14" s="7"/>
      <c r="AN14" s="7"/>
    </row>
    <row r="15" customHeight="1" spans="1:40">
      <c r="A15" s="6"/>
      <c r="B15" s="7"/>
      <c r="C15" s="8"/>
      <c r="D15" s="7" t="s">
        <v>5040</v>
      </c>
      <c r="E15" s="6" t="s">
        <v>491</v>
      </c>
      <c r="F15" s="9" t="s">
        <v>5041</v>
      </c>
      <c r="G15" s="7"/>
      <c r="H15" s="7"/>
      <c r="I15" s="7"/>
      <c r="J15" s="7"/>
      <c r="K15" s="7"/>
      <c r="L15" s="7"/>
      <c r="M15" s="7"/>
      <c r="N15" s="15"/>
      <c r="O15" s="7"/>
      <c r="P15" s="7"/>
      <c r="Q15" s="7"/>
      <c r="R15" s="7"/>
      <c r="S15" s="7"/>
      <c r="T15" s="7"/>
      <c r="U15" s="7"/>
      <c r="V15" s="7"/>
      <c r="W15" s="7"/>
      <c r="X15" s="7"/>
      <c r="Y15" s="7"/>
      <c r="Z15" s="7"/>
      <c r="AA15" s="7"/>
      <c r="AB15" s="7"/>
      <c r="AC15" s="7"/>
      <c r="AD15" s="7"/>
      <c r="AE15" s="7"/>
      <c r="AF15" s="7"/>
      <c r="AG15" s="7"/>
      <c r="AH15" s="7"/>
      <c r="AI15" s="7"/>
      <c r="AJ15" s="7"/>
      <c r="AK15" s="7"/>
      <c r="AL15" s="7"/>
      <c r="AM15" s="7"/>
      <c r="AN15" s="7"/>
    </row>
    <row r="16" customHeight="1" spans="1:40">
      <c r="A16" s="6" t="s">
        <v>387</v>
      </c>
      <c r="B16" s="6" t="s">
        <v>486</v>
      </c>
      <c r="C16" s="4" t="s">
        <v>937</v>
      </c>
      <c r="D16" s="7" t="s">
        <v>136</v>
      </c>
      <c r="E16" s="6" t="s">
        <v>491</v>
      </c>
      <c r="F16" s="7" t="s">
        <v>4830</v>
      </c>
      <c r="G16" s="10">
        <v>7025545431</v>
      </c>
      <c r="H16" s="7" t="s">
        <v>5042</v>
      </c>
      <c r="I16" s="7" t="s">
        <v>5043</v>
      </c>
      <c r="J16" s="7" t="s">
        <v>941</v>
      </c>
      <c r="K16" s="7" t="s">
        <v>941</v>
      </c>
      <c r="L16" s="7" t="s">
        <v>975</v>
      </c>
      <c r="M16" s="7" t="s">
        <v>5044</v>
      </c>
      <c r="N16" s="15">
        <v>21590</v>
      </c>
      <c r="O16" s="7" t="s">
        <v>945</v>
      </c>
      <c r="P16" s="7" t="s">
        <v>946</v>
      </c>
      <c r="Q16" s="7" t="s">
        <v>963</v>
      </c>
      <c r="R16" s="7"/>
      <c r="S16" s="7">
        <v>80</v>
      </c>
      <c r="T16" s="7" t="s">
        <v>1030</v>
      </c>
      <c r="U16" s="7"/>
      <c r="V16" s="7" t="s">
        <v>5045</v>
      </c>
      <c r="W16" s="7" t="s">
        <v>5046</v>
      </c>
      <c r="X16" s="7" t="s">
        <v>953</v>
      </c>
      <c r="Y16" s="7" t="s">
        <v>5047</v>
      </c>
      <c r="Z16" s="7" t="s">
        <v>5048</v>
      </c>
      <c r="AA16" s="7" t="s">
        <v>5049</v>
      </c>
      <c r="AB16" s="7" t="s">
        <v>2983</v>
      </c>
      <c r="AC16" s="7" t="s">
        <v>396</v>
      </c>
      <c r="AD16" s="7" t="s">
        <v>396</v>
      </c>
      <c r="AE16" s="7" t="s">
        <v>396</v>
      </c>
      <c r="AF16" s="7" t="s">
        <v>406</v>
      </c>
      <c r="AG16" s="7" t="s">
        <v>406</v>
      </c>
      <c r="AH16" s="7">
        <v>40</v>
      </c>
      <c r="AI16" s="7">
        <v>40</v>
      </c>
      <c r="AJ16" s="7">
        <v>40</v>
      </c>
      <c r="AK16" s="7">
        <v>40</v>
      </c>
      <c r="AL16" s="7" t="s">
        <v>406</v>
      </c>
      <c r="AM16" s="7" t="s">
        <v>406</v>
      </c>
      <c r="AN16" s="7" t="s">
        <v>396</v>
      </c>
    </row>
    <row r="17" customHeight="1" spans="1:40">
      <c r="A17" s="6" t="s">
        <v>387</v>
      </c>
      <c r="B17" s="6" t="s">
        <v>486</v>
      </c>
      <c r="C17" s="4" t="s">
        <v>937</v>
      </c>
      <c r="D17" s="7" t="s">
        <v>5050</v>
      </c>
      <c r="E17" s="6" t="s">
        <v>490</v>
      </c>
      <c r="F17" s="7" t="s">
        <v>5051</v>
      </c>
      <c r="G17" s="10">
        <v>3107591616</v>
      </c>
      <c r="H17" s="7" t="s">
        <v>5042</v>
      </c>
      <c r="I17" s="7" t="s">
        <v>5052</v>
      </c>
      <c r="J17" s="7" t="s">
        <v>941</v>
      </c>
      <c r="K17" s="7" t="s">
        <v>941</v>
      </c>
      <c r="L17" s="7" t="s">
        <v>975</v>
      </c>
      <c r="M17" s="7" t="s">
        <v>5053</v>
      </c>
      <c r="N17" s="15">
        <v>33990</v>
      </c>
      <c r="O17" s="7" t="s">
        <v>945</v>
      </c>
      <c r="P17" s="7" t="s">
        <v>946</v>
      </c>
      <c r="Q17" s="7" t="s">
        <v>963</v>
      </c>
      <c r="R17" s="7"/>
      <c r="S17" s="7">
        <v>75</v>
      </c>
      <c r="T17" s="7" t="s">
        <v>965</v>
      </c>
      <c r="U17" s="7"/>
      <c r="V17" s="7" t="s">
        <v>5054</v>
      </c>
      <c r="W17" s="7" t="s">
        <v>5055</v>
      </c>
      <c r="X17" s="7" t="s">
        <v>953</v>
      </c>
      <c r="Y17" s="7" t="s">
        <v>486</v>
      </c>
      <c r="Z17" s="7" t="s">
        <v>5036</v>
      </c>
      <c r="AA17" s="7" t="s">
        <v>5056</v>
      </c>
      <c r="AB17" s="7" t="s">
        <v>1178</v>
      </c>
      <c r="AC17" s="7" t="s">
        <v>406</v>
      </c>
      <c r="AD17" s="7" t="s">
        <v>406</v>
      </c>
      <c r="AE17" s="7" t="s">
        <v>406</v>
      </c>
      <c r="AF17" s="7" t="s">
        <v>406</v>
      </c>
      <c r="AG17" s="7" t="s">
        <v>406</v>
      </c>
      <c r="AH17" s="7">
        <v>41</v>
      </c>
      <c r="AI17" s="7">
        <v>41</v>
      </c>
      <c r="AJ17" s="7">
        <v>41</v>
      </c>
      <c r="AK17" s="7">
        <v>41</v>
      </c>
      <c r="AL17" s="7" t="s">
        <v>406</v>
      </c>
      <c r="AM17" s="7" t="s">
        <v>406</v>
      </c>
      <c r="AN17" s="7" t="s">
        <v>396</v>
      </c>
    </row>
    <row r="18" customHeight="1" spans="1:40">
      <c r="A18" s="6" t="s">
        <v>387</v>
      </c>
      <c r="B18" s="6" t="s">
        <v>484</v>
      </c>
      <c r="C18" s="4" t="s">
        <v>937</v>
      </c>
      <c r="D18" s="7" t="s">
        <v>140</v>
      </c>
      <c r="E18" s="6" t="s">
        <v>490</v>
      </c>
      <c r="F18" s="7" t="s">
        <v>5057</v>
      </c>
      <c r="G18" s="10">
        <v>2042007399</v>
      </c>
      <c r="H18" s="7" t="s">
        <v>939</v>
      </c>
      <c r="I18" s="7" t="s">
        <v>4983</v>
      </c>
      <c r="J18" s="7" t="s">
        <v>941</v>
      </c>
      <c r="K18" s="7" t="s">
        <v>941</v>
      </c>
      <c r="L18" s="7" t="s">
        <v>943</v>
      </c>
      <c r="M18" s="7" t="s">
        <v>5058</v>
      </c>
      <c r="N18" s="15">
        <v>25952</v>
      </c>
      <c r="O18" s="7" t="s">
        <v>945</v>
      </c>
      <c r="P18" s="7" t="s">
        <v>1257</v>
      </c>
      <c r="Q18" s="7" t="s">
        <v>963</v>
      </c>
      <c r="R18" s="7"/>
      <c r="S18" s="7">
        <v>89</v>
      </c>
      <c r="T18" s="7" t="s">
        <v>1011</v>
      </c>
      <c r="U18" s="7"/>
      <c r="V18" s="7" t="s">
        <v>5059</v>
      </c>
      <c r="W18" s="7" t="s">
        <v>4986</v>
      </c>
      <c r="X18" s="7" t="s">
        <v>953</v>
      </c>
      <c r="Y18" s="7" t="s">
        <v>484</v>
      </c>
      <c r="Z18" s="7" t="s">
        <v>4993</v>
      </c>
      <c r="AA18" s="7" t="s">
        <v>5060</v>
      </c>
      <c r="AB18" s="7" t="s">
        <v>5061</v>
      </c>
      <c r="AC18" s="7" t="s">
        <v>396</v>
      </c>
      <c r="AD18" s="7" t="s">
        <v>396</v>
      </c>
      <c r="AE18" s="7" t="s">
        <v>396</v>
      </c>
      <c r="AF18" s="7" t="s">
        <v>406</v>
      </c>
      <c r="AG18" s="7" t="s">
        <v>406</v>
      </c>
      <c r="AH18" s="7">
        <v>41</v>
      </c>
      <c r="AI18" s="7">
        <v>41</v>
      </c>
      <c r="AJ18" s="7">
        <v>41</v>
      </c>
      <c r="AK18" s="7">
        <v>41</v>
      </c>
      <c r="AL18" s="7" t="s">
        <v>406</v>
      </c>
      <c r="AM18" s="7" t="s">
        <v>406</v>
      </c>
      <c r="AN18" s="7" t="s">
        <v>396</v>
      </c>
    </row>
    <row r="19" customHeight="1" spans="1:40">
      <c r="A19" s="6" t="s">
        <v>387</v>
      </c>
      <c r="B19" s="6" t="s">
        <v>486</v>
      </c>
      <c r="C19" s="4" t="s">
        <v>937</v>
      </c>
      <c r="D19" s="7" t="s">
        <v>5062</v>
      </c>
      <c r="E19" s="6" t="s">
        <v>492</v>
      </c>
      <c r="F19" s="7" t="s">
        <v>5063</v>
      </c>
      <c r="G19" s="10">
        <v>1033929975</v>
      </c>
      <c r="H19" s="7" t="s">
        <v>5064</v>
      </c>
      <c r="I19" s="7" t="s">
        <v>5065</v>
      </c>
      <c r="J19" s="7" t="s">
        <v>942</v>
      </c>
      <c r="K19" s="7" t="s">
        <v>941</v>
      </c>
      <c r="L19" s="7" t="s">
        <v>1080</v>
      </c>
      <c r="M19" s="7" t="s">
        <v>5066</v>
      </c>
      <c r="N19" s="15">
        <v>28002</v>
      </c>
      <c r="O19" s="7" t="s">
        <v>945</v>
      </c>
      <c r="P19" s="7" t="s">
        <v>946</v>
      </c>
      <c r="Q19" s="7" t="s">
        <v>963</v>
      </c>
      <c r="R19" s="7" t="s">
        <v>5067</v>
      </c>
      <c r="S19" s="7">
        <v>120</v>
      </c>
      <c r="T19" s="7" t="s">
        <v>950</v>
      </c>
      <c r="U19" s="7" t="s">
        <v>5068</v>
      </c>
      <c r="V19" s="7" t="s">
        <v>5069</v>
      </c>
      <c r="W19" s="7"/>
      <c r="X19" s="7" t="s">
        <v>953</v>
      </c>
      <c r="Y19" s="7" t="s">
        <v>5047</v>
      </c>
      <c r="Z19" s="7" t="s">
        <v>5070</v>
      </c>
      <c r="AA19" s="7" t="s">
        <v>5071</v>
      </c>
      <c r="AB19" s="7" t="s">
        <v>5072</v>
      </c>
      <c r="AC19" s="7" t="s">
        <v>398</v>
      </c>
      <c r="AD19" s="7" t="s">
        <v>398</v>
      </c>
      <c r="AE19" s="7" t="s">
        <v>398</v>
      </c>
      <c r="AF19" s="7" t="s">
        <v>398</v>
      </c>
      <c r="AG19" s="7" t="s">
        <v>398</v>
      </c>
      <c r="AH19" s="7">
        <v>41</v>
      </c>
      <c r="AI19" s="7">
        <v>41</v>
      </c>
      <c r="AJ19" s="7">
        <v>41</v>
      </c>
      <c r="AK19" s="7">
        <v>41</v>
      </c>
      <c r="AL19" s="7" t="s">
        <v>398</v>
      </c>
      <c r="AM19" s="7" t="s">
        <v>398</v>
      </c>
      <c r="AN19" s="7" t="s">
        <v>406</v>
      </c>
    </row>
    <row r="20" customHeight="1" spans="1:40">
      <c r="A20" s="6" t="s">
        <v>387</v>
      </c>
      <c r="B20" s="6" t="s">
        <v>486</v>
      </c>
      <c r="C20" s="4" t="s">
        <v>937</v>
      </c>
      <c r="D20" s="7" t="s">
        <v>142</v>
      </c>
      <c r="E20" s="6" t="s">
        <v>490</v>
      </c>
      <c r="F20" s="7" t="s">
        <v>4859</v>
      </c>
      <c r="G20" s="10">
        <v>1084124443</v>
      </c>
      <c r="H20" s="7" t="s">
        <v>5042</v>
      </c>
      <c r="I20" s="7" t="s">
        <v>5073</v>
      </c>
      <c r="J20" s="7" t="s">
        <v>942</v>
      </c>
      <c r="K20" s="7" t="s">
        <v>941</v>
      </c>
      <c r="L20" s="7" t="s">
        <v>975</v>
      </c>
      <c r="M20" s="7" t="s">
        <v>1333</v>
      </c>
      <c r="N20" s="15">
        <v>31944</v>
      </c>
      <c r="O20" s="7" t="s">
        <v>945</v>
      </c>
      <c r="P20" s="7" t="s">
        <v>946</v>
      </c>
      <c r="Q20" s="7" t="s">
        <v>963</v>
      </c>
      <c r="R20" s="7" t="s">
        <v>5074</v>
      </c>
      <c r="S20" s="7">
        <v>80</v>
      </c>
      <c r="T20" s="7" t="s">
        <v>1030</v>
      </c>
      <c r="U20" s="7"/>
      <c r="V20" s="7" t="s">
        <v>5075</v>
      </c>
      <c r="W20" s="7"/>
      <c r="X20" s="7" t="s">
        <v>953</v>
      </c>
      <c r="Y20" s="7" t="s">
        <v>486</v>
      </c>
      <c r="Z20" s="7" t="s">
        <v>5006</v>
      </c>
      <c r="AA20" s="7"/>
      <c r="AB20" s="7"/>
      <c r="AC20" s="7" t="s">
        <v>396</v>
      </c>
      <c r="AD20" s="7" t="s">
        <v>395</v>
      </c>
      <c r="AE20" s="7" t="s">
        <v>395</v>
      </c>
      <c r="AF20" s="7" t="s">
        <v>406</v>
      </c>
      <c r="AG20" s="7"/>
      <c r="AH20" s="7">
        <v>40</v>
      </c>
      <c r="AI20" s="7">
        <v>40</v>
      </c>
      <c r="AJ20" s="7">
        <v>40</v>
      </c>
      <c r="AK20" s="7">
        <v>40</v>
      </c>
      <c r="AL20" s="7" t="s">
        <v>406</v>
      </c>
      <c r="AM20" s="7" t="s">
        <v>406</v>
      </c>
      <c r="AN20" s="7" t="s">
        <v>396</v>
      </c>
    </row>
    <row r="21" customHeight="1" spans="1:40">
      <c r="A21" s="6" t="s">
        <v>387</v>
      </c>
      <c r="B21" s="6" t="s">
        <v>486</v>
      </c>
      <c r="C21" s="4" t="s">
        <v>937</v>
      </c>
      <c r="D21" s="7" t="s">
        <v>48</v>
      </c>
      <c r="E21" s="6" t="s">
        <v>491</v>
      </c>
      <c r="F21" s="7" t="s">
        <v>5076</v>
      </c>
      <c r="G21" s="12">
        <v>91443962015</v>
      </c>
      <c r="H21" s="7" t="s">
        <v>5000</v>
      </c>
      <c r="I21" s="7" t="s">
        <v>5077</v>
      </c>
      <c r="J21" s="7" t="s">
        <v>941</v>
      </c>
      <c r="K21" s="7" t="s">
        <v>941</v>
      </c>
      <c r="L21" s="7" t="s">
        <v>1026</v>
      </c>
      <c r="M21" s="7" t="s">
        <v>5078</v>
      </c>
      <c r="N21" s="15">
        <v>25643</v>
      </c>
      <c r="O21" s="7" t="s">
        <v>945</v>
      </c>
      <c r="P21" s="7" t="s">
        <v>946</v>
      </c>
      <c r="Q21" s="7" t="s">
        <v>963</v>
      </c>
      <c r="R21" s="7"/>
      <c r="S21" s="7">
        <v>80</v>
      </c>
      <c r="T21" s="7" t="s">
        <v>1030</v>
      </c>
      <c r="U21" s="7"/>
      <c r="V21" s="7" t="s">
        <v>5079</v>
      </c>
      <c r="W21" s="7"/>
      <c r="X21" s="7" t="s">
        <v>953</v>
      </c>
      <c r="Y21" s="7" t="s">
        <v>486</v>
      </c>
      <c r="Z21" s="7">
        <v>97538000</v>
      </c>
      <c r="AA21" s="7" t="s">
        <v>5080</v>
      </c>
      <c r="AB21" s="7" t="s">
        <v>1178</v>
      </c>
      <c r="AC21" s="7" t="s">
        <v>396</v>
      </c>
      <c r="AD21" s="7" t="s">
        <v>396</v>
      </c>
      <c r="AE21" s="7" t="s">
        <v>396</v>
      </c>
      <c r="AF21" s="7" t="s">
        <v>406</v>
      </c>
      <c r="AG21" s="7" t="s">
        <v>396</v>
      </c>
      <c r="AH21" s="7">
        <v>34</v>
      </c>
      <c r="AI21" s="7">
        <v>34</v>
      </c>
      <c r="AJ21" s="7">
        <v>34</v>
      </c>
      <c r="AK21" s="7">
        <v>34</v>
      </c>
      <c r="AL21" s="7" t="s">
        <v>396</v>
      </c>
      <c r="AM21" s="7" t="s">
        <v>395</v>
      </c>
      <c r="AN21" s="7" t="s">
        <v>396</v>
      </c>
    </row>
    <row r="22" customHeight="1" spans="1:40">
      <c r="A22" s="6"/>
      <c r="B22" s="7"/>
      <c r="C22" s="8"/>
      <c r="D22" s="7" t="s">
        <v>5081</v>
      </c>
      <c r="E22" s="6" t="s">
        <v>491</v>
      </c>
      <c r="F22" s="9" t="s">
        <v>5082</v>
      </c>
      <c r="G22" s="7"/>
      <c r="H22" s="7"/>
      <c r="I22" s="7"/>
      <c r="J22" s="7"/>
      <c r="K22" s="7"/>
      <c r="L22" s="7"/>
      <c r="M22" s="7"/>
      <c r="N22" s="15"/>
      <c r="O22" s="7"/>
      <c r="P22" s="7"/>
      <c r="Q22" s="7"/>
      <c r="R22" s="7"/>
      <c r="S22" s="7"/>
      <c r="T22" s="7"/>
      <c r="U22" s="7"/>
      <c r="V22" s="7"/>
      <c r="W22" s="7"/>
      <c r="X22" s="7"/>
      <c r="Y22" s="7"/>
      <c r="Z22" s="7"/>
      <c r="AA22" s="7"/>
      <c r="AB22" s="7"/>
      <c r="AC22" s="7"/>
      <c r="AD22" s="7"/>
      <c r="AE22" s="7"/>
      <c r="AF22" s="7"/>
      <c r="AG22" s="7"/>
      <c r="AH22" s="7"/>
      <c r="AI22" s="7"/>
      <c r="AJ22" s="7"/>
      <c r="AK22" s="7"/>
      <c r="AL22" s="7"/>
      <c r="AM22" s="7"/>
      <c r="AN22" s="7"/>
    </row>
  </sheetData>
  <autoFilter ref="A1:AN22">
    <extLst/>
  </autoFilter>
  <conditionalFormatting sqref="E1">
    <cfRule type="containsText" dxfId="5" priority="1" operator="between" text="EAD">
      <formula>NOT(ISERROR(SEARCH("EAD",E1)))</formula>
    </cfRule>
    <cfRule type="containsText" dxfId="6" priority="2" operator="between" text="Não Tem">
      <formula>NOT(ISERROR(SEARCH("Não Tem",E1)))</formula>
    </cfRule>
    <cfRule type="containsText" dxfId="7" priority="3" operator="between" text="EAD + Presencial">
      <formula>NOT(ISERROR(SEARCH("EAD + Presencial",E1)))</formula>
    </cfRule>
  </conditionalFormatting>
  <dataValidations count="10">
    <dataValidation type="list" allowBlank="1" showErrorMessage="1" sqref="T2:T22">
      <formula1>Página5!$G:$G</formula1>
    </dataValidation>
    <dataValidation type="list" allowBlank="1" showErrorMessage="1" sqref="E1:E22">
      <formula1>"Curso CAB operador concluído,Módulo 2 e 3 concluído,Módulo 1 concluído"</formula1>
    </dataValidation>
    <dataValidation type="list" allowBlank="1" showErrorMessage="1" sqref="L2:L22">
      <formula1>Página5!$C:$C</formula1>
    </dataValidation>
    <dataValidation type="list" allowBlank="1" showErrorMessage="1" sqref="O2:O22">
      <formula1>Página5!$D:$D</formula1>
    </dataValidation>
    <dataValidation type="list" allowBlank="1" showErrorMessage="1" sqref="Y2:Y22">
      <formula1>Página5!$A:$A</formula1>
    </dataValidation>
    <dataValidation type="list" allowBlank="1" showErrorMessage="1" sqref="P2:P22">
      <formula1>Página5!$E:$E</formula1>
    </dataValidation>
    <dataValidation type="list" allowBlank="1" showErrorMessage="1" sqref="Q2:Q22">
      <formula1>Página5!$F:$F</formula1>
    </dataValidation>
    <dataValidation type="list" allowBlank="1" showErrorMessage="1" sqref="AC2:AG22;AL2:AN22">
      <formula1>"P,M,G,GG,EXG"</formula1>
    </dataValidation>
    <dataValidation type="list" allowBlank="1" showErrorMessage="1" sqref="AH2:AK22">
      <formula1>Página5!$H:$H</formula1>
    </dataValidation>
    <dataValidation type="list" allowBlank="1" showErrorMessage="1" sqref="J2:K22">
      <formula1>Página5!$B:$B</formula1>
    </dataValidation>
  </dataValidations>
  <pageMargins left="0.511811024" right="0.511811024" top="0.787401575" bottom="0.787401575" header="0" footer="0"/>
  <pageSetup paperSize="1"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I498"/>
  <sheetViews>
    <sheetView workbookViewId="0">
      <selection activeCell="A1" sqref="A1"/>
    </sheetView>
  </sheetViews>
  <sheetFormatPr defaultColWidth="14.4380952380952" defaultRowHeight="15" customHeight="1"/>
  <cols>
    <col min="1" max="1" width="25.1047619047619" customWidth="1"/>
    <col min="2" max="2" width="13" customWidth="1"/>
    <col min="3" max="3" width="8.66666666666667" customWidth="1"/>
    <col min="4" max="4" width="23.4380952380952" customWidth="1"/>
    <col min="5" max="5" width="13.4380952380952" customWidth="1"/>
    <col min="6" max="6" width="12" customWidth="1"/>
    <col min="7" max="7" width="21.4380952380952" customWidth="1"/>
    <col min="8" max="8" width="13" customWidth="1"/>
    <col min="9" max="9" width="12.552380952381" customWidth="1"/>
  </cols>
  <sheetData>
    <row r="1" customHeight="1" spans="1:9">
      <c r="A1" s="233" t="str">
        <f>IFERROR(__xludf.DUMMYFUNCTION("importrange(""https://docs.google.com/spreadsheets/d/1WshEo0eH81pnkJyEZuUyEHTpDOXOSUwqA7oROT2_1jY/edit#gid=1125080658"",""Geral Municípios!a7:i504"")"),"Município")</f>
        <v>Município</v>
      </c>
      <c r="B1" s="233" t="str">
        <f>IFERROR(__xludf.DUMMYFUNCTION("""COMPUTED_VALUE"""),"CRBM")</f>
        <v>CRBM</v>
      </c>
      <c r="C1" s="233" t="str">
        <f>IFERROR(__xludf.DUMMYFUNCTION("""COMPUTED_VALUE"""),"BBM")</f>
        <v>BBM</v>
      </c>
      <c r="D1" s="233" t="str">
        <f>IFERROR(__xludf.DUMMYFUNCTION("""COMPUTED_VALUE"""),"Pel/Gr")</f>
        <v>Pel/Gr</v>
      </c>
      <c r="E1" s="233" t="str">
        <f>IFERROR(__xludf.DUMMYFUNCTION("""COMPUTED_VALUE"""),"Tipo de 
Bombeiro")</f>
        <v>Tipo de 
Bombeiro</v>
      </c>
      <c r="F1" s="233" t="str">
        <f>IFERROR(__xludf.DUMMYFUNCTION("""COMPUTED_VALUE"""),"Tipo de 
Bombeiro - Detalhado")</f>
        <v>Tipo de 
Bombeiro - Detalhado</v>
      </c>
      <c r="G1" s="233" t="str">
        <f>IFERROR(__xludf.DUMMYFUNCTION("""COMPUTED_VALUE"""),"Situação se SCAB")</f>
        <v>Situação se SCAB</v>
      </c>
      <c r="H1" s="233" t="str">
        <f>IFERROR(__xludf.DUMMYFUNCTION("""COMPUTED_VALUE"""),"Frações
Operativas")</f>
        <v>Frações
Operativas</v>
      </c>
      <c r="I1" s="233" t="str">
        <f>IFERROR(__xludf.DUMMYFUNCTION("""COMPUTED_VALUE"""),"Frações
Fechadas")</f>
        <v>Frações
Fechadas</v>
      </c>
    </row>
    <row r="2" customHeight="1" spans="1:9">
      <c r="A2" s="1" t="str">
        <f>IFERROR(__xludf.DUMMYFUNCTION("""COMPUTED_VALUE"""),"Aceguá")</f>
        <v>Aceguá</v>
      </c>
      <c r="B2" s="144" t="str">
        <f>IFERROR(__xludf.DUMMYFUNCTION("""COMPUTED_VALUE"""),"3º CRBM")</f>
        <v>3º CRBM</v>
      </c>
      <c r="C2" s="1" t="str">
        <f>IFERROR(__xludf.DUMMYFUNCTION("""COMPUTED_VALUE"""),"10º BBM")</f>
        <v>10º BBM</v>
      </c>
      <c r="D2" s="1" t="str">
        <f>IFERROR(__xludf.DUMMYFUNCTION("""COMPUTED_VALUE"""),"Bagé")</f>
        <v>Bagé</v>
      </c>
      <c r="E2" s="1" t="str">
        <f>IFERROR(__xludf.DUMMYFUNCTION("""COMPUTED_VALUE"""),"NPBM")</f>
        <v>NPBM</v>
      </c>
      <c r="F2" s="1" t="str">
        <f>IFERROR(__xludf.DUMMYFUNCTION("""COMPUTED_VALUE"""),"NPBM")</f>
        <v>NPBM</v>
      </c>
      <c r="G2" s="1"/>
      <c r="H2" s="1" t="str">
        <f>IFERROR(__xludf.DUMMYFUNCTION("""COMPUTED_VALUE"""),"")</f>
        <v/>
      </c>
      <c r="I2" s="1" t="str">
        <f>IFERROR(__xludf.DUMMYFUNCTION("""COMPUTED_VALUE"""),"")</f>
        <v/>
      </c>
    </row>
    <row r="3" customHeight="1" spans="1:9">
      <c r="A3" s="1" t="str">
        <f>IFERROR(__xludf.DUMMYFUNCTION("""COMPUTED_VALUE"""),"Água Santa")</f>
        <v>Água Santa</v>
      </c>
      <c r="B3" s="144" t="str">
        <f>IFERROR(__xludf.DUMMYFUNCTION("""COMPUTED_VALUE"""),"2º CRBM")</f>
        <v>2º CRBM</v>
      </c>
      <c r="C3" s="1" t="str">
        <f>IFERROR(__xludf.DUMMYFUNCTION("""COMPUTED_VALUE"""),"7º BBM")</f>
        <v>7º BBM</v>
      </c>
      <c r="D3" s="1" t="str">
        <f>IFERROR(__xludf.DUMMYFUNCTION("""COMPUTED_VALUE"""),"Passo Fundo")</f>
        <v>Passo Fundo</v>
      </c>
      <c r="E3" s="1" t="str">
        <f>IFERROR(__xludf.DUMMYFUNCTION("""COMPUTED_VALUE"""),"NPBM")</f>
        <v>NPBM</v>
      </c>
      <c r="F3" s="1" t="str">
        <f>IFERROR(__xludf.DUMMYFUNCTION("""COMPUTED_VALUE"""),"NPBM")</f>
        <v>NPBM</v>
      </c>
      <c r="G3" s="1"/>
      <c r="H3" s="1" t="str">
        <f>IFERROR(__xludf.DUMMYFUNCTION("""COMPUTED_VALUE"""),"")</f>
        <v/>
      </c>
      <c r="I3" s="1" t="str">
        <f>IFERROR(__xludf.DUMMYFUNCTION("""COMPUTED_VALUE"""),"")</f>
        <v/>
      </c>
    </row>
    <row r="4" customHeight="1" spans="1:9">
      <c r="A4" s="1" t="str">
        <f>IFERROR(__xludf.DUMMYFUNCTION("""COMPUTED_VALUE"""),"Agudo")</f>
        <v>Agudo</v>
      </c>
      <c r="B4" s="144" t="str">
        <f>IFERROR(__xludf.DUMMYFUNCTION("""COMPUTED_VALUE"""),"4º CRBM")</f>
        <v>4º CRBM</v>
      </c>
      <c r="C4" s="1" t="str">
        <f>IFERROR(__xludf.DUMMYFUNCTION("""COMPUTED_VALUE"""),"4º BBM")</f>
        <v>4º BBM</v>
      </c>
      <c r="D4" s="1" t="str">
        <f>IFERROR(__xludf.DUMMYFUNCTION("""COMPUTED_VALUE"""),"Restinga Sêca")</f>
        <v>Restinga Sêca</v>
      </c>
      <c r="E4" s="1" t="str">
        <f>IFERROR(__xludf.DUMMYFUNCTION("""COMPUTED_VALUE"""),"Voluntersul")</f>
        <v>Voluntersul</v>
      </c>
      <c r="F4" s="1" t="str">
        <f>IFERROR(__xludf.DUMMYFUNCTION("""COMPUTED_VALUE"""),"Voluntersul")</f>
        <v>Voluntersul</v>
      </c>
      <c r="G4" s="234" t="str">
        <f>IFERROR(__xludf.DUMMYFUNCTION("""COMPUTED_VALUE""")," 3 - Não Regularizado")</f>
        <v> 3 - Não Regularizado</v>
      </c>
      <c r="H4" s="1" t="str">
        <f>IFERROR(__xludf.DUMMYFUNCTION("""COMPUTED_VALUE"""),"")</f>
        <v/>
      </c>
      <c r="I4" s="1" t="str">
        <f>IFERROR(__xludf.DUMMYFUNCTION("""COMPUTED_VALUE"""),"")</f>
        <v/>
      </c>
    </row>
    <row r="5" customHeight="1" spans="1:9">
      <c r="A5" s="1" t="str">
        <f>IFERROR(__xludf.DUMMYFUNCTION("""COMPUTED_VALUE"""),"Ajuricaba")</f>
        <v>Ajuricaba</v>
      </c>
      <c r="B5" s="144" t="str">
        <f>IFERROR(__xludf.DUMMYFUNCTION("""COMPUTED_VALUE"""),"4º CRBM")</f>
        <v>4º CRBM</v>
      </c>
      <c r="C5" s="1" t="str">
        <f>IFERROR(__xludf.DUMMYFUNCTION("""COMPUTED_VALUE"""),"12º BBM")</f>
        <v>12º BBM</v>
      </c>
      <c r="D5" s="1" t="str">
        <f>IFERROR(__xludf.DUMMYFUNCTION("""COMPUTED_VALUE"""),"Ijuí")</f>
        <v>Ijuí</v>
      </c>
      <c r="E5" s="1" t="str">
        <f>IFERROR(__xludf.DUMMYFUNCTION("""COMPUTED_VALUE"""),"SCAB")</f>
        <v>SCAB</v>
      </c>
      <c r="F5" s="1" t="str">
        <f>IFERROR(__xludf.DUMMYFUNCTION("""COMPUTED_VALUE"""),"Municipal")</f>
        <v>Municipal</v>
      </c>
      <c r="G5" s="234" t="str">
        <f>IFERROR(__xludf.DUMMYFUNCTION("""COMPUTED_VALUE""")," 1 - Credenciado")</f>
        <v> 1 - Credenciado</v>
      </c>
      <c r="H5" s="1" t="str">
        <f>IFERROR(__xludf.DUMMYFUNCTION("""COMPUTED_VALUE"""),"")</f>
        <v/>
      </c>
      <c r="I5" s="1" t="str">
        <f>IFERROR(__xludf.DUMMYFUNCTION("""COMPUTED_VALUE"""),"")</f>
        <v/>
      </c>
    </row>
    <row r="6" customHeight="1" spans="1:9">
      <c r="A6" s="1" t="str">
        <f>IFERROR(__xludf.DUMMYFUNCTION("""COMPUTED_VALUE"""),"Alecrim")</f>
        <v>Alecrim</v>
      </c>
      <c r="B6" s="144" t="str">
        <f>IFERROR(__xludf.DUMMYFUNCTION("""COMPUTED_VALUE"""),"4º CRBM")</f>
        <v>4º CRBM</v>
      </c>
      <c r="C6" s="1" t="str">
        <f>IFERROR(__xludf.DUMMYFUNCTION("""COMPUTED_VALUE"""),"11º BBM")</f>
        <v>11º BBM</v>
      </c>
      <c r="D6" s="1" t="str">
        <f>IFERROR(__xludf.DUMMYFUNCTION("""COMPUTED_VALUE"""),"Santa Rosa")</f>
        <v>Santa Rosa</v>
      </c>
      <c r="E6" s="1" t="str">
        <f>IFERROR(__xludf.DUMMYFUNCTION("""COMPUTED_VALUE"""),"NPBM")</f>
        <v>NPBM</v>
      </c>
      <c r="F6" s="1" t="str">
        <f>IFERROR(__xludf.DUMMYFUNCTION("""COMPUTED_VALUE"""),"NPBM")</f>
        <v>NPBM</v>
      </c>
      <c r="G6" s="1"/>
      <c r="H6" s="1" t="str">
        <f>IFERROR(__xludf.DUMMYFUNCTION("""COMPUTED_VALUE"""),"")</f>
        <v/>
      </c>
      <c r="I6" s="1" t="str">
        <f>IFERROR(__xludf.DUMMYFUNCTION("""COMPUTED_VALUE"""),"")</f>
        <v/>
      </c>
    </row>
    <row r="7" customHeight="1" spans="1:9">
      <c r="A7" s="1" t="str">
        <f>IFERROR(__xludf.DUMMYFUNCTION("""COMPUTED_VALUE"""),"Alegrete")</f>
        <v>Alegrete</v>
      </c>
      <c r="B7" s="144" t="str">
        <f>IFERROR(__xludf.DUMMYFUNCTION("""COMPUTED_VALUE"""),"3º CRBM")</f>
        <v>3º CRBM</v>
      </c>
      <c r="C7" s="1" t="str">
        <f>IFERROR(__xludf.DUMMYFUNCTION("""COMPUTED_VALUE"""),"13º BBM")</f>
        <v>13º BBM</v>
      </c>
      <c r="D7" s="1" t="str">
        <f>IFERROR(__xludf.DUMMYFUNCTION("""COMPUTED_VALUE"""),"Alegrete")</f>
        <v>Alegrete</v>
      </c>
      <c r="E7" s="1" t="str">
        <f>IFERROR(__xludf.DUMMYFUNCTION("""COMPUTED_VALUE"""),"Militar")</f>
        <v>Militar</v>
      </c>
      <c r="F7" s="1" t="str">
        <f>IFERROR(__xludf.DUMMYFUNCTION("""COMPUTED_VALUE"""),"Militar")</f>
        <v>Militar</v>
      </c>
      <c r="G7" s="1"/>
      <c r="H7" s="1">
        <f>IFERROR(__xludf.DUMMYFUNCTION("""COMPUTED_VALUE"""),1)</f>
        <v>1</v>
      </c>
      <c r="I7" s="1" t="str">
        <f>IFERROR(__xludf.DUMMYFUNCTION("""COMPUTED_VALUE"""),"")</f>
        <v/>
      </c>
    </row>
    <row r="8" customHeight="1" spans="1:9">
      <c r="A8" s="1" t="str">
        <f>IFERROR(__xludf.DUMMYFUNCTION("""COMPUTED_VALUE"""),"Alegria")</f>
        <v>Alegria</v>
      </c>
      <c r="B8" s="144" t="str">
        <f>IFERROR(__xludf.DUMMYFUNCTION("""COMPUTED_VALUE"""),"4º CRBM")</f>
        <v>4º CRBM</v>
      </c>
      <c r="C8" s="1" t="str">
        <f>IFERROR(__xludf.DUMMYFUNCTION("""COMPUTED_VALUE"""),"11º BBM")</f>
        <v>11º BBM</v>
      </c>
      <c r="D8" s="1" t="str">
        <f>IFERROR(__xludf.DUMMYFUNCTION("""COMPUTED_VALUE"""),"Três de Maio")</f>
        <v>Três de Maio</v>
      </c>
      <c r="E8" s="1" t="str">
        <f>IFERROR(__xludf.DUMMYFUNCTION("""COMPUTED_VALUE"""),"NPBM")</f>
        <v>NPBM</v>
      </c>
      <c r="F8" s="1" t="str">
        <f>IFERROR(__xludf.DUMMYFUNCTION("""COMPUTED_VALUE"""),"NPBM")</f>
        <v>NPBM</v>
      </c>
      <c r="G8" s="1"/>
      <c r="H8" s="1" t="str">
        <f>IFERROR(__xludf.DUMMYFUNCTION("""COMPUTED_VALUE"""),"")</f>
        <v/>
      </c>
      <c r="I8" s="1" t="str">
        <f>IFERROR(__xludf.DUMMYFUNCTION("""COMPUTED_VALUE"""),"")</f>
        <v/>
      </c>
    </row>
    <row r="9" customHeight="1" spans="1:9">
      <c r="A9" s="1" t="str">
        <f>IFERROR(__xludf.DUMMYFUNCTION("""COMPUTED_VALUE"""),"Almirante Tamandaré do Sul")</f>
        <v>Almirante Tamandaré do Sul</v>
      </c>
      <c r="B9" s="144" t="str">
        <f>IFERROR(__xludf.DUMMYFUNCTION("""COMPUTED_VALUE"""),"2º CRBM")</f>
        <v>2º CRBM</v>
      </c>
      <c r="C9" s="1" t="str">
        <f>IFERROR(__xludf.DUMMYFUNCTION("""COMPUTED_VALUE"""),"7º BBM")</f>
        <v>7º BBM</v>
      </c>
      <c r="D9" s="1" t="str">
        <f>IFERROR(__xludf.DUMMYFUNCTION("""COMPUTED_VALUE"""),"Carazinho")</f>
        <v>Carazinho</v>
      </c>
      <c r="E9" s="1" t="str">
        <f>IFERROR(__xludf.DUMMYFUNCTION("""COMPUTED_VALUE"""),"NPBM")</f>
        <v>NPBM</v>
      </c>
      <c r="F9" s="1" t="str">
        <f>IFERROR(__xludf.DUMMYFUNCTION("""COMPUTED_VALUE"""),"NPBM")</f>
        <v>NPBM</v>
      </c>
      <c r="G9" s="1"/>
      <c r="H9" s="1" t="str">
        <f>IFERROR(__xludf.DUMMYFUNCTION("""COMPUTED_VALUE"""),"")</f>
        <v/>
      </c>
      <c r="I9" s="1" t="str">
        <f>IFERROR(__xludf.DUMMYFUNCTION("""COMPUTED_VALUE"""),"")</f>
        <v/>
      </c>
    </row>
    <row r="10" customHeight="1" spans="1:9">
      <c r="A10" s="1" t="str">
        <f>IFERROR(__xludf.DUMMYFUNCTION("""COMPUTED_VALUE"""),"Alpestre")</f>
        <v>Alpestre</v>
      </c>
      <c r="B10" s="144" t="str">
        <f>IFERROR(__xludf.DUMMYFUNCTION("""COMPUTED_VALUE"""),"4º CRBM")</f>
        <v>4º CRBM</v>
      </c>
      <c r="C10" s="1" t="str">
        <f>IFERROR(__xludf.DUMMYFUNCTION("""COMPUTED_VALUE"""),"12º BBM")</f>
        <v>12º BBM</v>
      </c>
      <c r="D10" s="1" t="str">
        <f>IFERROR(__xludf.DUMMYFUNCTION("""COMPUTED_VALUE"""),"Nonoai")</f>
        <v>Nonoai</v>
      </c>
      <c r="E10" s="1" t="str">
        <f>IFERROR(__xludf.DUMMYFUNCTION("""COMPUTED_VALUE"""),"NPBM")</f>
        <v>NPBM</v>
      </c>
      <c r="F10" s="1" t="str">
        <f>IFERROR(__xludf.DUMMYFUNCTION("""COMPUTED_VALUE"""),"NPBM")</f>
        <v>NPBM</v>
      </c>
      <c r="G10" s="1"/>
      <c r="H10" s="1" t="str">
        <f>IFERROR(__xludf.DUMMYFUNCTION("""COMPUTED_VALUE"""),"")</f>
        <v/>
      </c>
      <c r="I10" s="1" t="str">
        <f>IFERROR(__xludf.DUMMYFUNCTION("""COMPUTED_VALUE"""),"")</f>
        <v/>
      </c>
    </row>
    <row r="11" customHeight="1" spans="1:9">
      <c r="A11" s="1" t="str">
        <f>IFERROR(__xludf.DUMMYFUNCTION("""COMPUTED_VALUE"""),"Alto Alegre")</f>
        <v>Alto Alegre</v>
      </c>
      <c r="B11" s="144" t="str">
        <f>IFERROR(__xludf.DUMMYFUNCTION("""COMPUTED_VALUE"""),"2º CRBM")</f>
        <v>2º CRBM</v>
      </c>
      <c r="C11" s="1" t="str">
        <f>IFERROR(__xludf.DUMMYFUNCTION("""COMPUTED_VALUE"""),"7º BBM")</f>
        <v>7º BBM</v>
      </c>
      <c r="D11" s="1" t="str">
        <f>IFERROR(__xludf.DUMMYFUNCTION("""COMPUTED_VALUE"""),"Tapera")</f>
        <v>Tapera</v>
      </c>
      <c r="E11" s="1" t="str">
        <f>IFERROR(__xludf.DUMMYFUNCTION("""COMPUTED_VALUE"""),"NPBM")</f>
        <v>NPBM</v>
      </c>
      <c r="F11" s="1" t="str">
        <f>IFERROR(__xludf.DUMMYFUNCTION("""COMPUTED_VALUE"""),"NPBM")</f>
        <v>NPBM</v>
      </c>
      <c r="G11" s="1"/>
      <c r="H11" s="1" t="str">
        <f>IFERROR(__xludf.DUMMYFUNCTION("""COMPUTED_VALUE"""),"")</f>
        <v/>
      </c>
      <c r="I11" s="1" t="str">
        <f>IFERROR(__xludf.DUMMYFUNCTION("""COMPUTED_VALUE"""),"")</f>
        <v/>
      </c>
    </row>
    <row r="12" customHeight="1" spans="1:9">
      <c r="A12" s="1" t="str">
        <f>IFERROR(__xludf.DUMMYFUNCTION("""COMPUTED_VALUE"""),"Alto Feliz")</f>
        <v>Alto Feliz</v>
      </c>
      <c r="B12" s="144" t="str">
        <f>IFERROR(__xludf.DUMMYFUNCTION("""COMPUTED_VALUE"""),"2º CRBM")</f>
        <v>2º CRBM</v>
      </c>
      <c r="C12" s="1" t="str">
        <f>IFERROR(__xludf.DUMMYFUNCTION("""COMPUTED_VALUE"""),"2º BBM")</f>
        <v>2º BBM</v>
      </c>
      <c r="D12" s="1" t="str">
        <f>IFERROR(__xludf.DUMMYFUNCTION("""COMPUTED_VALUE"""),"Farroupilha")</f>
        <v>Farroupilha</v>
      </c>
      <c r="E12" s="1" t="str">
        <f>IFERROR(__xludf.DUMMYFUNCTION("""COMPUTED_VALUE"""),"Voluntersul")</f>
        <v>Voluntersul</v>
      </c>
      <c r="F12" s="1" t="str">
        <f>IFERROR(__xludf.DUMMYFUNCTION("""COMPUTED_VALUE"""),"Voluntersul")</f>
        <v>Voluntersul</v>
      </c>
      <c r="G12" s="234" t="str">
        <f>IFERROR(__xludf.DUMMYFUNCTION("""COMPUTED_VALUE""")," 3 - Não Regularizado")</f>
        <v> 3 - Não Regularizado</v>
      </c>
      <c r="H12" s="1" t="str">
        <f>IFERROR(__xludf.DUMMYFUNCTION("""COMPUTED_VALUE"""),"")</f>
        <v/>
      </c>
      <c r="I12" s="1" t="str">
        <f>IFERROR(__xludf.DUMMYFUNCTION("""COMPUTED_VALUE"""),"")</f>
        <v/>
      </c>
    </row>
    <row r="13" customHeight="1" spans="1:9">
      <c r="A13" s="1" t="str">
        <f>IFERROR(__xludf.DUMMYFUNCTION("""COMPUTED_VALUE"""),"Alvorada")</f>
        <v>Alvorada</v>
      </c>
      <c r="B13" s="144" t="str">
        <f>IFERROR(__xludf.DUMMYFUNCTION("""COMPUTED_VALUE"""),"1º CRBM")</f>
        <v>1º CRBM</v>
      </c>
      <c r="C13" s="1" t="str">
        <f>IFERROR(__xludf.DUMMYFUNCTION("""COMPUTED_VALUE"""),"8º BBM")</f>
        <v>8º BBM</v>
      </c>
      <c r="D13" s="1" t="str">
        <f>IFERROR(__xludf.DUMMYFUNCTION("""COMPUTED_VALUE"""),"Alvorada")</f>
        <v>Alvorada</v>
      </c>
      <c r="E13" s="1" t="str">
        <f>IFERROR(__xludf.DUMMYFUNCTION("""COMPUTED_VALUE"""),"Militar")</f>
        <v>Militar</v>
      </c>
      <c r="F13" s="1" t="str">
        <f>IFERROR(__xludf.DUMMYFUNCTION("""COMPUTED_VALUE"""),"Militar")</f>
        <v>Militar</v>
      </c>
      <c r="G13" s="1"/>
      <c r="H13" s="1">
        <f>IFERROR(__xludf.DUMMYFUNCTION("""COMPUTED_VALUE"""),1)</f>
        <v>1</v>
      </c>
      <c r="I13" s="1" t="str">
        <f>IFERROR(__xludf.DUMMYFUNCTION("""COMPUTED_VALUE"""),"")</f>
        <v/>
      </c>
    </row>
    <row r="14" customHeight="1" spans="1:9">
      <c r="A14" s="1" t="str">
        <f>IFERROR(__xludf.DUMMYFUNCTION("""COMPUTED_VALUE"""),"Amaral Ferrador")</f>
        <v>Amaral Ferrador</v>
      </c>
      <c r="B14" s="144" t="str">
        <f>IFERROR(__xludf.DUMMYFUNCTION("""COMPUTED_VALUE"""),"4º CRBM")</f>
        <v>4º CRBM</v>
      </c>
      <c r="C14" s="1" t="str">
        <f>IFERROR(__xludf.DUMMYFUNCTION("""COMPUTED_VALUE"""),"6º BBM")</f>
        <v>6º BBM</v>
      </c>
      <c r="D14" s="1" t="str">
        <f>IFERROR(__xludf.DUMMYFUNCTION("""COMPUTED_VALUE"""),"Encruzilhada do Sul")</f>
        <v>Encruzilhada do Sul</v>
      </c>
      <c r="E14" s="1" t="str">
        <f>IFERROR(__xludf.DUMMYFUNCTION("""COMPUTED_VALUE"""),"NPBM")</f>
        <v>NPBM</v>
      </c>
      <c r="F14" s="1" t="str">
        <f>IFERROR(__xludf.DUMMYFUNCTION("""COMPUTED_VALUE"""),"NPBM")</f>
        <v>NPBM</v>
      </c>
      <c r="G14" s="1"/>
      <c r="H14" s="1" t="str">
        <f>IFERROR(__xludf.DUMMYFUNCTION("""COMPUTED_VALUE"""),"")</f>
        <v/>
      </c>
      <c r="I14" s="1" t="str">
        <f>IFERROR(__xludf.DUMMYFUNCTION("""COMPUTED_VALUE"""),"")</f>
        <v/>
      </c>
    </row>
    <row r="15" customHeight="1" spans="1:9">
      <c r="A15" s="1" t="str">
        <f>IFERROR(__xludf.DUMMYFUNCTION("""COMPUTED_VALUE"""),"Ametista do Sul")</f>
        <v>Ametista do Sul</v>
      </c>
      <c r="B15" s="144" t="str">
        <f>IFERROR(__xludf.DUMMYFUNCTION("""COMPUTED_VALUE"""),"4º CRBM")</f>
        <v>4º CRBM</v>
      </c>
      <c r="C15" s="1" t="str">
        <f>IFERROR(__xludf.DUMMYFUNCTION("""COMPUTED_VALUE"""),"12º BBM")</f>
        <v>12º BBM</v>
      </c>
      <c r="D15" s="1" t="str">
        <f>IFERROR(__xludf.DUMMYFUNCTION("""COMPUTED_VALUE"""),"Frederico Westphalen")</f>
        <v>Frederico Westphalen</v>
      </c>
      <c r="E15" s="1" t="str">
        <f>IFERROR(__xludf.DUMMYFUNCTION("""COMPUTED_VALUE"""),"NPBM")</f>
        <v>NPBM</v>
      </c>
      <c r="F15" s="1" t="str">
        <f>IFERROR(__xludf.DUMMYFUNCTION("""COMPUTED_VALUE"""),"NPBM")</f>
        <v>NPBM</v>
      </c>
      <c r="G15" s="1"/>
      <c r="H15" s="1" t="str">
        <f>IFERROR(__xludf.DUMMYFUNCTION("""COMPUTED_VALUE"""),"")</f>
        <v/>
      </c>
      <c r="I15" s="1" t="str">
        <f>IFERROR(__xludf.DUMMYFUNCTION("""COMPUTED_VALUE"""),"")</f>
        <v/>
      </c>
    </row>
    <row r="16" customHeight="1" spans="1:9">
      <c r="A16" s="1" t="str">
        <f>IFERROR(__xludf.DUMMYFUNCTION("""COMPUTED_VALUE"""),"André da Rocha")</f>
        <v>André da Rocha</v>
      </c>
      <c r="B16" s="144" t="str">
        <f>IFERROR(__xludf.DUMMYFUNCTION("""COMPUTED_VALUE"""),"2º CRBM")</f>
        <v>2º CRBM</v>
      </c>
      <c r="C16" s="1" t="str">
        <f>IFERROR(__xludf.DUMMYFUNCTION("""COMPUTED_VALUE"""),"5º BBM")</f>
        <v>5º BBM</v>
      </c>
      <c r="D16" s="1" t="str">
        <f>IFERROR(__xludf.DUMMYFUNCTION("""COMPUTED_VALUE"""),"Veranópolis")</f>
        <v>Veranópolis</v>
      </c>
      <c r="E16" s="1" t="str">
        <f>IFERROR(__xludf.DUMMYFUNCTION("""COMPUTED_VALUE"""),"NPBM")</f>
        <v>NPBM</v>
      </c>
      <c r="F16" s="1" t="str">
        <f>IFERROR(__xludf.DUMMYFUNCTION("""COMPUTED_VALUE"""),"NPBM")</f>
        <v>NPBM</v>
      </c>
      <c r="G16" s="1"/>
      <c r="H16" s="1" t="str">
        <f>IFERROR(__xludf.DUMMYFUNCTION("""COMPUTED_VALUE"""),"")</f>
        <v/>
      </c>
      <c r="I16" s="1" t="str">
        <f>IFERROR(__xludf.DUMMYFUNCTION("""COMPUTED_VALUE"""),"")</f>
        <v/>
      </c>
    </row>
    <row r="17" customHeight="1" spans="1:9">
      <c r="A17" s="1" t="str">
        <f>IFERROR(__xludf.DUMMYFUNCTION("""COMPUTED_VALUE"""),"Anta Gorda")</f>
        <v>Anta Gorda</v>
      </c>
      <c r="B17" s="144" t="str">
        <f>IFERROR(__xludf.DUMMYFUNCTION("""COMPUTED_VALUE"""),"2º CRBM")</f>
        <v>2º CRBM</v>
      </c>
      <c r="C17" s="1" t="str">
        <f>IFERROR(__xludf.DUMMYFUNCTION("""COMPUTED_VALUE"""),"7º BBM")</f>
        <v>7º BBM</v>
      </c>
      <c r="D17" s="1" t="str">
        <f>IFERROR(__xludf.DUMMYFUNCTION("""COMPUTED_VALUE"""),"Encantado")</f>
        <v>Encantado</v>
      </c>
      <c r="E17" s="1" t="str">
        <f>IFERROR(__xludf.DUMMYFUNCTION("""COMPUTED_VALUE"""),"NPBM")</f>
        <v>NPBM</v>
      </c>
      <c r="F17" s="1" t="str">
        <f>IFERROR(__xludf.DUMMYFUNCTION("""COMPUTED_VALUE"""),"NPBM")</f>
        <v>NPBM</v>
      </c>
      <c r="G17" s="1"/>
      <c r="H17" s="1" t="str">
        <f>IFERROR(__xludf.DUMMYFUNCTION("""COMPUTED_VALUE"""),"")</f>
        <v/>
      </c>
      <c r="I17" s="1" t="str">
        <f>IFERROR(__xludf.DUMMYFUNCTION("""COMPUTED_VALUE"""),"")</f>
        <v/>
      </c>
    </row>
    <row r="18" customHeight="1" spans="1:9">
      <c r="A18" s="1" t="str">
        <f>IFERROR(__xludf.DUMMYFUNCTION("""COMPUTED_VALUE"""),"Antônio Prado")</f>
        <v>Antônio Prado</v>
      </c>
      <c r="B18" s="144" t="str">
        <f>IFERROR(__xludf.DUMMYFUNCTION("""COMPUTED_VALUE"""),"2º CRBM")</f>
        <v>2º CRBM</v>
      </c>
      <c r="C18" s="1" t="str">
        <f>IFERROR(__xludf.DUMMYFUNCTION("""COMPUTED_VALUE"""),"5º BBM")</f>
        <v>5º BBM</v>
      </c>
      <c r="D18" s="1" t="str">
        <f>IFERROR(__xludf.DUMMYFUNCTION("""COMPUTED_VALUE"""),"Flores da Cunha")</f>
        <v>Flores da Cunha</v>
      </c>
      <c r="E18" s="1" t="str">
        <f>IFERROR(__xludf.DUMMYFUNCTION("""COMPUTED_VALUE"""),"SCAB")</f>
        <v>SCAB</v>
      </c>
      <c r="F18" s="1" t="str">
        <f>IFERROR(__xludf.DUMMYFUNCTION("""COMPUTED_VALUE"""),"Municipal")</f>
        <v>Municipal</v>
      </c>
      <c r="G18" s="234" t="str">
        <f>IFERROR(__xludf.DUMMYFUNCTION("""COMPUTED_VALUE""")," 2 - Em Credenciamento")</f>
        <v> 2 - Em Credenciamento</v>
      </c>
      <c r="H18" s="1" t="str">
        <f>IFERROR(__xludf.DUMMYFUNCTION("""COMPUTED_VALUE"""),"")</f>
        <v/>
      </c>
      <c r="I18" s="1" t="str">
        <f>IFERROR(__xludf.DUMMYFUNCTION("""COMPUTED_VALUE"""),"")</f>
        <v/>
      </c>
    </row>
    <row r="19" customHeight="1" spans="1:9">
      <c r="A19" s="1" t="str">
        <f>IFERROR(__xludf.DUMMYFUNCTION("""COMPUTED_VALUE"""),"Arambaré")</f>
        <v>Arambaré</v>
      </c>
      <c r="B19" s="144" t="str">
        <f>IFERROR(__xludf.DUMMYFUNCTION("""COMPUTED_VALUE"""),"4º CRBM")</f>
        <v>4º CRBM</v>
      </c>
      <c r="C19" s="1" t="str">
        <f>IFERROR(__xludf.DUMMYFUNCTION("""COMPUTED_VALUE"""),"6º BBM")</f>
        <v>6º BBM</v>
      </c>
      <c r="D19" s="1" t="str">
        <f>IFERROR(__xludf.DUMMYFUNCTION("""COMPUTED_VALUE"""),"Camaquã")</f>
        <v>Camaquã</v>
      </c>
      <c r="E19" s="1" t="str">
        <f>IFERROR(__xludf.DUMMYFUNCTION("""COMPUTED_VALUE"""),"SCAB")</f>
        <v>SCAB</v>
      </c>
      <c r="F19" s="1" t="str">
        <f>IFERROR(__xludf.DUMMYFUNCTION("""COMPUTED_VALUE"""),"Municipal")</f>
        <v>Municipal</v>
      </c>
      <c r="G19" s="234" t="str">
        <f>IFERROR(__xludf.DUMMYFUNCTION("""COMPUTED_VALUE""")," 1 - Credenciado")</f>
        <v> 1 - Credenciado</v>
      </c>
      <c r="H19" s="1" t="str">
        <f>IFERROR(__xludf.DUMMYFUNCTION("""COMPUTED_VALUE"""),"")</f>
        <v/>
      </c>
      <c r="I19" s="1" t="str">
        <f>IFERROR(__xludf.DUMMYFUNCTION("""COMPUTED_VALUE"""),"")</f>
        <v/>
      </c>
    </row>
    <row r="20" customHeight="1" spans="1:9">
      <c r="A20" s="1" t="str">
        <f>IFERROR(__xludf.DUMMYFUNCTION("""COMPUTED_VALUE"""),"Araricá")</f>
        <v>Araricá</v>
      </c>
      <c r="B20" s="144" t="str">
        <f>IFERROR(__xludf.DUMMYFUNCTION("""COMPUTED_VALUE"""),"2º CRBM")</f>
        <v>2º CRBM</v>
      </c>
      <c r="C20" s="1" t="str">
        <f>IFERROR(__xludf.DUMMYFUNCTION("""COMPUTED_VALUE"""),"2º BBM")</f>
        <v>2º BBM</v>
      </c>
      <c r="D20" s="1" t="str">
        <f>IFERROR(__xludf.DUMMYFUNCTION("""COMPUTED_VALUE"""),"Sapiranga")</f>
        <v>Sapiranga</v>
      </c>
      <c r="E20" s="1" t="str">
        <f>IFERROR(__xludf.DUMMYFUNCTION("""COMPUTED_VALUE"""),"SCAB")</f>
        <v>SCAB</v>
      </c>
      <c r="F20" s="1" t="str">
        <f>IFERROR(__xludf.DUMMYFUNCTION("""COMPUTED_VALUE"""),"Municipal")</f>
        <v>Municipal</v>
      </c>
      <c r="G20" s="234" t="str">
        <f>IFERROR(__xludf.DUMMYFUNCTION("""COMPUTED_VALUE""")," 1 - Credenciado")</f>
        <v> 1 - Credenciado</v>
      </c>
      <c r="H20" s="1" t="str">
        <f>IFERROR(__xludf.DUMMYFUNCTION("""COMPUTED_VALUE"""),"")</f>
        <v/>
      </c>
      <c r="I20" s="1" t="str">
        <f>IFERROR(__xludf.DUMMYFUNCTION("""COMPUTED_VALUE"""),"")</f>
        <v/>
      </c>
    </row>
    <row r="21" customHeight="1" spans="1:9">
      <c r="A21" s="1" t="str">
        <f>IFERROR(__xludf.DUMMYFUNCTION("""COMPUTED_VALUE"""),"Aratiba")</f>
        <v>Aratiba</v>
      </c>
      <c r="B21" s="144" t="str">
        <f>IFERROR(__xludf.DUMMYFUNCTION("""COMPUTED_VALUE"""),"2º CRBM")</f>
        <v>2º CRBM</v>
      </c>
      <c r="C21" s="1" t="str">
        <f>IFERROR(__xludf.DUMMYFUNCTION("""COMPUTED_VALUE"""),"7º BBM")</f>
        <v>7º BBM</v>
      </c>
      <c r="D21" s="1" t="str">
        <f>IFERROR(__xludf.DUMMYFUNCTION("""COMPUTED_VALUE"""),"Erechim")</f>
        <v>Erechim</v>
      </c>
      <c r="E21" s="1" t="str">
        <f>IFERROR(__xludf.DUMMYFUNCTION("""COMPUTED_VALUE"""),"SCAB")</f>
        <v>SCAB</v>
      </c>
      <c r="F21" s="1" t="str">
        <f>IFERROR(__xludf.DUMMYFUNCTION("""COMPUTED_VALUE"""),"Municipal")</f>
        <v>Municipal</v>
      </c>
      <c r="G21" s="234" t="str">
        <f>IFERROR(__xludf.DUMMYFUNCTION("""COMPUTED_VALUE""")," 1 - Credenciado")</f>
        <v> 1 - Credenciado</v>
      </c>
      <c r="H21" s="1" t="str">
        <f>IFERROR(__xludf.DUMMYFUNCTION("""COMPUTED_VALUE"""),"")</f>
        <v/>
      </c>
      <c r="I21" s="1" t="str">
        <f>IFERROR(__xludf.DUMMYFUNCTION("""COMPUTED_VALUE"""),"")</f>
        <v/>
      </c>
    </row>
    <row r="22" customHeight="1" spans="1:9">
      <c r="A22" s="1" t="str">
        <f>IFERROR(__xludf.DUMMYFUNCTION("""COMPUTED_VALUE"""),"Arroio do Meio")</f>
        <v>Arroio do Meio</v>
      </c>
      <c r="B22" s="144" t="str">
        <f>IFERROR(__xludf.DUMMYFUNCTION("""COMPUTED_VALUE"""),"4º CRBM")</f>
        <v>4º CRBM</v>
      </c>
      <c r="C22" s="1" t="str">
        <f>IFERROR(__xludf.DUMMYFUNCTION("""COMPUTED_VALUE"""),"6º BBM")</f>
        <v>6º BBM</v>
      </c>
      <c r="D22" s="1" t="str">
        <f>IFERROR(__xludf.DUMMYFUNCTION("""COMPUTED_VALUE"""),"Lajeado")</f>
        <v>Lajeado</v>
      </c>
      <c r="E22" s="1" t="str">
        <f>IFERROR(__xludf.DUMMYFUNCTION("""COMPUTED_VALUE"""),"SCAB")</f>
        <v>SCAB</v>
      </c>
      <c r="F22" s="1" t="str">
        <f>IFERROR(__xludf.DUMMYFUNCTION("""COMPUTED_VALUE"""),"Projeto Com.")</f>
        <v>Projeto Com.</v>
      </c>
      <c r="G22" s="234" t="str">
        <f>IFERROR(__xludf.DUMMYFUNCTION("""COMPUTED_VALUE""")," 1 - Credenciado")</f>
        <v> 1 - Credenciado</v>
      </c>
      <c r="H22" s="1" t="str">
        <f>IFERROR(__xludf.DUMMYFUNCTION("""COMPUTED_VALUE"""),"")</f>
        <v/>
      </c>
      <c r="I22" s="1" t="str">
        <f>IFERROR(__xludf.DUMMYFUNCTION("""COMPUTED_VALUE"""),"")</f>
        <v/>
      </c>
    </row>
    <row r="23" customHeight="1" spans="1:9">
      <c r="A23" s="1" t="str">
        <f>IFERROR(__xludf.DUMMYFUNCTION("""COMPUTED_VALUE"""),"Arroio do Padre")</f>
        <v>Arroio do Padre</v>
      </c>
      <c r="B23" s="144" t="str">
        <f>IFERROR(__xludf.DUMMYFUNCTION("""COMPUTED_VALUE"""),"3º CRBM")</f>
        <v>3º CRBM</v>
      </c>
      <c r="C23" s="1" t="str">
        <f>IFERROR(__xludf.DUMMYFUNCTION("""COMPUTED_VALUE"""),"3º BBM")</f>
        <v>3º BBM</v>
      </c>
      <c r="D23" s="1" t="str">
        <f>IFERROR(__xludf.DUMMYFUNCTION("""COMPUTED_VALUE"""),"Pelotas")</f>
        <v>Pelotas</v>
      </c>
      <c r="E23" s="1" t="str">
        <f>IFERROR(__xludf.DUMMYFUNCTION("""COMPUTED_VALUE"""),"NPBM")</f>
        <v>NPBM</v>
      </c>
      <c r="F23" s="1" t="str">
        <f>IFERROR(__xludf.DUMMYFUNCTION("""COMPUTED_VALUE"""),"NPBM")</f>
        <v>NPBM</v>
      </c>
      <c r="G23" s="1"/>
      <c r="H23" s="1" t="str">
        <f>IFERROR(__xludf.DUMMYFUNCTION("""COMPUTED_VALUE"""),"")</f>
        <v/>
      </c>
      <c r="I23" s="1" t="str">
        <f>IFERROR(__xludf.DUMMYFUNCTION("""COMPUTED_VALUE"""),"")</f>
        <v/>
      </c>
    </row>
    <row r="24" customHeight="1" spans="1:9">
      <c r="A24" s="1" t="str">
        <f>IFERROR(__xludf.DUMMYFUNCTION("""COMPUTED_VALUE"""),"Arroio do Sal")</f>
        <v>Arroio do Sal</v>
      </c>
      <c r="B24" s="144" t="str">
        <f>IFERROR(__xludf.DUMMYFUNCTION("""COMPUTED_VALUE"""),"1º CRBM")</f>
        <v>1º CRBM</v>
      </c>
      <c r="C24" s="1" t="str">
        <f>IFERROR(__xludf.DUMMYFUNCTION("""COMPUTED_VALUE"""),"9º BBM")</f>
        <v>9º BBM</v>
      </c>
      <c r="D24" s="1" t="str">
        <f>IFERROR(__xludf.DUMMYFUNCTION("""COMPUTED_VALUE"""),"Torres")</f>
        <v>Torres</v>
      </c>
      <c r="E24" s="1" t="str">
        <f>IFERROR(__xludf.DUMMYFUNCTION("""COMPUTED_VALUE"""),"SCAB")</f>
        <v>SCAB</v>
      </c>
      <c r="F24" s="1" t="str">
        <f>IFERROR(__xludf.DUMMYFUNCTION("""COMPUTED_VALUE"""),"Projeto Com.")</f>
        <v>Projeto Com.</v>
      </c>
      <c r="G24" s="234" t="str">
        <f>IFERROR(__xludf.DUMMYFUNCTION("""COMPUTED_VALUE""")," 1 - Credenciado")</f>
        <v> 1 - Credenciado</v>
      </c>
      <c r="H24" s="1" t="str">
        <f>IFERROR(__xludf.DUMMYFUNCTION("""COMPUTED_VALUE"""),"")</f>
        <v/>
      </c>
      <c r="I24" s="1" t="str">
        <f>IFERROR(__xludf.DUMMYFUNCTION("""COMPUTED_VALUE"""),"")</f>
        <v/>
      </c>
    </row>
    <row r="25" customHeight="1" spans="1:9">
      <c r="A25" s="1" t="str">
        <f>IFERROR(__xludf.DUMMYFUNCTION("""COMPUTED_VALUE"""),"Arroio do Tigre")</f>
        <v>Arroio do Tigre</v>
      </c>
      <c r="B25" s="144" t="str">
        <f>IFERROR(__xludf.DUMMYFUNCTION("""COMPUTED_VALUE"""),"4º CRBM")</f>
        <v>4º CRBM</v>
      </c>
      <c r="C25" s="1" t="str">
        <f>IFERROR(__xludf.DUMMYFUNCTION("""COMPUTED_VALUE"""),"6º BBM")</f>
        <v>6º BBM</v>
      </c>
      <c r="D25" s="1" t="str">
        <f>IFERROR(__xludf.DUMMYFUNCTION("""COMPUTED_VALUE"""),"Santa Cruz do Sul")</f>
        <v>Santa Cruz do Sul</v>
      </c>
      <c r="E25" s="1" t="str">
        <f>IFERROR(__xludf.DUMMYFUNCTION("""COMPUTED_VALUE"""),"Voluntersul")</f>
        <v>Voluntersul</v>
      </c>
      <c r="F25" s="1" t="str">
        <f>IFERROR(__xludf.DUMMYFUNCTION("""COMPUTED_VALUE"""),"Voluntersul")</f>
        <v>Voluntersul</v>
      </c>
      <c r="G25" s="234" t="str">
        <f>IFERROR(__xludf.DUMMYFUNCTION("""COMPUTED_VALUE""")," 4 - Desfavorável")</f>
        <v> 4 - Desfavorável</v>
      </c>
      <c r="H25" s="1" t="str">
        <f>IFERROR(__xludf.DUMMYFUNCTION("""COMPUTED_VALUE"""),"")</f>
        <v/>
      </c>
      <c r="I25" s="1" t="str">
        <f>IFERROR(__xludf.DUMMYFUNCTION("""COMPUTED_VALUE"""),"")</f>
        <v/>
      </c>
    </row>
    <row r="26" customHeight="1" spans="1:9">
      <c r="A26" s="1" t="str">
        <f>IFERROR(__xludf.DUMMYFUNCTION("""COMPUTED_VALUE"""),"Arroio dos Ratos")</f>
        <v>Arroio dos Ratos</v>
      </c>
      <c r="B26" s="144" t="str">
        <f>IFERROR(__xludf.DUMMYFUNCTION("""COMPUTED_VALUE"""),"4º CRBM")</f>
        <v>4º CRBM</v>
      </c>
      <c r="C26" s="1" t="str">
        <f>IFERROR(__xludf.DUMMYFUNCTION("""COMPUTED_VALUE"""),"6º BBM")</f>
        <v>6º BBM</v>
      </c>
      <c r="D26" s="1" t="str">
        <f>IFERROR(__xludf.DUMMYFUNCTION("""COMPUTED_VALUE"""),"São Jerônimo")</f>
        <v>São Jerônimo</v>
      </c>
      <c r="E26" s="1" t="str">
        <f>IFERROR(__xludf.DUMMYFUNCTION("""COMPUTED_VALUE"""),"Voluntersul")</f>
        <v>Voluntersul</v>
      </c>
      <c r="F26" s="1" t="str">
        <f>IFERROR(__xludf.DUMMYFUNCTION("""COMPUTED_VALUE"""),"Voluntersul")</f>
        <v>Voluntersul</v>
      </c>
      <c r="G26" s="234" t="str">
        <f>IFERROR(__xludf.DUMMYFUNCTION("""COMPUTED_VALUE""")," 3 - Não Regularizado")</f>
        <v> 3 - Não Regularizado</v>
      </c>
      <c r="H26" s="1" t="str">
        <f>IFERROR(__xludf.DUMMYFUNCTION("""COMPUTED_VALUE"""),"")</f>
        <v/>
      </c>
      <c r="I26" s="1" t="str">
        <f>IFERROR(__xludf.DUMMYFUNCTION("""COMPUTED_VALUE"""),"")</f>
        <v/>
      </c>
    </row>
    <row r="27" customHeight="1" spans="1:9">
      <c r="A27" s="1" t="str">
        <f>IFERROR(__xludf.DUMMYFUNCTION("""COMPUTED_VALUE"""),"Arroio Grande")</f>
        <v>Arroio Grande</v>
      </c>
      <c r="B27" s="144" t="str">
        <f>IFERROR(__xludf.DUMMYFUNCTION("""COMPUTED_VALUE"""),"3º CRBM")</f>
        <v>3º CRBM</v>
      </c>
      <c r="C27" s="1" t="str">
        <f>IFERROR(__xludf.DUMMYFUNCTION("""COMPUTED_VALUE"""),"3º BBM")</f>
        <v>3º BBM</v>
      </c>
      <c r="D27" s="1" t="str">
        <f>IFERROR(__xludf.DUMMYFUNCTION("""COMPUTED_VALUE"""),"Jaguarão")</f>
        <v>Jaguarão</v>
      </c>
      <c r="E27" s="1" t="str">
        <f>IFERROR(__xludf.DUMMYFUNCTION("""COMPUTED_VALUE"""),"SCAB")</f>
        <v>SCAB</v>
      </c>
      <c r="F27" s="1" t="str">
        <f>IFERROR(__xludf.DUMMYFUNCTION("""COMPUTED_VALUE"""),"Municipal")</f>
        <v>Municipal</v>
      </c>
      <c r="G27" s="234" t="str">
        <f>IFERROR(__xludf.DUMMYFUNCTION("""COMPUTED_VALUE""")," 1 - Credenciado")</f>
        <v> 1 - Credenciado</v>
      </c>
      <c r="H27" s="1" t="str">
        <f>IFERROR(__xludf.DUMMYFUNCTION("""COMPUTED_VALUE"""),"")</f>
        <v/>
      </c>
      <c r="I27" s="1" t="str">
        <f>IFERROR(__xludf.DUMMYFUNCTION("""COMPUTED_VALUE"""),"")</f>
        <v/>
      </c>
    </row>
    <row r="28" customHeight="1" spans="1:9">
      <c r="A28" s="1" t="str">
        <f>IFERROR(__xludf.DUMMYFUNCTION("""COMPUTED_VALUE"""),"Arvorezinha")</f>
        <v>Arvorezinha</v>
      </c>
      <c r="B28" s="144" t="str">
        <f>IFERROR(__xludf.DUMMYFUNCTION("""COMPUTED_VALUE"""),"2º CRBM")</f>
        <v>2º CRBM</v>
      </c>
      <c r="C28" s="1" t="str">
        <f>IFERROR(__xludf.DUMMYFUNCTION("""COMPUTED_VALUE"""),"7º BBM")</f>
        <v>7º BBM</v>
      </c>
      <c r="D28" s="1" t="str">
        <f>IFERROR(__xludf.DUMMYFUNCTION("""COMPUTED_VALUE"""),"Soledade")</f>
        <v>Soledade</v>
      </c>
      <c r="E28" s="1" t="str">
        <f>IFERROR(__xludf.DUMMYFUNCTION("""COMPUTED_VALUE"""),"Voluntersul")</f>
        <v>Voluntersul</v>
      </c>
      <c r="F28" s="1" t="str">
        <f>IFERROR(__xludf.DUMMYFUNCTION("""COMPUTED_VALUE"""),"Voluntersul")</f>
        <v>Voluntersul</v>
      </c>
      <c r="G28" s="234" t="str">
        <f>IFERROR(__xludf.DUMMYFUNCTION("""COMPUTED_VALUE""")," 4 - Desfavorável")</f>
        <v> 4 - Desfavorável</v>
      </c>
      <c r="H28" s="1" t="str">
        <f>IFERROR(__xludf.DUMMYFUNCTION("""COMPUTED_VALUE"""),"")</f>
        <v/>
      </c>
      <c r="I28" s="1" t="str">
        <f>IFERROR(__xludf.DUMMYFUNCTION("""COMPUTED_VALUE"""),"")</f>
        <v/>
      </c>
    </row>
    <row r="29" customHeight="1" spans="1:9">
      <c r="A29" s="1" t="str">
        <f>IFERROR(__xludf.DUMMYFUNCTION("""COMPUTED_VALUE"""),"Augusto Pestana")</f>
        <v>Augusto Pestana</v>
      </c>
      <c r="B29" s="144" t="str">
        <f>IFERROR(__xludf.DUMMYFUNCTION("""COMPUTED_VALUE"""),"4º CRBM")</f>
        <v>4º CRBM</v>
      </c>
      <c r="C29" s="1" t="str">
        <f>IFERROR(__xludf.DUMMYFUNCTION("""COMPUTED_VALUE"""),"12º BBM")</f>
        <v>12º BBM</v>
      </c>
      <c r="D29" s="1" t="str">
        <f>IFERROR(__xludf.DUMMYFUNCTION("""COMPUTED_VALUE"""),"Ijuí")</f>
        <v>Ijuí</v>
      </c>
      <c r="E29" s="1" t="str">
        <f>IFERROR(__xludf.DUMMYFUNCTION("""COMPUTED_VALUE"""),"NPBM")</f>
        <v>NPBM</v>
      </c>
      <c r="F29" s="1" t="str">
        <f>IFERROR(__xludf.DUMMYFUNCTION("""COMPUTED_VALUE"""),"NPBM")</f>
        <v>NPBM</v>
      </c>
      <c r="G29" s="1"/>
      <c r="H29" s="1" t="str">
        <f>IFERROR(__xludf.DUMMYFUNCTION("""COMPUTED_VALUE"""),"")</f>
        <v/>
      </c>
      <c r="I29" s="1" t="str">
        <f>IFERROR(__xludf.DUMMYFUNCTION("""COMPUTED_VALUE"""),"")</f>
        <v/>
      </c>
    </row>
    <row r="30" customHeight="1" spans="1:9">
      <c r="A30" s="1" t="str">
        <f>IFERROR(__xludf.DUMMYFUNCTION("""COMPUTED_VALUE"""),"Áurea")</f>
        <v>Áurea</v>
      </c>
      <c r="B30" s="144" t="str">
        <f>IFERROR(__xludf.DUMMYFUNCTION("""COMPUTED_VALUE"""),"2º CRBM")</f>
        <v>2º CRBM</v>
      </c>
      <c r="C30" s="1" t="str">
        <f>IFERROR(__xludf.DUMMYFUNCTION("""COMPUTED_VALUE"""),"7º BBM")</f>
        <v>7º BBM</v>
      </c>
      <c r="D30" s="1" t="str">
        <f>IFERROR(__xludf.DUMMYFUNCTION("""COMPUTED_VALUE"""),"Getúlio Vargas")</f>
        <v>Getúlio Vargas</v>
      </c>
      <c r="E30" s="1" t="str">
        <f>IFERROR(__xludf.DUMMYFUNCTION("""COMPUTED_VALUE"""),"SCAB")</f>
        <v>SCAB</v>
      </c>
      <c r="F30" s="1" t="str">
        <f>IFERROR(__xludf.DUMMYFUNCTION("""COMPUTED_VALUE"""),"Municipal")</f>
        <v>Municipal</v>
      </c>
      <c r="G30" s="234" t="str">
        <f>IFERROR(__xludf.DUMMYFUNCTION("""COMPUTED_VALUE""")," 1 - Credenciado")</f>
        <v> 1 - Credenciado</v>
      </c>
      <c r="H30" s="1" t="str">
        <f>IFERROR(__xludf.DUMMYFUNCTION("""COMPUTED_VALUE"""),"")</f>
        <v/>
      </c>
      <c r="I30" s="1" t="str">
        <f>IFERROR(__xludf.DUMMYFUNCTION("""COMPUTED_VALUE"""),"")</f>
        <v/>
      </c>
    </row>
    <row r="31" customHeight="1" spans="1:9">
      <c r="A31" s="1" t="str">
        <f>IFERROR(__xludf.DUMMYFUNCTION("""COMPUTED_VALUE"""),"Bagé")</f>
        <v>Bagé</v>
      </c>
      <c r="B31" s="144" t="str">
        <f>IFERROR(__xludf.DUMMYFUNCTION("""COMPUTED_VALUE"""),"3º CRBM")</f>
        <v>3º CRBM</v>
      </c>
      <c r="C31" s="1" t="str">
        <f>IFERROR(__xludf.DUMMYFUNCTION("""COMPUTED_VALUE"""),"10º BBM")</f>
        <v>10º BBM</v>
      </c>
      <c r="D31" s="1" t="str">
        <f>IFERROR(__xludf.DUMMYFUNCTION("""COMPUTED_VALUE"""),"Bagé")</f>
        <v>Bagé</v>
      </c>
      <c r="E31" s="1" t="str">
        <f>IFERROR(__xludf.DUMMYFUNCTION("""COMPUTED_VALUE"""),"Militar")</f>
        <v>Militar</v>
      </c>
      <c r="F31" s="1" t="str">
        <f>IFERROR(__xludf.DUMMYFUNCTION("""COMPUTED_VALUE"""),"Militar")</f>
        <v>Militar</v>
      </c>
      <c r="G31" s="1"/>
      <c r="H31" s="1">
        <f>IFERROR(__xludf.DUMMYFUNCTION("""COMPUTED_VALUE"""),1)</f>
        <v>1</v>
      </c>
      <c r="I31" s="1" t="str">
        <f>IFERROR(__xludf.DUMMYFUNCTION("""COMPUTED_VALUE"""),"")</f>
        <v/>
      </c>
    </row>
    <row r="32" customHeight="1" spans="1:9">
      <c r="A32" s="1" t="str">
        <f>IFERROR(__xludf.DUMMYFUNCTION("""COMPUTED_VALUE"""),"Balneário Pinhal")</f>
        <v>Balneário Pinhal</v>
      </c>
      <c r="B32" s="144" t="str">
        <f>IFERROR(__xludf.DUMMYFUNCTION("""COMPUTED_VALUE"""),"1º CRBM")</f>
        <v>1º CRBM</v>
      </c>
      <c r="C32" s="1" t="str">
        <f>IFERROR(__xludf.DUMMYFUNCTION("""COMPUTED_VALUE"""),"9º BBM")</f>
        <v>9º BBM</v>
      </c>
      <c r="D32" s="1" t="str">
        <f>IFERROR(__xludf.DUMMYFUNCTION("""COMPUTED_VALUE"""),"Cidreira")</f>
        <v>Cidreira</v>
      </c>
      <c r="E32" s="1" t="str">
        <f>IFERROR(__xludf.DUMMYFUNCTION("""COMPUTED_VALUE"""),"SCAB")</f>
        <v>SCAB</v>
      </c>
      <c r="F32" s="1" t="str">
        <f>IFERROR(__xludf.DUMMYFUNCTION("""COMPUTED_VALUE"""),"Projeto Com.")</f>
        <v>Projeto Com.</v>
      </c>
      <c r="G32" s="234" t="str">
        <f>IFERROR(__xludf.DUMMYFUNCTION("""COMPUTED_VALUE""")," 1 - Credenciado")</f>
        <v> 1 - Credenciado</v>
      </c>
      <c r="H32" s="1" t="str">
        <f>IFERROR(__xludf.DUMMYFUNCTION("""COMPUTED_VALUE"""),"(*1)")</f>
        <v>(*1)</v>
      </c>
      <c r="I32" s="1" t="str">
        <f>IFERROR(__xludf.DUMMYFUNCTION("""COMPUTED_VALUE"""),"")</f>
        <v/>
      </c>
    </row>
    <row r="33" customHeight="1" spans="1:9">
      <c r="A33" s="1" t="str">
        <f>IFERROR(__xludf.DUMMYFUNCTION("""COMPUTED_VALUE"""),"Barão")</f>
        <v>Barão</v>
      </c>
      <c r="B33" s="144" t="str">
        <f>IFERROR(__xludf.DUMMYFUNCTION("""COMPUTED_VALUE"""),"2º CRBM")</f>
        <v>2º CRBM</v>
      </c>
      <c r="C33" s="1" t="str">
        <f>IFERROR(__xludf.DUMMYFUNCTION("""COMPUTED_VALUE"""),"2º BBM")</f>
        <v>2º BBM</v>
      </c>
      <c r="D33" s="1" t="str">
        <f>IFERROR(__xludf.DUMMYFUNCTION("""COMPUTED_VALUE"""),"Bento Gonçalves")</f>
        <v>Bento Gonçalves</v>
      </c>
      <c r="E33" s="1" t="str">
        <f>IFERROR(__xludf.DUMMYFUNCTION("""COMPUTED_VALUE"""),"NPBM")</f>
        <v>NPBM</v>
      </c>
      <c r="F33" s="1" t="str">
        <f>IFERROR(__xludf.DUMMYFUNCTION("""COMPUTED_VALUE"""),"NPBM")</f>
        <v>NPBM</v>
      </c>
      <c r="G33" s="1"/>
      <c r="H33" s="1" t="str">
        <f>IFERROR(__xludf.DUMMYFUNCTION("""COMPUTED_VALUE"""),"")</f>
        <v/>
      </c>
      <c r="I33" s="1" t="str">
        <f>IFERROR(__xludf.DUMMYFUNCTION("""COMPUTED_VALUE"""),"")</f>
        <v/>
      </c>
    </row>
    <row r="34" customHeight="1" spans="1:9">
      <c r="A34" s="1" t="str">
        <f>IFERROR(__xludf.DUMMYFUNCTION("""COMPUTED_VALUE"""),"Barão de Cotegipe")</f>
        <v>Barão de Cotegipe</v>
      </c>
      <c r="B34" s="144" t="str">
        <f>IFERROR(__xludf.DUMMYFUNCTION("""COMPUTED_VALUE"""),"2º CRBM")</f>
        <v>2º CRBM</v>
      </c>
      <c r="C34" s="1" t="str">
        <f>IFERROR(__xludf.DUMMYFUNCTION("""COMPUTED_VALUE"""),"7º BBM")</f>
        <v>7º BBM</v>
      </c>
      <c r="D34" s="1" t="str">
        <f>IFERROR(__xludf.DUMMYFUNCTION("""COMPUTED_VALUE"""),"Erechim")</f>
        <v>Erechim</v>
      </c>
      <c r="E34" s="1" t="str">
        <f>IFERROR(__xludf.DUMMYFUNCTION("""COMPUTED_VALUE"""),"SCAB")</f>
        <v>SCAB</v>
      </c>
      <c r="F34" s="1" t="str">
        <f>IFERROR(__xludf.DUMMYFUNCTION("""COMPUTED_VALUE"""),"Municipal")</f>
        <v>Municipal</v>
      </c>
      <c r="G34" s="234" t="str">
        <f>IFERROR(__xludf.DUMMYFUNCTION("""COMPUTED_VALUE""")," 1 - Credenciado")</f>
        <v> 1 - Credenciado</v>
      </c>
      <c r="H34" s="1" t="str">
        <f>IFERROR(__xludf.DUMMYFUNCTION("""COMPUTED_VALUE"""),"")</f>
        <v/>
      </c>
      <c r="I34" s="1" t="str">
        <f>IFERROR(__xludf.DUMMYFUNCTION("""COMPUTED_VALUE"""),"")</f>
        <v/>
      </c>
    </row>
    <row r="35" customHeight="1" spans="1:9">
      <c r="A35" s="1" t="str">
        <f>IFERROR(__xludf.DUMMYFUNCTION("""COMPUTED_VALUE"""),"Barão do Triunfo")</f>
        <v>Barão do Triunfo</v>
      </c>
      <c r="B35" s="144" t="str">
        <f>IFERROR(__xludf.DUMMYFUNCTION("""COMPUTED_VALUE"""),"4º CRBM")</f>
        <v>4º CRBM</v>
      </c>
      <c r="C35" s="1" t="str">
        <f>IFERROR(__xludf.DUMMYFUNCTION("""COMPUTED_VALUE"""),"6º BBM")</f>
        <v>6º BBM</v>
      </c>
      <c r="D35" s="1" t="str">
        <f>IFERROR(__xludf.DUMMYFUNCTION("""COMPUTED_VALUE"""),"Guaíba")</f>
        <v>Guaíba</v>
      </c>
      <c r="E35" s="1" t="str">
        <f>IFERROR(__xludf.DUMMYFUNCTION("""COMPUTED_VALUE"""),"NPBM")</f>
        <v>NPBM</v>
      </c>
      <c r="F35" s="1" t="str">
        <f>IFERROR(__xludf.DUMMYFUNCTION("""COMPUTED_VALUE"""),"NPBM")</f>
        <v>NPBM</v>
      </c>
      <c r="G35" s="1"/>
      <c r="H35" s="1" t="str">
        <f>IFERROR(__xludf.DUMMYFUNCTION("""COMPUTED_VALUE"""),"")</f>
        <v/>
      </c>
      <c r="I35" s="1" t="str">
        <f>IFERROR(__xludf.DUMMYFUNCTION("""COMPUTED_VALUE"""),"")</f>
        <v/>
      </c>
    </row>
    <row r="36" customHeight="1" spans="1:9">
      <c r="A36" s="1" t="str">
        <f>IFERROR(__xludf.DUMMYFUNCTION("""COMPUTED_VALUE"""),"Barra do Guarita")</f>
        <v>Barra do Guarita</v>
      </c>
      <c r="B36" s="144" t="str">
        <f>IFERROR(__xludf.DUMMYFUNCTION("""COMPUTED_VALUE"""),"4º CRBM")</f>
        <v>4º CRBM</v>
      </c>
      <c r="C36" s="1" t="str">
        <f>IFERROR(__xludf.DUMMYFUNCTION("""COMPUTED_VALUE"""),"11º BBM")</f>
        <v>11º BBM</v>
      </c>
      <c r="D36" s="1" t="str">
        <f>IFERROR(__xludf.DUMMYFUNCTION("""COMPUTED_VALUE"""),"Três Passos")</f>
        <v>Três Passos</v>
      </c>
      <c r="E36" s="1" t="str">
        <f>IFERROR(__xludf.DUMMYFUNCTION("""COMPUTED_VALUE"""),"NPBM")</f>
        <v>NPBM</v>
      </c>
      <c r="F36" s="1" t="str">
        <f>IFERROR(__xludf.DUMMYFUNCTION("""COMPUTED_VALUE"""),"NPBM")</f>
        <v>NPBM</v>
      </c>
      <c r="G36" s="1"/>
      <c r="H36" s="1" t="str">
        <f>IFERROR(__xludf.DUMMYFUNCTION("""COMPUTED_VALUE"""),"")</f>
        <v/>
      </c>
      <c r="I36" s="1" t="str">
        <f>IFERROR(__xludf.DUMMYFUNCTION("""COMPUTED_VALUE"""),"")</f>
        <v/>
      </c>
    </row>
    <row r="37" customHeight="1" spans="1:9">
      <c r="A37" s="1" t="str">
        <f>IFERROR(__xludf.DUMMYFUNCTION("""COMPUTED_VALUE"""),"Barra do Quaraí")</f>
        <v>Barra do Quaraí</v>
      </c>
      <c r="B37" s="144" t="str">
        <f>IFERROR(__xludf.DUMMYFUNCTION("""COMPUTED_VALUE"""),"3º CRBM")</f>
        <v>3º CRBM</v>
      </c>
      <c r="C37" s="1" t="str">
        <f>IFERROR(__xludf.DUMMYFUNCTION("""COMPUTED_VALUE"""),"13º BBM")</f>
        <v>13º BBM</v>
      </c>
      <c r="D37" s="1" t="str">
        <f>IFERROR(__xludf.DUMMYFUNCTION("""COMPUTED_VALUE"""),"Barra do Quaraí")</f>
        <v>Barra do Quaraí</v>
      </c>
      <c r="E37" s="1" t="str">
        <f>IFERROR(__xludf.DUMMYFUNCTION("""COMPUTED_VALUE"""),"Comunitário")</f>
        <v>Comunitário</v>
      </c>
      <c r="F37" s="1" t="str">
        <f>IFERROR(__xludf.DUMMYFUNCTION("""COMPUTED_VALUE"""),"Mil + Mun")</f>
        <v>Mil + Mun</v>
      </c>
      <c r="G37" s="1"/>
      <c r="H37" s="1">
        <f>IFERROR(__xludf.DUMMYFUNCTION("""COMPUTED_VALUE"""),1)</f>
        <v>1</v>
      </c>
      <c r="I37" s="1" t="str">
        <f>IFERROR(__xludf.DUMMYFUNCTION("""COMPUTED_VALUE"""),"")</f>
        <v/>
      </c>
    </row>
    <row r="38" customHeight="1" spans="1:9">
      <c r="A38" s="1" t="str">
        <f>IFERROR(__xludf.DUMMYFUNCTION("""COMPUTED_VALUE"""),"Barra do Ribeiro")</f>
        <v>Barra do Ribeiro</v>
      </c>
      <c r="B38" s="144" t="str">
        <f>IFERROR(__xludf.DUMMYFUNCTION("""COMPUTED_VALUE"""),"4º CRBM")</f>
        <v>4º CRBM</v>
      </c>
      <c r="C38" s="1" t="str">
        <f>IFERROR(__xludf.DUMMYFUNCTION("""COMPUTED_VALUE"""),"6º BBM")</f>
        <v>6º BBM</v>
      </c>
      <c r="D38" s="1" t="str">
        <f>IFERROR(__xludf.DUMMYFUNCTION("""COMPUTED_VALUE"""),"Guaíba")</f>
        <v>Guaíba</v>
      </c>
      <c r="E38" s="1" t="str">
        <f>IFERROR(__xludf.DUMMYFUNCTION("""COMPUTED_VALUE"""),"NPBM")</f>
        <v>NPBM</v>
      </c>
      <c r="F38" s="1" t="str">
        <f>IFERROR(__xludf.DUMMYFUNCTION("""COMPUTED_VALUE"""),"NPBM")</f>
        <v>NPBM</v>
      </c>
      <c r="G38" s="1"/>
      <c r="H38" s="1" t="str">
        <f>IFERROR(__xludf.DUMMYFUNCTION("""COMPUTED_VALUE"""),"")</f>
        <v/>
      </c>
      <c r="I38" s="1" t="str">
        <f>IFERROR(__xludf.DUMMYFUNCTION("""COMPUTED_VALUE"""),"")</f>
        <v/>
      </c>
    </row>
    <row r="39" customHeight="1" spans="1:9">
      <c r="A39" s="1" t="str">
        <f>IFERROR(__xludf.DUMMYFUNCTION("""COMPUTED_VALUE"""),"Barra do Rio Azul")</f>
        <v>Barra do Rio Azul</v>
      </c>
      <c r="B39" s="144" t="str">
        <f>IFERROR(__xludf.DUMMYFUNCTION("""COMPUTED_VALUE"""),"2º CRBM")</f>
        <v>2º CRBM</v>
      </c>
      <c r="C39" s="1" t="str">
        <f>IFERROR(__xludf.DUMMYFUNCTION("""COMPUTED_VALUE"""),"7º BBM")</f>
        <v>7º BBM</v>
      </c>
      <c r="D39" s="1" t="str">
        <f>IFERROR(__xludf.DUMMYFUNCTION("""COMPUTED_VALUE"""),"Erechim")</f>
        <v>Erechim</v>
      </c>
      <c r="E39" s="1" t="str">
        <f>IFERROR(__xludf.DUMMYFUNCTION("""COMPUTED_VALUE"""),"NPBM")</f>
        <v>NPBM</v>
      </c>
      <c r="F39" s="1" t="str">
        <f>IFERROR(__xludf.DUMMYFUNCTION("""COMPUTED_VALUE"""),"NPBM")</f>
        <v>NPBM</v>
      </c>
      <c r="G39" s="1"/>
      <c r="H39" s="1" t="str">
        <f>IFERROR(__xludf.DUMMYFUNCTION("""COMPUTED_VALUE"""),"")</f>
        <v/>
      </c>
      <c r="I39" s="1" t="str">
        <f>IFERROR(__xludf.DUMMYFUNCTION("""COMPUTED_VALUE"""),"")</f>
        <v/>
      </c>
    </row>
    <row r="40" customHeight="1" spans="1:9">
      <c r="A40" s="1" t="str">
        <f>IFERROR(__xludf.DUMMYFUNCTION("""COMPUTED_VALUE"""),"Barra Funda")</f>
        <v>Barra Funda</v>
      </c>
      <c r="B40" s="144" t="str">
        <f>IFERROR(__xludf.DUMMYFUNCTION("""COMPUTED_VALUE"""),"2º CRBM")</f>
        <v>2º CRBM</v>
      </c>
      <c r="C40" s="1" t="str">
        <f>IFERROR(__xludf.DUMMYFUNCTION("""COMPUTED_VALUE"""),"7º BBM")</f>
        <v>7º BBM</v>
      </c>
      <c r="D40" s="1" t="str">
        <f>IFERROR(__xludf.DUMMYFUNCTION("""COMPUTED_VALUE"""),"Sarandi")</f>
        <v>Sarandi</v>
      </c>
      <c r="E40" s="1" t="str">
        <f>IFERROR(__xludf.DUMMYFUNCTION("""COMPUTED_VALUE"""),"NPBM")</f>
        <v>NPBM</v>
      </c>
      <c r="F40" s="1" t="str">
        <f>IFERROR(__xludf.DUMMYFUNCTION("""COMPUTED_VALUE"""),"NPBM")</f>
        <v>NPBM</v>
      </c>
      <c r="G40" s="1"/>
      <c r="H40" s="1" t="str">
        <f>IFERROR(__xludf.DUMMYFUNCTION("""COMPUTED_VALUE"""),"")</f>
        <v/>
      </c>
      <c r="I40" s="1" t="str">
        <f>IFERROR(__xludf.DUMMYFUNCTION("""COMPUTED_VALUE"""),"")</f>
        <v/>
      </c>
    </row>
    <row r="41" customHeight="1" spans="1:9">
      <c r="A41" s="1" t="str">
        <f>IFERROR(__xludf.DUMMYFUNCTION("""COMPUTED_VALUE"""),"Barracão")</f>
        <v>Barracão</v>
      </c>
      <c r="B41" s="144" t="str">
        <f>IFERROR(__xludf.DUMMYFUNCTION("""COMPUTED_VALUE"""),"2º CRBM")</f>
        <v>2º CRBM</v>
      </c>
      <c r="C41" s="1" t="str">
        <f>IFERROR(__xludf.DUMMYFUNCTION("""COMPUTED_VALUE"""),"5º BBM")</f>
        <v>5º BBM</v>
      </c>
      <c r="D41" s="1" t="str">
        <f>IFERROR(__xludf.DUMMYFUNCTION("""COMPUTED_VALUE"""),"Lagoa Vermelha")</f>
        <v>Lagoa Vermelha</v>
      </c>
      <c r="E41" s="1" t="str">
        <f>IFERROR(__xludf.DUMMYFUNCTION("""COMPUTED_VALUE"""),"Voluntersul")</f>
        <v>Voluntersul</v>
      </c>
      <c r="F41" s="1" t="str">
        <f>IFERROR(__xludf.DUMMYFUNCTION("""COMPUTED_VALUE"""),"Voluntersul")</f>
        <v>Voluntersul</v>
      </c>
      <c r="G41" s="234" t="str">
        <f>IFERROR(__xludf.DUMMYFUNCTION("""COMPUTED_VALUE""")," 3 - Não Regularizado")</f>
        <v> 3 - Não Regularizado</v>
      </c>
      <c r="H41" s="1" t="str">
        <f>IFERROR(__xludf.DUMMYFUNCTION("""COMPUTED_VALUE"""),"")</f>
        <v/>
      </c>
      <c r="I41" s="1" t="str">
        <f>IFERROR(__xludf.DUMMYFUNCTION("""COMPUTED_VALUE"""),"")</f>
        <v/>
      </c>
    </row>
    <row r="42" customHeight="1" spans="1:9">
      <c r="A42" s="1" t="str">
        <f>IFERROR(__xludf.DUMMYFUNCTION("""COMPUTED_VALUE"""),"Barros Cassal")</f>
        <v>Barros Cassal</v>
      </c>
      <c r="B42" s="144" t="str">
        <f>IFERROR(__xludf.DUMMYFUNCTION("""COMPUTED_VALUE"""),"2º CRBM")</f>
        <v>2º CRBM</v>
      </c>
      <c r="C42" s="1" t="str">
        <f>IFERROR(__xludf.DUMMYFUNCTION("""COMPUTED_VALUE"""),"7º BBM")</f>
        <v>7º BBM</v>
      </c>
      <c r="D42" s="1" t="str">
        <f>IFERROR(__xludf.DUMMYFUNCTION("""COMPUTED_VALUE"""),"Soledade")</f>
        <v>Soledade</v>
      </c>
      <c r="E42" s="1" t="str">
        <f>IFERROR(__xludf.DUMMYFUNCTION("""COMPUTED_VALUE"""),"SCAB")</f>
        <v>SCAB</v>
      </c>
      <c r="F42" s="1" t="str">
        <f>IFERROR(__xludf.DUMMYFUNCTION("""COMPUTED_VALUE"""),"Municipal")</f>
        <v>Municipal</v>
      </c>
      <c r="G42" s="234" t="str">
        <f>IFERROR(__xludf.DUMMYFUNCTION("""COMPUTED_VALUE""")," 1 - Credenciado")</f>
        <v> 1 - Credenciado</v>
      </c>
      <c r="H42" s="1" t="str">
        <f>IFERROR(__xludf.DUMMYFUNCTION("""COMPUTED_VALUE"""),"")</f>
        <v/>
      </c>
      <c r="I42" s="1" t="str">
        <f>IFERROR(__xludf.DUMMYFUNCTION("""COMPUTED_VALUE"""),"")</f>
        <v/>
      </c>
    </row>
    <row r="43" customHeight="1" spans="1:9">
      <c r="A43" s="1" t="str">
        <f>IFERROR(__xludf.DUMMYFUNCTION("""COMPUTED_VALUE"""),"Benjamin Constant do Sul")</f>
        <v>Benjamin Constant do Sul</v>
      </c>
      <c r="B43" s="144" t="str">
        <f>IFERROR(__xludf.DUMMYFUNCTION("""COMPUTED_VALUE"""),"2º CRBM")</f>
        <v>2º CRBM</v>
      </c>
      <c r="C43" s="1" t="str">
        <f>IFERROR(__xludf.DUMMYFUNCTION("""COMPUTED_VALUE"""),"7º BBM")</f>
        <v>7º BBM</v>
      </c>
      <c r="D43" s="1" t="str">
        <f>IFERROR(__xludf.DUMMYFUNCTION("""COMPUTED_VALUE"""),"Erechim")</f>
        <v>Erechim</v>
      </c>
      <c r="E43" s="1" t="str">
        <f>IFERROR(__xludf.DUMMYFUNCTION("""COMPUTED_VALUE"""),"NPBM")</f>
        <v>NPBM</v>
      </c>
      <c r="F43" s="1" t="str">
        <f>IFERROR(__xludf.DUMMYFUNCTION("""COMPUTED_VALUE"""),"NPBM")</f>
        <v>NPBM</v>
      </c>
      <c r="G43" s="1"/>
      <c r="H43" s="1" t="str">
        <f>IFERROR(__xludf.DUMMYFUNCTION("""COMPUTED_VALUE"""),"")</f>
        <v/>
      </c>
      <c r="I43" s="1" t="str">
        <f>IFERROR(__xludf.DUMMYFUNCTION("""COMPUTED_VALUE"""),"")</f>
        <v/>
      </c>
    </row>
    <row r="44" customHeight="1" spans="1:9">
      <c r="A44" s="1" t="str">
        <f>IFERROR(__xludf.DUMMYFUNCTION("""COMPUTED_VALUE"""),"Bento Gonçalves")</f>
        <v>Bento Gonçalves</v>
      </c>
      <c r="B44" s="144" t="str">
        <f>IFERROR(__xludf.DUMMYFUNCTION("""COMPUTED_VALUE"""),"2º CRBM")</f>
        <v>2º CRBM</v>
      </c>
      <c r="C44" s="1" t="str">
        <f>IFERROR(__xludf.DUMMYFUNCTION("""COMPUTED_VALUE"""),"5º BBM")</f>
        <v>5º BBM</v>
      </c>
      <c r="D44" s="1" t="str">
        <f>IFERROR(__xludf.DUMMYFUNCTION("""COMPUTED_VALUE"""),"Bento Gonçalves")</f>
        <v>Bento Gonçalves</v>
      </c>
      <c r="E44" s="1" t="str">
        <f>IFERROR(__xludf.DUMMYFUNCTION("""COMPUTED_VALUE"""),"Militar")</f>
        <v>Militar</v>
      </c>
      <c r="F44" s="1" t="str">
        <f>IFERROR(__xludf.DUMMYFUNCTION("""COMPUTED_VALUE"""),"Militar")</f>
        <v>Militar</v>
      </c>
      <c r="G44" s="1"/>
      <c r="H44" s="1">
        <f>IFERROR(__xludf.DUMMYFUNCTION("""COMPUTED_VALUE"""),1)</f>
        <v>1</v>
      </c>
      <c r="I44" s="1">
        <f>IFERROR(__xludf.DUMMYFUNCTION("""COMPUTED_VALUE"""),1)</f>
        <v>1</v>
      </c>
    </row>
    <row r="45" customHeight="1" spans="1:9">
      <c r="A45" s="1" t="str">
        <f>IFERROR(__xludf.DUMMYFUNCTION("""COMPUTED_VALUE"""),"Boa Vista das Missões")</f>
        <v>Boa Vista das Missões</v>
      </c>
      <c r="B45" s="144" t="str">
        <f>IFERROR(__xludf.DUMMYFUNCTION("""COMPUTED_VALUE"""),"4º CRBM")</f>
        <v>4º CRBM</v>
      </c>
      <c r="C45" s="1" t="str">
        <f>IFERROR(__xludf.DUMMYFUNCTION("""COMPUTED_VALUE"""),"12º BBM")</f>
        <v>12º BBM</v>
      </c>
      <c r="D45" s="1" t="str">
        <f>IFERROR(__xludf.DUMMYFUNCTION("""COMPUTED_VALUE"""),"Palmeira das Missões")</f>
        <v>Palmeira das Missões</v>
      </c>
      <c r="E45" s="1" t="str">
        <f>IFERROR(__xludf.DUMMYFUNCTION("""COMPUTED_VALUE"""),"NPBM")</f>
        <v>NPBM</v>
      </c>
      <c r="F45" s="1" t="str">
        <f>IFERROR(__xludf.DUMMYFUNCTION("""COMPUTED_VALUE"""),"NPBM")</f>
        <v>NPBM</v>
      </c>
      <c r="G45" s="1"/>
      <c r="H45" s="1" t="str">
        <f>IFERROR(__xludf.DUMMYFUNCTION("""COMPUTED_VALUE"""),"")</f>
        <v/>
      </c>
      <c r="I45" s="1" t="str">
        <f>IFERROR(__xludf.DUMMYFUNCTION("""COMPUTED_VALUE"""),"")</f>
        <v/>
      </c>
    </row>
    <row r="46" customHeight="1" spans="1:9">
      <c r="A46" s="1" t="str">
        <f>IFERROR(__xludf.DUMMYFUNCTION("""COMPUTED_VALUE"""),"Boa Vista do Buricá")</f>
        <v>Boa Vista do Buricá</v>
      </c>
      <c r="B46" s="144" t="str">
        <f>IFERROR(__xludf.DUMMYFUNCTION("""COMPUTED_VALUE"""),"4º CRBM")</f>
        <v>4º CRBM</v>
      </c>
      <c r="C46" s="1" t="str">
        <f>IFERROR(__xludf.DUMMYFUNCTION("""COMPUTED_VALUE"""),"11º BBM")</f>
        <v>11º BBM</v>
      </c>
      <c r="D46" s="1" t="str">
        <f>IFERROR(__xludf.DUMMYFUNCTION("""COMPUTED_VALUE"""),"Três de Maio")</f>
        <v>Três de Maio</v>
      </c>
      <c r="E46" s="1" t="str">
        <f>IFERROR(__xludf.DUMMYFUNCTION("""COMPUTED_VALUE"""),"NPBM")</f>
        <v>NPBM</v>
      </c>
      <c r="F46" s="1" t="str">
        <f>IFERROR(__xludf.DUMMYFUNCTION("""COMPUTED_VALUE"""),"NPBM")</f>
        <v>NPBM</v>
      </c>
      <c r="G46" s="1"/>
      <c r="H46" s="1" t="str">
        <f>IFERROR(__xludf.DUMMYFUNCTION("""COMPUTED_VALUE"""),"")</f>
        <v/>
      </c>
      <c r="I46" s="1" t="str">
        <f>IFERROR(__xludf.DUMMYFUNCTION("""COMPUTED_VALUE"""),"")</f>
        <v/>
      </c>
    </row>
    <row r="47" customHeight="1" spans="1:9">
      <c r="A47" s="1" t="str">
        <f>IFERROR(__xludf.DUMMYFUNCTION("""COMPUTED_VALUE"""),"Boa Vista do Cadeado")</f>
        <v>Boa Vista do Cadeado</v>
      </c>
      <c r="B47" s="144" t="str">
        <f>IFERROR(__xludf.DUMMYFUNCTION("""COMPUTED_VALUE"""),"4º CRBM")</f>
        <v>4º CRBM</v>
      </c>
      <c r="C47" s="1" t="str">
        <f>IFERROR(__xludf.DUMMYFUNCTION("""COMPUTED_VALUE"""),"12º BBM")</f>
        <v>12º BBM</v>
      </c>
      <c r="D47" s="1" t="str">
        <f>IFERROR(__xludf.DUMMYFUNCTION("""COMPUTED_VALUE"""),"Cruz Alta")</f>
        <v>Cruz Alta</v>
      </c>
      <c r="E47" s="1" t="str">
        <f>IFERROR(__xludf.DUMMYFUNCTION("""COMPUTED_VALUE"""),"NPBM")</f>
        <v>NPBM</v>
      </c>
      <c r="F47" s="1" t="str">
        <f>IFERROR(__xludf.DUMMYFUNCTION("""COMPUTED_VALUE"""),"NPBM")</f>
        <v>NPBM</v>
      </c>
      <c r="G47" s="1"/>
      <c r="H47" s="1" t="str">
        <f>IFERROR(__xludf.DUMMYFUNCTION("""COMPUTED_VALUE"""),"")</f>
        <v/>
      </c>
      <c r="I47" s="1" t="str">
        <f>IFERROR(__xludf.DUMMYFUNCTION("""COMPUTED_VALUE"""),"")</f>
        <v/>
      </c>
    </row>
    <row r="48" customHeight="1" spans="1:9">
      <c r="A48" s="1" t="str">
        <f>IFERROR(__xludf.DUMMYFUNCTION("""COMPUTED_VALUE"""),"Boa Vista do Incra")</f>
        <v>Boa Vista do Incra</v>
      </c>
      <c r="B48" s="144" t="str">
        <f>IFERROR(__xludf.DUMMYFUNCTION("""COMPUTED_VALUE"""),"4º CRBM")</f>
        <v>4º CRBM</v>
      </c>
      <c r="C48" s="1" t="str">
        <f>IFERROR(__xludf.DUMMYFUNCTION("""COMPUTED_VALUE"""),"12º BBM")</f>
        <v>12º BBM</v>
      </c>
      <c r="D48" s="1" t="str">
        <f>IFERROR(__xludf.DUMMYFUNCTION("""COMPUTED_VALUE"""),"Cruz Alta")</f>
        <v>Cruz Alta</v>
      </c>
      <c r="E48" s="1" t="str">
        <f>IFERROR(__xludf.DUMMYFUNCTION("""COMPUTED_VALUE"""),"NPBM")</f>
        <v>NPBM</v>
      </c>
      <c r="F48" s="1" t="str">
        <f>IFERROR(__xludf.DUMMYFUNCTION("""COMPUTED_VALUE"""),"NPBM")</f>
        <v>NPBM</v>
      </c>
      <c r="G48" s="1"/>
      <c r="H48" s="1" t="str">
        <f>IFERROR(__xludf.DUMMYFUNCTION("""COMPUTED_VALUE"""),"")</f>
        <v/>
      </c>
      <c r="I48" s="1" t="str">
        <f>IFERROR(__xludf.DUMMYFUNCTION("""COMPUTED_VALUE"""),"")</f>
        <v/>
      </c>
    </row>
    <row r="49" customHeight="1" spans="1:9">
      <c r="A49" s="1" t="str">
        <f>IFERROR(__xludf.DUMMYFUNCTION("""COMPUTED_VALUE"""),"Boa Vista do Sul")</f>
        <v>Boa Vista do Sul</v>
      </c>
      <c r="B49" s="144" t="str">
        <f>IFERROR(__xludf.DUMMYFUNCTION("""COMPUTED_VALUE"""),"2º CRBM")</f>
        <v>2º CRBM</v>
      </c>
      <c r="C49" s="1" t="str">
        <f>IFERROR(__xludf.DUMMYFUNCTION("""COMPUTED_VALUE"""),"5º BBM")</f>
        <v>5º BBM</v>
      </c>
      <c r="D49" s="1" t="str">
        <f>IFERROR(__xludf.DUMMYFUNCTION("""COMPUTED_VALUE"""),"Bento Gonçalves")</f>
        <v>Bento Gonçalves</v>
      </c>
      <c r="E49" s="1" t="str">
        <f>IFERROR(__xludf.DUMMYFUNCTION("""COMPUTED_VALUE"""),"NPBM")</f>
        <v>NPBM</v>
      </c>
      <c r="F49" s="1" t="str">
        <f>IFERROR(__xludf.DUMMYFUNCTION("""COMPUTED_VALUE"""),"NPBM")</f>
        <v>NPBM</v>
      </c>
      <c r="G49" s="1"/>
      <c r="H49" s="1" t="str">
        <f>IFERROR(__xludf.DUMMYFUNCTION("""COMPUTED_VALUE"""),"")</f>
        <v/>
      </c>
      <c r="I49" s="1" t="str">
        <f>IFERROR(__xludf.DUMMYFUNCTION("""COMPUTED_VALUE"""),"")</f>
        <v/>
      </c>
    </row>
    <row r="50" customHeight="1" spans="1:9">
      <c r="A50" s="1" t="str">
        <f>IFERROR(__xludf.DUMMYFUNCTION("""COMPUTED_VALUE"""),"Bom Jesus")</f>
        <v>Bom Jesus</v>
      </c>
      <c r="B50" s="144" t="str">
        <f>IFERROR(__xludf.DUMMYFUNCTION("""COMPUTED_VALUE"""),"2º CRBM")</f>
        <v>2º CRBM</v>
      </c>
      <c r="C50" s="1" t="str">
        <f>IFERROR(__xludf.DUMMYFUNCTION("""COMPUTED_VALUE"""),"5º BBM")</f>
        <v>5º BBM</v>
      </c>
      <c r="D50" s="1" t="str">
        <f>IFERROR(__xludf.DUMMYFUNCTION("""COMPUTED_VALUE"""),"Vacaria")</f>
        <v>Vacaria</v>
      </c>
      <c r="E50" s="1" t="str">
        <f>IFERROR(__xludf.DUMMYFUNCTION("""COMPUTED_VALUE"""),"SCAB")</f>
        <v>SCAB</v>
      </c>
      <c r="F50" s="1" t="str">
        <f>IFERROR(__xludf.DUMMYFUNCTION("""COMPUTED_VALUE"""),"Municipal")</f>
        <v>Municipal</v>
      </c>
      <c r="G50" s="234" t="str">
        <f>IFERROR(__xludf.DUMMYFUNCTION("""COMPUTED_VALUE""")," 1 - Credenciado")</f>
        <v> 1 - Credenciado</v>
      </c>
      <c r="H50" s="1" t="str">
        <f>IFERROR(__xludf.DUMMYFUNCTION("""COMPUTED_VALUE"""),"")</f>
        <v/>
      </c>
      <c r="I50" s="1" t="str">
        <f>IFERROR(__xludf.DUMMYFUNCTION("""COMPUTED_VALUE"""),"")</f>
        <v/>
      </c>
    </row>
    <row r="51" customHeight="1" spans="1:9">
      <c r="A51" s="1" t="str">
        <f>IFERROR(__xludf.DUMMYFUNCTION("""COMPUTED_VALUE"""),"Bom Princípio")</f>
        <v>Bom Princípio</v>
      </c>
      <c r="B51" s="144" t="str">
        <f>IFERROR(__xludf.DUMMYFUNCTION("""COMPUTED_VALUE"""),"2º CRBM")</f>
        <v>2º CRBM</v>
      </c>
      <c r="C51" s="1" t="str">
        <f>IFERROR(__xludf.DUMMYFUNCTION("""COMPUTED_VALUE"""),"2º BBM")</f>
        <v>2º BBM</v>
      </c>
      <c r="D51" s="1" t="str">
        <f>IFERROR(__xludf.DUMMYFUNCTION("""COMPUTED_VALUE"""),"Portão")</f>
        <v>Portão</v>
      </c>
      <c r="E51" s="1" t="str">
        <f>IFERROR(__xludf.DUMMYFUNCTION("""COMPUTED_VALUE"""),"Voluntersul")</f>
        <v>Voluntersul</v>
      </c>
      <c r="F51" s="1" t="str">
        <f>IFERROR(__xludf.DUMMYFUNCTION("""COMPUTED_VALUE"""),"Voluntersul")</f>
        <v>Voluntersul</v>
      </c>
      <c r="G51" s="234" t="str">
        <f>IFERROR(__xludf.DUMMYFUNCTION("""COMPUTED_VALUE""")," 3 - Não Regularizado")</f>
        <v> 3 - Não Regularizado</v>
      </c>
      <c r="H51" s="1" t="str">
        <f>IFERROR(__xludf.DUMMYFUNCTION("""COMPUTED_VALUE"""),"")</f>
        <v/>
      </c>
      <c r="I51" s="1" t="str">
        <f>IFERROR(__xludf.DUMMYFUNCTION("""COMPUTED_VALUE"""),"")</f>
        <v/>
      </c>
    </row>
    <row r="52" customHeight="1" spans="1:9">
      <c r="A52" s="1" t="str">
        <f>IFERROR(__xludf.DUMMYFUNCTION("""COMPUTED_VALUE"""),"Bom Progresso")</f>
        <v>Bom Progresso</v>
      </c>
      <c r="B52" s="144" t="str">
        <f>IFERROR(__xludf.DUMMYFUNCTION("""COMPUTED_VALUE"""),"4º CRBM")</f>
        <v>4º CRBM</v>
      </c>
      <c r="C52" s="1" t="str">
        <f>IFERROR(__xludf.DUMMYFUNCTION("""COMPUTED_VALUE"""),"11º BBM")</f>
        <v>11º BBM</v>
      </c>
      <c r="D52" s="1" t="str">
        <f>IFERROR(__xludf.DUMMYFUNCTION("""COMPUTED_VALUE"""),"Três Passos")</f>
        <v>Três Passos</v>
      </c>
      <c r="E52" s="1" t="str">
        <f>IFERROR(__xludf.DUMMYFUNCTION("""COMPUTED_VALUE"""),"NPBM")</f>
        <v>NPBM</v>
      </c>
      <c r="F52" s="1" t="str">
        <f>IFERROR(__xludf.DUMMYFUNCTION("""COMPUTED_VALUE"""),"NPBM")</f>
        <v>NPBM</v>
      </c>
      <c r="G52" s="1"/>
      <c r="H52" s="1" t="str">
        <f>IFERROR(__xludf.DUMMYFUNCTION("""COMPUTED_VALUE"""),"")</f>
        <v/>
      </c>
      <c r="I52" s="1" t="str">
        <f>IFERROR(__xludf.DUMMYFUNCTION("""COMPUTED_VALUE"""),"")</f>
        <v/>
      </c>
    </row>
    <row r="53" customHeight="1" spans="1:9">
      <c r="A53" s="1" t="str">
        <f>IFERROR(__xludf.DUMMYFUNCTION("""COMPUTED_VALUE"""),"Bom Retiro do Sul")</f>
        <v>Bom Retiro do Sul</v>
      </c>
      <c r="B53" s="144" t="str">
        <f>IFERROR(__xludf.DUMMYFUNCTION("""COMPUTED_VALUE"""),"4º CRBM")</f>
        <v>4º CRBM</v>
      </c>
      <c r="C53" s="1" t="str">
        <f>IFERROR(__xludf.DUMMYFUNCTION("""COMPUTED_VALUE"""),"6º BBM")</f>
        <v>6º BBM</v>
      </c>
      <c r="D53" s="1" t="str">
        <f>IFERROR(__xludf.DUMMYFUNCTION("""COMPUTED_VALUE"""),"Estrela")</f>
        <v>Estrela</v>
      </c>
      <c r="E53" s="1" t="str">
        <f>IFERROR(__xludf.DUMMYFUNCTION("""COMPUTED_VALUE"""),"NPBM")</f>
        <v>NPBM</v>
      </c>
      <c r="F53" s="1" t="str">
        <f>IFERROR(__xludf.DUMMYFUNCTION("""COMPUTED_VALUE"""),"NPBM")</f>
        <v>NPBM</v>
      </c>
      <c r="G53" s="1"/>
      <c r="H53" s="1" t="str">
        <f>IFERROR(__xludf.DUMMYFUNCTION("""COMPUTED_VALUE"""),"")</f>
        <v/>
      </c>
      <c r="I53" s="1" t="str">
        <f>IFERROR(__xludf.DUMMYFUNCTION("""COMPUTED_VALUE"""),"")</f>
        <v/>
      </c>
    </row>
    <row r="54" customHeight="1" spans="1:9">
      <c r="A54" s="1" t="str">
        <f>IFERROR(__xludf.DUMMYFUNCTION("""COMPUTED_VALUE"""),"Boqueirão do Leão")</f>
        <v>Boqueirão do Leão</v>
      </c>
      <c r="B54" s="144" t="str">
        <f>IFERROR(__xludf.DUMMYFUNCTION("""COMPUTED_VALUE"""),"4º CRBM")</f>
        <v>4º CRBM</v>
      </c>
      <c r="C54" s="1" t="str">
        <f>IFERROR(__xludf.DUMMYFUNCTION("""COMPUTED_VALUE"""),"6º BBM")</f>
        <v>6º BBM</v>
      </c>
      <c r="D54" s="1" t="str">
        <f>IFERROR(__xludf.DUMMYFUNCTION("""COMPUTED_VALUE"""),"Lajeado")</f>
        <v>Lajeado</v>
      </c>
      <c r="E54" s="1" t="str">
        <f>IFERROR(__xludf.DUMMYFUNCTION("""COMPUTED_VALUE"""),"NPBM")</f>
        <v>NPBM</v>
      </c>
      <c r="F54" s="1" t="str">
        <f>IFERROR(__xludf.DUMMYFUNCTION("""COMPUTED_VALUE"""),"NPBM")</f>
        <v>NPBM</v>
      </c>
      <c r="G54" s="1"/>
      <c r="H54" s="1" t="str">
        <f>IFERROR(__xludf.DUMMYFUNCTION("""COMPUTED_VALUE"""),"")</f>
        <v/>
      </c>
      <c r="I54" s="1" t="str">
        <f>IFERROR(__xludf.DUMMYFUNCTION("""COMPUTED_VALUE"""),"")</f>
        <v/>
      </c>
    </row>
    <row r="55" customHeight="1" spans="1:9">
      <c r="A55" s="1" t="str">
        <f>IFERROR(__xludf.DUMMYFUNCTION("""COMPUTED_VALUE"""),"Bossoroca")</f>
        <v>Bossoroca</v>
      </c>
      <c r="B55" s="144" t="str">
        <f>IFERROR(__xludf.DUMMYFUNCTION("""COMPUTED_VALUE"""),"4º CRBM")</f>
        <v>4º CRBM</v>
      </c>
      <c r="C55" s="1" t="str">
        <f>IFERROR(__xludf.DUMMYFUNCTION("""COMPUTED_VALUE"""),"11º BBM")</f>
        <v>11º BBM</v>
      </c>
      <c r="D55" s="1" t="str">
        <f>IFERROR(__xludf.DUMMYFUNCTION("""COMPUTED_VALUE"""),"São Luiz Gonzaga")</f>
        <v>São Luiz Gonzaga</v>
      </c>
      <c r="E55" s="1" t="str">
        <f>IFERROR(__xludf.DUMMYFUNCTION("""COMPUTED_VALUE"""),"NPBM")</f>
        <v>NPBM</v>
      </c>
      <c r="F55" s="1" t="str">
        <f>IFERROR(__xludf.DUMMYFUNCTION("""COMPUTED_VALUE"""),"NPBM")</f>
        <v>NPBM</v>
      </c>
      <c r="G55" s="1"/>
      <c r="H55" s="1" t="str">
        <f>IFERROR(__xludf.DUMMYFUNCTION("""COMPUTED_VALUE"""),"")</f>
        <v/>
      </c>
      <c r="I55" s="1" t="str">
        <f>IFERROR(__xludf.DUMMYFUNCTION("""COMPUTED_VALUE"""),"")</f>
        <v/>
      </c>
    </row>
    <row r="56" customHeight="1" spans="1:9">
      <c r="A56" s="1" t="str">
        <f>IFERROR(__xludf.DUMMYFUNCTION("""COMPUTED_VALUE"""),"Bozano")</f>
        <v>Bozano</v>
      </c>
      <c r="B56" s="144" t="str">
        <f>IFERROR(__xludf.DUMMYFUNCTION("""COMPUTED_VALUE"""),"4º CRBM")</f>
        <v>4º CRBM</v>
      </c>
      <c r="C56" s="1" t="str">
        <f>IFERROR(__xludf.DUMMYFUNCTION("""COMPUTED_VALUE"""),"12º BBM")</f>
        <v>12º BBM</v>
      </c>
      <c r="D56" s="1" t="str">
        <f>IFERROR(__xludf.DUMMYFUNCTION("""COMPUTED_VALUE"""),"Ijuí")</f>
        <v>Ijuí</v>
      </c>
      <c r="E56" s="1" t="str">
        <f>IFERROR(__xludf.DUMMYFUNCTION("""COMPUTED_VALUE"""),"NPBM")</f>
        <v>NPBM</v>
      </c>
      <c r="F56" s="1" t="str">
        <f>IFERROR(__xludf.DUMMYFUNCTION("""COMPUTED_VALUE"""),"NPBM")</f>
        <v>NPBM</v>
      </c>
      <c r="G56" s="1"/>
      <c r="H56" s="1" t="str">
        <f>IFERROR(__xludf.DUMMYFUNCTION("""COMPUTED_VALUE"""),"")</f>
        <v/>
      </c>
      <c r="I56" s="1" t="str">
        <f>IFERROR(__xludf.DUMMYFUNCTION("""COMPUTED_VALUE"""),"")</f>
        <v/>
      </c>
    </row>
    <row r="57" customHeight="1" spans="1:9">
      <c r="A57" s="1" t="str">
        <f>IFERROR(__xludf.DUMMYFUNCTION("""COMPUTED_VALUE"""),"Braga")</f>
        <v>Braga</v>
      </c>
      <c r="B57" s="144" t="str">
        <f>IFERROR(__xludf.DUMMYFUNCTION("""COMPUTED_VALUE"""),"4º CRBM")</f>
        <v>4º CRBM</v>
      </c>
      <c r="C57" s="1" t="str">
        <f>IFERROR(__xludf.DUMMYFUNCTION("""COMPUTED_VALUE"""),"11º BBM")</f>
        <v>11º BBM</v>
      </c>
      <c r="D57" s="1" t="str">
        <f>IFERROR(__xludf.DUMMYFUNCTION("""COMPUTED_VALUE"""),"Três Passos")</f>
        <v>Três Passos</v>
      </c>
      <c r="E57" s="1" t="str">
        <f>IFERROR(__xludf.DUMMYFUNCTION("""COMPUTED_VALUE"""),"NPBM")</f>
        <v>NPBM</v>
      </c>
      <c r="F57" s="1" t="str">
        <f>IFERROR(__xludf.DUMMYFUNCTION("""COMPUTED_VALUE"""),"NPBM")</f>
        <v>NPBM</v>
      </c>
      <c r="G57" s="1"/>
      <c r="H57" s="1" t="str">
        <f>IFERROR(__xludf.DUMMYFUNCTION("""COMPUTED_VALUE"""),"")</f>
        <v/>
      </c>
      <c r="I57" s="1" t="str">
        <f>IFERROR(__xludf.DUMMYFUNCTION("""COMPUTED_VALUE"""),"")</f>
        <v/>
      </c>
    </row>
    <row r="58" customHeight="1" spans="1:9">
      <c r="A58" s="1" t="str">
        <f>IFERROR(__xludf.DUMMYFUNCTION("""COMPUTED_VALUE"""),"Brochier")</f>
        <v>Brochier</v>
      </c>
      <c r="B58" s="144" t="str">
        <f>IFERROR(__xludf.DUMMYFUNCTION("""COMPUTED_VALUE"""),"2º CRBM")</f>
        <v>2º CRBM</v>
      </c>
      <c r="C58" s="1" t="str">
        <f>IFERROR(__xludf.DUMMYFUNCTION("""COMPUTED_VALUE"""),"2º BBM")</f>
        <v>2º BBM</v>
      </c>
      <c r="D58" s="1" t="str">
        <f>IFERROR(__xludf.DUMMYFUNCTION("""COMPUTED_VALUE"""),"Montenegro")</f>
        <v>Montenegro</v>
      </c>
      <c r="E58" s="1" t="str">
        <f>IFERROR(__xludf.DUMMYFUNCTION("""COMPUTED_VALUE"""),"NPBM")</f>
        <v>NPBM</v>
      </c>
      <c r="F58" s="1" t="str">
        <f>IFERROR(__xludf.DUMMYFUNCTION("""COMPUTED_VALUE"""),"NPBM")</f>
        <v>NPBM</v>
      </c>
      <c r="G58" s="1"/>
      <c r="H58" s="1" t="str">
        <f>IFERROR(__xludf.DUMMYFUNCTION("""COMPUTED_VALUE"""),"")</f>
        <v/>
      </c>
      <c r="I58" s="1" t="str">
        <f>IFERROR(__xludf.DUMMYFUNCTION("""COMPUTED_VALUE"""),"")</f>
        <v/>
      </c>
    </row>
    <row r="59" customHeight="1" spans="1:9">
      <c r="A59" s="1" t="str">
        <f>IFERROR(__xludf.DUMMYFUNCTION("""COMPUTED_VALUE"""),"Butiá")</f>
        <v>Butiá</v>
      </c>
      <c r="B59" s="144" t="str">
        <f>IFERROR(__xludf.DUMMYFUNCTION("""COMPUTED_VALUE"""),"4º CRBM")</f>
        <v>4º CRBM</v>
      </c>
      <c r="C59" s="1" t="str">
        <f>IFERROR(__xludf.DUMMYFUNCTION("""COMPUTED_VALUE"""),"6º BBM")</f>
        <v>6º BBM</v>
      </c>
      <c r="D59" s="1" t="str">
        <f>IFERROR(__xludf.DUMMYFUNCTION("""COMPUTED_VALUE"""),"São Jerônimo")</f>
        <v>São Jerônimo</v>
      </c>
      <c r="E59" s="1" t="str">
        <f>IFERROR(__xludf.DUMMYFUNCTION("""COMPUTED_VALUE"""),"Voluntersul")</f>
        <v>Voluntersul</v>
      </c>
      <c r="F59" s="1" t="str">
        <f>IFERROR(__xludf.DUMMYFUNCTION("""COMPUTED_VALUE"""),"Voluntersul")</f>
        <v>Voluntersul</v>
      </c>
      <c r="G59" s="234" t="str">
        <f>IFERROR(__xludf.DUMMYFUNCTION("""COMPUTED_VALUE""")," 3 - Não Regularizado")</f>
        <v> 3 - Não Regularizado</v>
      </c>
      <c r="H59" s="1" t="str">
        <f>IFERROR(__xludf.DUMMYFUNCTION("""COMPUTED_VALUE"""),"")</f>
        <v/>
      </c>
      <c r="I59" s="1" t="str">
        <f>IFERROR(__xludf.DUMMYFUNCTION("""COMPUTED_VALUE"""),"")</f>
        <v/>
      </c>
    </row>
    <row r="60" customHeight="1" spans="1:9">
      <c r="A60" s="1" t="str">
        <f>IFERROR(__xludf.DUMMYFUNCTION("""COMPUTED_VALUE"""),"Caçapava do Sul")</f>
        <v>Caçapava do Sul</v>
      </c>
      <c r="B60" s="144" t="str">
        <f>IFERROR(__xludf.DUMMYFUNCTION("""COMPUTED_VALUE"""),"4º CRBM")</f>
        <v>4º CRBM</v>
      </c>
      <c r="C60" s="1" t="str">
        <f>IFERROR(__xludf.DUMMYFUNCTION("""COMPUTED_VALUE"""),"4º BBM")</f>
        <v>4º BBM</v>
      </c>
      <c r="D60" s="1" t="str">
        <f>IFERROR(__xludf.DUMMYFUNCTION("""COMPUTED_VALUE"""),"Caçapava do Sul")</f>
        <v>Caçapava do Sul</v>
      </c>
      <c r="E60" s="1" t="str">
        <f>IFERROR(__xludf.DUMMYFUNCTION("""COMPUTED_VALUE"""),"Militar")</f>
        <v>Militar</v>
      </c>
      <c r="F60" s="1" t="str">
        <f>IFERROR(__xludf.DUMMYFUNCTION("""COMPUTED_VALUE"""),"Militar")</f>
        <v>Militar</v>
      </c>
      <c r="G60" s="1"/>
      <c r="H60" s="1">
        <f>IFERROR(__xludf.DUMMYFUNCTION("""COMPUTED_VALUE"""),1)</f>
        <v>1</v>
      </c>
      <c r="I60" s="1" t="str">
        <f>IFERROR(__xludf.DUMMYFUNCTION("""COMPUTED_VALUE"""),"")</f>
        <v/>
      </c>
    </row>
    <row r="61" customHeight="1" spans="1:9">
      <c r="A61" s="1" t="str">
        <f>IFERROR(__xludf.DUMMYFUNCTION("""COMPUTED_VALUE"""),"Cacequi")</f>
        <v>Cacequi</v>
      </c>
      <c r="B61" s="144" t="str">
        <f>IFERROR(__xludf.DUMMYFUNCTION("""COMPUTED_VALUE"""),"3º CRBM")</f>
        <v>3º CRBM</v>
      </c>
      <c r="C61" s="1" t="str">
        <f>IFERROR(__xludf.DUMMYFUNCTION("""COMPUTED_VALUE"""),"10º BBM")</f>
        <v>10º BBM</v>
      </c>
      <c r="D61" s="1" t="str">
        <f>IFERROR(__xludf.DUMMYFUNCTION("""COMPUTED_VALUE"""),"Rosário do Sul")</f>
        <v>Rosário do Sul</v>
      </c>
      <c r="E61" s="1" t="str">
        <f>IFERROR(__xludf.DUMMYFUNCTION("""COMPUTED_VALUE"""),"SCAB")</f>
        <v>SCAB</v>
      </c>
      <c r="F61" s="1" t="str">
        <f>IFERROR(__xludf.DUMMYFUNCTION("""COMPUTED_VALUE"""),"Municipal")</f>
        <v>Municipal</v>
      </c>
      <c r="G61" s="234" t="str">
        <f>IFERROR(__xludf.DUMMYFUNCTION("""COMPUTED_VALUE""")," 1 - Credenciado")</f>
        <v> 1 - Credenciado</v>
      </c>
      <c r="H61" s="1" t="str">
        <f>IFERROR(__xludf.DUMMYFUNCTION("""COMPUTED_VALUE"""),"")</f>
        <v/>
      </c>
      <c r="I61" s="1" t="str">
        <f>IFERROR(__xludf.DUMMYFUNCTION("""COMPUTED_VALUE"""),"")</f>
        <v/>
      </c>
    </row>
    <row r="62" customHeight="1" spans="1:9">
      <c r="A62" s="1" t="str">
        <f>IFERROR(__xludf.DUMMYFUNCTION("""COMPUTED_VALUE"""),"Cachoeira do Sul")</f>
        <v>Cachoeira do Sul</v>
      </c>
      <c r="B62" s="144" t="str">
        <f>IFERROR(__xludf.DUMMYFUNCTION("""COMPUTED_VALUE"""),"4º CRBM")</f>
        <v>4º CRBM</v>
      </c>
      <c r="C62" s="1" t="str">
        <f>IFERROR(__xludf.DUMMYFUNCTION("""COMPUTED_VALUE"""),"4º BBM")</f>
        <v>4º BBM</v>
      </c>
      <c r="D62" s="1" t="str">
        <f>IFERROR(__xludf.DUMMYFUNCTION("""COMPUTED_VALUE"""),"Cachoeira do Sul")</f>
        <v>Cachoeira do Sul</v>
      </c>
      <c r="E62" s="1" t="str">
        <f>IFERROR(__xludf.DUMMYFUNCTION("""COMPUTED_VALUE"""),"Militar")</f>
        <v>Militar</v>
      </c>
      <c r="F62" s="1" t="str">
        <f>IFERROR(__xludf.DUMMYFUNCTION("""COMPUTED_VALUE"""),"Militar")</f>
        <v>Militar</v>
      </c>
      <c r="G62" s="1"/>
      <c r="H62" s="1">
        <f>IFERROR(__xludf.DUMMYFUNCTION("""COMPUTED_VALUE"""),2)</f>
        <v>2</v>
      </c>
      <c r="I62" s="1" t="str">
        <f>IFERROR(__xludf.DUMMYFUNCTION("""COMPUTED_VALUE"""),"")</f>
        <v/>
      </c>
    </row>
    <row r="63" customHeight="1" spans="1:9">
      <c r="A63" s="1" t="str">
        <f>IFERROR(__xludf.DUMMYFUNCTION("""COMPUTED_VALUE"""),"Cachoeirinha")</f>
        <v>Cachoeirinha</v>
      </c>
      <c r="B63" s="144" t="str">
        <f>IFERROR(__xludf.DUMMYFUNCTION("""COMPUTED_VALUE"""),"1º CRBM")</f>
        <v>1º CRBM</v>
      </c>
      <c r="C63" s="1" t="str">
        <f>IFERROR(__xludf.DUMMYFUNCTION("""COMPUTED_VALUE"""),"8º BBM")</f>
        <v>8º BBM</v>
      </c>
      <c r="D63" s="1" t="str">
        <f>IFERROR(__xludf.DUMMYFUNCTION("""COMPUTED_VALUE"""),"Cachoeirinha")</f>
        <v>Cachoeirinha</v>
      </c>
      <c r="E63" s="1" t="str">
        <f>IFERROR(__xludf.DUMMYFUNCTION("""COMPUTED_VALUE"""),"Militar")</f>
        <v>Militar</v>
      </c>
      <c r="F63" s="1" t="str">
        <f>IFERROR(__xludf.DUMMYFUNCTION("""COMPUTED_VALUE"""),"Militar")</f>
        <v>Militar</v>
      </c>
      <c r="G63" s="1"/>
      <c r="H63" s="1">
        <f>IFERROR(__xludf.DUMMYFUNCTION("""COMPUTED_VALUE"""),1)</f>
        <v>1</v>
      </c>
      <c r="I63" s="1" t="str">
        <f>IFERROR(__xludf.DUMMYFUNCTION("""COMPUTED_VALUE"""),"")</f>
        <v/>
      </c>
    </row>
    <row r="64" customHeight="1" spans="1:9">
      <c r="A64" s="1" t="str">
        <f>IFERROR(__xludf.DUMMYFUNCTION("""COMPUTED_VALUE"""),"Cacique Doble")</f>
        <v>Cacique Doble</v>
      </c>
      <c r="B64" s="144" t="str">
        <f>IFERROR(__xludf.DUMMYFUNCTION("""COMPUTED_VALUE"""),"2º CRBM")</f>
        <v>2º CRBM</v>
      </c>
      <c r="C64" s="1" t="str">
        <f>IFERROR(__xludf.DUMMYFUNCTION("""COMPUTED_VALUE"""),"5º BBM")</f>
        <v>5º BBM</v>
      </c>
      <c r="D64" s="1" t="str">
        <f>IFERROR(__xludf.DUMMYFUNCTION("""COMPUTED_VALUE"""),"Lagoa Vermelha")</f>
        <v>Lagoa Vermelha</v>
      </c>
      <c r="E64" s="1" t="str">
        <f>IFERROR(__xludf.DUMMYFUNCTION("""COMPUTED_VALUE"""),"Voluntersul")</f>
        <v>Voluntersul</v>
      </c>
      <c r="F64" s="1" t="str">
        <f>IFERROR(__xludf.DUMMYFUNCTION("""COMPUTED_VALUE"""),"Voluntersul")</f>
        <v>Voluntersul</v>
      </c>
      <c r="G64" s="234" t="str">
        <f>IFERROR(__xludf.DUMMYFUNCTION("""COMPUTED_VALUE""")," 3 - Não Regularizado")</f>
        <v> 3 - Não Regularizado</v>
      </c>
      <c r="H64" s="1" t="str">
        <f>IFERROR(__xludf.DUMMYFUNCTION("""COMPUTED_VALUE"""),"")</f>
        <v/>
      </c>
      <c r="I64" s="1" t="str">
        <f>IFERROR(__xludf.DUMMYFUNCTION("""COMPUTED_VALUE"""),"")</f>
        <v/>
      </c>
    </row>
    <row r="65" customHeight="1" spans="1:9">
      <c r="A65" s="1" t="str">
        <f>IFERROR(__xludf.DUMMYFUNCTION("""COMPUTED_VALUE"""),"Caibaté")</f>
        <v>Caibaté</v>
      </c>
      <c r="B65" s="144" t="str">
        <f>IFERROR(__xludf.DUMMYFUNCTION("""COMPUTED_VALUE"""),"4º CRBM")</f>
        <v>4º CRBM</v>
      </c>
      <c r="C65" s="1" t="str">
        <f>IFERROR(__xludf.DUMMYFUNCTION("""COMPUTED_VALUE"""),"11º BBM")</f>
        <v>11º BBM</v>
      </c>
      <c r="D65" s="1" t="str">
        <f>IFERROR(__xludf.DUMMYFUNCTION("""COMPUTED_VALUE"""),"São Luiz Gonzaga")</f>
        <v>São Luiz Gonzaga</v>
      </c>
      <c r="E65" s="1" t="str">
        <f>IFERROR(__xludf.DUMMYFUNCTION("""COMPUTED_VALUE"""),"NPBM")</f>
        <v>NPBM</v>
      </c>
      <c r="F65" s="1" t="str">
        <f>IFERROR(__xludf.DUMMYFUNCTION("""COMPUTED_VALUE"""),"NPBM")</f>
        <v>NPBM</v>
      </c>
      <c r="G65" s="1"/>
      <c r="H65" s="1" t="str">
        <f>IFERROR(__xludf.DUMMYFUNCTION("""COMPUTED_VALUE"""),"")</f>
        <v/>
      </c>
      <c r="I65" s="1" t="str">
        <f>IFERROR(__xludf.DUMMYFUNCTION("""COMPUTED_VALUE"""),"")</f>
        <v/>
      </c>
    </row>
    <row r="66" customHeight="1" spans="1:9">
      <c r="A66" s="1" t="str">
        <f>IFERROR(__xludf.DUMMYFUNCTION("""COMPUTED_VALUE"""),"Caiçara")</f>
        <v>Caiçara</v>
      </c>
      <c r="B66" s="144" t="str">
        <f>IFERROR(__xludf.DUMMYFUNCTION("""COMPUTED_VALUE"""),"4º CRBM")</f>
        <v>4º CRBM</v>
      </c>
      <c r="C66" s="1" t="str">
        <f>IFERROR(__xludf.DUMMYFUNCTION("""COMPUTED_VALUE"""),"12º BBM")</f>
        <v>12º BBM</v>
      </c>
      <c r="D66" s="1" t="str">
        <f>IFERROR(__xludf.DUMMYFUNCTION("""COMPUTED_VALUE"""),"Frederico Westphalen")</f>
        <v>Frederico Westphalen</v>
      </c>
      <c r="E66" s="1" t="str">
        <f>IFERROR(__xludf.DUMMYFUNCTION("""COMPUTED_VALUE"""),"NPBM")</f>
        <v>NPBM</v>
      </c>
      <c r="F66" s="1" t="str">
        <f>IFERROR(__xludf.DUMMYFUNCTION("""COMPUTED_VALUE"""),"NPBM")</f>
        <v>NPBM</v>
      </c>
      <c r="G66" s="1"/>
      <c r="H66" s="1" t="str">
        <f>IFERROR(__xludf.DUMMYFUNCTION("""COMPUTED_VALUE"""),"")</f>
        <v/>
      </c>
      <c r="I66" s="1" t="str">
        <f>IFERROR(__xludf.DUMMYFUNCTION("""COMPUTED_VALUE"""),"")</f>
        <v/>
      </c>
    </row>
    <row r="67" customHeight="1" spans="1:9">
      <c r="A67" s="1" t="str">
        <f>IFERROR(__xludf.DUMMYFUNCTION("""COMPUTED_VALUE"""),"Camaquã")</f>
        <v>Camaquã</v>
      </c>
      <c r="B67" s="144" t="str">
        <f>IFERROR(__xludf.DUMMYFUNCTION("""COMPUTED_VALUE"""),"4º CRBM")</f>
        <v>4º CRBM</v>
      </c>
      <c r="C67" s="1" t="str">
        <f>IFERROR(__xludf.DUMMYFUNCTION("""COMPUTED_VALUE"""),"6º BBM")</f>
        <v>6º BBM</v>
      </c>
      <c r="D67" s="1" t="str">
        <f>IFERROR(__xludf.DUMMYFUNCTION("""COMPUTED_VALUE"""),"Camaquã")</f>
        <v>Camaquã</v>
      </c>
      <c r="E67" s="1" t="str">
        <f>IFERROR(__xludf.DUMMYFUNCTION("""COMPUTED_VALUE"""),"Comunitário")</f>
        <v>Comunitário</v>
      </c>
      <c r="F67" s="1" t="str">
        <f>IFERROR(__xludf.DUMMYFUNCTION("""COMPUTED_VALUE"""),"Mil + Mun")</f>
        <v>Mil + Mun</v>
      </c>
      <c r="G67" s="1"/>
      <c r="H67" s="1">
        <f>IFERROR(__xludf.DUMMYFUNCTION("""COMPUTED_VALUE"""),1)</f>
        <v>1</v>
      </c>
      <c r="I67" s="1" t="str">
        <f>IFERROR(__xludf.DUMMYFUNCTION("""COMPUTED_VALUE"""),"")</f>
        <v/>
      </c>
    </row>
    <row r="68" customHeight="1" spans="1:9">
      <c r="A68" s="1" t="str">
        <f>IFERROR(__xludf.DUMMYFUNCTION("""COMPUTED_VALUE"""),"Camargo")</f>
        <v>Camargo</v>
      </c>
      <c r="B68" s="144" t="str">
        <f>IFERROR(__xludf.DUMMYFUNCTION("""COMPUTED_VALUE"""),"2º CRBM")</f>
        <v>2º CRBM</v>
      </c>
      <c r="C68" s="1" t="str">
        <f>IFERROR(__xludf.DUMMYFUNCTION("""COMPUTED_VALUE"""),"7º BBM")</f>
        <v>7º BBM</v>
      </c>
      <c r="D68" s="1" t="str">
        <f>IFERROR(__xludf.DUMMYFUNCTION("""COMPUTED_VALUE"""),"Passo Fundo")</f>
        <v>Passo Fundo</v>
      </c>
      <c r="E68" s="1" t="str">
        <f>IFERROR(__xludf.DUMMYFUNCTION("""COMPUTED_VALUE"""),"NPBM")</f>
        <v>NPBM</v>
      </c>
      <c r="F68" s="1" t="str">
        <f>IFERROR(__xludf.DUMMYFUNCTION("""COMPUTED_VALUE"""),"NPBM")</f>
        <v>NPBM</v>
      </c>
      <c r="G68" s="1"/>
      <c r="H68" s="1" t="str">
        <f>IFERROR(__xludf.DUMMYFUNCTION("""COMPUTED_VALUE"""),"")</f>
        <v/>
      </c>
      <c r="I68" s="1" t="str">
        <f>IFERROR(__xludf.DUMMYFUNCTION("""COMPUTED_VALUE"""),"")</f>
        <v/>
      </c>
    </row>
    <row r="69" customHeight="1" spans="1:9">
      <c r="A69" s="1" t="str">
        <f>IFERROR(__xludf.DUMMYFUNCTION("""COMPUTED_VALUE"""),"Cambará do Sul")</f>
        <v>Cambará do Sul</v>
      </c>
      <c r="B69" s="144" t="str">
        <f>IFERROR(__xludf.DUMMYFUNCTION("""COMPUTED_VALUE"""),"2º CRBM")</f>
        <v>2º CRBM</v>
      </c>
      <c r="C69" s="1" t="str">
        <f>IFERROR(__xludf.DUMMYFUNCTION("""COMPUTED_VALUE"""),"5º BBM")</f>
        <v>5º BBM</v>
      </c>
      <c r="D69" s="1" t="str">
        <f>IFERROR(__xludf.DUMMYFUNCTION("""COMPUTED_VALUE"""),"Canela")</f>
        <v>Canela</v>
      </c>
      <c r="E69" s="1" t="str">
        <f>IFERROR(__xludf.DUMMYFUNCTION("""COMPUTED_VALUE"""),"SCAB")</f>
        <v>SCAB</v>
      </c>
      <c r="F69" s="1" t="str">
        <f>IFERROR(__xludf.DUMMYFUNCTION("""COMPUTED_VALUE"""),"Municipal")</f>
        <v>Municipal</v>
      </c>
      <c r="G69" s="234" t="str">
        <f>IFERROR(__xludf.DUMMYFUNCTION("""COMPUTED_VALUE""")," 1 - Credenciado")</f>
        <v> 1 - Credenciado</v>
      </c>
      <c r="H69" s="1" t="str">
        <f>IFERROR(__xludf.DUMMYFUNCTION("""COMPUTED_VALUE"""),"")</f>
        <v/>
      </c>
      <c r="I69" s="1" t="str">
        <f>IFERROR(__xludf.DUMMYFUNCTION("""COMPUTED_VALUE"""),"")</f>
        <v/>
      </c>
    </row>
    <row r="70" customHeight="1" spans="1:9">
      <c r="A70" s="1" t="str">
        <f>IFERROR(__xludf.DUMMYFUNCTION("""COMPUTED_VALUE"""),"Campestre da Serra")</f>
        <v>Campestre da Serra</v>
      </c>
      <c r="B70" s="144" t="str">
        <f>IFERROR(__xludf.DUMMYFUNCTION("""COMPUTED_VALUE"""),"2º CRBM")</f>
        <v>2º CRBM</v>
      </c>
      <c r="C70" s="1" t="str">
        <f>IFERROR(__xludf.DUMMYFUNCTION("""COMPUTED_VALUE"""),"5º BBM")</f>
        <v>5º BBM</v>
      </c>
      <c r="D70" s="1" t="str">
        <f>IFERROR(__xludf.DUMMYFUNCTION("""COMPUTED_VALUE"""),"Vacaria")</f>
        <v>Vacaria</v>
      </c>
      <c r="E70" s="1" t="str">
        <f>IFERROR(__xludf.DUMMYFUNCTION("""COMPUTED_VALUE"""),"NPBM")</f>
        <v>NPBM</v>
      </c>
      <c r="F70" s="1" t="str">
        <f>IFERROR(__xludf.DUMMYFUNCTION("""COMPUTED_VALUE"""),"NPBM")</f>
        <v>NPBM</v>
      </c>
      <c r="G70" s="1"/>
      <c r="H70" s="1" t="str">
        <f>IFERROR(__xludf.DUMMYFUNCTION("""COMPUTED_VALUE"""),"")</f>
        <v/>
      </c>
      <c r="I70" s="1" t="str">
        <f>IFERROR(__xludf.DUMMYFUNCTION("""COMPUTED_VALUE"""),"")</f>
        <v/>
      </c>
    </row>
    <row r="71" customHeight="1" spans="1:9">
      <c r="A71" s="1" t="str">
        <f>IFERROR(__xludf.DUMMYFUNCTION("""COMPUTED_VALUE"""),"Campina das Missões")</f>
        <v>Campina das Missões</v>
      </c>
      <c r="B71" s="144" t="str">
        <f>IFERROR(__xludf.DUMMYFUNCTION("""COMPUTED_VALUE"""),"4º CRBM")</f>
        <v>4º CRBM</v>
      </c>
      <c r="C71" s="1" t="str">
        <f>IFERROR(__xludf.DUMMYFUNCTION("""COMPUTED_VALUE"""),"11º BBM")</f>
        <v>11º BBM</v>
      </c>
      <c r="D71" s="1" t="str">
        <f>IFERROR(__xludf.DUMMYFUNCTION("""COMPUTED_VALUE"""),"Santa Rosa")</f>
        <v>Santa Rosa</v>
      </c>
      <c r="E71" s="1" t="str">
        <f>IFERROR(__xludf.DUMMYFUNCTION("""COMPUTED_VALUE"""),"NPBM")</f>
        <v>NPBM</v>
      </c>
      <c r="F71" s="1" t="str">
        <f>IFERROR(__xludf.DUMMYFUNCTION("""COMPUTED_VALUE"""),"NPBM")</f>
        <v>NPBM</v>
      </c>
      <c r="G71" s="1"/>
      <c r="H71" s="1" t="str">
        <f>IFERROR(__xludf.DUMMYFUNCTION("""COMPUTED_VALUE"""),"")</f>
        <v/>
      </c>
      <c r="I71" s="1" t="str">
        <f>IFERROR(__xludf.DUMMYFUNCTION("""COMPUTED_VALUE"""),"")</f>
        <v/>
      </c>
    </row>
    <row r="72" customHeight="1" spans="1:9">
      <c r="A72" s="1" t="str">
        <f>IFERROR(__xludf.DUMMYFUNCTION("""COMPUTED_VALUE"""),"Campinas do Sul")</f>
        <v>Campinas do Sul</v>
      </c>
      <c r="B72" s="144" t="str">
        <f>IFERROR(__xludf.DUMMYFUNCTION("""COMPUTED_VALUE"""),"2º CRBM")</f>
        <v>2º CRBM</v>
      </c>
      <c r="C72" s="1" t="str">
        <f>IFERROR(__xludf.DUMMYFUNCTION("""COMPUTED_VALUE"""),"7º BBM")</f>
        <v>7º BBM</v>
      </c>
      <c r="D72" s="1" t="str">
        <f>IFERROR(__xludf.DUMMYFUNCTION("""COMPUTED_VALUE"""),"Erechim")</f>
        <v>Erechim</v>
      </c>
      <c r="E72" s="1" t="str">
        <f>IFERROR(__xludf.DUMMYFUNCTION("""COMPUTED_VALUE"""),"Voluntersul")</f>
        <v>Voluntersul</v>
      </c>
      <c r="F72" s="1" t="str">
        <f>IFERROR(__xludf.DUMMYFUNCTION("""COMPUTED_VALUE"""),"Voluntersul")</f>
        <v>Voluntersul</v>
      </c>
      <c r="G72" s="234" t="str">
        <f>IFERROR(__xludf.DUMMYFUNCTION("""COMPUTED_VALUE""")," 4 - Desfavorável")</f>
        <v> 4 - Desfavorável</v>
      </c>
      <c r="H72" s="1" t="str">
        <f>IFERROR(__xludf.DUMMYFUNCTION("""COMPUTED_VALUE"""),"")</f>
        <v/>
      </c>
      <c r="I72" s="1" t="str">
        <f>IFERROR(__xludf.DUMMYFUNCTION("""COMPUTED_VALUE"""),"")</f>
        <v/>
      </c>
    </row>
    <row r="73" customHeight="1" spans="1:9">
      <c r="A73" s="1" t="str">
        <f>IFERROR(__xludf.DUMMYFUNCTION("""COMPUTED_VALUE"""),"Campo Bom")</f>
        <v>Campo Bom</v>
      </c>
      <c r="B73" s="144" t="str">
        <f>IFERROR(__xludf.DUMMYFUNCTION("""COMPUTED_VALUE"""),"2º CRBM")</f>
        <v>2º CRBM</v>
      </c>
      <c r="C73" s="1" t="str">
        <f>IFERROR(__xludf.DUMMYFUNCTION("""COMPUTED_VALUE"""),"2º BBM")</f>
        <v>2º BBM</v>
      </c>
      <c r="D73" s="1" t="str">
        <f>IFERROR(__xludf.DUMMYFUNCTION("""COMPUTED_VALUE"""),"Campo Bom")</f>
        <v>Campo Bom</v>
      </c>
      <c r="E73" s="1" t="str">
        <f>IFERROR(__xludf.DUMMYFUNCTION("""COMPUTED_VALUE"""),"Comunitário")</f>
        <v>Comunitário</v>
      </c>
      <c r="F73" s="1" t="str">
        <f>IFERROR(__xludf.DUMMYFUNCTION("""COMPUTED_VALUE"""),"Mil + Vol")</f>
        <v>Mil + Vol</v>
      </c>
      <c r="G73" s="1"/>
      <c r="H73" s="1">
        <f>IFERROR(__xludf.DUMMYFUNCTION("""COMPUTED_VALUE"""),1)</f>
        <v>1</v>
      </c>
      <c r="I73" s="1" t="str">
        <f>IFERROR(__xludf.DUMMYFUNCTION("""COMPUTED_VALUE"""),"")</f>
        <v/>
      </c>
    </row>
    <row r="74" customHeight="1" spans="1:9">
      <c r="A74" s="1" t="str">
        <f>IFERROR(__xludf.DUMMYFUNCTION("""COMPUTED_VALUE"""),"Campo Novo")</f>
        <v>Campo Novo</v>
      </c>
      <c r="B74" s="144" t="str">
        <f>IFERROR(__xludf.DUMMYFUNCTION("""COMPUTED_VALUE"""),"4º CRBM")</f>
        <v>4º CRBM</v>
      </c>
      <c r="C74" s="1" t="str">
        <f>IFERROR(__xludf.DUMMYFUNCTION("""COMPUTED_VALUE"""),"11º BBM")</f>
        <v>11º BBM</v>
      </c>
      <c r="D74" s="1" t="str">
        <f>IFERROR(__xludf.DUMMYFUNCTION("""COMPUTED_VALUE"""),"Três Passos")</f>
        <v>Três Passos</v>
      </c>
      <c r="E74" s="1" t="str">
        <f>IFERROR(__xludf.DUMMYFUNCTION("""COMPUTED_VALUE"""),"NPBM")</f>
        <v>NPBM</v>
      </c>
      <c r="F74" s="1" t="str">
        <f>IFERROR(__xludf.DUMMYFUNCTION("""COMPUTED_VALUE"""),"NPBM")</f>
        <v>NPBM</v>
      </c>
      <c r="G74" s="1"/>
      <c r="H74" s="1" t="str">
        <f>IFERROR(__xludf.DUMMYFUNCTION("""COMPUTED_VALUE"""),"")</f>
        <v/>
      </c>
      <c r="I74" s="1" t="str">
        <f>IFERROR(__xludf.DUMMYFUNCTION("""COMPUTED_VALUE"""),"")</f>
        <v/>
      </c>
    </row>
    <row r="75" customHeight="1" spans="1:9">
      <c r="A75" s="1" t="str">
        <f>IFERROR(__xludf.DUMMYFUNCTION("""COMPUTED_VALUE"""),"Campos Borges")</f>
        <v>Campos Borges</v>
      </c>
      <c r="B75" s="144" t="str">
        <f>IFERROR(__xludf.DUMMYFUNCTION("""COMPUTED_VALUE"""),"2º CRBM")</f>
        <v>2º CRBM</v>
      </c>
      <c r="C75" s="1" t="str">
        <f>IFERROR(__xludf.DUMMYFUNCTION("""COMPUTED_VALUE"""),"7º BBM")</f>
        <v>7º BBM</v>
      </c>
      <c r="D75" s="1" t="str">
        <f>IFERROR(__xludf.DUMMYFUNCTION("""COMPUTED_VALUE"""),"Tapera")</f>
        <v>Tapera</v>
      </c>
      <c r="E75" s="1" t="str">
        <f>IFERROR(__xludf.DUMMYFUNCTION("""COMPUTED_VALUE"""),"SCAB")</f>
        <v>SCAB</v>
      </c>
      <c r="F75" s="1" t="str">
        <f>IFERROR(__xludf.DUMMYFUNCTION("""COMPUTED_VALUE"""),"Municipal")</f>
        <v>Municipal</v>
      </c>
      <c r="G75" s="234" t="str">
        <f>IFERROR(__xludf.DUMMYFUNCTION("""COMPUTED_VALUE""")," 1 - Credenciado")</f>
        <v> 1 - Credenciado</v>
      </c>
      <c r="H75" s="1" t="str">
        <f>IFERROR(__xludf.DUMMYFUNCTION("""COMPUTED_VALUE"""),"")</f>
        <v/>
      </c>
      <c r="I75" s="1" t="str">
        <f>IFERROR(__xludf.DUMMYFUNCTION("""COMPUTED_VALUE"""),"")</f>
        <v/>
      </c>
    </row>
    <row r="76" customHeight="1" spans="1:9">
      <c r="A76" s="1" t="str">
        <f>IFERROR(__xludf.DUMMYFUNCTION("""COMPUTED_VALUE"""),"Candelária")</f>
        <v>Candelária</v>
      </c>
      <c r="B76" s="144" t="str">
        <f>IFERROR(__xludf.DUMMYFUNCTION("""COMPUTED_VALUE"""),"4º CRBM")</f>
        <v>4º CRBM</v>
      </c>
      <c r="C76" s="1" t="str">
        <f>IFERROR(__xludf.DUMMYFUNCTION("""COMPUTED_VALUE"""),"6º BBM")</f>
        <v>6º BBM</v>
      </c>
      <c r="D76" s="1" t="str">
        <f>IFERROR(__xludf.DUMMYFUNCTION("""COMPUTED_VALUE"""),"Santa Cruz do Sul")</f>
        <v>Santa Cruz do Sul</v>
      </c>
      <c r="E76" s="1" t="str">
        <f>IFERROR(__xludf.DUMMYFUNCTION("""COMPUTED_VALUE"""),"Voluntersul")</f>
        <v>Voluntersul</v>
      </c>
      <c r="F76" s="1" t="str">
        <f>IFERROR(__xludf.DUMMYFUNCTION("""COMPUTED_VALUE"""),"Voluntersul")</f>
        <v>Voluntersul</v>
      </c>
      <c r="G76" s="234" t="str">
        <f>IFERROR(__xludf.DUMMYFUNCTION("""COMPUTED_VALUE""")," 4 - Desfavorável")</f>
        <v> 4 - Desfavorável</v>
      </c>
      <c r="H76" s="1" t="str">
        <f>IFERROR(__xludf.DUMMYFUNCTION("""COMPUTED_VALUE"""),"")</f>
        <v/>
      </c>
      <c r="I76" s="1" t="str">
        <f>IFERROR(__xludf.DUMMYFUNCTION("""COMPUTED_VALUE"""),"")</f>
        <v/>
      </c>
    </row>
    <row r="77" customHeight="1" spans="1:9">
      <c r="A77" s="1" t="str">
        <f>IFERROR(__xludf.DUMMYFUNCTION("""COMPUTED_VALUE"""),"Cândido Godói")</f>
        <v>Cândido Godói</v>
      </c>
      <c r="B77" s="144" t="str">
        <f>IFERROR(__xludf.DUMMYFUNCTION("""COMPUTED_VALUE"""),"4º CRBM")</f>
        <v>4º CRBM</v>
      </c>
      <c r="C77" s="1" t="str">
        <f>IFERROR(__xludf.DUMMYFUNCTION("""COMPUTED_VALUE"""),"11º BBM")</f>
        <v>11º BBM</v>
      </c>
      <c r="D77" s="1" t="str">
        <f>IFERROR(__xludf.DUMMYFUNCTION("""COMPUTED_VALUE"""),"Santa Rosa")</f>
        <v>Santa Rosa</v>
      </c>
      <c r="E77" s="1" t="str">
        <f>IFERROR(__xludf.DUMMYFUNCTION("""COMPUTED_VALUE"""),"NPBM")</f>
        <v>NPBM</v>
      </c>
      <c r="F77" s="1" t="str">
        <f>IFERROR(__xludf.DUMMYFUNCTION("""COMPUTED_VALUE"""),"NPBM")</f>
        <v>NPBM</v>
      </c>
      <c r="G77" s="1"/>
      <c r="H77" s="1" t="str">
        <f>IFERROR(__xludf.DUMMYFUNCTION("""COMPUTED_VALUE"""),"")</f>
        <v/>
      </c>
      <c r="I77" s="1" t="str">
        <f>IFERROR(__xludf.DUMMYFUNCTION("""COMPUTED_VALUE"""),"")</f>
        <v/>
      </c>
    </row>
    <row r="78" customHeight="1" spans="1:9">
      <c r="A78" s="1" t="str">
        <f>IFERROR(__xludf.DUMMYFUNCTION("""COMPUTED_VALUE"""),"Candiota")</f>
        <v>Candiota</v>
      </c>
      <c r="B78" s="144" t="str">
        <f>IFERROR(__xludf.DUMMYFUNCTION("""COMPUTED_VALUE"""),"3º CRBM")</f>
        <v>3º CRBM</v>
      </c>
      <c r="C78" s="1" t="str">
        <f>IFERROR(__xludf.DUMMYFUNCTION("""COMPUTED_VALUE"""),"10º BBM")</f>
        <v>10º BBM</v>
      </c>
      <c r="D78" s="1" t="str">
        <f>IFERROR(__xludf.DUMMYFUNCTION("""COMPUTED_VALUE"""),"Bagé")</f>
        <v>Bagé</v>
      </c>
      <c r="E78" s="1" t="str">
        <f>IFERROR(__xludf.DUMMYFUNCTION("""COMPUTED_VALUE"""),"Voluntersul")</f>
        <v>Voluntersul</v>
      </c>
      <c r="F78" s="1" t="str">
        <f>IFERROR(__xludf.DUMMYFUNCTION("""COMPUTED_VALUE"""),"Voluntersul")</f>
        <v>Voluntersul</v>
      </c>
      <c r="G78" s="234" t="str">
        <f>IFERROR(__xludf.DUMMYFUNCTION("""COMPUTED_VALUE""")," 3 - Não Regularizado")</f>
        <v> 3 - Não Regularizado</v>
      </c>
      <c r="H78" s="1" t="str">
        <f>IFERROR(__xludf.DUMMYFUNCTION("""COMPUTED_VALUE"""),"")</f>
        <v/>
      </c>
      <c r="I78" s="1" t="str">
        <f>IFERROR(__xludf.DUMMYFUNCTION("""COMPUTED_VALUE"""),"")</f>
        <v/>
      </c>
    </row>
    <row r="79" customHeight="1" spans="1:9">
      <c r="A79" s="1" t="str">
        <f>IFERROR(__xludf.DUMMYFUNCTION("""COMPUTED_VALUE"""),"Canela")</f>
        <v>Canela</v>
      </c>
      <c r="B79" s="144" t="str">
        <f>IFERROR(__xludf.DUMMYFUNCTION("""COMPUTED_VALUE"""),"2º CRBM")</f>
        <v>2º CRBM</v>
      </c>
      <c r="C79" s="1" t="str">
        <f>IFERROR(__xludf.DUMMYFUNCTION("""COMPUTED_VALUE"""),"5º BBM")</f>
        <v>5º BBM</v>
      </c>
      <c r="D79" s="1" t="str">
        <f>IFERROR(__xludf.DUMMYFUNCTION("""COMPUTED_VALUE"""),"Canela")</f>
        <v>Canela</v>
      </c>
      <c r="E79" s="1" t="str">
        <f>IFERROR(__xludf.DUMMYFUNCTION("""COMPUTED_VALUE"""),"Comunitário")</f>
        <v>Comunitário</v>
      </c>
      <c r="F79" s="1" t="str">
        <f>IFERROR(__xludf.DUMMYFUNCTION("""COMPUTED_VALUE"""),"Mil + Mun")</f>
        <v>Mil + Mun</v>
      </c>
      <c r="G79" s="1"/>
      <c r="H79" s="1">
        <f>IFERROR(__xludf.DUMMYFUNCTION("""COMPUTED_VALUE"""),1)</f>
        <v>1</v>
      </c>
      <c r="I79" s="1" t="str">
        <f>IFERROR(__xludf.DUMMYFUNCTION("""COMPUTED_VALUE"""),"")</f>
        <v/>
      </c>
    </row>
    <row r="80" customHeight="1" spans="1:9">
      <c r="A80" s="1" t="str">
        <f>IFERROR(__xludf.DUMMYFUNCTION("""COMPUTED_VALUE"""),"Canguçu")</f>
        <v>Canguçu</v>
      </c>
      <c r="B80" s="144" t="str">
        <f>IFERROR(__xludf.DUMMYFUNCTION("""COMPUTED_VALUE"""),"3º CRBM")</f>
        <v>3º CRBM</v>
      </c>
      <c r="C80" s="1" t="str">
        <f>IFERROR(__xludf.DUMMYFUNCTION("""COMPUTED_VALUE"""),"3º BBM")</f>
        <v>3º BBM</v>
      </c>
      <c r="D80" s="1" t="str">
        <f>IFERROR(__xludf.DUMMYFUNCTION("""COMPUTED_VALUE"""),"Canguçu")</f>
        <v>Canguçu</v>
      </c>
      <c r="E80" s="1" t="str">
        <f>IFERROR(__xludf.DUMMYFUNCTION("""COMPUTED_VALUE"""),"Militar")</f>
        <v>Militar</v>
      </c>
      <c r="F80" s="1" t="str">
        <f>IFERROR(__xludf.DUMMYFUNCTION("""COMPUTED_VALUE"""),"Militar")</f>
        <v>Militar</v>
      </c>
      <c r="G80" s="1"/>
      <c r="H80" s="1">
        <f>IFERROR(__xludf.DUMMYFUNCTION("""COMPUTED_VALUE"""),1)</f>
        <v>1</v>
      </c>
      <c r="I80" s="1" t="str">
        <f>IFERROR(__xludf.DUMMYFUNCTION("""COMPUTED_VALUE"""),"")</f>
        <v/>
      </c>
    </row>
    <row r="81" customHeight="1" spans="1:9">
      <c r="A81" s="1" t="str">
        <f>IFERROR(__xludf.DUMMYFUNCTION("""COMPUTED_VALUE"""),"Canoas")</f>
        <v>Canoas</v>
      </c>
      <c r="B81" s="144" t="str">
        <f>IFERROR(__xludf.DUMMYFUNCTION("""COMPUTED_VALUE"""),"1º CRBM")</f>
        <v>1º CRBM</v>
      </c>
      <c r="C81" s="1" t="str">
        <f>IFERROR(__xludf.DUMMYFUNCTION("""COMPUTED_VALUE"""),"8º BBM")</f>
        <v>8º BBM</v>
      </c>
      <c r="D81" s="1" t="str">
        <f>IFERROR(__xludf.DUMMYFUNCTION("""COMPUTED_VALUE"""),"Canoas")</f>
        <v>Canoas</v>
      </c>
      <c r="E81" s="1" t="str">
        <f>IFERROR(__xludf.DUMMYFUNCTION("""COMPUTED_VALUE"""),"Militar")</f>
        <v>Militar</v>
      </c>
      <c r="F81" s="1" t="str">
        <f>IFERROR(__xludf.DUMMYFUNCTION("""COMPUTED_VALUE"""),"Militar")</f>
        <v>Militar</v>
      </c>
      <c r="G81" s="1"/>
      <c r="H81" s="1">
        <f>IFERROR(__xludf.DUMMYFUNCTION("""COMPUTED_VALUE"""),2)</f>
        <v>2</v>
      </c>
      <c r="I81" s="1">
        <f>IFERROR(__xludf.DUMMYFUNCTION("""COMPUTED_VALUE"""),1)</f>
        <v>1</v>
      </c>
    </row>
    <row r="82" customHeight="1" spans="1:9">
      <c r="A82" s="1" t="str">
        <f>IFERROR(__xludf.DUMMYFUNCTION("""COMPUTED_VALUE"""),"Canudos do Vale")</f>
        <v>Canudos do Vale</v>
      </c>
      <c r="B82" s="144" t="str">
        <f>IFERROR(__xludf.DUMMYFUNCTION("""COMPUTED_VALUE"""),"4º CRBM")</f>
        <v>4º CRBM</v>
      </c>
      <c r="C82" s="1" t="str">
        <f>IFERROR(__xludf.DUMMYFUNCTION("""COMPUTED_VALUE"""),"6º BBM")</f>
        <v>6º BBM</v>
      </c>
      <c r="D82" s="1" t="str">
        <f>IFERROR(__xludf.DUMMYFUNCTION("""COMPUTED_VALUE"""),"Lajeado")</f>
        <v>Lajeado</v>
      </c>
      <c r="E82" s="1" t="str">
        <f>IFERROR(__xludf.DUMMYFUNCTION("""COMPUTED_VALUE"""),"NPBM")</f>
        <v>NPBM</v>
      </c>
      <c r="F82" s="1" t="str">
        <f>IFERROR(__xludf.DUMMYFUNCTION("""COMPUTED_VALUE"""),"NPBM")</f>
        <v>NPBM</v>
      </c>
      <c r="G82" s="1"/>
      <c r="H82" s="1" t="str">
        <f>IFERROR(__xludf.DUMMYFUNCTION("""COMPUTED_VALUE"""),"")</f>
        <v/>
      </c>
      <c r="I82" s="1" t="str">
        <f>IFERROR(__xludf.DUMMYFUNCTION("""COMPUTED_VALUE"""),"")</f>
        <v/>
      </c>
    </row>
    <row r="83" customHeight="1" spans="1:9">
      <c r="A83" s="1" t="str">
        <f>IFERROR(__xludf.DUMMYFUNCTION("""COMPUTED_VALUE"""),"Capão Bonito do Sul")</f>
        <v>Capão Bonito do Sul</v>
      </c>
      <c r="B83" s="144" t="str">
        <f>IFERROR(__xludf.DUMMYFUNCTION("""COMPUTED_VALUE"""),"2º CRBM")</f>
        <v>2º CRBM</v>
      </c>
      <c r="C83" s="1" t="str">
        <f>IFERROR(__xludf.DUMMYFUNCTION("""COMPUTED_VALUE"""),"5º BBM")</f>
        <v>5º BBM</v>
      </c>
      <c r="D83" s="1" t="str">
        <f>IFERROR(__xludf.DUMMYFUNCTION("""COMPUTED_VALUE"""),"Lagoa Vermelha")</f>
        <v>Lagoa Vermelha</v>
      </c>
      <c r="E83" s="1" t="str">
        <f>IFERROR(__xludf.DUMMYFUNCTION("""COMPUTED_VALUE"""),"NPBM")</f>
        <v>NPBM</v>
      </c>
      <c r="F83" s="1" t="str">
        <f>IFERROR(__xludf.DUMMYFUNCTION("""COMPUTED_VALUE"""),"NPBM")</f>
        <v>NPBM</v>
      </c>
      <c r="G83" s="1"/>
      <c r="H83" s="1" t="str">
        <f>IFERROR(__xludf.DUMMYFUNCTION("""COMPUTED_VALUE"""),"")</f>
        <v/>
      </c>
      <c r="I83" s="1" t="str">
        <f>IFERROR(__xludf.DUMMYFUNCTION("""COMPUTED_VALUE"""),"")</f>
        <v/>
      </c>
    </row>
    <row r="84" customHeight="1" spans="1:9">
      <c r="A84" s="1" t="str">
        <f>IFERROR(__xludf.DUMMYFUNCTION("""COMPUTED_VALUE"""),"Capão da Canoa")</f>
        <v>Capão da Canoa</v>
      </c>
      <c r="B84" s="144" t="str">
        <f>IFERROR(__xludf.DUMMYFUNCTION("""COMPUTED_VALUE"""),"1º CRBM")</f>
        <v>1º CRBM</v>
      </c>
      <c r="C84" s="1" t="str">
        <f>IFERROR(__xludf.DUMMYFUNCTION("""COMPUTED_VALUE"""),"9º BBM")</f>
        <v>9º BBM</v>
      </c>
      <c r="D84" s="1" t="str">
        <f>IFERROR(__xludf.DUMMYFUNCTION("""COMPUTED_VALUE"""),"Capão da Canoa")</f>
        <v>Capão da Canoa</v>
      </c>
      <c r="E84" s="1" t="str">
        <f>IFERROR(__xludf.DUMMYFUNCTION("""COMPUTED_VALUE"""),"Militar")</f>
        <v>Militar</v>
      </c>
      <c r="F84" s="1" t="str">
        <f>IFERROR(__xludf.DUMMYFUNCTION("""COMPUTED_VALUE"""),"Militar")</f>
        <v>Militar</v>
      </c>
      <c r="G84" s="1"/>
      <c r="H84" s="1">
        <f>IFERROR(__xludf.DUMMYFUNCTION("""COMPUTED_VALUE"""),1)</f>
        <v>1</v>
      </c>
      <c r="I84" s="1" t="str">
        <f>IFERROR(__xludf.DUMMYFUNCTION("""COMPUTED_VALUE"""),"")</f>
        <v/>
      </c>
    </row>
    <row r="85" customHeight="1" spans="1:9">
      <c r="A85" s="1" t="str">
        <f>IFERROR(__xludf.DUMMYFUNCTION("""COMPUTED_VALUE"""),"Capão do Cipó")</f>
        <v>Capão do Cipó</v>
      </c>
      <c r="B85" s="144" t="str">
        <f>IFERROR(__xludf.DUMMYFUNCTION("""COMPUTED_VALUE"""),"3º CRBM")</f>
        <v>3º CRBM</v>
      </c>
      <c r="C85" s="1" t="str">
        <f>IFERROR(__xludf.DUMMYFUNCTION("""COMPUTED_VALUE"""),"13º BBM")</f>
        <v>13º BBM</v>
      </c>
      <c r="D85" s="1" t="str">
        <f>IFERROR(__xludf.DUMMYFUNCTION("""COMPUTED_VALUE"""),"Santiago")</f>
        <v>Santiago</v>
      </c>
      <c r="E85" s="1" t="str">
        <f>IFERROR(__xludf.DUMMYFUNCTION("""COMPUTED_VALUE"""),"NPBM")</f>
        <v>NPBM</v>
      </c>
      <c r="F85" s="1" t="str">
        <f>IFERROR(__xludf.DUMMYFUNCTION("""COMPUTED_VALUE"""),"NPBM")</f>
        <v>NPBM</v>
      </c>
      <c r="G85" s="1"/>
      <c r="H85" s="1" t="str">
        <f>IFERROR(__xludf.DUMMYFUNCTION("""COMPUTED_VALUE"""),"")</f>
        <v/>
      </c>
      <c r="I85" s="1" t="str">
        <f>IFERROR(__xludf.DUMMYFUNCTION("""COMPUTED_VALUE"""),"")</f>
        <v/>
      </c>
    </row>
    <row r="86" customHeight="1" spans="1:9">
      <c r="A86" s="1" t="str">
        <f>IFERROR(__xludf.DUMMYFUNCTION("""COMPUTED_VALUE"""),"Capão do Leão")</f>
        <v>Capão do Leão</v>
      </c>
      <c r="B86" s="144" t="str">
        <f>IFERROR(__xludf.DUMMYFUNCTION("""COMPUTED_VALUE"""),"3º CRBM")</f>
        <v>3º CRBM</v>
      </c>
      <c r="C86" s="1" t="str">
        <f>IFERROR(__xludf.DUMMYFUNCTION("""COMPUTED_VALUE"""),"3º BBM")</f>
        <v>3º BBM</v>
      </c>
      <c r="D86" s="1" t="str">
        <f>IFERROR(__xludf.DUMMYFUNCTION("""COMPUTED_VALUE"""),"Pelotas")</f>
        <v>Pelotas</v>
      </c>
      <c r="E86" s="1" t="str">
        <f>IFERROR(__xludf.DUMMYFUNCTION("""COMPUTED_VALUE"""),"Voluntersul")</f>
        <v>Voluntersul</v>
      </c>
      <c r="F86" s="1" t="str">
        <f>IFERROR(__xludf.DUMMYFUNCTION("""COMPUTED_VALUE"""),"Voluntersul")</f>
        <v>Voluntersul</v>
      </c>
      <c r="G86" s="234" t="str">
        <f>IFERROR(__xludf.DUMMYFUNCTION("""COMPUTED_VALUE""")," 2 - Em Credenciamento")</f>
        <v> 2 - Em Credenciamento</v>
      </c>
      <c r="H86" s="1" t="str">
        <f>IFERROR(__xludf.DUMMYFUNCTION("""COMPUTED_VALUE"""),"")</f>
        <v/>
      </c>
      <c r="I86" s="1" t="str">
        <f>IFERROR(__xludf.DUMMYFUNCTION("""COMPUTED_VALUE"""),"")</f>
        <v/>
      </c>
    </row>
    <row r="87" customHeight="1" spans="1:9">
      <c r="A87" s="1" t="str">
        <f>IFERROR(__xludf.DUMMYFUNCTION("""COMPUTED_VALUE"""),"Capela de Santana")</f>
        <v>Capela de Santana</v>
      </c>
      <c r="B87" s="144" t="str">
        <f>IFERROR(__xludf.DUMMYFUNCTION("""COMPUTED_VALUE"""),"2º CRBM")</f>
        <v>2º CRBM</v>
      </c>
      <c r="C87" s="1" t="str">
        <f>IFERROR(__xludf.DUMMYFUNCTION("""COMPUTED_VALUE"""),"2º BBM")</f>
        <v>2º BBM</v>
      </c>
      <c r="D87" s="1" t="str">
        <f>IFERROR(__xludf.DUMMYFUNCTION("""COMPUTED_VALUE"""),"Portão")</f>
        <v>Portão</v>
      </c>
      <c r="E87" s="1" t="str">
        <f>IFERROR(__xludf.DUMMYFUNCTION("""COMPUTED_VALUE"""),"NPBM")</f>
        <v>NPBM</v>
      </c>
      <c r="F87" s="1" t="str">
        <f>IFERROR(__xludf.DUMMYFUNCTION("""COMPUTED_VALUE"""),"NPBM")</f>
        <v>NPBM</v>
      </c>
      <c r="G87" s="1"/>
      <c r="H87" s="1" t="str">
        <f>IFERROR(__xludf.DUMMYFUNCTION("""COMPUTED_VALUE"""),"")</f>
        <v/>
      </c>
      <c r="I87" s="1" t="str">
        <f>IFERROR(__xludf.DUMMYFUNCTION("""COMPUTED_VALUE"""),"")</f>
        <v/>
      </c>
    </row>
    <row r="88" customHeight="1" spans="1:9">
      <c r="A88" s="1" t="str">
        <f>IFERROR(__xludf.DUMMYFUNCTION("""COMPUTED_VALUE"""),"Capitão")</f>
        <v>Capitão</v>
      </c>
      <c r="B88" s="144" t="str">
        <f>IFERROR(__xludf.DUMMYFUNCTION("""COMPUTED_VALUE"""),"4º CRBM")</f>
        <v>4º CRBM</v>
      </c>
      <c r="C88" s="1" t="str">
        <f>IFERROR(__xludf.DUMMYFUNCTION("""COMPUTED_VALUE"""),"6º BBM")</f>
        <v>6º BBM</v>
      </c>
      <c r="D88" s="1" t="str">
        <f>IFERROR(__xludf.DUMMYFUNCTION("""COMPUTED_VALUE"""),"Encantado")</f>
        <v>Encantado</v>
      </c>
      <c r="E88" s="1" t="str">
        <f>IFERROR(__xludf.DUMMYFUNCTION("""COMPUTED_VALUE"""),"NPBM")</f>
        <v>NPBM</v>
      </c>
      <c r="F88" s="1" t="str">
        <f>IFERROR(__xludf.DUMMYFUNCTION("""COMPUTED_VALUE"""),"NPBM")</f>
        <v>NPBM</v>
      </c>
      <c r="G88" s="1"/>
      <c r="H88" s="1" t="str">
        <f>IFERROR(__xludf.DUMMYFUNCTION("""COMPUTED_VALUE"""),"")</f>
        <v/>
      </c>
      <c r="I88" s="1" t="str">
        <f>IFERROR(__xludf.DUMMYFUNCTION("""COMPUTED_VALUE"""),"")</f>
        <v/>
      </c>
    </row>
    <row r="89" customHeight="1" spans="1:9">
      <c r="A89" s="1" t="str">
        <f>IFERROR(__xludf.DUMMYFUNCTION("""COMPUTED_VALUE"""),"Capivari do Sul")</f>
        <v>Capivari do Sul</v>
      </c>
      <c r="B89" s="144" t="str">
        <f>IFERROR(__xludf.DUMMYFUNCTION("""COMPUTED_VALUE"""),"1º CRBM")</f>
        <v>1º CRBM</v>
      </c>
      <c r="C89" s="1" t="str">
        <f>IFERROR(__xludf.DUMMYFUNCTION("""COMPUTED_VALUE"""),"9º BBM")</f>
        <v>9º BBM</v>
      </c>
      <c r="D89" s="1" t="str">
        <f>IFERROR(__xludf.DUMMYFUNCTION("""COMPUTED_VALUE"""),"Cidreira")</f>
        <v>Cidreira</v>
      </c>
      <c r="E89" s="1" t="str">
        <f>IFERROR(__xludf.DUMMYFUNCTION("""COMPUTED_VALUE"""),"NPBM")</f>
        <v>NPBM</v>
      </c>
      <c r="F89" s="1" t="str">
        <f>IFERROR(__xludf.DUMMYFUNCTION("""COMPUTED_VALUE"""),"NPBM")</f>
        <v>NPBM</v>
      </c>
      <c r="G89" s="1"/>
      <c r="H89" s="1" t="str">
        <f>IFERROR(__xludf.DUMMYFUNCTION("""COMPUTED_VALUE"""),"")</f>
        <v/>
      </c>
      <c r="I89" s="1" t="str">
        <f>IFERROR(__xludf.DUMMYFUNCTION("""COMPUTED_VALUE"""),"")</f>
        <v/>
      </c>
    </row>
    <row r="90" customHeight="1" spans="1:9">
      <c r="A90" s="1" t="str">
        <f>IFERROR(__xludf.DUMMYFUNCTION("""COMPUTED_VALUE"""),"Caraá")</f>
        <v>Caraá</v>
      </c>
      <c r="B90" s="144" t="str">
        <f>IFERROR(__xludf.DUMMYFUNCTION("""COMPUTED_VALUE"""),"1º CRBM")</f>
        <v>1º CRBM</v>
      </c>
      <c r="C90" s="1" t="str">
        <f>IFERROR(__xludf.DUMMYFUNCTION("""COMPUTED_VALUE"""),"9º BBM")</f>
        <v>9º BBM</v>
      </c>
      <c r="D90" s="1" t="str">
        <f>IFERROR(__xludf.DUMMYFUNCTION("""COMPUTED_VALUE"""),"Santo Antônio da Patrulha")</f>
        <v>Santo Antônio da Patrulha</v>
      </c>
      <c r="E90" s="1" t="str">
        <f>IFERROR(__xludf.DUMMYFUNCTION("""COMPUTED_VALUE"""),"Voluntersul")</f>
        <v>Voluntersul</v>
      </c>
      <c r="F90" s="1" t="str">
        <f>IFERROR(__xludf.DUMMYFUNCTION("""COMPUTED_VALUE"""),"Voluntersul")</f>
        <v>Voluntersul</v>
      </c>
      <c r="G90" s="1"/>
      <c r="H90" s="1" t="str">
        <f>IFERROR(__xludf.DUMMYFUNCTION("""COMPUTED_VALUE"""),"")</f>
        <v/>
      </c>
      <c r="I90" s="1" t="str">
        <f>IFERROR(__xludf.DUMMYFUNCTION("""COMPUTED_VALUE"""),"")</f>
        <v/>
      </c>
    </row>
    <row r="91" customHeight="1" spans="1:9">
      <c r="A91" s="1" t="str">
        <f>IFERROR(__xludf.DUMMYFUNCTION("""COMPUTED_VALUE"""),"Carazinho")</f>
        <v>Carazinho</v>
      </c>
      <c r="B91" s="144" t="str">
        <f>IFERROR(__xludf.DUMMYFUNCTION("""COMPUTED_VALUE"""),"2º CRBM")</f>
        <v>2º CRBM</v>
      </c>
      <c r="C91" s="1" t="str">
        <f>IFERROR(__xludf.DUMMYFUNCTION("""COMPUTED_VALUE"""),"7º BBM")</f>
        <v>7º BBM</v>
      </c>
      <c r="D91" s="1" t="str">
        <f>IFERROR(__xludf.DUMMYFUNCTION("""COMPUTED_VALUE"""),"Carazinho")</f>
        <v>Carazinho</v>
      </c>
      <c r="E91" s="1" t="str">
        <f>IFERROR(__xludf.DUMMYFUNCTION("""COMPUTED_VALUE"""),"Militar")</f>
        <v>Militar</v>
      </c>
      <c r="F91" s="1" t="str">
        <f>IFERROR(__xludf.DUMMYFUNCTION("""COMPUTED_VALUE"""),"Militar")</f>
        <v>Militar</v>
      </c>
      <c r="G91" s="1"/>
      <c r="H91" s="1">
        <f>IFERROR(__xludf.DUMMYFUNCTION("""COMPUTED_VALUE"""),1)</f>
        <v>1</v>
      </c>
      <c r="I91" s="1" t="str">
        <f>IFERROR(__xludf.DUMMYFUNCTION("""COMPUTED_VALUE"""),"")</f>
        <v/>
      </c>
    </row>
    <row r="92" customHeight="1" spans="1:9">
      <c r="A92" s="1" t="str">
        <f>IFERROR(__xludf.DUMMYFUNCTION("""COMPUTED_VALUE"""),"Carlos Barbosa")</f>
        <v>Carlos Barbosa</v>
      </c>
      <c r="B92" s="144" t="str">
        <f>IFERROR(__xludf.DUMMYFUNCTION("""COMPUTED_VALUE"""),"2º CRBM")</f>
        <v>2º CRBM</v>
      </c>
      <c r="C92" s="1" t="str">
        <f>IFERROR(__xludf.DUMMYFUNCTION("""COMPUTED_VALUE"""),"5º BBM")</f>
        <v>5º BBM</v>
      </c>
      <c r="D92" s="1" t="str">
        <f>IFERROR(__xludf.DUMMYFUNCTION("""COMPUTED_VALUE"""),"Bento Gonçalves")</f>
        <v>Bento Gonçalves</v>
      </c>
      <c r="E92" s="1" t="str">
        <f>IFERROR(__xludf.DUMMYFUNCTION("""COMPUTED_VALUE"""),"Voluntersul")</f>
        <v>Voluntersul</v>
      </c>
      <c r="F92" s="1" t="str">
        <f>IFERROR(__xludf.DUMMYFUNCTION("""COMPUTED_VALUE"""),"Voluntersul")</f>
        <v>Voluntersul</v>
      </c>
      <c r="G92" s="234" t="str">
        <f>IFERROR(__xludf.DUMMYFUNCTION("""COMPUTED_VALUE""")," 3 - Não Regularizado")</f>
        <v> 3 - Não Regularizado</v>
      </c>
      <c r="H92" s="1" t="str">
        <f>IFERROR(__xludf.DUMMYFUNCTION("""COMPUTED_VALUE"""),"")</f>
        <v/>
      </c>
      <c r="I92" s="1" t="str">
        <f>IFERROR(__xludf.DUMMYFUNCTION("""COMPUTED_VALUE"""),"")</f>
        <v/>
      </c>
    </row>
    <row r="93" customHeight="1" spans="1:9">
      <c r="A93" s="1" t="str">
        <f>IFERROR(__xludf.DUMMYFUNCTION("""COMPUTED_VALUE"""),"Carlos Gomes")</f>
        <v>Carlos Gomes</v>
      </c>
      <c r="B93" s="144" t="str">
        <f>IFERROR(__xludf.DUMMYFUNCTION("""COMPUTED_VALUE"""),"2º CRBM")</f>
        <v>2º CRBM</v>
      </c>
      <c r="C93" s="1" t="str">
        <f>IFERROR(__xludf.DUMMYFUNCTION("""COMPUTED_VALUE"""),"7º BBM")</f>
        <v>7º BBM</v>
      </c>
      <c r="D93" s="1" t="str">
        <f>IFERROR(__xludf.DUMMYFUNCTION("""COMPUTED_VALUE"""),"Getúlio Vargas")</f>
        <v>Getúlio Vargas</v>
      </c>
      <c r="E93" s="1" t="str">
        <f>IFERROR(__xludf.DUMMYFUNCTION("""COMPUTED_VALUE"""),"NPBM")</f>
        <v>NPBM</v>
      </c>
      <c r="F93" s="1" t="str">
        <f>IFERROR(__xludf.DUMMYFUNCTION("""COMPUTED_VALUE"""),"NPBM")</f>
        <v>NPBM</v>
      </c>
      <c r="G93" s="1"/>
      <c r="H93" s="1" t="str">
        <f>IFERROR(__xludf.DUMMYFUNCTION("""COMPUTED_VALUE"""),"")</f>
        <v/>
      </c>
      <c r="I93" s="1" t="str">
        <f>IFERROR(__xludf.DUMMYFUNCTION("""COMPUTED_VALUE"""),"")</f>
        <v/>
      </c>
    </row>
    <row r="94" customHeight="1" spans="1:9">
      <c r="A94" s="1" t="str">
        <f>IFERROR(__xludf.DUMMYFUNCTION("""COMPUTED_VALUE"""),"Casca")</f>
        <v>Casca</v>
      </c>
      <c r="B94" s="144" t="str">
        <f>IFERROR(__xludf.DUMMYFUNCTION("""COMPUTED_VALUE"""),"2º CRBM")</f>
        <v>2º CRBM</v>
      </c>
      <c r="C94" s="1" t="str">
        <f>IFERROR(__xludf.DUMMYFUNCTION("""COMPUTED_VALUE"""),"7º BBM")</f>
        <v>7º BBM</v>
      </c>
      <c r="D94" s="1" t="str">
        <f>IFERROR(__xludf.DUMMYFUNCTION("""COMPUTED_VALUE"""),"Guaporé")</f>
        <v>Guaporé</v>
      </c>
      <c r="E94" s="1" t="str">
        <f>IFERROR(__xludf.DUMMYFUNCTION("""COMPUTED_VALUE"""),"SCAB")</f>
        <v>SCAB</v>
      </c>
      <c r="F94" s="1" t="str">
        <f>IFERROR(__xludf.DUMMYFUNCTION("""COMPUTED_VALUE"""),"Municipal")</f>
        <v>Municipal</v>
      </c>
      <c r="G94" s="234" t="str">
        <f>IFERROR(__xludf.DUMMYFUNCTION("""COMPUTED_VALUE""")," 1 - Credenciado")</f>
        <v> 1 - Credenciado</v>
      </c>
      <c r="H94" s="1" t="str">
        <f>IFERROR(__xludf.DUMMYFUNCTION("""COMPUTED_VALUE"""),"")</f>
        <v/>
      </c>
      <c r="I94" s="1" t="str">
        <f>IFERROR(__xludf.DUMMYFUNCTION("""COMPUTED_VALUE"""),"")</f>
        <v/>
      </c>
    </row>
    <row r="95" customHeight="1" spans="1:9">
      <c r="A95" s="1" t="str">
        <f>IFERROR(__xludf.DUMMYFUNCTION("""COMPUTED_VALUE"""),"Caseiros")</f>
        <v>Caseiros</v>
      </c>
      <c r="B95" s="144" t="str">
        <f>IFERROR(__xludf.DUMMYFUNCTION("""COMPUTED_VALUE"""),"2º CRBM")</f>
        <v>2º CRBM</v>
      </c>
      <c r="C95" s="1" t="str">
        <f>IFERROR(__xludf.DUMMYFUNCTION("""COMPUTED_VALUE"""),"5º BBM")</f>
        <v>5º BBM</v>
      </c>
      <c r="D95" s="1" t="str">
        <f>IFERROR(__xludf.DUMMYFUNCTION("""COMPUTED_VALUE"""),"Lagoa Vermelha")</f>
        <v>Lagoa Vermelha</v>
      </c>
      <c r="E95" s="1" t="str">
        <f>IFERROR(__xludf.DUMMYFUNCTION("""COMPUTED_VALUE"""),"NPBM")</f>
        <v>NPBM</v>
      </c>
      <c r="F95" s="1" t="str">
        <f>IFERROR(__xludf.DUMMYFUNCTION("""COMPUTED_VALUE"""),"NPBM")</f>
        <v>NPBM</v>
      </c>
      <c r="G95" s="1"/>
      <c r="H95" s="1" t="str">
        <f>IFERROR(__xludf.DUMMYFUNCTION("""COMPUTED_VALUE"""),"")</f>
        <v/>
      </c>
      <c r="I95" s="1" t="str">
        <f>IFERROR(__xludf.DUMMYFUNCTION("""COMPUTED_VALUE"""),"")</f>
        <v/>
      </c>
    </row>
    <row r="96" customHeight="1" spans="1:9">
      <c r="A96" s="1" t="str">
        <f>IFERROR(__xludf.DUMMYFUNCTION("""COMPUTED_VALUE"""),"Catuípe")</f>
        <v>Catuípe</v>
      </c>
      <c r="B96" s="144" t="str">
        <f>IFERROR(__xludf.DUMMYFUNCTION("""COMPUTED_VALUE"""),"4º CRBM")</f>
        <v>4º CRBM</v>
      </c>
      <c r="C96" s="1" t="str">
        <f>IFERROR(__xludf.DUMMYFUNCTION("""COMPUTED_VALUE"""),"12º BBM")</f>
        <v>12º BBM</v>
      </c>
      <c r="D96" s="1" t="str">
        <f>IFERROR(__xludf.DUMMYFUNCTION("""COMPUTED_VALUE"""),"Ijuí")</f>
        <v>Ijuí</v>
      </c>
      <c r="E96" s="1" t="str">
        <f>IFERROR(__xludf.DUMMYFUNCTION("""COMPUTED_VALUE"""),"NPBM")</f>
        <v>NPBM</v>
      </c>
      <c r="F96" s="1" t="str">
        <f>IFERROR(__xludf.DUMMYFUNCTION("""COMPUTED_VALUE"""),"NPBM")</f>
        <v>NPBM</v>
      </c>
      <c r="G96" s="1"/>
      <c r="H96" s="1" t="str">
        <f>IFERROR(__xludf.DUMMYFUNCTION("""COMPUTED_VALUE"""),"")</f>
        <v/>
      </c>
      <c r="I96" s="1" t="str">
        <f>IFERROR(__xludf.DUMMYFUNCTION("""COMPUTED_VALUE"""),"")</f>
        <v/>
      </c>
    </row>
    <row r="97" customHeight="1" spans="1:9">
      <c r="A97" s="1" t="str">
        <f>IFERROR(__xludf.DUMMYFUNCTION("""COMPUTED_VALUE"""),"Caxias do Sul")</f>
        <v>Caxias do Sul</v>
      </c>
      <c r="B97" s="144" t="str">
        <f>IFERROR(__xludf.DUMMYFUNCTION("""COMPUTED_VALUE"""),"2º CRBM")</f>
        <v>2º CRBM</v>
      </c>
      <c r="C97" s="1" t="str">
        <f>IFERROR(__xludf.DUMMYFUNCTION("""COMPUTED_VALUE"""),"5º BBM")</f>
        <v>5º BBM</v>
      </c>
      <c r="D97" s="1" t="str">
        <f>IFERROR(__xludf.DUMMYFUNCTION("""COMPUTED_VALUE"""),"Caxias do Sul")</f>
        <v>Caxias do Sul</v>
      </c>
      <c r="E97" s="1" t="str">
        <f>IFERROR(__xludf.DUMMYFUNCTION("""COMPUTED_VALUE"""),"Militar")</f>
        <v>Militar</v>
      </c>
      <c r="F97" s="1" t="str">
        <f>IFERROR(__xludf.DUMMYFUNCTION("""COMPUTED_VALUE"""),"Militar")</f>
        <v>Militar</v>
      </c>
      <c r="G97" s="1"/>
      <c r="H97" s="1">
        <f>IFERROR(__xludf.DUMMYFUNCTION("""COMPUTED_VALUE"""),5)</f>
        <v>5</v>
      </c>
      <c r="I97" s="1" t="str">
        <f>IFERROR(__xludf.DUMMYFUNCTION("""COMPUTED_VALUE"""),"")</f>
        <v/>
      </c>
    </row>
    <row r="98" customHeight="1" spans="1:9">
      <c r="A98" s="1" t="str">
        <f>IFERROR(__xludf.DUMMYFUNCTION("""COMPUTED_VALUE"""),"Centenário")</f>
        <v>Centenário</v>
      </c>
      <c r="B98" s="144" t="str">
        <f>IFERROR(__xludf.DUMMYFUNCTION("""COMPUTED_VALUE"""),"2º CRBM")</f>
        <v>2º CRBM</v>
      </c>
      <c r="C98" s="1" t="str">
        <f>IFERROR(__xludf.DUMMYFUNCTION("""COMPUTED_VALUE"""),"7º BBM")</f>
        <v>7º BBM</v>
      </c>
      <c r="D98" s="1" t="str">
        <f>IFERROR(__xludf.DUMMYFUNCTION("""COMPUTED_VALUE"""),"Getúlio Vargas")</f>
        <v>Getúlio Vargas</v>
      </c>
      <c r="E98" s="1" t="str">
        <f>IFERROR(__xludf.DUMMYFUNCTION("""COMPUTED_VALUE"""),"NPBM")</f>
        <v>NPBM</v>
      </c>
      <c r="F98" s="1" t="str">
        <f>IFERROR(__xludf.DUMMYFUNCTION("""COMPUTED_VALUE"""),"NPBM")</f>
        <v>NPBM</v>
      </c>
      <c r="G98" s="1"/>
      <c r="H98" s="1" t="str">
        <f>IFERROR(__xludf.DUMMYFUNCTION("""COMPUTED_VALUE"""),"")</f>
        <v/>
      </c>
      <c r="I98" s="1" t="str">
        <f>IFERROR(__xludf.DUMMYFUNCTION("""COMPUTED_VALUE"""),"")</f>
        <v/>
      </c>
    </row>
    <row r="99" customHeight="1" spans="1:9">
      <c r="A99" s="1" t="str">
        <f>IFERROR(__xludf.DUMMYFUNCTION("""COMPUTED_VALUE"""),"Cerrito")</f>
        <v>Cerrito</v>
      </c>
      <c r="B99" s="144" t="str">
        <f>IFERROR(__xludf.DUMMYFUNCTION("""COMPUTED_VALUE"""),"3º CRBM")</f>
        <v>3º CRBM</v>
      </c>
      <c r="C99" s="1" t="str">
        <f>IFERROR(__xludf.DUMMYFUNCTION("""COMPUTED_VALUE"""),"3º BBM")</f>
        <v>3º BBM</v>
      </c>
      <c r="D99" s="1" t="str">
        <f>IFERROR(__xludf.DUMMYFUNCTION("""COMPUTED_VALUE"""),"Pelotas")</f>
        <v>Pelotas</v>
      </c>
      <c r="E99" s="1" t="str">
        <f>IFERROR(__xludf.DUMMYFUNCTION("""COMPUTED_VALUE"""),"NPBM")</f>
        <v>NPBM</v>
      </c>
      <c r="F99" s="1" t="str">
        <f>IFERROR(__xludf.DUMMYFUNCTION("""COMPUTED_VALUE"""),"NPBM")</f>
        <v>NPBM</v>
      </c>
      <c r="G99" s="1"/>
      <c r="H99" s="1" t="str">
        <f>IFERROR(__xludf.DUMMYFUNCTION("""COMPUTED_VALUE"""),"")</f>
        <v/>
      </c>
      <c r="I99" s="1" t="str">
        <f>IFERROR(__xludf.DUMMYFUNCTION("""COMPUTED_VALUE"""),"")</f>
        <v/>
      </c>
    </row>
    <row r="100" customHeight="1" spans="1:9">
      <c r="A100" s="1" t="str">
        <f>IFERROR(__xludf.DUMMYFUNCTION("""COMPUTED_VALUE"""),"Cerro Branco")</f>
        <v>Cerro Branco</v>
      </c>
      <c r="B100" s="144" t="str">
        <f>IFERROR(__xludf.DUMMYFUNCTION("""COMPUTED_VALUE"""),"4º CRBM")</f>
        <v>4º CRBM</v>
      </c>
      <c r="C100" s="1" t="str">
        <f>IFERROR(__xludf.DUMMYFUNCTION("""COMPUTED_VALUE"""),"4º BBM")</f>
        <v>4º BBM</v>
      </c>
      <c r="D100" s="1" t="str">
        <f>IFERROR(__xludf.DUMMYFUNCTION("""COMPUTED_VALUE"""),"Cachoeira do Sul")</f>
        <v>Cachoeira do Sul</v>
      </c>
      <c r="E100" s="1" t="str">
        <f>IFERROR(__xludf.DUMMYFUNCTION("""COMPUTED_VALUE"""),"NPBM")</f>
        <v>NPBM</v>
      </c>
      <c r="F100" s="1" t="str">
        <f>IFERROR(__xludf.DUMMYFUNCTION("""COMPUTED_VALUE"""),"NPBM")</f>
        <v>NPBM</v>
      </c>
      <c r="G100" s="1"/>
      <c r="H100" s="1" t="str">
        <f>IFERROR(__xludf.DUMMYFUNCTION("""COMPUTED_VALUE"""),"")</f>
        <v/>
      </c>
      <c r="I100" s="1" t="str">
        <f>IFERROR(__xludf.DUMMYFUNCTION("""COMPUTED_VALUE"""),"")</f>
        <v/>
      </c>
    </row>
    <row r="101" customHeight="1" spans="1:9">
      <c r="A101" s="1" t="str">
        <f>IFERROR(__xludf.DUMMYFUNCTION("""COMPUTED_VALUE"""),"Cerro Grande")</f>
        <v>Cerro Grande</v>
      </c>
      <c r="B101" s="144" t="str">
        <f>IFERROR(__xludf.DUMMYFUNCTION("""COMPUTED_VALUE"""),"4º CRBM")</f>
        <v>4º CRBM</v>
      </c>
      <c r="C101" s="1" t="str">
        <f>IFERROR(__xludf.DUMMYFUNCTION("""COMPUTED_VALUE"""),"12º BBM")</f>
        <v>12º BBM</v>
      </c>
      <c r="D101" s="1" t="str">
        <f>IFERROR(__xludf.DUMMYFUNCTION("""COMPUTED_VALUE"""),"Palmeira das Missões")</f>
        <v>Palmeira das Missões</v>
      </c>
      <c r="E101" s="1" t="str">
        <f>IFERROR(__xludf.DUMMYFUNCTION("""COMPUTED_VALUE"""),"NPBM")</f>
        <v>NPBM</v>
      </c>
      <c r="F101" s="1" t="str">
        <f>IFERROR(__xludf.DUMMYFUNCTION("""COMPUTED_VALUE"""),"NPBM")</f>
        <v>NPBM</v>
      </c>
      <c r="G101" s="1"/>
      <c r="H101" s="1" t="str">
        <f>IFERROR(__xludf.DUMMYFUNCTION("""COMPUTED_VALUE"""),"")</f>
        <v/>
      </c>
      <c r="I101" s="1" t="str">
        <f>IFERROR(__xludf.DUMMYFUNCTION("""COMPUTED_VALUE"""),"")</f>
        <v/>
      </c>
    </row>
    <row r="102" customHeight="1" spans="1:9">
      <c r="A102" s="1" t="str">
        <f>IFERROR(__xludf.DUMMYFUNCTION("""COMPUTED_VALUE"""),"Cerro Grande do Sul")</f>
        <v>Cerro Grande do Sul</v>
      </c>
      <c r="B102" s="144" t="str">
        <f>IFERROR(__xludf.DUMMYFUNCTION("""COMPUTED_VALUE"""),"4º CRBM")</f>
        <v>4º CRBM</v>
      </c>
      <c r="C102" s="1" t="str">
        <f>IFERROR(__xludf.DUMMYFUNCTION("""COMPUTED_VALUE"""),"6º BBM")</f>
        <v>6º BBM</v>
      </c>
      <c r="D102" s="1" t="str">
        <f>IFERROR(__xludf.DUMMYFUNCTION("""COMPUTED_VALUE"""),"Camaquã")</f>
        <v>Camaquã</v>
      </c>
      <c r="E102" s="1" t="str">
        <f>IFERROR(__xludf.DUMMYFUNCTION("""COMPUTED_VALUE"""),"NPBM")</f>
        <v>NPBM</v>
      </c>
      <c r="F102" s="1" t="str">
        <f>IFERROR(__xludf.DUMMYFUNCTION("""COMPUTED_VALUE"""),"NPBM")</f>
        <v>NPBM</v>
      </c>
      <c r="G102" s="1"/>
      <c r="H102" s="1" t="str">
        <f>IFERROR(__xludf.DUMMYFUNCTION("""COMPUTED_VALUE"""),"")</f>
        <v/>
      </c>
      <c r="I102" s="1" t="str">
        <f>IFERROR(__xludf.DUMMYFUNCTION("""COMPUTED_VALUE"""),"")</f>
        <v/>
      </c>
    </row>
    <row r="103" customHeight="1" spans="1:9">
      <c r="A103" s="1" t="str">
        <f>IFERROR(__xludf.DUMMYFUNCTION("""COMPUTED_VALUE"""),"Cerro Largo")</f>
        <v>Cerro Largo</v>
      </c>
      <c r="B103" s="144" t="str">
        <f>IFERROR(__xludf.DUMMYFUNCTION("""COMPUTED_VALUE"""),"4º CRBM")</f>
        <v>4º CRBM</v>
      </c>
      <c r="C103" s="1" t="str">
        <f>IFERROR(__xludf.DUMMYFUNCTION("""COMPUTED_VALUE"""),"11º BBM")</f>
        <v>11º BBM</v>
      </c>
      <c r="D103" s="1" t="str">
        <f>IFERROR(__xludf.DUMMYFUNCTION("""COMPUTED_VALUE"""),"Santo Ângelo")</f>
        <v>Santo Ângelo</v>
      </c>
      <c r="E103" s="1" t="str">
        <f>IFERROR(__xludf.DUMMYFUNCTION("""COMPUTED_VALUE"""),"SCAB")</f>
        <v>SCAB</v>
      </c>
      <c r="F103" s="1" t="str">
        <f>IFERROR(__xludf.DUMMYFUNCTION("""COMPUTED_VALUE"""),"Municipal")</f>
        <v>Municipal</v>
      </c>
      <c r="G103" s="234" t="str">
        <f>IFERROR(__xludf.DUMMYFUNCTION("""COMPUTED_VALUE""")," 1 - Credenciado")</f>
        <v> 1 - Credenciado</v>
      </c>
      <c r="H103" s="1" t="str">
        <f>IFERROR(__xludf.DUMMYFUNCTION("""COMPUTED_VALUE"""),"")</f>
        <v/>
      </c>
      <c r="I103" s="1" t="str">
        <f>IFERROR(__xludf.DUMMYFUNCTION("""COMPUTED_VALUE"""),"")</f>
        <v/>
      </c>
    </row>
    <row r="104" customHeight="1" spans="1:9">
      <c r="A104" s="1" t="str">
        <f>IFERROR(__xludf.DUMMYFUNCTION("""COMPUTED_VALUE"""),"Chapada")</f>
        <v>Chapada</v>
      </c>
      <c r="B104" s="144" t="str">
        <f>IFERROR(__xludf.DUMMYFUNCTION("""COMPUTED_VALUE"""),"2º CRBM")</f>
        <v>2º CRBM</v>
      </c>
      <c r="C104" s="1" t="str">
        <f>IFERROR(__xludf.DUMMYFUNCTION("""COMPUTED_VALUE"""),"7º BBM")</f>
        <v>7º BBM</v>
      </c>
      <c r="D104" s="1" t="str">
        <f>IFERROR(__xludf.DUMMYFUNCTION("""COMPUTED_VALUE"""),"Carazinho")</f>
        <v>Carazinho</v>
      </c>
      <c r="E104" s="1" t="str">
        <f>IFERROR(__xludf.DUMMYFUNCTION("""COMPUTED_VALUE"""),"NPBM")</f>
        <v>NPBM</v>
      </c>
      <c r="F104" s="1" t="str">
        <f>IFERROR(__xludf.DUMMYFUNCTION("""COMPUTED_VALUE"""),"NPBM")</f>
        <v>NPBM</v>
      </c>
      <c r="G104" s="234" t="str">
        <f>IFERROR(__xludf.DUMMYFUNCTION("""COMPUTED_VALUE""")," 2 - Em Credenciamento")</f>
        <v> 2 - Em Credenciamento</v>
      </c>
      <c r="H104" s="1" t="str">
        <f>IFERROR(__xludf.DUMMYFUNCTION("""COMPUTED_VALUE"""),"")</f>
        <v/>
      </c>
      <c r="I104" s="1" t="str">
        <f>IFERROR(__xludf.DUMMYFUNCTION("""COMPUTED_VALUE"""),"")</f>
        <v/>
      </c>
    </row>
    <row r="105" customHeight="1" spans="1:9">
      <c r="A105" s="1" t="str">
        <f>IFERROR(__xludf.DUMMYFUNCTION("""COMPUTED_VALUE"""),"Charqueadas")</f>
        <v>Charqueadas</v>
      </c>
      <c r="B105" s="144" t="str">
        <f>IFERROR(__xludf.DUMMYFUNCTION("""COMPUTED_VALUE"""),"4º CRBM")</f>
        <v>4º CRBM</v>
      </c>
      <c r="C105" s="1" t="str">
        <f>IFERROR(__xludf.DUMMYFUNCTION("""COMPUTED_VALUE"""),"6º BBM")</f>
        <v>6º BBM</v>
      </c>
      <c r="D105" s="1" t="str">
        <f>IFERROR(__xludf.DUMMYFUNCTION("""COMPUTED_VALUE"""),"São Jerônimo")</f>
        <v>São Jerônimo</v>
      </c>
      <c r="E105" s="1" t="str">
        <f>IFERROR(__xludf.DUMMYFUNCTION("""COMPUTED_VALUE"""),"Voluntersul")</f>
        <v>Voluntersul</v>
      </c>
      <c r="F105" s="1" t="str">
        <f>IFERROR(__xludf.DUMMYFUNCTION("""COMPUTED_VALUE"""),"Voluntersul")</f>
        <v>Voluntersul</v>
      </c>
      <c r="G105" s="234" t="str">
        <f>IFERROR(__xludf.DUMMYFUNCTION("""COMPUTED_VALUE""")," 3 - Não Regularizado")</f>
        <v> 3 - Não Regularizado</v>
      </c>
      <c r="H105" s="1" t="str">
        <f>IFERROR(__xludf.DUMMYFUNCTION("""COMPUTED_VALUE"""),"")</f>
        <v/>
      </c>
      <c r="I105" s="1" t="str">
        <f>IFERROR(__xludf.DUMMYFUNCTION("""COMPUTED_VALUE"""),"")</f>
        <v/>
      </c>
    </row>
    <row r="106" customHeight="1" spans="1:9">
      <c r="A106" s="1" t="str">
        <f>IFERROR(__xludf.DUMMYFUNCTION("""COMPUTED_VALUE"""),"Charrua")</f>
        <v>Charrua</v>
      </c>
      <c r="B106" s="144" t="str">
        <f>IFERROR(__xludf.DUMMYFUNCTION("""COMPUTED_VALUE"""),"2º CRBM")</f>
        <v>2º CRBM</v>
      </c>
      <c r="C106" s="1" t="str">
        <f>IFERROR(__xludf.DUMMYFUNCTION("""COMPUTED_VALUE"""),"7º BBM")</f>
        <v>7º BBM</v>
      </c>
      <c r="D106" s="1" t="str">
        <f>IFERROR(__xludf.DUMMYFUNCTION("""COMPUTED_VALUE"""),"Getúlio Vargas")</f>
        <v>Getúlio Vargas</v>
      </c>
      <c r="E106" s="1" t="str">
        <f>IFERROR(__xludf.DUMMYFUNCTION("""COMPUTED_VALUE"""),"NPBM")</f>
        <v>NPBM</v>
      </c>
      <c r="F106" s="1" t="str">
        <f>IFERROR(__xludf.DUMMYFUNCTION("""COMPUTED_VALUE"""),"NPBM")</f>
        <v>NPBM</v>
      </c>
      <c r="G106" s="1"/>
      <c r="H106" s="1" t="str">
        <f>IFERROR(__xludf.DUMMYFUNCTION("""COMPUTED_VALUE"""),"")</f>
        <v/>
      </c>
      <c r="I106" s="1" t="str">
        <f>IFERROR(__xludf.DUMMYFUNCTION("""COMPUTED_VALUE"""),"")</f>
        <v/>
      </c>
    </row>
    <row r="107" customHeight="1" spans="1:9">
      <c r="A107" s="1" t="str">
        <f>IFERROR(__xludf.DUMMYFUNCTION("""COMPUTED_VALUE"""),"Chiapetta")</f>
        <v>Chiapetta</v>
      </c>
      <c r="B107" s="144" t="str">
        <f>IFERROR(__xludf.DUMMYFUNCTION("""COMPUTED_VALUE"""),"4º CRBM")</f>
        <v>4º CRBM</v>
      </c>
      <c r="C107" s="1" t="str">
        <f>IFERROR(__xludf.DUMMYFUNCTION("""COMPUTED_VALUE"""),"12º BBM")</f>
        <v>12º BBM</v>
      </c>
      <c r="D107" s="1" t="str">
        <f>IFERROR(__xludf.DUMMYFUNCTION("""COMPUTED_VALUE"""),"Ijuí")</f>
        <v>Ijuí</v>
      </c>
      <c r="E107" s="1" t="str">
        <f>IFERROR(__xludf.DUMMYFUNCTION("""COMPUTED_VALUE"""),"SCAB")</f>
        <v>SCAB</v>
      </c>
      <c r="F107" s="1" t="str">
        <f>IFERROR(__xludf.DUMMYFUNCTION("""COMPUTED_VALUE"""),"Municipal")</f>
        <v>Municipal</v>
      </c>
      <c r="G107" s="234" t="str">
        <f>IFERROR(__xludf.DUMMYFUNCTION("""COMPUTED_VALUE""")," 1 - Credenciado")</f>
        <v> 1 - Credenciado</v>
      </c>
      <c r="H107" s="1" t="str">
        <f>IFERROR(__xludf.DUMMYFUNCTION("""COMPUTED_VALUE"""),"")</f>
        <v/>
      </c>
      <c r="I107" s="1" t="str">
        <f>IFERROR(__xludf.DUMMYFUNCTION("""COMPUTED_VALUE"""),"")</f>
        <v/>
      </c>
    </row>
    <row r="108" customHeight="1" spans="1:9">
      <c r="A108" s="1" t="str">
        <f>IFERROR(__xludf.DUMMYFUNCTION("""COMPUTED_VALUE"""),"Chuí")</f>
        <v>Chuí</v>
      </c>
      <c r="B108" s="144" t="str">
        <f>IFERROR(__xludf.DUMMYFUNCTION("""COMPUTED_VALUE"""),"3º CRBM")</f>
        <v>3º CRBM</v>
      </c>
      <c r="C108" s="1" t="str">
        <f>IFERROR(__xludf.DUMMYFUNCTION("""COMPUTED_VALUE"""),"3º BBM")</f>
        <v>3º BBM</v>
      </c>
      <c r="D108" s="1" t="str">
        <f>IFERROR(__xludf.DUMMYFUNCTION("""COMPUTED_VALUE"""),"Santa Vitória do Palmar")</f>
        <v>Santa Vitória do Palmar</v>
      </c>
      <c r="E108" s="1" t="str">
        <f>IFERROR(__xludf.DUMMYFUNCTION("""COMPUTED_VALUE"""),"NPBM")</f>
        <v>NPBM</v>
      </c>
      <c r="F108" s="1" t="str">
        <f>IFERROR(__xludf.DUMMYFUNCTION("""COMPUTED_VALUE"""),"NPBM")</f>
        <v>NPBM</v>
      </c>
      <c r="G108" s="1"/>
      <c r="H108" s="1" t="str">
        <f>IFERROR(__xludf.DUMMYFUNCTION("""COMPUTED_VALUE"""),"")</f>
        <v/>
      </c>
      <c r="I108" s="1" t="str">
        <f>IFERROR(__xludf.DUMMYFUNCTION("""COMPUTED_VALUE"""),"")</f>
        <v/>
      </c>
    </row>
    <row r="109" customHeight="1" spans="1:9">
      <c r="A109" s="1" t="str">
        <f>IFERROR(__xludf.DUMMYFUNCTION("""COMPUTED_VALUE"""),"Chuvisca")</f>
        <v>Chuvisca</v>
      </c>
      <c r="B109" s="144" t="str">
        <f>IFERROR(__xludf.DUMMYFUNCTION("""COMPUTED_VALUE"""),"4º CRBM")</f>
        <v>4º CRBM</v>
      </c>
      <c r="C109" s="1" t="str">
        <f>IFERROR(__xludf.DUMMYFUNCTION("""COMPUTED_VALUE"""),"6º BBM")</f>
        <v>6º BBM</v>
      </c>
      <c r="D109" s="1" t="str">
        <f>IFERROR(__xludf.DUMMYFUNCTION("""COMPUTED_VALUE"""),"Camaquã")</f>
        <v>Camaquã</v>
      </c>
      <c r="E109" s="1" t="str">
        <f>IFERROR(__xludf.DUMMYFUNCTION("""COMPUTED_VALUE"""),"NPBM")</f>
        <v>NPBM</v>
      </c>
      <c r="F109" s="1" t="str">
        <f>IFERROR(__xludf.DUMMYFUNCTION("""COMPUTED_VALUE"""),"NPBM")</f>
        <v>NPBM</v>
      </c>
      <c r="G109" s="1"/>
      <c r="H109" s="1" t="str">
        <f>IFERROR(__xludf.DUMMYFUNCTION("""COMPUTED_VALUE"""),"")</f>
        <v/>
      </c>
      <c r="I109" s="1" t="str">
        <f>IFERROR(__xludf.DUMMYFUNCTION("""COMPUTED_VALUE"""),"")</f>
        <v/>
      </c>
    </row>
    <row r="110" customHeight="1" spans="1:9">
      <c r="A110" s="1" t="str">
        <f>IFERROR(__xludf.DUMMYFUNCTION("""COMPUTED_VALUE"""),"Cidreira")</f>
        <v>Cidreira</v>
      </c>
      <c r="B110" s="144" t="str">
        <f>IFERROR(__xludf.DUMMYFUNCTION("""COMPUTED_VALUE"""),"1º CRBM")</f>
        <v>1º CRBM</v>
      </c>
      <c r="C110" s="1" t="str">
        <f>IFERROR(__xludf.DUMMYFUNCTION("""COMPUTED_VALUE"""),"9º BBM")</f>
        <v>9º BBM</v>
      </c>
      <c r="D110" s="1" t="str">
        <f>IFERROR(__xludf.DUMMYFUNCTION("""COMPUTED_VALUE"""),"Cidreira")</f>
        <v>Cidreira</v>
      </c>
      <c r="E110" s="1" t="str">
        <f>IFERROR(__xludf.DUMMYFUNCTION("""COMPUTED_VALUE"""),"Militar")</f>
        <v>Militar</v>
      </c>
      <c r="F110" s="1" t="str">
        <f>IFERROR(__xludf.DUMMYFUNCTION("""COMPUTED_VALUE"""),"Militar")</f>
        <v>Militar</v>
      </c>
      <c r="G110" s="1"/>
      <c r="H110" s="1">
        <f>IFERROR(__xludf.DUMMYFUNCTION("""COMPUTED_VALUE"""),1)</f>
        <v>1</v>
      </c>
      <c r="I110" s="1" t="str">
        <f>IFERROR(__xludf.DUMMYFUNCTION("""COMPUTED_VALUE"""),"")</f>
        <v/>
      </c>
    </row>
    <row r="111" customHeight="1" spans="1:9">
      <c r="A111" s="1" t="str">
        <f>IFERROR(__xludf.DUMMYFUNCTION("""COMPUTED_VALUE"""),"Ciríaco")</f>
        <v>Ciríaco</v>
      </c>
      <c r="B111" s="144" t="str">
        <f>IFERROR(__xludf.DUMMYFUNCTION("""COMPUTED_VALUE"""),"2º CRBM")</f>
        <v>2º CRBM</v>
      </c>
      <c r="C111" s="1" t="str">
        <f>IFERROR(__xludf.DUMMYFUNCTION("""COMPUTED_VALUE"""),"7º BBM")</f>
        <v>7º BBM</v>
      </c>
      <c r="D111" s="1" t="str">
        <f>IFERROR(__xludf.DUMMYFUNCTION("""COMPUTED_VALUE"""),"Lagoa Vermelha")</f>
        <v>Lagoa Vermelha</v>
      </c>
      <c r="E111" s="1" t="str">
        <f>IFERROR(__xludf.DUMMYFUNCTION("""COMPUTED_VALUE"""),"NPBM")</f>
        <v>NPBM</v>
      </c>
      <c r="F111" s="1" t="str">
        <f>IFERROR(__xludf.DUMMYFUNCTION("""COMPUTED_VALUE"""),"NPBM")</f>
        <v>NPBM</v>
      </c>
      <c r="G111" s="1"/>
      <c r="H111" s="1" t="str">
        <f>IFERROR(__xludf.DUMMYFUNCTION("""COMPUTED_VALUE"""),"")</f>
        <v/>
      </c>
      <c r="I111" s="1" t="str">
        <f>IFERROR(__xludf.DUMMYFUNCTION("""COMPUTED_VALUE"""),"")</f>
        <v/>
      </c>
    </row>
    <row r="112" customHeight="1" spans="1:9">
      <c r="A112" s="1" t="str">
        <f>IFERROR(__xludf.DUMMYFUNCTION("""COMPUTED_VALUE"""),"Colinas")</f>
        <v>Colinas</v>
      </c>
      <c r="B112" s="144" t="str">
        <f>IFERROR(__xludf.DUMMYFUNCTION("""COMPUTED_VALUE"""),"4º CRBM")</f>
        <v>4º CRBM</v>
      </c>
      <c r="C112" s="1" t="str">
        <f>IFERROR(__xludf.DUMMYFUNCTION("""COMPUTED_VALUE"""),"6º BBM")</f>
        <v>6º BBM</v>
      </c>
      <c r="D112" s="1" t="str">
        <f>IFERROR(__xludf.DUMMYFUNCTION("""COMPUTED_VALUE"""),"Estrela")</f>
        <v>Estrela</v>
      </c>
      <c r="E112" s="1" t="str">
        <f>IFERROR(__xludf.DUMMYFUNCTION("""COMPUTED_VALUE"""),"Voluntersul")</f>
        <v>Voluntersul</v>
      </c>
      <c r="F112" s="1" t="str">
        <f>IFERROR(__xludf.DUMMYFUNCTION("""COMPUTED_VALUE"""),"Voluntersul")</f>
        <v>Voluntersul</v>
      </c>
      <c r="G112" s="234" t="str">
        <f>IFERROR(__xludf.DUMMYFUNCTION("""COMPUTED_VALUE""")," 4 - Desfavorável")</f>
        <v> 4 - Desfavorável</v>
      </c>
      <c r="H112" s="1" t="str">
        <f>IFERROR(__xludf.DUMMYFUNCTION("""COMPUTED_VALUE"""),"")</f>
        <v/>
      </c>
      <c r="I112" s="1" t="str">
        <f>IFERROR(__xludf.DUMMYFUNCTION("""COMPUTED_VALUE"""),"")</f>
        <v/>
      </c>
    </row>
    <row r="113" customHeight="1" spans="1:9">
      <c r="A113" s="1" t="str">
        <f>IFERROR(__xludf.DUMMYFUNCTION("""COMPUTED_VALUE"""),"Colorado")</f>
        <v>Colorado</v>
      </c>
      <c r="B113" s="144" t="str">
        <f>IFERROR(__xludf.DUMMYFUNCTION("""COMPUTED_VALUE"""),"2º CRBM")</f>
        <v>2º CRBM</v>
      </c>
      <c r="C113" s="1" t="str">
        <f>IFERROR(__xludf.DUMMYFUNCTION("""COMPUTED_VALUE"""),"7º BBM")</f>
        <v>7º BBM</v>
      </c>
      <c r="D113" s="1" t="str">
        <f>IFERROR(__xludf.DUMMYFUNCTION("""COMPUTED_VALUE"""),"Tapera")</f>
        <v>Tapera</v>
      </c>
      <c r="E113" s="1" t="str">
        <f>IFERROR(__xludf.DUMMYFUNCTION("""COMPUTED_VALUE"""),"NPBM")</f>
        <v>NPBM</v>
      </c>
      <c r="F113" s="1" t="str">
        <f>IFERROR(__xludf.DUMMYFUNCTION("""COMPUTED_VALUE"""),"NPBM")</f>
        <v>NPBM</v>
      </c>
      <c r="G113" s="1"/>
      <c r="H113" s="1" t="str">
        <f>IFERROR(__xludf.DUMMYFUNCTION("""COMPUTED_VALUE"""),"")</f>
        <v/>
      </c>
      <c r="I113" s="1" t="str">
        <f>IFERROR(__xludf.DUMMYFUNCTION("""COMPUTED_VALUE"""),"")</f>
        <v/>
      </c>
    </row>
    <row r="114" customHeight="1" spans="1:9">
      <c r="A114" s="1" t="str">
        <f>IFERROR(__xludf.DUMMYFUNCTION("""COMPUTED_VALUE"""),"Condor")</f>
        <v>Condor</v>
      </c>
      <c r="B114" s="144" t="str">
        <f>IFERROR(__xludf.DUMMYFUNCTION("""COMPUTED_VALUE"""),"4º CRBM")</f>
        <v>4º CRBM</v>
      </c>
      <c r="C114" s="1" t="str">
        <f>IFERROR(__xludf.DUMMYFUNCTION("""COMPUTED_VALUE"""),"12º BBM")</f>
        <v>12º BBM</v>
      </c>
      <c r="D114" s="1" t="str">
        <f>IFERROR(__xludf.DUMMYFUNCTION("""COMPUTED_VALUE"""),"Panambi")</f>
        <v>Panambi</v>
      </c>
      <c r="E114" s="1" t="str">
        <f>IFERROR(__xludf.DUMMYFUNCTION("""COMPUTED_VALUE"""),"NPBM")</f>
        <v>NPBM</v>
      </c>
      <c r="F114" s="1" t="str">
        <f>IFERROR(__xludf.DUMMYFUNCTION("""COMPUTED_VALUE"""),"NPBM")</f>
        <v>NPBM</v>
      </c>
      <c r="G114" s="1"/>
      <c r="H114" s="1" t="str">
        <f>IFERROR(__xludf.DUMMYFUNCTION("""COMPUTED_VALUE"""),"")</f>
        <v/>
      </c>
      <c r="I114" s="1" t="str">
        <f>IFERROR(__xludf.DUMMYFUNCTION("""COMPUTED_VALUE"""),"")</f>
        <v/>
      </c>
    </row>
    <row r="115" customHeight="1" spans="1:9">
      <c r="A115" s="1" t="str">
        <f>IFERROR(__xludf.DUMMYFUNCTION("""COMPUTED_VALUE"""),"Constantina")</f>
        <v>Constantina</v>
      </c>
      <c r="B115" s="144" t="str">
        <f>IFERROR(__xludf.DUMMYFUNCTION("""COMPUTED_VALUE"""),"2º CRBM")</f>
        <v>2º CRBM</v>
      </c>
      <c r="C115" s="1" t="str">
        <f>IFERROR(__xludf.DUMMYFUNCTION("""COMPUTED_VALUE"""),"7º BBM")</f>
        <v>7º BBM</v>
      </c>
      <c r="D115" s="1" t="str">
        <f>IFERROR(__xludf.DUMMYFUNCTION("""COMPUTED_VALUE"""),"Sarandi")</f>
        <v>Sarandi</v>
      </c>
      <c r="E115" s="1" t="str">
        <f>IFERROR(__xludf.DUMMYFUNCTION("""COMPUTED_VALUE"""),"SCAB")</f>
        <v>SCAB</v>
      </c>
      <c r="F115" s="1" t="str">
        <f>IFERROR(__xludf.DUMMYFUNCTION("""COMPUTED_VALUE"""),"Municipal")</f>
        <v>Municipal</v>
      </c>
      <c r="G115" s="234" t="str">
        <f>IFERROR(__xludf.DUMMYFUNCTION("""COMPUTED_VALUE""")," 1 - Credenciado")</f>
        <v> 1 - Credenciado</v>
      </c>
      <c r="H115" s="1" t="str">
        <f>IFERROR(__xludf.DUMMYFUNCTION("""COMPUTED_VALUE"""),"")</f>
        <v/>
      </c>
      <c r="I115" s="1" t="str">
        <f>IFERROR(__xludf.DUMMYFUNCTION("""COMPUTED_VALUE"""),"")</f>
        <v/>
      </c>
    </row>
    <row r="116" customHeight="1" spans="1:9">
      <c r="A116" s="1" t="str">
        <f>IFERROR(__xludf.DUMMYFUNCTION("""COMPUTED_VALUE"""),"Coqueiro Baixo")</f>
        <v>Coqueiro Baixo</v>
      </c>
      <c r="B116" s="144" t="str">
        <f>IFERROR(__xludf.DUMMYFUNCTION("""COMPUTED_VALUE"""),"4º CRBM")</f>
        <v>4º CRBM</v>
      </c>
      <c r="C116" s="1" t="str">
        <f>IFERROR(__xludf.DUMMYFUNCTION("""COMPUTED_VALUE"""),"6º BBM")</f>
        <v>6º BBM</v>
      </c>
      <c r="D116" s="1" t="str">
        <f>IFERROR(__xludf.DUMMYFUNCTION("""COMPUTED_VALUE"""),"Encantado")</f>
        <v>Encantado</v>
      </c>
      <c r="E116" s="1" t="str">
        <f>IFERROR(__xludf.DUMMYFUNCTION("""COMPUTED_VALUE"""),"NPBM")</f>
        <v>NPBM</v>
      </c>
      <c r="F116" s="1" t="str">
        <f>IFERROR(__xludf.DUMMYFUNCTION("""COMPUTED_VALUE"""),"NPBM")</f>
        <v>NPBM</v>
      </c>
      <c r="G116" s="1"/>
      <c r="H116" s="1" t="str">
        <f>IFERROR(__xludf.DUMMYFUNCTION("""COMPUTED_VALUE"""),"")</f>
        <v/>
      </c>
      <c r="I116" s="1" t="str">
        <f>IFERROR(__xludf.DUMMYFUNCTION("""COMPUTED_VALUE"""),"")</f>
        <v/>
      </c>
    </row>
    <row r="117" customHeight="1" spans="1:9">
      <c r="A117" s="1" t="str">
        <f>IFERROR(__xludf.DUMMYFUNCTION("""COMPUTED_VALUE"""),"Coqueiros do Sul")</f>
        <v>Coqueiros do Sul</v>
      </c>
      <c r="B117" s="144" t="str">
        <f>IFERROR(__xludf.DUMMYFUNCTION("""COMPUTED_VALUE"""),"2º CRBM")</f>
        <v>2º CRBM</v>
      </c>
      <c r="C117" s="1" t="str">
        <f>IFERROR(__xludf.DUMMYFUNCTION("""COMPUTED_VALUE"""),"7º BBM")</f>
        <v>7º BBM</v>
      </c>
      <c r="D117" s="1" t="str">
        <f>IFERROR(__xludf.DUMMYFUNCTION("""COMPUTED_VALUE"""),"Carazinho")</f>
        <v>Carazinho</v>
      </c>
      <c r="E117" s="1" t="str">
        <f>IFERROR(__xludf.DUMMYFUNCTION("""COMPUTED_VALUE"""),"NPBM")</f>
        <v>NPBM</v>
      </c>
      <c r="F117" s="1" t="str">
        <f>IFERROR(__xludf.DUMMYFUNCTION("""COMPUTED_VALUE"""),"NPBM")</f>
        <v>NPBM</v>
      </c>
      <c r="G117" s="1"/>
      <c r="H117" s="1" t="str">
        <f>IFERROR(__xludf.DUMMYFUNCTION("""COMPUTED_VALUE"""),"")</f>
        <v/>
      </c>
      <c r="I117" s="1" t="str">
        <f>IFERROR(__xludf.DUMMYFUNCTION("""COMPUTED_VALUE"""),"")</f>
        <v/>
      </c>
    </row>
    <row r="118" customHeight="1" spans="1:9">
      <c r="A118" s="1" t="str">
        <f>IFERROR(__xludf.DUMMYFUNCTION("""COMPUTED_VALUE"""),"Coronel Barros")</f>
        <v>Coronel Barros</v>
      </c>
      <c r="B118" s="144" t="str">
        <f>IFERROR(__xludf.DUMMYFUNCTION("""COMPUTED_VALUE"""),"4º CRBM")</f>
        <v>4º CRBM</v>
      </c>
      <c r="C118" s="1" t="str">
        <f>IFERROR(__xludf.DUMMYFUNCTION("""COMPUTED_VALUE"""),"12º BBM")</f>
        <v>12º BBM</v>
      </c>
      <c r="D118" s="1" t="str">
        <f>IFERROR(__xludf.DUMMYFUNCTION("""COMPUTED_VALUE"""),"Ijuí")</f>
        <v>Ijuí</v>
      </c>
      <c r="E118" s="1" t="str">
        <f>IFERROR(__xludf.DUMMYFUNCTION("""COMPUTED_VALUE"""),"NPBM")</f>
        <v>NPBM</v>
      </c>
      <c r="F118" s="1" t="str">
        <f>IFERROR(__xludf.DUMMYFUNCTION("""COMPUTED_VALUE"""),"NPBM")</f>
        <v>NPBM</v>
      </c>
      <c r="G118" s="1"/>
      <c r="H118" s="1" t="str">
        <f>IFERROR(__xludf.DUMMYFUNCTION("""COMPUTED_VALUE"""),"")</f>
        <v/>
      </c>
      <c r="I118" s="1" t="str">
        <f>IFERROR(__xludf.DUMMYFUNCTION("""COMPUTED_VALUE"""),"")</f>
        <v/>
      </c>
    </row>
    <row r="119" customHeight="1" spans="1:9">
      <c r="A119" s="1" t="str">
        <f>IFERROR(__xludf.DUMMYFUNCTION("""COMPUTED_VALUE"""),"Coronel Bicaco")</f>
        <v>Coronel Bicaco</v>
      </c>
      <c r="B119" s="144" t="str">
        <f>IFERROR(__xludf.DUMMYFUNCTION("""COMPUTED_VALUE"""),"4º CRBM")</f>
        <v>4º CRBM</v>
      </c>
      <c r="C119" s="1" t="str">
        <f>IFERROR(__xludf.DUMMYFUNCTION("""COMPUTED_VALUE"""),"11º BBM")</f>
        <v>11º BBM</v>
      </c>
      <c r="D119" s="1" t="str">
        <f>IFERROR(__xludf.DUMMYFUNCTION("""COMPUTED_VALUE"""),"Três Passos")</f>
        <v>Três Passos</v>
      </c>
      <c r="E119" s="1" t="str">
        <f>IFERROR(__xludf.DUMMYFUNCTION("""COMPUTED_VALUE"""),"NPBM")</f>
        <v>NPBM</v>
      </c>
      <c r="F119" s="1" t="str">
        <f>IFERROR(__xludf.DUMMYFUNCTION("""COMPUTED_VALUE"""),"NPBM")</f>
        <v>NPBM</v>
      </c>
      <c r="G119" s="1"/>
      <c r="H119" s="1" t="str">
        <f>IFERROR(__xludf.DUMMYFUNCTION("""COMPUTED_VALUE"""),"")</f>
        <v/>
      </c>
      <c r="I119" s="1" t="str">
        <f>IFERROR(__xludf.DUMMYFUNCTION("""COMPUTED_VALUE"""),"")</f>
        <v/>
      </c>
    </row>
    <row r="120" customHeight="1" spans="1:9">
      <c r="A120" s="1" t="str">
        <f>IFERROR(__xludf.DUMMYFUNCTION("""COMPUTED_VALUE"""),"Coronel Pilar")</f>
        <v>Coronel Pilar</v>
      </c>
      <c r="B120" s="144" t="str">
        <f>IFERROR(__xludf.DUMMYFUNCTION("""COMPUTED_VALUE"""),"2º CRBM")</f>
        <v>2º CRBM</v>
      </c>
      <c r="C120" s="1" t="str">
        <f>IFERROR(__xludf.DUMMYFUNCTION("""COMPUTED_VALUE"""),"5º BBM")</f>
        <v>5º BBM</v>
      </c>
      <c r="D120" s="1" t="str">
        <f>IFERROR(__xludf.DUMMYFUNCTION("""COMPUTED_VALUE"""),"Bento Gonçalves")</f>
        <v>Bento Gonçalves</v>
      </c>
      <c r="E120" s="1" t="str">
        <f>IFERROR(__xludf.DUMMYFUNCTION("""COMPUTED_VALUE"""),"NPBM")</f>
        <v>NPBM</v>
      </c>
      <c r="F120" s="1" t="str">
        <f>IFERROR(__xludf.DUMMYFUNCTION("""COMPUTED_VALUE"""),"NPBM")</f>
        <v>NPBM</v>
      </c>
      <c r="G120" s="1"/>
      <c r="H120" s="1" t="str">
        <f>IFERROR(__xludf.DUMMYFUNCTION("""COMPUTED_VALUE"""),"")</f>
        <v/>
      </c>
      <c r="I120" s="1" t="str">
        <f>IFERROR(__xludf.DUMMYFUNCTION("""COMPUTED_VALUE"""),"")</f>
        <v/>
      </c>
    </row>
    <row r="121" customHeight="1" spans="1:9">
      <c r="A121" s="1" t="str">
        <f>IFERROR(__xludf.DUMMYFUNCTION("""COMPUTED_VALUE"""),"Cotiporã")</f>
        <v>Cotiporã</v>
      </c>
      <c r="B121" s="144" t="str">
        <f>IFERROR(__xludf.DUMMYFUNCTION("""COMPUTED_VALUE"""),"2º CRBM")</f>
        <v>2º CRBM</v>
      </c>
      <c r="C121" s="1" t="str">
        <f>IFERROR(__xludf.DUMMYFUNCTION("""COMPUTED_VALUE"""),"5º BBM")</f>
        <v>5º BBM</v>
      </c>
      <c r="D121" s="1" t="str">
        <f>IFERROR(__xludf.DUMMYFUNCTION("""COMPUTED_VALUE"""),"Veranópolis")</f>
        <v>Veranópolis</v>
      </c>
      <c r="E121" s="1" t="str">
        <f>IFERROR(__xludf.DUMMYFUNCTION("""COMPUTED_VALUE"""),"NPBM")</f>
        <v>NPBM</v>
      </c>
      <c r="F121" s="1" t="str">
        <f>IFERROR(__xludf.DUMMYFUNCTION("""COMPUTED_VALUE"""),"NPBM")</f>
        <v>NPBM</v>
      </c>
      <c r="G121" s="1"/>
      <c r="H121" s="1" t="str">
        <f>IFERROR(__xludf.DUMMYFUNCTION("""COMPUTED_VALUE"""),"")</f>
        <v/>
      </c>
      <c r="I121" s="1" t="str">
        <f>IFERROR(__xludf.DUMMYFUNCTION("""COMPUTED_VALUE"""),"")</f>
        <v/>
      </c>
    </row>
    <row r="122" customHeight="1" spans="1:9">
      <c r="A122" s="1" t="str">
        <f>IFERROR(__xludf.DUMMYFUNCTION("""COMPUTED_VALUE"""),"Coxilha")</f>
        <v>Coxilha</v>
      </c>
      <c r="B122" s="144" t="str">
        <f>IFERROR(__xludf.DUMMYFUNCTION("""COMPUTED_VALUE"""),"2º CRBM")</f>
        <v>2º CRBM</v>
      </c>
      <c r="C122" s="1" t="str">
        <f>IFERROR(__xludf.DUMMYFUNCTION("""COMPUTED_VALUE"""),"7º BBM")</f>
        <v>7º BBM</v>
      </c>
      <c r="D122" s="1" t="str">
        <f>IFERROR(__xludf.DUMMYFUNCTION("""COMPUTED_VALUE"""),"Passo Fundo")</f>
        <v>Passo Fundo</v>
      </c>
      <c r="E122" s="1" t="str">
        <f>IFERROR(__xludf.DUMMYFUNCTION("""COMPUTED_VALUE"""),"NPBM")</f>
        <v>NPBM</v>
      </c>
      <c r="F122" s="1" t="str">
        <f>IFERROR(__xludf.DUMMYFUNCTION("""COMPUTED_VALUE"""),"NPBM")</f>
        <v>NPBM</v>
      </c>
      <c r="G122" s="1"/>
      <c r="H122" s="1" t="str">
        <f>IFERROR(__xludf.DUMMYFUNCTION("""COMPUTED_VALUE"""),"")</f>
        <v/>
      </c>
      <c r="I122" s="1" t="str">
        <f>IFERROR(__xludf.DUMMYFUNCTION("""COMPUTED_VALUE"""),"")</f>
        <v/>
      </c>
    </row>
    <row r="123" customHeight="1" spans="1:9">
      <c r="A123" s="1" t="str">
        <f>IFERROR(__xludf.DUMMYFUNCTION("""COMPUTED_VALUE"""),"Crissiumal")</f>
        <v>Crissiumal</v>
      </c>
      <c r="B123" s="144" t="str">
        <f>IFERROR(__xludf.DUMMYFUNCTION("""COMPUTED_VALUE"""),"4º CRBM")</f>
        <v>4º CRBM</v>
      </c>
      <c r="C123" s="1" t="str">
        <f>IFERROR(__xludf.DUMMYFUNCTION("""COMPUTED_VALUE"""),"11º BBM")</f>
        <v>11º BBM</v>
      </c>
      <c r="D123" s="1" t="str">
        <f>IFERROR(__xludf.DUMMYFUNCTION("""COMPUTED_VALUE"""),"Três Passos")</f>
        <v>Três Passos</v>
      </c>
      <c r="E123" s="1" t="str">
        <f>IFERROR(__xludf.DUMMYFUNCTION("""COMPUTED_VALUE"""),"SCAB")</f>
        <v>SCAB</v>
      </c>
      <c r="F123" s="1" t="str">
        <f>IFERROR(__xludf.DUMMYFUNCTION("""COMPUTED_VALUE"""),"Municipal")</f>
        <v>Municipal</v>
      </c>
      <c r="G123" s="234" t="str">
        <f>IFERROR(__xludf.DUMMYFUNCTION("""COMPUTED_VALUE""")," 1 - Credenciado")</f>
        <v> 1 - Credenciado</v>
      </c>
      <c r="H123" s="1" t="str">
        <f>IFERROR(__xludf.DUMMYFUNCTION("""COMPUTED_VALUE"""),"")</f>
        <v/>
      </c>
      <c r="I123" s="1" t="str">
        <f>IFERROR(__xludf.DUMMYFUNCTION("""COMPUTED_VALUE"""),"")</f>
        <v/>
      </c>
    </row>
    <row r="124" customHeight="1" spans="1:9">
      <c r="A124" s="1" t="str">
        <f>IFERROR(__xludf.DUMMYFUNCTION("""COMPUTED_VALUE"""),"Cristal")</f>
        <v>Cristal</v>
      </c>
      <c r="B124" s="144" t="str">
        <f>IFERROR(__xludf.DUMMYFUNCTION("""COMPUTED_VALUE"""),"4º CRBM")</f>
        <v>4º CRBM</v>
      </c>
      <c r="C124" s="1" t="str">
        <f>IFERROR(__xludf.DUMMYFUNCTION("""COMPUTED_VALUE"""),"6º BBM")</f>
        <v>6º BBM</v>
      </c>
      <c r="D124" s="1" t="str">
        <f>IFERROR(__xludf.DUMMYFUNCTION("""COMPUTED_VALUE"""),"Camaquã")</f>
        <v>Camaquã</v>
      </c>
      <c r="E124" s="1" t="str">
        <f>IFERROR(__xludf.DUMMYFUNCTION("""COMPUTED_VALUE"""),"NPBM")</f>
        <v>NPBM</v>
      </c>
      <c r="F124" s="1" t="str">
        <f>IFERROR(__xludf.DUMMYFUNCTION("""COMPUTED_VALUE"""),"NPBM")</f>
        <v>NPBM</v>
      </c>
      <c r="G124" s="1"/>
      <c r="H124" s="1" t="str">
        <f>IFERROR(__xludf.DUMMYFUNCTION("""COMPUTED_VALUE"""),"")</f>
        <v/>
      </c>
      <c r="I124" s="1" t="str">
        <f>IFERROR(__xludf.DUMMYFUNCTION("""COMPUTED_VALUE"""),"")</f>
        <v/>
      </c>
    </row>
    <row r="125" customHeight="1" spans="1:9">
      <c r="A125" s="1" t="str">
        <f>IFERROR(__xludf.DUMMYFUNCTION("""COMPUTED_VALUE"""),"Cristal do Sul")</f>
        <v>Cristal do Sul</v>
      </c>
      <c r="B125" s="144" t="str">
        <f>IFERROR(__xludf.DUMMYFUNCTION("""COMPUTED_VALUE"""),"4º CRBM")</f>
        <v>4º CRBM</v>
      </c>
      <c r="C125" s="1" t="str">
        <f>IFERROR(__xludf.DUMMYFUNCTION("""COMPUTED_VALUE"""),"12º BBM")</f>
        <v>12º BBM</v>
      </c>
      <c r="D125" s="1" t="str">
        <f>IFERROR(__xludf.DUMMYFUNCTION("""COMPUTED_VALUE"""),"Frederico Westphalen")</f>
        <v>Frederico Westphalen</v>
      </c>
      <c r="E125" s="1" t="str">
        <f>IFERROR(__xludf.DUMMYFUNCTION("""COMPUTED_VALUE"""),"NPBM")</f>
        <v>NPBM</v>
      </c>
      <c r="F125" s="1" t="str">
        <f>IFERROR(__xludf.DUMMYFUNCTION("""COMPUTED_VALUE"""),"NPBM")</f>
        <v>NPBM</v>
      </c>
      <c r="G125" s="1"/>
      <c r="H125" s="1" t="str">
        <f>IFERROR(__xludf.DUMMYFUNCTION("""COMPUTED_VALUE"""),"")</f>
        <v/>
      </c>
      <c r="I125" s="1" t="str">
        <f>IFERROR(__xludf.DUMMYFUNCTION("""COMPUTED_VALUE"""),"")</f>
        <v/>
      </c>
    </row>
    <row r="126" customHeight="1" spans="1:9">
      <c r="A126" s="1" t="str">
        <f>IFERROR(__xludf.DUMMYFUNCTION("""COMPUTED_VALUE"""),"Cruz Alta")</f>
        <v>Cruz Alta</v>
      </c>
      <c r="B126" s="144" t="str">
        <f>IFERROR(__xludf.DUMMYFUNCTION("""COMPUTED_VALUE"""),"4º CRBM")</f>
        <v>4º CRBM</v>
      </c>
      <c r="C126" s="1" t="str">
        <f>IFERROR(__xludf.DUMMYFUNCTION("""COMPUTED_VALUE"""),"12º BBM")</f>
        <v>12º BBM</v>
      </c>
      <c r="D126" s="1" t="str">
        <f>IFERROR(__xludf.DUMMYFUNCTION("""COMPUTED_VALUE"""),"Cruz Alta")</f>
        <v>Cruz Alta</v>
      </c>
      <c r="E126" s="1" t="str">
        <f>IFERROR(__xludf.DUMMYFUNCTION("""COMPUTED_VALUE"""),"Militar")</f>
        <v>Militar</v>
      </c>
      <c r="F126" s="1" t="str">
        <f>IFERROR(__xludf.DUMMYFUNCTION("""COMPUTED_VALUE"""),"Militar")</f>
        <v>Militar</v>
      </c>
      <c r="G126" s="1"/>
      <c r="H126" s="1">
        <f>IFERROR(__xludf.DUMMYFUNCTION("""COMPUTED_VALUE"""),1)</f>
        <v>1</v>
      </c>
      <c r="I126" s="1" t="str">
        <f>IFERROR(__xludf.DUMMYFUNCTION("""COMPUTED_VALUE"""),"")</f>
        <v/>
      </c>
    </row>
    <row r="127" customHeight="1" spans="1:9">
      <c r="A127" s="1" t="str">
        <f>IFERROR(__xludf.DUMMYFUNCTION("""COMPUTED_VALUE"""),"Cruzaltense")</f>
        <v>Cruzaltense</v>
      </c>
      <c r="B127" s="144" t="str">
        <f>IFERROR(__xludf.DUMMYFUNCTION("""COMPUTED_VALUE"""),"2º CRBM")</f>
        <v>2º CRBM</v>
      </c>
      <c r="C127" s="1" t="str">
        <f>IFERROR(__xludf.DUMMYFUNCTION("""COMPUTED_VALUE"""),"7º BBM")</f>
        <v>7º BBM</v>
      </c>
      <c r="D127" s="1" t="str">
        <f>IFERROR(__xludf.DUMMYFUNCTION("""COMPUTED_VALUE"""),"Erechim")</f>
        <v>Erechim</v>
      </c>
      <c r="E127" s="1" t="str">
        <f>IFERROR(__xludf.DUMMYFUNCTION("""COMPUTED_VALUE"""),"NPBM")</f>
        <v>NPBM</v>
      </c>
      <c r="F127" s="1" t="str">
        <f>IFERROR(__xludf.DUMMYFUNCTION("""COMPUTED_VALUE"""),"NPBM")</f>
        <v>NPBM</v>
      </c>
      <c r="G127" s="1"/>
      <c r="H127" s="1" t="str">
        <f>IFERROR(__xludf.DUMMYFUNCTION("""COMPUTED_VALUE"""),"")</f>
        <v/>
      </c>
      <c r="I127" s="1" t="str">
        <f>IFERROR(__xludf.DUMMYFUNCTION("""COMPUTED_VALUE"""),"")</f>
        <v/>
      </c>
    </row>
    <row r="128" customHeight="1" spans="1:9">
      <c r="A128" s="1" t="str">
        <f>IFERROR(__xludf.DUMMYFUNCTION("""COMPUTED_VALUE"""),"Cruzeiro do Sul")</f>
        <v>Cruzeiro do Sul</v>
      </c>
      <c r="B128" s="144" t="str">
        <f>IFERROR(__xludf.DUMMYFUNCTION("""COMPUTED_VALUE"""),"4º CRBM")</f>
        <v>4º CRBM</v>
      </c>
      <c r="C128" s="1" t="str">
        <f>IFERROR(__xludf.DUMMYFUNCTION("""COMPUTED_VALUE"""),"6º BBM")</f>
        <v>6º BBM</v>
      </c>
      <c r="D128" s="1" t="str">
        <f>IFERROR(__xludf.DUMMYFUNCTION("""COMPUTED_VALUE"""),"Lajeado")</f>
        <v>Lajeado</v>
      </c>
      <c r="E128" s="1" t="str">
        <f>IFERROR(__xludf.DUMMYFUNCTION("""COMPUTED_VALUE"""),"NPBM")</f>
        <v>NPBM</v>
      </c>
      <c r="F128" s="1" t="str">
        <f>IFERROR(__xludf.DUMMYFUNCTION("""COMPUTED_VALUE"""),"NPBM")</f>
        <v>NPBM</v>
      </c>
      <c r="G128" s="1"/>
      <c r="H128" s="1" t="str">
        <f>IFERROR(__xludf.DUMMYFUNCTION("""COMPUTED_VALUE"""),"")</f>
        <v/>
      </c>
      <c r="I128" s="1" t="str">
        <f>IFERROR(__xludf.DUMMYFUNCTION("""COMPUTED_VALUE"""),"")</f>
        <v/>
      </c>
    </row>
    <row r="129" customHeight="1" spans="1:9">
      <c r="A129" s="1" t="str">
        <f>IFERROR(__xludf.DUMMYFUNCTION("""COMPUTED_VALUE"""),"David Canabarro")</f>
        <v>David Canabarro</v>
      </c>
      <c r="B129" s="144" t="str">
        <f>IFERROR(__xludf.DUMMYFUNCTION("""COMPUTED_VALUE"""),"2º CRBM")</f>
        <v>2º CRBM</v>
      </c>
      <c r="C129" s="1" t="str">
        <f>IFERROR(__xludf.DUMMYFUNCTION("""COMPUTED_VALUE"""),"7º BBM")</f>
        <v>7º BBM</v>
      </c>
      <c r="D129" s="1" t="str">
        <f>IFERROR(__xludf.DUMMYFUNCTION("""COMPUTED_VALUE"""),"Lagoa Vermelha")</f>
        <v>Lagoa Vermelha</v>
      </c>
      <c r="E129" s="1" t="str">
        <f>IFERROR(__xludf.DUMMYFUNCTION("""COMPUTED_VALUE"""),"NPBM")</f>
        <v>NPBM</v>
      </c>
      <c r="F129" s="1" t="str">
        <f>IFERROR(__xludf.DUMMYFUNCTION("""COMPUTED_VALUE"""),"NPBM")</f>
        <v>NPBM</v>
      </c>
      <c r="G129" s="1"/>
      <c r="H129" s="1" t="str">
        <f>IFERROR(__xludf.DUMMYFUNCTION("""COMPUTED_VALUE"""),"")</f>
        <v/>
      </c>
      <c r="I129" s="1" t="str">
        <f>IFERROR(__xludf.DUMMYFUNCTION("""COMPUTED_VALUE"""),"")</f>
        <v/>
      </c>
    </row>
    <row r="130" customHeight="1" spans="1:9">
      <c r="A130" s="1" t="str">
        <f>IFERROR(__xludf.DUMMYFUNCTION("""COMPUTED_VALUE"""),"Derrubadas")</f>
        <v>Derrubadas</v>
      </c>
      <c r="B130" s="144" t="str">
        <f>IFERROR(__xludf.DUMMYFUNCTION("""COMPUTED_VALUE"""),"4º CRBM")</f>
        <v>4º CRBM</v>
      </c>
      <c r="C130" s="1" t="str">
        <f>IFERROR(__xludf.DUMMYFUNCTION("""COMPUTED_VALUE"""),"11º BBM")</f>
        <v>11º BBM</v>
      </c>
      <c r="D130" s="1" t="str">
        <f>IFERROR(__xludf.DUMMYFUNCTION("""COMPUTED_VALUE"""),"Três Passos")</f>
        <v>Três Passos</v>
      </c>
      <c r="E130" s="1" t="str">
        <f>IFERROR(__xludf.DUMMYFUNCTION("""COMPUTED_VALUE"""),"NPBM")</f>
        <v>NPBM</v>
      </c>
      <c r="F130" s="1" t="str">
        <f>IFERROR(__xludf.DUMMYFUNCTION("""COMPUTED_VALUE"""),"NPBM")</f>
        <v>NPBM</v>
      </c>
      <c r="G130" s="1"/>
      <c r="H130" s="1" t="str">
        <f>IFERROR(__xludf.DUMMYFUNCTION("""COMPUTED_VALUE"""),"")</f>
        <v/>
      </c>
      <c r="I130" s="1" t="str">
        <f>IFERROR(__xludf.DUMMYFUNCTION("""COMPUTED_VALUE"""),"")</f>
        <v/>
      </c>
    </row>
    <row r="131" customHeight="1" spans="1:9">
      <c r="A131" s="1" t="str">
        <f>IFERROR(__xludf.DUMMYFUNCTION("""COMPUTED_VALUE"""),"Dezesseis de Novembro")</f>
        <v>Dezesseis de Novembro</v>
      </c>
      <c r="B131" s="144" t="str">
        <f>IFERROR(__xludf.DUMMYFUNCTION("""COMPUTED_VALUE"""),"4º CRBM")</f>
        <v>4º CRBM</v>
      </c>
      <c r="C131" s="1" t="str">
        <f>IFERROR(__xludf.DUMMYFUNCTION("""COMPUTED_VALUE"""),"11º BBM")</f>
        <v>11º BBM</v>
      </c>
      <c r="D131" s="1" t="str">
        <f>IFERROR(__xludf.DUMMYFUNCTION("""COMPUTED_VALUE"""),"São Luiz Gonzaga")</f>
        <v>São Luiz Gonzaga</v>
      </c>
      <c r="E131" s="1" t="str">
        <f>IFERROR(__xludf.DUMMYFUNCTION("""COMPUTED_VALUE"""),"NPBM")</f>
        <v>NPBM</v>
      </c>
      <c r="F131" s="1" t="str">
        <f>IFERROR(__xludf.DUMMYFUNCTION("""COMPUTED_VALUE"""),"NPBM")</f>
        <v>NPBM</v>
      </c>
      <c r="G131" s="1"/>
      <c r="H131" s="1" t="str">
        <f>IFERROR(__xludf.DUMMYFUNCTION("""COMPUTED_VALUE"""),"")</f>
        <v/>
      </c>
      <c r="I131" s="1" t="str">
        <f>IFERROR(__xludf.DUMMYFUNCTION("""COMPUTED_VALUE"""),"")</f>
        <v/>
      </c>
    </row>
    <row r="132" customHeight="1" spans="1:9">
      <c r="A132" s="1" t="str">
        <f>IFERROR(__xludf.DUMMYFUNCTION("""COMPUTED_VALUE"""),"Dilermando de Aguiar")</f>
        <v>Dilermando de Aguiar</v>
      </c>
      <c r="B132" s="144" t="str">
        <f>IFERROR(__xludf.DUMMYFUNCTION("""COMPUTED_VALUE"""),"4º CRBM")</f>
        <v>4º CRBM</v>
      </c>
      <c r="C132" s="1" t="str">
        <f>IFERROR(__xludf.DUMMYFUNCTION("""COMPUTED_VALUE"""),"4º BBM")</f>
        <v>4º BBM</v>
      </c>
      <c r="D132" s="1" t="str">
        <f>IFERROR(__xludf.DUMMYFUNCTION("""COMPUTED_VALUE"""),"São Pedro do Sul")</f>
        <v>São Pedro do Sul</v>
      </c>
      <c r="E132" s="1" t="str">
        <f>IFERROR(__xludf.DUMMYFUNCTION("""COMPUTED_VALUE"""),"NPBM")</f>
        <v>NPBM</v>
      </c>
      <c r="F132" s="1" t="str">
        <f>IFERROR(__xludf.DUMMYFUNCTION("""COMPUTED_VALUE"""),"NPBM")</f>
        <v>NPBM</v>
      </c>
      <c r="G132" s="1"/>
      <c r="H132" s="1" t="str">
        <f>IFERROR(__xludf.DUMMYFUNCTION("""COMPUTED_VALUE"""),"")</f>
        <v/>
      </c>
      <c r="I132" s="1" t="str">
        <f>IFERROR(__xludf.DUMMYFUNCTION("""COMPUTED_VALUE"""),"")</f>
        <v/>
      </c>
    </row>
    <row r="133" customHeight="1" spans="1:9">
      <c r="A133" s="1" t="str">
        <f>IFERROR(__xludf.DUMMYFUNCTION("""COMPUTED_VALUE"""),"Dois Irmãos")</f>
        <v>Dois Irmãos</v>
      </c>
      <c r="B133" s="144" t="str">
        <f>IFERROR(__xludf.DUMMYFUNCTION("""COMPUTED_VALUE"""),"2º CRBM")</f>
        <v>2º CRBM</v>
      </c>
      <c r="C133" s="1" t="str">
        <f>IFERROR(__xludf.DUMMYFUNCTION("""COMPUTED_VALUE"""),"2º BBM")</f>
        <v>2º BBM</v>
      </c>
      <c r="D133" s="1" t="str">
        <f>IFERROR(__xludf.DUMMYFUNCTION("""COMPUTED_VALUE"""),"Dois Irmãos")</f>
        <v>Dois Irmãos</v>
      </c>
      <c r="E133" s="1" t="str">
        <f>IFERROR(__xludf.DUMMYFUNCTION("""COMPUTED_VALUE"""),"Comunitário")</f>
        <v>Comunitário</v>
      </c>
      <c r="F133" s="1" t="str">
        <f>IFERROR(__xludf.DUMMYFUNCTION("""COMPUTED_VALUE"""),"Mil + Vol")</f>
        <v>Mil + Vol</v>
      </c>
      <c r="G133" s="1"/>
      <c r="H133" s="1">
        <f>IFERROR(__xludf.DUMMYFUNCTION("""COMPUTED_VALUE"""),1)</f>
        <v>1</v>
      </c>
      <c r="I133" s="1" t="str">
        <f>IFERROR(__xludf.DUMMYFUNCTION("""COMPUTED_VALUE"""),"")</f>
        <v/>
      </c>
    </row>
    <row r="134" customHeight="1" spans="1:9">
      <c r="A134" s="1" t="str">
        <f>IFERROR(__xludf.DUMMYFUNCTION("""COMPUTED_VALUE"""),"Dois Irmãos das Missões")</f>
        <v>Dois Irmãos das Missões</v>
      </c>
      <c r="B134" s="144" t="str">
        <f>IFERROR(__xludf.DUMMYFUNCTION("""COMPUTED_VALUE"""),"4º CRBM")</f>
        <v>4º CRBM</v>
      </c>
      <c r="C134" s="1" t="str">
        <f>IFERROR(__xludf.DUMMYFUNCTION("""COMPUTED_VALUE"""),"12º BBM")</f>
        <v>12º BBM</v>
      </c>
      <c r="D134" s="1" t="str">
        <f>IFERROR(__xludf.DUMMYFUNCTION("""COMPUTED_VALUE"""),"Palmeira das Missões")</f>
        <v>Palmeira das Missões</v>
      </c>
      <c r="E134" s="1" t="str">
        <f>IFERROR(__xludf.DUMMYFUNCTION("""COMPUTED_VALUE"""),"NPBM")</f>
        <v>NPBM</v>
      </c>
      <c r="F134" s="1" t="str">
        <f>IFERROR(__xludf.DUMMYFUNCTION("""COMPUTED_VALUE"""),"NPBM")</f>
        <v>NPBM</v>
      </c>
      <c r="G134" s="1"/>
      <c r="H134" s="1" t="str">
        <f>IFERROR(__xludf.DUMMYFUNCTION("""COMPUTED_VALUE"""),"")</f>
        <v/>
      </c>
      <c r="I134" s="1" t="str">
        <f>IFERROR(__xludf.DUMMYFUNCTION("""COMPUTED_VALUE"""),"")</f>
        <v/>
      </c>
    </row>
    <row r="135" customHeight="1" spans="1:9">
      <c r="A135" s="1" t="str">
        <f>IFERROR(__xludf.DUMMYFUNCTION("""COMPUTED_VALUE"""),"Dois Lajeados")</f>
        <v>Dois Lajeados</v>
      </c>
      <c r="B135" s="144" t="str">
        <f>IFERROR(__xludf.DUMMYFUNCTION("""COMPUTED_VALUE"""),"2º CRBM")</f>
        <v>2º CRBM</v>
      </c>
      <c r="C135" s="1" t="str">
        <f>IFERROR(__xludf.DUMMYFUNCTION("""COMPUTED_VALUE"""),"7º BBM")</f>
        <v>7º BBM</v>
      </c>
      <c r="D135" s="1" t="str">
        <f>IFERROR(__xludf.DUMMYFUNCTION("""COMPUTED_VALUE"""),"Guaporé")</f>
        <v>Guaporé</v>
      </c>
      <c r="E135" s="1" t="str">
        <f>IFERROR(__xludf.DUMMYFUNCTION("""COMPUTED_VALUE"""),"NPBM")</f>
        <v>NPBM</v>
      </c>
      <c r="F135" s="1" t="str">
        <f>IFERROR(__xludf.DUMMYFUNCTION("""COMPUTED_VALUE"""),"NPBM")</f>
        <v>NPBM</v>
      </c>
      <c r="G135" s="1"/>
      <c r="H135" s="1" t="str">
        <f>IFERROR(__xludf.DUMMYFUNCTION("""COMPUTED_VALUE"""),"")</f>
        <v/>
      </c>
      <c r="I135" s="1" t="str">
        <f>IFERROR(__xludf.DUMMYFUNCTION("""COMPUTED_VALUE"""),"")</f>
        <v/>
      </c>
    </row>
    <row r="136" customHeight="1" spans="1:9">
      <c r="A136" s="1" t="str">
        <f>IFERROR(__xludf.DUMMYFUNCTION("""COMPUTED_VALUE"""),"Dom Feliciano")</f>
        <v>Dom Feliciano</v>
      </c>
      <c r="B136" s="144" t="str">
        <f>IFERROR(__xludf.DUMMYFUNCTION("""COMPUTED_VALUE"""),"4º CRBM")</f>
        <v>4º CRBM</v>
      </c>
      <c r="C136" s="1" t="str">
        <f>IFERROR(__xludf.DUMMYFUNCTION("""COMPUTED_VALUE"""),"6º BBM")</f>
        <v>6º BBM</v>
      </c>
      <c r="D136" s="1" t="str">
        <f>IFERROR(__xludf.DUMMYFUNCTION("""COMPUTED_VALUE"""),"Camaquã")</f>
        <v>Camaquã</v>
      </c>
      <c r="E136" s="1" t="str">
        <f>IFERROR(__xludf.DUMMYFUNCTION("""COMPUTED_VALUE"""),"NPBM")</f>
        <v>NPBM</v>
      </c>
      <c r="F136" s="1" t="str">
        <f>IFERROR(__xludf.DUMMYFUNCTION("""COMPUTED_VALUE"""),"NPBM")</f>
        <v>NPBM</v>
      </c>
      <c r="G136" s="1"/>
      <c r="H136" s="1" t="str">
        <f>IFERROR(__xludf.DUMMYFUNCTION("""COMPUTED_VALUE"""),"")</f>
        <v/>
      </c>
      <c r="I136" s="1" t="str">
        <f>IFERROR(__xludf.DUMMYFUNCTION("""COMPUTED_VALUE"""),"")</f>
        <v/>
      </c>
    </row>
    <row r="137" customHeight="1" spans="1:9">
      <c r="A137" s="1" t="str">
        <f>IFERROR(__xludf.DUMMYFUNCTION("""COMPUTED_VALUE"""),"Dom Pedrito")</f>
        <v>Dom Pedrito</v>
      </c>
      <c r="B137" s="144" t="str">
        <f>IFERROR(__xludf.DUMMYFUNCTION("""COMPUTED_VALUE"""),"3º CRBM")</f>
        <v>3º CRBM</v>
      </c>
      <c r="C137" s="1" t="str">
        <f>IFERROR(__xludf.DUMMYFUNCTION("""COMPUTED_VALUE"""),"10º BBM")</f>
        <v>10º BBM</v>
      </c>
      <c r="D137" s="1" t="str">
        <f>IFERROR(__xludf.DUMMYFUNCTION("""COMPUTED_VALUE"""),"Dom Pedrito")</f>
        <v>Dom Pedrito</v>
      </c>
      <c r="E137" s="1" t="str">
        <f>IFERROR(__xludf.DUMMYFUNCTION("""COMPUTED_VALUE"""),"Militar")</f>
        <v>Militar</v>
      </c>
      <c r="F137" s="1" t="str">
        <f>IFERROR(__xludf.DUMMYFUNCTION("""COMPUTED_VALUE"""),"Militar")</f>
        <v>Militar</v>
      </c>
      <c r="G137" s="1"/>
      <c r="H137" s="1">
        <f>IFERROR(__xludf.DUMMYFUNCTION("""COMPUTED_VALUE"""),1)</f>
        <v>1</v>
      </c>
      <c r="I137" s="1" t="str">
        <f>IFERROR(__xludf.DUMMYFUNCTION("""COMPUTED_VALUE"""),"")</f>
        <v/>
      </c>
    </row>
    <row r="138" customHeight="1" spans="1:9">
      <c r="A138" s="1" t="str">
        <f>IFERROR(__xludf.DUMMYFUNCTION("""COMPUTED_VALUE"""),"Dom Pedro de Alcântara")</f>
        <v>Dom Pedro de Alcântara</v>
      </c>
      <c r="B138" s="144" t="str">
        <f>IFERROR(__xludf.DUMMYFUNCTION("""COMPUTED_VALUE"""),"1º CRBM")</f>
        <v>1º CRBM</v>
      </c>
      <c r="C138" s="1" t="str">
        <f>IFERROR(__xludf.DUMMYFUNCTION("""COMPUTED_VALUE"""),"9º BBM")</f>
        <v>9º BBM</v>
      </c>
      <c r="D138" s="1" t="str">
        <f>IFERROR(__xludf.DUMMYFUNCTION("""COMPUTED_VALUE"""),"Torres")</f>
        <v>Torres</v>
      </c>
      <c r="E138" s="1" t="str">
        <f>IFERROR(__xludf.DUMMYFUNCTION("""COMPUTED_VALUE"""),"NPBM")</f>
        <v>NPBM</v>
      </c>
      <c r="F138" s="1" t="str">
        <f>IFERROR(__xludf.DUMMYFUNCTION("""COMPUTED_VALUE"""),"NPBM")</f>
        <v>NPBM</v>
      </c>
      <c r="G138" s="1"/>
      <c r="H138" s="1" t="str">
        <f>IFERROR(__xludf.DUMMYFUNCTION("""COMPUTED_VALUE"""),"")</f>
        <v/>
      </c>
      <c r="I138" s="1" t="str">
        <f>IFERROR(__xludf.DUMMYFUNCTION("""COMPUTED_VALUE"""),"")</f>
        <v/>
      </c>
    </row>
    <row r="139" customHeight="1" spans="1:9">
      <c r="A139" s="1" t="str">
        <f>IFERROR(__xludf.DUMMYFUNCTION("""COMPUTED_VALUE"""),"Dona Francisca")</f>
        <v>Dona Francisca</v>
      </c>
      <c r="B139" s="144" t="str">
        <f>IFERROR(__xludf.DUMMYFUNCTION("""COMPUTED_VALUE"""),"4º CRBM")</f>
        <v>4º CRBM</v>
      </c>
      <c r="C139" s="1" t="str">
        <f>IFERROR(__xludf.DUMMYFUNCTION("""COMPUTED_VALUE"""),"4º BBM")</f>
        <v>4º BBM</v>
      </c>
      <c r="D139" s="1" t="str">
        <f>IFERROR(__xludf.DUMMYFUNCTION("""COMPUTED_VALUE"""),"Restinga Sêca")</f>
        <v>Restinga Sêca</v>
      </c>
      <c r="E139" s="1" t="str">
        <f>IFERROR(__xludf.DUMMYFUNCTION("""COMPUTED_VALUE"""),"NPBM")</f>
        <v>NPBM</v>
      </c>
      <c r="F139" s="1" t="str">
        <f>IFERROR(__xludf.DUMMYFUNCTION("""COMPUTED_VALUE"""),"NPBM")</f>
        <v>NPBM</v>
      </c>
      <c r="G139" s="1"/>
      <c r="H139" s="1" t="str">
        <f>IFERROR(__xludf.DUMMYFUNCTION("""COMPUTED_VALUE"""),"")</f>
        <v/>
      </c>
      <c r="I139" s="1" t="str">
        <f>IFERROR(__xludf.DUMMYFUNCTION("""COMPUTED_VALUE"""),"")</f>
        <v/>
      </c>
    </row>
    <row r="140" customHeight="1" spans="1:9">
      <c r="A140" s="1" t="str">
        <f>IFERROR(__xludf.DUMMYFUNCTION("""COMPUTED_VALUE"""),"Doutor Maurício Cardoso")</f>
        <v>Doutor Maurício Cardoso</v>
      </c>
      <c r="B140" s="144" t="str">
        <f>IFERROR(__xludf.DUMMYFUNCTION("""COMPUTED_VALUE"""),"4º CRBM")</f>
        <v>4º CRBM</v>
      </c>
      <c r="C140" s="1" t="str">
        <f>IFERROR(__xludf.DUMMYFUNCTION("""COMPUTED_VALUE"""),"11º BBM")</f>
        <v>11º BBM</v>
      </c>
      <c r="D140" s="1" t="str">
        <f>IFERROR(__xludf.DUMMYFUNCTION("""COMPUTED_VALUE"""),"Horizontina")</f>
        <v>Horizontina</v>
      </c>
      <c r="E140" s="1" t="str">
        <f>IFERROR(__xludf.DUMMYFUNCTION("""COMPUTED_VALUE"""),"NPBM")</f>
        <v>NPBM</v>
      </c>
      <c r="F140" s="1" t="str">
        <f>IFERROR(__xludf.DUMMYFUNCTION("""COMPUTED_VALUE"""),"NPBM")</f>
        <v>NPBM</v>
      </c>
      <c r="G140" s="1"/>
      <c r="H140" s="1" t="str">
        <f>IFERROR(__xludf.DUMMYFUNCTION("""COMPUTED_VALUE"""),"")</f>
        <v/>
      </c>
      <c r="I140" s="1" t="str">
        <f>IFERROR(__xludf.DUMMYFUNCTION("""COMPUTED_VALUE"""),"")</f>
        <v/>
      </c>
    </row>
    <row r="141" customHeight="1" spans="1:9">
      <c r="A141" s="1" t="str">
        <f>IFERROR(__xludf.DUMMYFUNCTION("""COMPUTED_VALUE"""),"Doutor Ricardo")</f>
        <v>Doutor Ricardo</v>
      </c>
      <c r="B141" s="144" t="str">
        <f>IFERROR(__xludf.DUMMYFUNCTION("""COMPUTED_VALUE"""),"4º CRBM")</f>
        <v>4º CRBM</v>
      </c>
      <c r="C141" s="1" t="str">
        <f>IFERROR(__xludf.DUMMYFUNCTION("""COMPUTED_VALUE"""),"6º BBM")</f>
        <v>6º BBM</v>
      </c>
      <c r="D141" s="1" t="str">
        <f>IFERROR(__xludf.DUMMYFUNCTION("""COMPUTED_VALUE"""),"Encantado")</f>
        <v>Encantado</v>
      </c>
      <c r="E141" s="1" t="str">
        <f>IFERROR(__xludf.DUMMYFUNCTION("""COMPUTED_VALUE"""),"NPBM")</f>
        <v>NPBM</v>
      </c>
      <c r="F141" s="1" t="str">
        <f>IFERROR(__xludf.DUMMYFUNCTION("""COMPUTED_VALUE"""),"NPBM")</f>
        <v>NPBM</v>
      </c>
      <c r="G141" s="1"/>
      <c r="H141" s="1" t="str">
        <f>IFERROR(__xludf.DUMMYFUNCTION("""COMPUTED_VALUE"""),"")</f>
        <v/>
      </c>
      <c r="I141" s="1" t="str">
        <f>IFERROR(__xludf.DUMMYFUNCTION("""COMPUTED_VALUE"""),"")</f>
        <v/>
      </c>
    </row>
    <row r="142" customHeight="1" spans="1:9">
      <c r="A142" s="1" t="str">
        <f>IFERROR(__xludf.DUMMYFUNCTION("""COMPUTED_VALUE"""),"Eldorado do Sul")</f>
        <v>Eldorado do Sul</v>
      </c>
      <c r="B142" s="144" t="str">
        <f>IFERROR(__xludf.DUMMYFUNCTION("""COMPUTED_VALUE"""),"4º CRBM")</f>
        <v>4º CRBM</v>
      </c>
      <c r="C142" s="1" t="str">
        <f>IFERROR(__xludf.DUMMYFUNCTION("""COMPUTED_VALUE"""),"6º BBM")</f>
        <v>6º BBM</v>
      </c>
      <c r="D142" s="1" t="str">
        <f>IFERROR(__xludf.DUMMYFUNCTION("""COMPUTED_VALUE"""),"Guaíba")</f>
        <v>Guaíba</v>
      </c>
      <c r="E142" s="1" t="str">
        <f>IFERROR(__xludf.DUMMYFUNCTION("""COMPUTED_VALUE"""),"Voluntersul")</f>
        <v>Voluntersul</v>
      </c>
      <c r="F142" s="1" t="str">
        <f>IFERROR(__xludf.DUMMYFUNCTION("""COMPUTED_VALUE"""),"Voluntersul")</f>
        <v>Voluntersul</v>
      </c>
      <c r="G142" s="234" t="str">
        <f>IFERROR(__xludf.DUMMYFUNCTION("""COMPUTED_VALUE""")," 3 - Não Regularizado")</f>
        <v> 3 - Não Regularizado</v>
      </c>
      <c r="H142" s="1" t="str">
        <f>IFERROR(__xludf.DUMMYFUNCTION("""COMPUTED_VALUE"""),"")</f>
        <v/>
      </c>
      <c r="I142" s="1" t="str">
        <f>IFERROR(__xludf.DUMMYFUNCTION("""COMPUTED_VALUE"""),"")</f>
        <v/>
      </c>
    </row>
    <row r="143" customHeight="1" spans="1:9">
      <c r="A143" s="1" t="str">
        <f>IFERROR(__xludf.DUMMYFUNCTION("""COMPUTED_VALUE"""),"Encantado")</f>
        <v>Encantado</v>
      </c>
      <c r="B143" s="144" t="str">
        <f>IFERROR(__xludf.DUMMYFUNCTION("""COMPUTED_VALUE"""),"4º CRBM")</f>
        <v>4º CRBM</v>
      </c>
      <c r="C143" s="1" t="str">
        <f>IFERROR(__xludf.DUMMYFUNCTION("""COMPUTED_VALUE"""),"6º BBM")</f>
        <v>6º BBM</v>
      </c>
      <c r="D143" s="1" t="str">
        <f>IFERROR(__xludf.DUMMYFUNCTION("""COMPUTED_VALUE"""),"Encantado")</f>
        <v>Encantado</v>
      </c>
      <c r="E143" s="1" t="str">
        <f>IFERROR(__xludf.DUMMYFUNCTION("""COMPUTED_VALUE"""),"Comunitário")</f>
        <v>Comunitário</v>
      </c>
      <c r="F143" s="1" t="str">
        <f>IFERROR(__xludf.DUMMYFUNCTION("""COMPUTED_VALUE"""),"Mil + Mun")</f>
        <v>Mil + Mun</v>
      </c>
      <c r="G143" s="1"/>
      <c r="H143" s="1">
        <f>IFERROR(__xludf.DUMMYFUNCTION("""COMPUTED_VALUE"""),1)</f>
        <v>1</v>
      </c>
      <c r="I143" s="1" t="str">
        <f>IFERROR(__xludf.DUMMYFUNCTION("""COMPUTED_VALUE"""),"")</f>
        <v/>
      </c>
    </row>
    <row r="144" customHeight="1" spans="1:9">
      <c r="A144" s="1" t="str">
        <f>IFERROR(__xludf.DUMMYFUNCTION("""COMPUTED_VALUE"""),"Encruzilhada do Sul")</f>
        <v>Encruzilhada do Sul</v>
      </c>
      <c r="B144" s="144" t="str">
        <f>IFERROR(__xludf.DUMMYFUNCTION("""COMPUTED_VALUE"""),"4º CRBM")</f>
        <v>4º CRBM</v>
      </c>
      <c r="C144" s="1" t="str">
        <f>IFERROR(__xludf.DUMMYFUNCTION("""COMPUTED_VALUE"""),"6º BBM")</f>
        <v>6º BBM</v>
      </c>
      <c r="D144" s="1" t="str">
        <f>IFERROR(__xludf.DUMMYFUNCTION("""COMPUTED_VALUE"""),"Encruzilhada do Sul")</f>
        <v>Encruzilhada do Sul</v>
      </c>
      <c r="E144" s="1" t="str">
        <f>IFERROR(__xludf.DUMMYFUNCTION("""COMPUTED_VALUE"""),"Comunitário")</f>
        <v>Comunitário</v>
      </c>
      <c r="F144" s="1" t="str">
        <f>IFERROR(__xludf.DUMMYFUNCTION("""COMPUTED_VALUE"""),"Mil + Mun + Vol")</f>
        <v>Mil + Mun + Vol</v>
      </c>
      <c r="G144" s="1"/>
      <c r="H144" s="1">
        <f>IFERROR(__xludf.DUMMYFUNCTION("""COMPUTED_VALUE"""),1)</f>
        <v>1</v>
      </c>
      <c r="I144" s="1" t="str">
        <f>IFERROR(__xludf.DUMMYFUNCTION("""COMPUTED_VALUE"""),"")</f>
        <v/>
      </c>
    </row>
    <row r="145" customHeight="1" spans="1:9">
      <c r="A145" s="1" t="str">
        <f>IFERROR(__xludf.DUMMYFUNCTION("""COMPUTED_VALUE"""),"Engenho Velho")</f>
        <v>Engenho Velho</v>
      </c>
      <c r="B145" s="144" t="str">
        <f>IFERROR(__xludf.DUMMYFUNCTION("""COMPUTED_VALUE"""),"2º CRBM")</f>
        <v>2º CRBM</v>
      </c>
      <c r="C145" s="1" t="str">
        <f>IFERROR(__xludf.DUMMYFUNCTION("""COMPUTED_VALUE"""),"7º BBM")</f>
        <v>7º BBM</v>
      </c>
      <c r="D145" s="1" t="str">
        <f>IFERROR(__xludf.DUMMYFUNCTION("""COMPUTED_VALUE"""),"Sarandi")</f>
        <v>Sarandi</v>
      </c>
      <c r="E145" s="1" t="str">
        <f>IFERROR(__xludf.DUMMYFUNCTION("""COMPUTED_VALUE"""),"NPBM")</f>
        <v>NPBM</v>
      </c>
      <c r="F145" s="1" t="str">
        <f>IFERROR(__xludf.DUMMYFUNCTION("""COMPUTED_VALUE"""),"NPBM")</f>
        <v>NPBM</v>
      </c>
      <c r="G145" s="1"/>
      <c r="H145" s="1" t="str">
        <f>IFERROR(__xludf.DUMMYFUNCTION("""COMPUTED_VALUE"""),"")</f>
        <v/>
      </c>
      <c r="I145" s="1" t="str">
        <f>IFERROR(__xludf.DUMMYFUNCTION("""COMPUTED_VALUE"""),"")</f>
        <v/>
      </c>
    </row>
    <row r="146" customHeight="1" spans="1:9">
      <c r="A146" s="1" t="str">
        <f>IFERROR(__xludf.DUMMYFUNCTION("""COMPUTED_VALUE"""),"Entre Rios do Sul")</f>
        <v>Entre Rios do Sul</v>
      </c>
      <c r="B146" s="144" t="str">
        <f>IFERROR(__xludf.DUMMYFUNCTION("""COMPUTED_VALUE"""),"2º CRBM")</f>
        <v>2º CRBM</v>
      </c>
      <c r="C146" s="1" t="str">
        <f>IFERROR(__xludf.DUMMYFUNCTION("""COMPUTED_VALUE"""),"7º BBM")</f>
        <v>7º BBM</v>
      </c>
      <c r="D146" s="1" t="str">
        <f>IFERROR(__xludf.DUMMYFUNCTION("""COMPUTED_VALUE"""),"Nonoai")</f>
        <v>Nonoai</v>
      </c>
      <c r="E146" s="1" t="str">
        <f>IFERROR(__xludf.DUMMYFUNCTION("""COMPUTED_VALUE"""),"NPBM")</f>
        <v>NPBM</v>
      </c>
      <c r="F146" s="1" t="str">
        <f>IFERROR(__xludf.DUMMYFUNCTION("""COMPUTED_VALUE"""),"NPBM")</f>
        <v>NPBM</v>
      </c>
      <c r="G146" s="1"/>
      <c r="H146" s="1" t="str">
        <f>IFERROR(__xludf.DUMMYFUNCTION("""COMPUTED_VALUE"""),"")</f>
        <v/>
      </c>
      <c r="I146" s="1" t="str">
        <f>IFERROR(__xludf.DUMMYFUNCTION("""COMPUTED_VALUE"""),"")</f>
        <v/>
      </c>
    </row>
    <row r="147" customHeight="1" spans="1:9">
      <c r="A147" s="1" t="str">
        <f>IFERROR(__xludf.DUMMYFUNCTION("""COMPUTED_VALUE"""),"Entre-Ijuís")</f>
        <v>Entre-Ijuís</v>
      </c>
      <c r="B147" s="144" t="str">
        <f>IFERROR(__xludf.DUMMYFUNCTION("""COMPUTED_VALUE"""),"4º CRBM")</f>
        <v>4º CRBM</v>
      </c>
      <c r="C147" s="1" t="str">
        <f>IFERROR(__xludf.DUMMYFUNCTION("""COMPUTED_VALUE"""),"11º BBM")</f>
        <v>11º BBM</v>
      </c>
      <c r="D147" s="1" t="str">
        <f>IFERROR(__xludf.DUMMYFUNCTION("""COMPUTED_VALUE"""),"Santo Ângelo")</f>
        <v>Santo Ângelo</v>
      </c>
      <c r="E147" s="1" t="str">
        <f>IFERROR(__xludf.DUMMYFUNCTION("""COMPUTED_VALUE"""),"NPBM")</f>
        <v>NPBM</v>
      </c>
      <c r="F147" s="1" t="str">
        <f>IFERROR(__xludf.DUMMYFUNCTION("""COMPUTED_VALUE"""),"NPBM")</f>
        <v>NPBM</v>
      </c>
      <c r="G147" s="1"/>
      <c r="H147" s="1" t="str">
        <f>IFERROR(__xludf.DUMMYFUNCTION("""COMPUTED_VALUE"""),"")</f>
        <v/>
      </c>
      <c r="I147" s="1" t="str">
        <f>IFERROR(__xludf.DUMMYFUNCTION("""COMPUTED_VALUE"""),"")</f>
        <v/>
      </c>
    </row>
    <row r="148" customHeight="1" spans="1:9">
      <c r="A148" s="1" t="str">
        <f>IFERROR(__xludf.DUMMYFUNCTION("""COMPUTED_VALUE"""),"Erebango")</f>
        <v>Erebango</v>
      </c>
      <c r="B148" s="144" t="str">
        <f>IFERROR(__xludf.DUMMYFUNCTION("""COMPUTED_VALUE"""),"2º CRBM")</f>
        <v>2º CRBM</v>
      </c>
      <c r="C148" s="1" t="str">
        <f>IFERROR(__xludf.DUMMYFUNCTION("""COMPUTED_VALUE"""),"7º BBM")</f>
        <v>7º BBM</v>
      </c>
      <c r="D148" s="1" t="str">
        <f>IFERROR(__xludf.DUMMYFUNCTION("""COMPUTED_VALUE"""),"Getúlio Vargas")</f>
        <v>Getúlio Vargas</v>
      </c>
      <c r="E148" s="1" t="str">
        <f>IFERROR(__xludf.DUMMYFUNCTION("""COMPUTED_VALUE"""),"NPBM")</f>
        <v>NPBM</v>
      </c>
      <c r="F148" s="1" t="str">
        <f>IFERROR(__xludf.DUMMYFUNCTION("""COMPUTED_VALUE"""),"NPBM")</f>
        <v>NPBM</v>
      </c>
      <c r="G148" s="1"/>
      <c r="H148" s="1" t="str">
        <f>IFERROR(__xludf.DUMMYFUNCTION("""COMPUTED_VALUE"""),"")</f>
        <v/>
      </c>
      <c r="I148" s="1" t="str">
        <f>IFERROR(__xludf.DUMMYFUNCTION("""COMPUTED_VALUE"""),"")</f>
        <v/>
      </c>
    </row>
    <row r="149" customHeight="1" spans="1:9">
      <c r="A149" s="1" t="str">
        <f>IFERROR(__xludf.DUMMYFUNCTION("""COMPUTED_VALUE"""),"Erechim")</f>
        <v>Erechim</v>
      </c>
      <c r="B149" s="144" t="str">
        <f>IFERROR(__xludf.DUMMYFUNCTION("""COMPUTED_VALUE"""),"2º CRBM")</f>
        <v>2º CRBM</v>
      </c>
      <c r="C149" s="1" t="str">
        <f>IFERROR(__xludf.DUMMYFUNCTION("""COMPUTED_VALUE"""),"7º BBM")</f>
        <v>7º BBM</v>
      </c>
      <c r="D149" s="1" t="str">
        <f>IFERROR(__xludf.DUMMYFUNCTION("""COMPUTED_VALUE"""),"Erechim")</f>
        <v>Erechim</v>
      </c>
      <c r="E149" s="1" t="str">
        <f>IFERROR(__xludf.DUMMYFUNCTION("""COMPUTED_VALUE"""),"Militar")</f>
        <v>Militar</v>
      </c>
      <c r="F149" s="1" t="str">
        <f>IFERROR(__xludf.DUMMYFUNCTION("""COMPUTED_VALUE"""),"Militar")</f>
        <v>Militar</v>
      </c>
      <c r="G149" s="1"/>
      <c r="H149" s="1">
        <f>IFERROR(__xludf.DUMMYFUNCTION("""COMPUTED_VALUE"""),1)</f>
        <v>1</v>
      </c>
      <c r="I149" s="1">
        <f>IFERROR(__xludf.DUMMYFUNCTION("""COMPUTED_VALUE"""),1)</f>
        <v>1</v>
      </c>
    </row>
    <row r="150" customHeight="1" spans="1:9">
      <c r="A150" s="1" t="str">
        <f>IFERROR(__xludf.DUMMYFUNCTION("""COMPUTED_VALUE"""),"Ernestina")</f>
        <v>Ernestina</v>
      </c>
      <c r="B150" s="144" t="str">
        <f>IFERROR(__xludf.DUMMYFUNCTION("""COMPUTED_VALUE"""),"2º CRBM")</f>
        <v>2º CRBM</v>
      </c>
      <c r="C150" s="1" t="str">
        <f>IFERROR(__xludf.DUMMYFUNCTION("""COMPUTED_VALUE"""),"7º BBM")</f>
        <v>7º BBM</v>
      </c>
      <c r="D150" s="1" t="str">
        <f>IFERROR(__xludf.DUMMYFUNCTION("""COMPUTED_VALUE"""),"Passo Fundo")</f>
        <v>Passo Fundo</v>
      </c>
      <c r="E150" s="1" t="str">
        <f>IFERROR(__xludf.DUMMYFUNCTION("""COMPUTED_VALUE"""),"NPBM")</f>
        <v>NPBM</v>
      </c>
      <c r="F150" s="1" t="str">
        <f>IFERROR(__xludf.DUMMYFUNCTION("""COMPUTED_VALUE"""),"NPBM")</f>
        <v>NPBM</v>
      </c>
      <c r="G150" s="1"/>
      <c r="H150" s="1" t="str">
        <f>IFERROR(__xludf.DUMMYFUNCTION("""COMPUTED_VALUE"""),"")</f>
        <v/>
      </c>
      <c r="I150" s="1" t="str">
        <f>IFERROR(__xludf.DUMMYFUNCTION("""COMPUTED_VALUE"""),"")</f>
        <v/>
      </c>
    </row>
    <row r="151" customHeight="1" spans="1:9">
      <c r="A151" s="1" t="str">
        <f>IFERROR(__xludf.DUMMYFUNCTION("""COMPUTED_VALUE"""),"Erval Grande")</f>
        <v>Erval Grande</v>
      </c>
      <c r="B151" s="144" t="str">
        <f>IFERROR(__xludf.DUMMYFUNCTION("""COMPUTED_VALUE"""),"2º CRBM")</f>
        <v>2º CRBM</v>
      </c>
      <c r="C151" s="1" t="str">
        <f>IFERROR(__xludf.DUMMYFUNCTION("""COMPUTED_VALUE"""),"7º BBM")</f>
        <v>7º BBM</v>
      </c>
      <c r="D151" s="1" t="str">
        <f>IFERROR(__xludf.DUMMYFUNCTION("""COMPUTED_VALUE"""),"Nonoai")</f>
        <v>Nonoai</v>
      </c>
      <c r="E151" s="1" t="str">
        <f>IFERROR(__xludf.DUMMYFUNCTION("""COMPUTED_VALUE"""),"SCAB")</f>
        <v>SCAB</v>
      </c>
      <c r="F151" s="1" t="str">
        <f>IFERROR(__xludf.DUMMYFUNCTION("""COMPUTED_VALUE"""),"Municipal")</f>
        <v>Municipal</v>
      </c>
      <c r="G151" s="234" t="str">
        <f>IFERROR(__xludf.DUMMYFUNCTION("""COMPUTED_VALUE""")," 1 - Credenciado")</f>
        <v> 1 - Credenciado</v>
      </c>
      <c r="H151" s="1" t="str">
        <f>IFERROR(__xludf.DUMMYFUNCTION("""COMPUTED_VALUE"""),"")</f>
        <v/>
      </c>
      <c r="I151" s="1" t="str">
        <f>IFERROR(__xludf.DUMMYFUNCTION("""COMPUTED_VALUE"""),"")</f>
        <v/>
      </c>
    </row>
    <row r="152" customHeight="1" spans="1:9">
      <c r="A152" s="1" t="str">
        <f>IFERROR(__xludf.DUMMYFUNCTION("""COMPUTED_VALUE"""),"Erval Seco")</f>
        <v>Erval Seco</v>
      </c>
      <c r="B152" s="144" t="str">
        <f>IFERROR(__xludf.DUMMYFUNCTION("""COMPUTED_VALUE"""),"4º CRBM")</f>
        <v>4º CRBM</v>
      </c>
      <c r="C152" s="1" t="str">
        <f>IFERROR(__xludf.DUMMYFUNCTION("""COMPUTED_VALUE"""),"12º BBM")</f>
        <v>12º BBM</v>
      </c>
      <c r="D152" s="1" t="str">
        <f>IFERROR(__xludf.DUMMYFUNCTION("""COMPUTED_VALUE"""),"Frederico Westphalen")</f>
        <v>Frederico Westphalen</v>
      </c>
      <c r="E152" s="1" t="str">
        <f>IFERROR(__xludf.DUMMYFUNCTION("""COMPUTED_VALUE"""),"NPBM")</f>
        <v>NPBM</v>
      </c>
      <c r="F152" s="1" t="str">
        <f>IFERROR(__xludf.DUMMYFUNCTION("""COMPUTED_VALUE"""),"NPBM")</f>
        <v>NPBM</v>
      </c>
      <c r="G152" s="1"/>
      <c r="H152" s="1" t="str">
        <f>IFERROR(__xludf.DUMMYFUNCTION("""COMPUTED_VALUE"""),"")</f>
        <v/>
      </c>
      <c r="I152" s="1" t="str">
        <f>IFERROR(__xludf.DUMMYFUNCTION("""COMPUTED_VALUE"""),"")</f>
        <v/>
      </c>
    </row>
    <row r="153" customHeight="1" spans="1:9">
      <c r="A153" s="1" t="str">
        <f>IFERROR(__xludf.DUMMYFUNCTION("""COMPUTED_VALUE"""),"Esmeralda")</f>
        <v>Esmeralda</v>
      </c>
      <c r="B153" s="144" t="str">
        <f>IFERROR(__xludf.DUMMYFUNCTION("""COMPUTED_VALUE"""),"2º CRBM")</f>
        <v>2º CRBM</v>
      </c>
      <c r="C153" s="1" t="str">
        <f>IFERROR(__xludf.DUMMYFUNCTION("""COMPUTED_VALUE"""),"5º BBM")</f>
        <v>5º BBM</v>
      </c>
      <c r="D153" s="1" t="str">
        <f>IFERROR(__xludf.DUMMYFUNCTION("""COMPUTED_VALUE"""),"Vacaria")</f>
        <v>Vacaria</v>
      </c>
      <c r="E153" s="1" t="str">
        <f>IFERROR(__xludf.DUMMYFUNCTION("""COMPUTED_VALUE"""),"NPBM")</f>
        <v>NPBM</v>
      </c>
      <c r="F153" s="1" t="str">
        <f>IFERROR(__xludf.DUMMYFUNCTION("""COMPUTED_VALUE"""),"NPBM")</f>
        <v>NPBM</v>
      </c>
      <c r="G153" s="1"/>
      <c r="H153" s="1" t="str">
        <f>IFERROR(__xludf.DUMMYFUNCTION("""COMPUTED_VALUE"""),"")</f>
        <v/>
      </c>
      <c r="I153" s="1" t="str">
        <f>IFERROR(__xludf.DUMMYFUNCTION("""COMPUTED_VALUE"""),"")</f>
        <v/>
      </c>
    </row>
    <row r="154" customHeight="1" spans="1:9">
      <c r="A154" s="1" t="str">
        <f>IFERROR(__xludf.DUMMYFUNCTION("""COMPUTED_VALUE"""),"Esperança do Sul")</f>
        <v>Esperança do Sul</v>
      </c>
      <c r="B154" s="144" t="str">
        <f>IFERROR(__xludf.DUMMYFUNCTION("""COMPUTED_VALUE"""),"4º CRBM")</f>
        <v>4º CRBM</v>
      </c>
      <c r="C154" s="1" t="str">
        <f>IFERROR(__xludf.DUMMYFUNCTION("""COMPUTED_VALUE"""),"11º BBM")</f>
        <v>11º BBM</v>
      </c>
      <c r="D154" s="1" t="str">
        <f>IFERROR(__xludf.DUMMYFUNCTION("""COMPUTED_VALUE"""),"Três Passos")</f>
        <v>Três Passos</v>
      </c>
      <c r="E154" s="1" t="str">
        <f>IFERROR(__xludf.DUMMYFUNCTION("""COMPUTED_VALUE"""),"NPBM")</f>
        <v>NPBM</v>
      </c>
      <c r="F154" s="1" t="str">
        <f>IFERROR(__xludf.DUMMYFUNCTION("""COMPUTED_VALUE"""),"NPBM")</f>
        <v>NPBM</v>
      </c>
      <c r="G154" s="1"/>
      <c r="H154" s="1" t="str">
        <f>IFERROR(__xludf.DUMMYFUNCTION("""COMPUTED_VALUE"""),"")</f>
        <v/>
      </c>
      <c r="I154" s="1" t="str">
        <f>IFERROR(__xludf.DUMMYFUNCTION("""COMPUTED_VALUE"""),"")</f>
        <v/>
      </c>
    </row>
    <row r="155" customHeight="1" spans="1:9">
      <c r="A155" s="1" t="str">
        <f>IFERROR(__xludf.DUMMYFUNCTION("""COMPUTED_VALUE"""),"Espumoso")</f>
        <v>Espumoso</v>
      </c>
      <c r="B155" s="144" t="str">
        <f>IFERROR(__xludf.DUMMYFUNCTION("""COMPUTED_VALUE"""),"2º CRBM")</f>
        <v>2º CRBM</v>
      </c>
      <c r="C155" s="1" t="str">
        <f>IFERROR(__xludf.DUMMYFUNCTION("""COMPUTED_VALUE"""),"7º BBM")</f>
        <v>7º BBM</v>
      </c>
      <c r="D155" s="1" t="str">
        <f>IFERROR(__xludf.DUMMYFUNCTION("""COMPUTED_VALUE"""),"Tapera")</f>
        <v>Tapera</v>
      </c>
      <c r="E155" s="1" t="str">
        <f>IFERROR(__xludf.DUMMYFUNCTION("""COMPUTED_VALUE"""),"NPBM")</f>
        <v>NPBM</v>
      </c>
      <c r="F155" s="1" t="str">
        <f>IFERROR(__xludf.DUMMYFUNCTION("""COMPUTED_VALUE"""),"NPBM")</f>
        <v>NPBM</v>
      </c>
      <c r="G155" s="1"/>
      <c r="H155" s="1" t="str">
        <f>IFERROR(__xludf.DUMMYFUNCTION("""COMPUTED_VALUE"""),"")</f>
        <v/>
      </c>
      <c r="I155" s="1" t="str">
        <f>IFERROR(__xludf.DUMMYFUNCTION("""COMPUTED_VALUE"""),"")</f>
        <v/>
      </c>
    </row>
    <row r="156" customHeight="1" spans="1:9">
      <c r="A156" s="1" t="str">
        <f>IFERROR(__xludf.DUMMYFUNCTION("""COMPUTED_VALUE"""),"Estação")</f>
        <v>Estação</v>
      </c>
      <c r="B156" s="144" t="str">
        <f>IFERROR(__xludf.DUMMYFUNCTION("""COMPUTED_VALUE"""),"2º CRBM")</f>
        <v>2º CRBM</v>
      </c>
      <c r="C156" s="1" t="str">
        <f>IFERROR(__xludf.DUMMYFUNCTION("""COMPUTED_VALUE"""),"7º BBM")</f>
        <v>7º BBM</v>
      </c>
      <c r="D156" s="1" t="str">
        <f>IFERROR(__xludf.DUMMYFUNCTION("""COMPUTED_VALUE"""),"Getúlio Vargas")</f>
        <v>Getúlio Vargas</v>
      </c>
      <c r="E156" s="1" t="str">
        <f>IFERROR(__xludf.DUMMYFUNCTION("""COMPUTED_VALUE"""),"NPBM")</f>
        <v>NPBM</v>
      </c>
      <c r="F156" s="1" t="str">
        <f>IFERROR(__xludf.DUMMYFUNCTION("""COMPUTED_VALUE"""),"NPBM")</f>
        <v>NPBM</v>
      </c>
      <c r="G156" s="1"/>
      <c r="H156" s="1" t="str">
        <f>IFERROR(__xludf.DUMMYFUNCTION("""COMPUTED_VALUE"""),"")</f>
        <v/>
      </c>
      <c r="I156" s="1" t="str">
        <f>IFERROR(__xludf.DUMMYFUNCTION("""COMPUTED_VALUE"""),"")</f>
        <v/>
      </c>
    </row>
    <row r="157" customHeight="1" spans="1:9">
      <c r="A157" s="1" t="str">
        <f>IFERROR(__xludf.DUMMYFUNCTION("""COMPUTED_VALUE"""),"Estância Velha")</f>
        <v>Estância Velha</v>
      </c>
      <c r="B157" s="144" t="str">
        <f>IFERROR(__xludf.DUMMYFUNCTION("""COMPUTED_VALUE"""),"2º CRBM")</f>
        <v>2º CRBM</v>
      </c>
      <c r="C157" s="1" t="str">
        <f>IFERROR(__xludf.DUMMYFUNCTION("""COMPUTED_VALUE"""),"2º BBM")</f>
        <v>2º BBM</v>
      </c>
      <c r="D157" s="1" t="str">
        <f>IFERROR(__xludf.DUMMYFUNCTION("""COMPUTED_VALUE"""),"Estância Velha")</f>
        <v>Estância Velha</v>
      </c>
      <c r="E157" s="1" t="str">
        <f>IFERROR(__xludf.DUMMYFUNCTION("""COMPUTED_VALUE"""),"Comunitário")</f>
        <v>Comunitário</v>
      </c>
      <c r="F157" s="1" t="str">
        <f>IFERROR(__xludf.DUMMYFUNCTION("""COMPUTED_VALUE"""),"Mil + Vol")</f>
        <v>Mil + Vol</v>
      </c>
      <c r="G157" s="1"/>
      <c r="H157" s="1">
        <f>IFERROR(__xludf.DUMMYFUNCTION("""COMPUTED_VALUE"""),1)</f>
        <v>1</v>
      </c>
      <c r="I157" s="1" t="str">
        <f>IFERROR(__xludf.DUMMYFUNCTION("""COMPUTED_VALUE"""),"")</f>
        <v/>
      </c>
    </row>
    <row r="158" customHeight="1" spans="1:9">
      <c r="A158" s="1" t="str">
        <f>IFERROR(__xludf.DUMMYFUNCTION("""COMPUTED_VALUE"""),"Esteio")</f>
        <v>Esteio</v>
      </c>
      <c r="B158" s="144" t="str">
        <f>IFERROR(__xludf.DUMMYFUNCTION("""COMPUTED_VALUE"""),"1º CRBM")</f>
        <v>1º CRBM</v>
      </c>
      <c r="C158" s="1" t="str">
        <f>IFERROR(__xludf.DUMMYFUNCTION("""COMPUTED_VALUE"""),"8º BBM")</f>
        <v>8º BBM</v>
      </c>
      <c r="D158" s="1" t="str">
        <f>IFERROR(__xludf.DUMMYFUNCTION("""COMPUTED_VALUE"""),"Esteio")</f>
        <v>Esteio</v>
      </c>
      <c r="E158" s="1" t="str">
        <f>IFERROR(__xludf.DUMMYFUNCTION("""COMPUTED_VALUE"""),"Militar")</f>
        <v>Militar</v>
      </c>
      <c r="F158" s="1" t="str">
        <f>IFERROR(__xludf.DUMMYFUNCTION("""COMPUTED_VALUE"""),"Militar")</f>
        <v>Militar</v>
      </c>
      <c r="G158" s="1"/>
      <c r="H158" s="1">
        <f>IFERROR(__xludf.DUMMYFUNCTION("""COMPUTED_VALUE"""),1)</f>
        <v>1</v>
      </c>
      <c r="I158" s="1" t="str">
        <f>IFERROR(__xludf.DUMMYFUNCTION("""COMPUTED_VALUE"""),"")</f>
        <v/>
      </c>
    </row>
    <row r="159" customHeight="1" spans="1:9">
      <c r="A159" s="1" t="str">
        <f>IFERROR(__xludf.DUMMYFUNCTION("""COMPUTED_VALUE"""),"Estrela")</f>
        <v>Estrela</v>
      </c>
      <c r="B159" s="144" t="str">
        <f>IFERROR(__xludf.DUMMYFUNCTION("""COMPUTED_VALUE"""),"4º CRBM")</f>
        <v>4º CRBM</v>
      </c>
      <c r="C159" s="1" t="str">
        <f>IFERROR(__xludf.DUMMYFUNCTION("""COMPUTED_VALUE"""),"6º BBM")</f>
        <v>6º BBM</v>
      </c>
      <c r="D159" s="1" t="str">
        <f>IFERROR(__xludf.DUMMYFUNCTION("""COMPUTED_VALUE"""),"Estrela")</f>
        <v>Estrela</v>
      </c>
      <c r="E159" s="1" t="str">
        <f>IFERROR(__xludf.DUMMYFUNCTION("""COMPUTED_VALUE"""),"Militar")</f>
        <v>Militar</v>
      </c>
      <c r="F159" s="1" t="str">
        <f>IFERROR(__xludf.DUMMYFUNCTION("""COMPUTED_VALUE"""),"Militar")</f>
        <v>Militar</v>
      </c>
      <c r="G159" s="1"/>
      <c r="H159" s="1">
        <f>IFERROR(__xludf.DUMMYFUNCTION("""COMPUTED_VALUE"""),1)</f>
        <v>1</v>
      </c>
      <c r="I159" s="1" t="str">
        <f>IFERROR(__xludf.DUMMYFUNCTION("""COMPUTED_VALUE"""),"")</f>
        <v/>
      </c>
    </row>
    <row r="160" customHeight="1" spans="1:9">
      <c r="A160" s="1" t="str">
        <f>IFERROR(__xludf.DUMMYFUNCTION("""COMPUTED_VALUE"""),"Estrela Velha")</f>
        <v>Estrela Velha</v>
      </c>
      <c r="B160" s="144" t="str">
        <f>IFERROR(__xludf.DUMMYFUNCTION("""COMPUTED_VALUE"""),"4º CRBM")</f>
        <v>4º CRBM</v>
      </c>
      <c r="C160" s="1" t="str">
        <f>IFERROR(__xludf.DUMMYFUNCTION("""COMPUTED_VALUE"""),"6º BBM")</f>
        <v>6º BBM</v>
      </c>
      <c r="D160" s="1" t="str">
        <f>IFERROR(__xludf.DUMMYFUNCTION("""COMPUTED_VALUE"""),"Cruz Alta")</f>
        <v>Cruz Alta</v>
      </c>
      <c r="E160" s="1" t="str">
        <f>IFERROR(__xludf.DUMMYFUNCTION("""COMPUTED_VALUE"""),"NPBM")</f>
        <v>NPBM</v>
      </c>
      <c r="F160" s="1" t="str">
        <f>IFERROR(__xludf.DUMMYFUNCTION("""COMPUTED_VALUE"""),"NPBM")</f>
        <v>NPBM</v>
      </c>
      <c r="G160" s="1"/>
      <c r="H160" s="1" t="str">
        <f>IFERROR(__xludf.DUMMYFUNCTION("""COMPUTED_VALUE"""),"")</f>
        <v/>
      </c>
      <c r="I160" s="1" t="str">
        <f>IFERROR(__xludf.DUMMYFUNCTION("""COMPUTED_VALUE"""),"")</f>
        <v/>
      </c>
    </row>
    <row r="161" customHeight="1" spans="1:9">
      <c r="A161" s="1" t="str">
        <f>IFERROR(__xludf.DUMMYFUNCTION("""COMPUTED_VALUE"""),"Eugênio de Castro")</f>
        <v>Eugênio de Castro</v>
      </c>
      <c r="B161" s="144" t="str">
        <f>IFERROR(__xludf.DUMMYFUNCTION("""COMPUTED_VALUE"""),"4º CRBM")</f>
        <v>4º CRBM</v>
      </c>
      <c r="C161" s="1" t="str">
        <f>IFERROR(__xludf.DUMMYFUNCTION("""COMPUTED_VALUE"""),"11º BBM")</f>
        <v>11º BBM</v>
      </c>
      <c r="D161" s="1" t="str">
        <f>IFERROR(__xludf.DUMMYFUNCTION("""COMPUTED_VALUE"""),"Santo Ângelo")</f>
        <v>Santo Ângelo</v>
      </c>
      <c r="E161" s="1" t="str">
        <f>IFERROR(__xludf.DUMMYFUNCTION("""COMPUTED_VALUE"""),"NPBM")</f>
        <v>NPBM</v>
      </c>
      <c r="F161" s="1" t="str">
        <f>IFERROR(__xludf.DUMMYFUNCTION("""COMPUTED_VALUE"""),"NPBM")</f>
        <v>NPBM</v>
      </c>
      <c r="G161" s="1"/>
      <c r="H161" s="1" t="str">
        <f>IFERROR(__xludf.DUMMYFUNCTION("""COMPUTED_VALUE"""),"")</f>
        <v/>
      </c>
      <c r="I161" s="1" t="str">
        <f>IFERROR(__xludf.DUMMYFUNCTION("""COMPUTED_VALUE"""),"")</f>
        <v/>
      </c>
    </row>
    <row r="162" customHeight="1" spans="1:9">
      <c r="A162" s="1" t="str">
        <f>IFERROR(__xludf.DUMMYFUNCTION("""COMPUTED_VALUE"""),"Fagundes Varela")</f>
        <v>Fagundes Varela</v>
      </c>
      <c r="B162" s="144" t="str">
        <f>IFERROR(__xludf.DUMMYFUNCTION("""COMPUTED_VALUE"""),"2º CRBM")</f>
        <v>2º CRBM</v>
      </c>
      <c r="C162" s="1" t="str">
        <f>IFERROR(__xludf.DUMMYFUNCTION("""COMPUTED_VALUE"""),"5º BBM")</f>
        <v>5º BBM</v>
      </c>
      <c r="D162" s="1" t="str">
        <f>IFERROR(__xludf.DUMMYFUNCTION("""COMPUTED_VALUE"""),"Veranópolis")</f>
        <v>Veranópolis</v>
      </c>
      <c r="E162" s="1" t="str">
        <f>IFERROR(__xludf.DUMMYFUNCTION("""COMPUTED_VALUE"""),"NPBM")</f>
        <v>NPBM</v>
      </c>
      <c r="F162" s="1" t="str">
        <f>IFERROR(__xludf.DUMMYFUNCTION("""COMPUTED_VALUE"""),"NPBM")</f>
        <v>NPBM</v>
      </c>
      <c r="G162" s="1"/>
      <c r="H162" s="1" t="str">
        <f>IFERROR(__xludf.DUMMYFUNCTION("""COMPUTED_VALUE"""),"")</f>
        <v/>
      </c>
      <c r="I162" s="1" t="str">
        <f>IFERROR(__xludf.DUMMYFUNCTION("""COMPUTED_VALUE"""),"")</f>
        <v/>
      </c>
    </row>
    <row r="163" customHeight="1" spans="1:9">
      <c r="A163" s="1" t="str">
        <f>IFERROR(__xludf.DUMMYFUNCTION("""COMPUTED_VALUE"""),"Farroupilha")</f>
        <v>Farroupilha</v>
      </c>
      <c r="B163" s="144" t="str">
        <f>IFERROR(__xludf.DUMMYFUNCTION("""COMPUTED_VALUE"""),"2º CRBM")</f>
        <v>2º CRBM</v>
      </c>
      <c r="C163" s="1" t="str">
        <f>IFERROR(__xludf.DUMMYFUNCTION("""COMPUTED_VALUE"""),"5º BBM")</f>
        <v>5º BBM</v>
      </c>
      <c r="D163" s="1" t="str">
        <f>IFERROR(__xludf.DUMMYFUNCTION("""COMPUTED_VALUE"""),"Farroupilha")</f>
        <v>Farroupilha</v>
      </c>
      <c r="E163" s="1" t="str">
        <f>IFERROR(__xludf.DUMMYFUNCTION("""COMPUTED_VALUE"""),"Militar")</f>
        <v>Militar</v>
      </c>
      <c r="F163" s="1" t="str">
        <f>IFERROR(__xludf.DUMMYFUNCTION("""COMPUTED_VALUE"""),"Comunitário")</f>
        <v>Comunitário</v>
      </c>
      <c r="G163" s="1"/>
      <c r="H163" s="1">
        <f>IFERROR(__xludf.DUMMYFUNCTION("""COMPUTED_VALUE"""),1)</f>
        <v>1</v>
      </c>
      <c r="I163" s="1" t="str">
        <f>IFERROR(__xludf.DUMMYFUNCTION("""COMPUTED_VALUE"""),"")</f>
        <v/>
      </c>
    </row>
    <row r="164" customHeight="1" spans="1:9">
      <c r="A164" s="1" t="str">
        <f>IFERROR(__xludf.DUMMYFUNCTION("""COMPUTED_VALUE"""),"Faxinal do Soturno")</f>
        <v>Faxinal do Soturno</v>
      </c>
      <c r="B164" s="144" t="str">
        <f>IFERROR(__xludf.DUMMYFUNCTION("""COMPUTED_VALUE"""),"4º CRBM")</f>
        <v>4º CRBM</v>
      </c>
      <c r="C164" s="1" t="str">
        <f>IFERROR(__xludf.DUMMYFUNCTION("""COMPUTED_VALUE"""),"4º BBM")</f>
        <v>4º BBM</v>
      </c>
      <c r="D164" s="1" t="str">
        <f>IFERROR(__xludf.DUMMYFUNCTION("""COMPUTED_VALUE"""),"Restinga Sêca")</f>
        <v>Restinga Sêca</v>
      </c>
      <c r="E164" s="1" t="str">
        <f>IFERROR(__xludf.DUMMYFUNCTION("""COMPUTED_VALUE"""),"Voluntersul")</f>
        <v>Voluntersul</v>
      </c>
      <c r="F164" s="1" t="str">
        <f>IFERROR(__xludf.DUMMYFUNCTION("""COMPUTED_VALUE"""),"Voluntersul")</f>
        <v>Voluntersul</v>
      </c>
      <c r="G164" s="234" t="str">
        <f>IFERROR(__xludf.DUMMYFUNCTION("""COMPUTED_VALUE""")," 3 - Não Regularizado")</f>
        <v> 3 - Não Regularizado</v>
      </c>
      <c r="H164" s="1" t="str">
        <f>IFERROR(__xludf.DUMMYFUNCTION("""COMPUTED_VALUE"""),"")</f>
        <v/>
      </c>
      <c r="I164" s="1" t="str">
        <f>IFERROR(__xludf.DUMMYFUNCTION("""COMPUTED_VALUE"""),"")</f>
        <v/>
      </c>
    </row>
    <row r="165" customHeight="1" spans="1:9">
      <c r="A165" s="1" t="str">
        <f>IFERROR(__xludf.DUMMYFUNCTION("""COMPUTED_VALUE"""),"Faxinalzinho")</f>
        <v>Faxinalzinho</v>
      </c>
      <c r="B165" s="144" t="str">
        <f>IFERROR(__xludf.DUMMYFUNCTION("""COMPUTED_VALUE"""),"2º CRBM")</f>
        <v>2º CRBM</v>
      </c>
      <c r="C165" s="1" t="str">
        <f>IFERROR(__xludf.DUMMYFUNCTION("""COMPUTED_VALUE"""),"7º BBM")</f>
        <v>7º BBM</v>
      </c>
      <c r="D165" s="1" t="str">
        <f>IFERROR(__xludf.DUMMYFUNCTION("""COMPUTED_VALUE"""),"Nonoai")</f>
        <v>Nonoai</v>
      </c>
      <c r="E165" s="1" t="str">
        <f>IFERROR(__xludf.DUMMYFUNCTION("""COMPUTED_VALUE"""),"SCAB")</f>
        <v>SCAB</v>
      </c>
      <c r="F165" s="1" t="str">
        <f>IFERROR(__xludf.DUMMYFUNCTION("""COMPUTED_VALUE"""),"Municipal")</f>
        <v>Municipal</v>
      </c>
      <c r="G165" s="234" t="str">
        <f>IFERROR(__xludf.DUMMYFUNCTION("""COMPUTED_VALUE""")," 1 - Credenciado")</f>
        <v> 1 - Credenciado</v>
      </c>
      <c r="H165" s="1" t="str">
        <f>IFERROR(__xludf.DUMMYFUNCTION("""COMPUTED_VALUE"""),"")</f>
        <v/>
      </c>
      <c r="I165" s="1" t="str">
        <f>IFERROR(__xludf.DUMMYFUNCTION("""COMPUTED_VALUE"""),"")</f>
        <v/>
      </c>
    </row>
    <row r="166" customHeight="1" spans="1:9">
      <c r="A166" s="1" t="str">
        <f>IFERROR(__xludf.DUMMYFUNCTION("""COMPUTED_VALUE"""),"Fazenda Vilanova")</f>
        <v>Fazenda Vilanova</v>
      </c>
      <c r="B166" s="144" t="str">
        <f>IFERROR(__xludf.DUMMYFUNCTION("""COMPUTED_VALUE"""),"4º CRBM")</f>
        <v>4º CRBM</v>
      </c>
      <c r="C166" s="1" t="str">
        <f>IFERROR(__xludf.DUMMYFUNCTION("""COMPUTED_VALUE"""),"6º BBM")</f>
        <v>6º BBM</v>
      </c>
      <c r="D166" s="1" t="str">
        <f>IFERROR(__xludf.DUMMYFUNCTION("""COMPUTED_VALUE"""),"Estrela")</f>
        <v>Estrela</v>
      </c>
      <c r="E166" s="1" t="str">
        <f>IFERROR(__xludf.DUMMYFUNCTION("""COMPUTED_VALUE"""),"NPBM")</f>
        <v>NPBM</v>
      </c>
      <c r="F166" s="1" t="str">
        <f>IFERROR(__xludf.DUMMYFUNCTION("""COMPUTED_VALUE"""),"NPBM")</f>
        <v>NPBM</v>
      </c>
      <c r="G166" s="1"/>
      <c r="H166" s="1" t="str">
        <f>IFERROR(__xludf.DUMMYFUNCTION("""COMPUTED_VALUE"""),"")</f>
        <v/>
      </c>
      <c r="I166" s="1" t="str">
        <f>IFERROR(__xludf.DUMMYFUNCTION("""COMPUTED_VALUE"""),"")</f>
        <v/>
      </c>
    </row>
    <row r="167" customHeight="1" spans="1:9">
      <c r="A167" s="1" t="str">
        <f>IFERROR(__xludf.DUMMYFUNCTION("""COMPUTED_VALUE"""),"Feliz")</f>
        <v>Feliz</v>
      </c>
      <c r="B167" s="144" t="str">
        <f>IFERROR(__xludf.DUMMYFUNCTION("""COMPUTED_VALUE"""),"2º CRBM")</f>
        <v>2º CRBM</v>
      </c>
      <c r="C167" s="1" t="str">
        <f>IFERROR(__xludf.DUMMYFUNCTION("""COMPUTED_VALUE"""),"2º BBM")</f>
        <v>2º BBM</v>
      </c>
      <c r="D167" s="1" t="str">
        <f>IFERROR(__xludf.DUMMYFUNCTION("""COMPUTED_VALUE"""),"Farroupilha")</f>
        <v>Farroupilha</v>
      </c>
      <c r="E167" s="1" t="str">
        <f>IFERROR(__xludf.DUMMYFUNCTION("""COMPUTED_VALUE"""),"SCAB")</f>
        <v>SCAB</v>
      </c>
      <c r="F167" s="1" t="str">
        <f>IFERROR(__xludf.DUMMYFUNCTION("""COMPUTED_VALUE"""),"Municipal")</f>
        <v>Municipal</v>
      </c>
      <c r="G167" s="234" t="str">
        <f>IFERROR(__xludf.DUMMYFUNCTION("""COMPUTED_VALUE""")," 1 - Credenciado")</f>
        <v> 1 - Credenciado</v>
      </c>
      <c r="H167" s="1" t="str">
        <f>IFERROR(__xludf.DUMMYFUNCTION("""COMPUTED_VALUE"""),"")</f>
        <v/>
      </c>
      <c r="I167" s="1" t="str">
        <f>IFERROR(__xludf.DUMMYFUNCTION("""COMPUTED_VALUE"""),"")</f>
        <v/>
      </c>
    </row>
    <row r="168" customHeight="1" spans="1:9">
      <c r="A168" s="1" t="str">
        <f>IFERROR(__xludf.DUMMYFUNCTION("""COMPUTED_VALUE"""),"Flores da Cunha")</f>
        <v>Flores da Cunha</v>
      </c>
      <c r="B168" s="144" t="str">
        <f>IFERROR(__xludf.DUMMYFUNCTION("""COMPUTED_VALUE"""),"2º CRBM")</f>
        <v>2º CRBM</v>
      </c>
      <c r="C168" s="1" t="str">
        <f>IFERROR(__xludf.DUMMYFUNCTION("""COMPUTED_VALUE"""),"5º BBM")</f>
        <v>5º BBM</v>
      </c>
      <c r="D168" s="1" t="str">
        <f>IFERROR(__xludf.DUMMYFUNCTION("""COMPUTED_VALUE"""),"Flores da Cunha")</f>
        <v>Flores da Cunha</v>
      </c>
      <c r="E168" s="1" t="str">
        <f>IFERROR(__xludf.DUMMYFUNCTION("""COMPUTED_VALUE"""),"Militar")</f>
        <v>Militar</v>
      </c>
      <c r="F168" s="1" t="str">
        <f>IFERROR(__xludf.DUMMYFUNCTION("""COMPUTED_VALUE"""),"Militar")</f>
        <v>Militar</v>
      </c>
      <c r="G168" s="1"/>
      <c r="H168" s="1">
        <f>IFERROR(__xludf.DUMMYFUNCTION("""COMPUTED_VALUE"""),1)</f>
        <v>1</v>
      </c>
      <c r="I168" s="1" t="str">
        <f>IFERROR(__xludf.DUMMYFUNCTION("""COMPUTED_VALUE"""),"")</f>
        <v/>
      </c>
    </row>
    <row r="169" customHeight="1" spans="1:9">
      <c r="A169" s="1" t="str">
        <f>IFERROR(__xludf.DUMMYFUNCTION("""COMPUTED_VALUE"""),"Floriano Peixoto")</f>
        <v>Floriano Peixoto</v>
      </c>
      <c r="B169" s="144" t="str">
        <f>IFERROR(__xludf.DUMMYFUNCTION("""COMPUTED_VALUE"""),"2º CRBM")</f>
        <v>2º CRBM</v>
      </c>
      <c r="C169" s="1" t="str">
        <f>IFERROR(__xludf.DUMMYFUNCTION("""COMPUTED_VALUE"""),"7º BBM")</f>
        <v>7º BBM</v>
      </c>
      <c r="D169" s="1" t="str">
        <f>IFERROR(__xludf.DUMMYFUNCTION("""COMPUTED_VALUE"""),"Getúlio Vargas")</f>
        <v>Getúlio Vargas</v>
      </c>
      <c r="E169" s="1" t="str">
        <f>IFERROR(__xludf.DUMMYFUNCTION("""COMPUTED_VALUE"""),"NPBM")</f>
        <v>NPBM</v>
      </c>
      <c r="F169" s="1" t="str">
        <f>IFERROR(__xludf.DUMMYFUNCTION("""COMPUTED_VALUE"""),"NPBM")</f>
        <v>NPBM</v>
      </c>
      <c r="G169" s="1"/>
      <c r="H169" s="1" t="str">
        <f>IFERROR(__xludf.DUMMYFUNCTION("""COMPUTED_VALUE"""),"")</f>
        <v/>
      </c>
      <c r="I169" s="1" t="str">
        <f>IFERROR(__xludf.DUMMYFUNCTION("""COMPUTED_VALUE"""),"")</f>
        <v/>
      </c>
    </row>
    <row r="170" customHeight="1" spans="1:9">
      <c r="A170" s="1" t="str">
        <f>IFERROR(__xludf.DUMMYFUNCTION("""COMPUTED_VALUE"""),"Fontoura Xavier")</f>
        <v>Fontoura Xavier</v>
      </c>
      <c r="B170" s="144" t="str">
        <f>IFERROR(__xludf.DUMMYFUNCTION("""COMPUTED_VALUE"""),"2º CRBM")</f>
        <v>2º CRBM</v>
      </c>
      <c r="C170" s="1" t="str">
        <f>IFERROR(__xludf.DUMMYFUNCTION("""COMPUTED_VALUE"""),"7º BBM")</f>
        <v>7º BBM</v>
      </c>
      <c r="D170" s="1" t="str">
        <f>IFERROR(__xludf.DUMMYFUNCTION("""COMPUTED_VALUE"""),"Soledade")</f>
        <v>Soledade</v>
      </c>
      <c r="E170" s="1" t="str">
        <f>IFERROR(__xludf.DUMMYFUNCTION("""COMPUTED_VALUE"""),"NPBM")</f>
        <v>NPBM</v>
      </c>
      <c r="F170" s="1" t="str">
        <f>IFERROR(__xludf.DUMMYFUNCTION("""COMPUTED_VALUE"""),"NPBM")</f>
        <v>NPBM</v>
      </c>
      <c r="G170" s="1"/>
      <c r="H170" s="1" t="str">
        <f>IFERROR(__xludf.DUMMYFUNCTION("""COMPUTED_VALUE"""),"")</f>
        <v/>
      </c>
      <c r="I170" s="1" t="str">
        <f>IFERROR(__xludf.DUMMYFUNCTION("""COMPUTED_VALUE"""),"")</f>
        <v/>
      </c>
    </row>
    <row r="171" customHeight="1" spans="1:9">
      <c r="A171" s="1" t="str">
        <f>IFERROR(__xludf.DUMMYFUNCTION("""COMPUTED_VALUE"""),"Formigueiro")</f>
        <v>Formigueiro</v>
      </c>
      <c r="B171" s="144" t="str">
        <f>IFERROR(__xludf.DUMMYFUNCTION("""COMPUTED_VALUE"""),"4º CRBM")</f>
        <v>4º CRBM</v>
      </c>
      <c r="C171" s="1" t="str">
        <f>IFERROR(__xludf.DUMMYFUNCTION("""COMPUTED_VALUE"""),"4º BBM")</f>
        <v>4º BBM</v>
      </c>
      <c r="D171" s="1" t="str">
        <f>IFERROR(__xludf.DUMMYFUNCTION("""COMPUTED_VALUE"""),"Restinga Sêca")</f>
        <v>Restinga Sêca</v>
      </c>
      <c r="E171" s="1" t="str">
        <f>IFERROR(__xludf.DUMMYFUNCTION("""COMPUTED_VALUE"""),"NPBM")</f>
        <v>NPBM</v>
      </c>
      <c r="F171" s="1" t="str">
        <f>IFERROR(__xludf.DUMMYFUNCTION("""COMPUTED_VALUE"""),"NPBM")</f>
        <v>NPBM</v>
      </c>
      <c r="G171" s="1"/>
      <c r="H171" s="1" t="str">
        <f>IFERROR(__xludf.DUMMYFUNCTION("""COMPUTED_VALUE"""),"")</f>
        <v/>
      </c>
      <c r="I171" s="1" t="str">
        <f>IFERROR(__xludf.DUMMYFUNCTION("""COMPUTED_VALUE"""),"")</f>
        <v/>
      </c>
    </row>
    <row r="172" customHeight="1" spans="1:9">
      <c r="A172" s="1" t="str">
        <f>IFERROR(__xludf.DUMMYFUNCTION("""COMPUTED_VALUE"""),"Forquetinha")</f>
        <v>Forquetinha</v>
      </c>
      <c r="B172" s="144" t="str">
        <f>IFERROR(__xludf.DUMMYFUNCTION("""COMPUTED_VALUE"""),"4º CRBM")</f>
        <v>4º CRBM</v>
      </c>
      <c r="C172" s="1" t="str">
        <f>IFERROR(__xludf.DUMMYFUNCTION("""COMPUTED_VALUE"""),"6º BBM")</f>
        <v>6º BBM</v>
      </c>
      <c r="D172" s="1" t="str">
        <f>IFERROR(__xludf.DUMMYFUNCTION("""COMPUTED_VALUE"""),"Lajeado")</f>
        <v>Lajeado</v>
      </c>
      <c r="E172" s="1" t="str">
        <f>IFERROR(__xludf.DUMMYFUNCTION("""COMPUTED_VALUE"""),"NPBM")</f>
        <v>NPBM</v>
      </c>
      <c r="F172" s="1" t="str">
        <f>IFERROR(__xludf.DUMMYFUNCTION("""COMPUTED_VALUE"""),"NPBM")</f>
        <v>NPBM</v>
      </c>
      <c r="G172" s="1"/>
      <c r="H172" s="1" t="str">
        <f>IFERROR(__xludf.DUMMYFUNCTION("""COMPUTED_VALUE"""),"")</f>
        <v/>
      </c>
      <c r="I172" s="1" t="str">
        <f>IFERROR(__xludf.DUMMYFUNCTION("""COMPUTED_VALUE"""),"")</f>
        <v/>
      </c>
    </row>
    <row r="173" customHeight="1" spans="1:9">
      <c r="A173" s="1" t="str">
        <f>IFERROR(__xludf.DUMMYFUNCTION("""COMPUTED_VALUE"""),"Fortaleza dos Valos")</f>
        <v>Fortaleza dos Valos</v>
      </c>
      <c r="B173" s="144" t="str">
        <f>IFERROR(__xludf.DUMMYFUNCTION("""COMPUTED_VALUE"""),"4º CRBM")</f>
        <v>4º CRBM</v>
      </c>
      <c r="C173" s="1" t="str">
        <f>IFERROR(__xludf.DUMMYFUNCTION("""COMPUTED_VALUE"""),"12º BBM")</f>
        <v>12º BBM</v>
      </c>
      <c r="D173" s="1" t="str">
        <f>IFERROR(__xludf.DUMMYFUNCTION("""COMPUTED_VALUE"""),"Ibirubá")</f>
        <v>Ibirubá</v>
      </c>
      <c r="E173" s="1" t="str">
        <f>IFERROR(__xludf.DUMMYFUNCTION("""COMPUTED_VALUE"""),"NPBM")</f>
        <v>NPBM</v>
      </c>
      <c r="F173" s="1" t="str">
        <f>IFERROR(__xludf.DUMMYFUNCTION("""COMPUTED_VALUE"""),"NPBM")</f>
        <v>NPBM</v>
      </c>
      <c r="G173" s="1"/>
      <c r="H173" s="1" t="str">
        <f>IFERROR(__xludf.DUMMYFUNCTION("""COMPUTED_VALUE"""),"")</f>
        <v/>
      </c>
      <c r="I173" s="1" t="str">
        <f>IFERROR(__xludf.DUMMYFUNCTION("""COMPUTED_VALUE"""),"")</f>
        <v/>
      </c>
    </row>
    <row r="174" customHeight="1" spans="1:9">
      <c r="A174" s="1" t="str">
        <f>IFERROR(__xludf.DUMMYFUNCTION("""COMPUTED_VALUE"""),"Frederico Westphalen")</f>
        <v>Frederico Westphalen</v>
      </c>
      <c r="B174" s="144" t="str">
        <f>IFERROR(__xludf.DUMMYFUNCTION("""COMPUTED_VALUE"""),"4º CRBM")</f>
        <v>4º CRBM</v>
      </c>
      <c r="C174" s="1" t="str">
        <f>IFERROR(__xludf.DUMMYFUNCTION("""COMPUTED_VALUE"""),"12º BBM")</f>
        <v>12º BBM</v>
      </c>
      <c r="D174" s="1" t="str">
        <f>IFERROR(__xludf.DUMMYFUNCTION("""COMPUTED_VALUE"""),"Frederico Westphalen")</f>
        <v>Frederico Westphalen</v>
      </c>
      <c r="E174" s="1" t="str">
        <f>IFERROR(__xludf.DUMMYFUNCTION("""COMPUTED_VALUE"""),"Militar")</f>
        <v>Militar</v>
      </c>
      <c r="F174" s="1" t="str">
        <f>IFERROR(__xludf.DUMMYFUNCTION("""COMPUTED_VALUE"""),"Militar")</f>
        <v>Militar</v>
      </c>
      <c r="G174" s="1"/>
      <c r="H174" s="1" t="str">
        <f>IFERROR(__xludf.DUMMYFUNCTION("""COMPUTED_VALUE"""),"")</f>
        <v/>
      </c>
      <c r="I174" s="1" t="str">
        <f>IFERROR(__xludf.DUMMYFUNCTION("""COMPUTED_VALUE"""),"")</f>
        <v/>
      </c>
    </row>
    <row r="175" customHeight="1" spans="1:9">
      <c r="A175" s="1" t="str">
        <f>IFERROR(__xludf.DUMMYFUNCTION("""COMPUTED_VALUE"""),"Garibaldi")</f>
        <v>Garibaldi</v>
      </c>
      <c r="B175" s="144" t="str">
        <f>IFERROR(__xludf.DUMMYFUNCTION("""COMPUTED_VALUE"""),"2º CRBM")</f>
        <v>2º CRBM</v>
      </c>
      <c r="C175" s="1" t="str">
        <f>IFERROR(__xludf.DUMMYFUNCTION("""COMPUTED_VALUE"""),"5º BBM")</f>
        <v>5º BBM</v>
      </c>
      <c r="D175" s="1" t="str">
        <f>IFERROR(__xludf.DUMMYFUNCTION("""COMPUTED_VALUE"""),"Bento Gonçalves")</f>
        <v>Bento Gonçalves</v>
      </c>
      <c r="E175" s="1" t="str">
        <f>IFERROR(__xludf.DUMMYFUNCTION("""COMPUTED_VALUE"""),"Voluntersul")</f>
        <v>Voluntersul</v>
      </c>
      <c r="F175" s="1" t="str">
        <f>IFERROR(__xludf.DUMMYFUNCTION("""COMPUTED_VALUE"""),"Voluntersul")</f>
        <v>Voluntersul</v>
      </c>
      <c r="G175" s="234" t="str">
        <f>IFERROR(__xludf.DUMMYFUNCTION("""COMPUTED_VALUE""")," 3 - Não Regularizado")</f>
        <v> 3 - Não Regularizado</v>
      </c>
      <c r="H175" s="1" t="str">
        <f>IFERROR(__xludf.DUMMYFUNCTION("""COMPUTED_VALUE"""),"")</f>
        <v/>
      </c>
      <c r="I175" s="1" t="str">
        <f>IFERROR(__xludf.DUMMYFUNCTION("""COMPUTED_VALUE"""),"")</f>
        <v/>
      </c>
    </row>
    <row r="176" customHeight="1" spans="1:9">
      <c r="A176" s="1" t="str">
        <f>IFERROR(__xludf.DUMMYFUNCTION("""COMPUTED_VALUE"""),"Garruchos")</f>
        <v>Garruchos</v>
      </c>
      <c r="B176" s="144" t="str">
        <f>IFERROR(__xludf.DUMMYFUNCTION("""COMPUTED_VALUE"""),"4º CRBM")</f>
        <v>4º CRBM</v>
      </c>
      <c r="C176" s="1" t="str">
        <f>IFERROR(__xludf.DUMMYFUNCTION("""COMPUTED_VALUE"""),"11º BBM")</f>
        <v>11º BBM</v>
      </c>
      <c r="D176" s="1" t="str">
        <f>IFERROR(__xludf.DUMMYFUNCTION("""COMPUTED_VALUE"""),"São Borja")</f>
        <v>São Borja</v>
      </c>
      <c r="E176" s="1" t="str">
        <f>IFERROR(__xludf.DUMMYFUNCTION("""COMPUTED_VALUE"""),"NPBM")</f>
        <v>NPBM</v>
      </c>
      <c r="F176" s="1" t="str">
        <f>IFERROR(__xludf.DUMMYFUNCTION("""COMPUTED_VALUE"""),"NPBM")</f>
        <v>NPBM</v>
      </c>
      <c r="G176" s="1"/>
      <c r="H176" s="1" t="str">
        <f>IFERROR(__xludf.DUMMYFUNCTION("""COMPUTED_VALUE"""),"")</f>
        <v/>
      </c>
      <c r="I176" s="1" t="str">
        <f>IFERROR(__xludf.DUMMYFUNCTION("""COMPUTED_VALUE"""),"")</f>
        <v/>
      </c>
    </row>
    <row r="177" customHeight="1" spans="1:9">
      <c r="A177" s="1" t="str">
        <f>IFERROR(__xludf.DUMMYFUNCTION("""COMPUTED_VALUE"""),"Gaurama")</f>
        <v>Gaurama</v>
      </c>
      <c r="B177" s="144" t="str">
        <f>IFERROR(__xludf.DUMMYFUNCTION("""COMPUTED_VALUE"""),"2º CRBM")</f>
        <v>2º CRBM</v>
      </c>
      <c r="C177" s="1" t="str">
        <f>IFERROR(__xludf.DUMMYFUNCTION("""COMPUTED_VALUE"""),"7º BBM")</f>
        <v>7º BBM</v>
      </c>
      <c r="D177" s="1" t="str">
        <f>IFERROR(__xludf.DUMMYFUNCTION("""COMPUTED_VALUE"""),"Erechim")</f>
        <v>Erechim</v>
      </c>
      <c r="E177" s="1" t="str">
        <f>IFERROR(__xludf.DUMMYFUNCTION("""COMPUTED_VALUE"""),"SCAB")</f>
        <v>SCAB</v>
      </c>
      <c r="F177" s="1" t="str">
        <f>IFERROR(__xludf.DUMMYFUNCTION("""COMPUTED_VALUE"""),"Municipal")</f>
        <v>Municipal</v>
      </c>
      <c r="G177" s="234" t="str">
        <f>IFERROR(__xludf.DUMMYFUNCTION("""COMPUTED_VALUE""")," 1 - Credenciado")</f>
        <v> 1 - Credenciado</v>
      </c>
      <c r="H177" s="1" t="str">
        <f>IFERROR(__xludf.DUMMYFUNCTION("""COMPUTED_VALUE"""),"")</f>
        <v/>
      </c>
      <c r="I177" s="1" t="str">
        <f>IFERROR(__xludf.DUMMYFUNCTION("""COMPUTED_VALUE"""),"")</f>
        <v/>
      </c>
    </row>
    <row r="178" customHeight="1" spans="1:9">
      <c r="A178" s="1" t="str">
        <f>IFERROR(__xludf.DUMMYFUNCTION("""COMPUTED_VALUE"""),"General Câmara")</f>
        <v>General Câmara</v>
      </c>
      <c r="B178" s="144" t="str">
        <f>IFERROR(__xludf.DUMMYFUNCTION("""COMPUTED_VALUE"""),"4º CRBM")</f>
        <v>4º CRBM</v>
      </c>
      <c r="C178" s="1" t="str">
        <f>IFERROR(__xludf.DUMMYFUNCTION("""COMPUTED_VALUE"""),"6º BBM")</f>
        <v>6º BBM</v>
      </c>
      <c r="D178" s="1" t="str">
        <f>IFERROR(__xludf.DUMMYFUNCTION("""COMPUTED_VALUE"""),"São Jerônimo")</f>
        <v>São Jerônimo</v>
      </c>
      <c r="E178" s="1" t="str">
        <f>IFERROR(__xludf.DUMMYFUNCTION("""COMPUTED_VALUE"""),"Voluntersul")</f>
        <v>Voluntersul</v>
      </c>
      <c r="F178" s="1" t="str">
        <f>IFERROR(__xludf.DUMMYFUNCTION("""COMPUTED_VALUE"""),"Voluntersul")</f>
        <v>Voluntersul</v>
      </c>
      <c r="G178" s="234" t="str">
        <f>IFERROR(__xludf.DUMMYFUNCTION("""COMPUTED_VALUE""")," 3 - Não Regularizado")</f>
        <v> 3 - Não Regularizado</v>
      </c>
      <c r="H178" s="1" t="str">
        <f>IFERROR(__xludf.DUMMYFUNCTION("""COMPUTED_VALUE"""),"")</f>
        <v/>
      </c>
      <c r="I178" s="1" t="str">
        <f>IFERROR(__xludf.DUMMYFUNCTION("""COMPUTED_VALUE"""),"")</f>
        <v/>
      </c>
    </row>
    <row r="179" customHeight="1" spans="1:9">
      <c r="A179" s="1" t="str">
        <f>IFERROR(__xludf.DUMMYFUNCTION("""COMPUTED_VALUE"""),"Gentil")</f>
        <v>Gentil</v>
      </c>
      <c r="B179" s="144" t="str">
        <f>IFERROR(__xludf.DUMMYFUNCTION("""COMPUTED_VALUE"""),"2º CRBM")</f>
        <v>2º CRBM</v>
      </c>
      <c r="C179" s="1" t="str">
        <f>IFERROR(__xludf.DUMMYFUNCTION("""COMPUTED_VALUE"""),"7º BBM")</f>
        <v>7º BBM</v>
      </c>
      <c r="D179" s="1" t="str">
        <f>IFERROR(__xludf.DUMMYFUNCTION("""COMPUTED_VALUE"""),"Passo Fundo")</f>
        <v>Passo Fundo</v>
      </c>
      <c r="E179" s="1" t="str">
        <f>IFERROR(__xludf.DUMMYFUNCTION("""COMPUTED_VALUE"""),"NPBM")</f>
        <v>NPBM</v>
      </c>
      <c r="F179" s="1" t="str">
        <f>IFERROR(__xludf.DUMMYFUNCTION("""COMPUTED_VALUE"""),"NPBM")</f>
        <v>NPBM</v>
      </c>
      <c r="G179" s="1"/>
      <c r="H179" s="1" t="str">
        <f>IFERROR(__xludf.DUMMYFUNCTION("""COMPUTED_VALUE"""),"")</f>
        <v/>
      </c>
      <c r="I179" s="1" t="str">
        <f>IFERROR(__xludf.DUMMYFUNCTION("""COMPUTED_VALUE"""),"")</f>
        <v/>
      </c>
    </row>
    <row r="180" customHeight="1" spans="1:9">
      <c r="A180" s="1" t="str">
        <f>IFERROR(__xludf.DUMMYFUNCTION("""COMPUTED_VALUE"""),"Getúlio Vargas")</f>
        <v>Getúlio Vargas</v>
      </c>
      <c r="B180" s="144" t="str">
        <f>IFERROR(__xludf.DUMMYFUNCTION("""COMPUTED_VALUE"""),"2º CRBM")</f>
        <v>2º CRBM</v>
      </c>
      <c r="C180" s="1" t="str">
        <f>IFERROR(__xludf.DUMMYFUNCTION("""COMPUTED_VALUE"""),"7º BBM")</f>
        <v>7º BBM</v>
      </c>
      <c r="D180" s="1" t="str">
        <f>IFERROR(__xludf.DUMMYFUNCTION("""COMPUTED_VALUE"""),"Getúlio Vargas")</f>
        <v>Getúlio Vargas</v>
      </c>
      <c r="E180" s="1" t="str">
        <f>IFERROR(__xludf.DUMMYFUNCTION("""COMPUTED_VALUE"""),"Comunitário")</f>
        <v>Comunitário</v>
      </c>
      <c r="F180" s="1" t="str">
        <f>IFERROR(__xludf.DUMMYFUNCTION("""COMPUTED_VALUE"""),"Mil + Mun")</f>
        <v>Mil + Mun</v>
      </c>
      <c r="G180" s="1"/>
      <c r="H180" s="1">
        <f>IFERROR(__xludf.DUMMYFUNCTION("""COMPUTED_VALUE"""),1)</f>
        <v>1</v>
      </c>
      <c r="I180" s="1" t="str">
        <f>IFERROR(__xludf.DUMMYFUNCTION("""COMPUTED_VALUE"""),"")</f>
        <v/>
      </c>
    </row>
    <row r="181" customHeight="1" spans="1:9">
      <c r="A181" s="1" t="str">
        <f>IFERROR(__xludf.DUMMYFUNCTION("""COMPUTED_VALUE"""),"Giruá")</f>
        <v>Giruá</v>
      </c>
      <c r="B181" s="144" t="str">
        <f>IFERROR(__xludf.DUMMYFUNCTION("""COMPUTED_VALUE"""),"4º CRBM")</f>
        <v>4º CRBM</v>
      </c>
      <c r="C181" s="1" t="str">
        <f>IFERROR(__xludf.DUMMYFUNCTION("""COMPUTED_VALUE"""),"11º BBM")</f>
        <v>11º BBM</v>
      </c>
      <c r="D181" s="1" t="str">
        <f>IFERROR(__xludf.DUMMYFUNCTION("""COMPUTED_VALUE"""),"Giruá")</f>
        <v>Giruá</v>
      </c>
      <c r="E181" s="1" t="str">
        <f>IFERROR(__xludf.DUMMYFUNCTION("""COMPUTED_VALUE"""),"Militar")</f>
        <v>Militar</v>
      </c>
      <c r="F181" s="1" t="str">
        <f>IFERROR(__xludf.DUMMYFUNCTION("""COMPUTED_VALUE"""),"Militar")</f>
        <v>Militar</v>
      </c>
      <c r="G181" s="1"/>
      <c r="H181" s="1">
        <f>IFERROR(__xludf.DUMMYFUNCTION("""COMPUTED_VALUE"""),1)</f>
        <v>1</v>
      </c>
      <c r="I181" s="1" t="str">
        <f>IFERROR(__xludf.DUMMYFUNCTION("""COMPUTED_VALUE"""),"")</f>
        <v/>
      </c>
    </row>
    <row r="182" customHeight="1" spans="1:9">
      <c r="A182" s="1" t="str">
        <f>IFERROR(__xludf.DUMMYFUNCTION("""COMPUTED_VALUE"""),"Glorinha")</f>
        <v>Glorinha</v>
      </c>
      <c r="B182" s="144" t="str">
        <f>IFERROR(__xludf.DUMMYFUNCTION("""COMPUTED_VALUE"""),"1º CRBM")</f>
        <v>1º CRBM</v>
      </c>
      <c r="C182" s="1" t="str">
        <f>IFERROR(__xludf.DUMMYFUNCTION("""COMPUTED_VALUE"""),"8º BBM")</f>
        <v>8º BBM</v>
      </c>
      <c r="D182" s="1" t="str">
        <f>IFERROR(__xludf.DUMMYFUNCTION("""COMPUTED_VALUE"""),"Gravataí")</f>
        <v>Gravataí</v>
      </c>
      <c r="E182" s="1" t="str">
        <f>IFERROR(__xludf.DUMMYFUNCTION("""COMPUTED_VALUE"""),"Voluntersul")</f>
        <v>Voluntersul</v>
      </c>
      <c r="F182" s="1" t="str">
        <f>IFERROR(__xludf.DUMMYFUNCTION("""COMPUTED_VALUE"""),"Voluntersul")</f>
        <v>Voluntersul</v>
      </c>
      <c r="G182" s="234" t="str">
        <f>IFERROR(__xludf.DUMMYFUNCTION("""COMPUTED_VALUE""")," 2 - Em Credenciamento")</f>
        <v> 2 - Em Credenciamento</v>
      </c>
      <c r="H182" s="1" t="str">
        <f>IFERROR(__xludf.DUMMYFUNCTION("""COMPUTED_VALUE"""),"")</f>
        <v/>
      </c>
      <c r="I182" s="1" t="str">
        <f>IFERROR(__xludf.DUMMYFUNCTION("""COMPUTED_VALUE"""),"")</f>
        <v/>
      </c>
    </row>
    <row r="183" customHeight="1" spans="1:9">
      <c r="A183" s="1" t="str">
        <f>IFERROR(__xludf.DUMMYFUNCTION("""COMPUTED_VALUE"""),"Gramado")</f>
        <v>Gramado</v>
      </c>
      <c r="B183" s="144" t="str">
        <f>IFERROR(__xludf.DUMMYFUNCTION("""COMPUTED_VALUE"""),"2º CRBM")</f>
        <v>2º CRBM</v>
      </c>
      <c r="C183" s="1" t="str">
        <f>IFERROR(__xludf.DUMMYFUNCTION("""COMPUTED_VALUE"""),"5º BBM")</f>
        <v>5º BBM</v>
      </c>
      <c r="D183" s="1" t="str">
        <f>IFERROR(__xludf.DUMMYFUNCTION("""COMPUTED_VALUE"""),"Gramado")</f>
        <v>Gramado</v>
      </c>
      <c r="E183" s="1" t="str">
        <f>IFERROR(__xludf.DUMMYFUNCTION("""COMPUTED_VALUE"""),"Militar")</f>
        <v>Militar</v>
      </c>
      <c r="F183" s="1" t="str">
        <f>IFERROR(__xludf.DUMMYFUNCTION("""COMPUTED_VALUE"""),"Militar")</f>
        <v>Militar</v>
      </c>
      <c r="G183" s="1"/>
      <c r="H183" s="1">
        <f>IFERROR(__xludf.DUMMYFUNCTION("""COMPUTED_VALUE"""),1)</f>
        <v>1</v>
      </c>
      <c r="I183" s="1" t="str">
        <f>IFERROR(__xludf.DUMMYFUNCTION("""COMPUTED_VALUE"""),"")</f>
        <v/>
      </c>
    </row>
    <row r="184" customHeight="1" spans="1:9">
      <c r="A184" s="1" t="str">
        <f>IFERROR(__xludf.DUMMYFUNCTION("""COMPUTED_VALUE"""),"Gramado dos Loureiros")</f>
        <v>Gramado dos Loureiros</v>
      </c>
      <c r="B184" s="144" t="str">
        <f>IFERROR(__xludf.DUMMYFUNCTION("""COMPUTED_VALUE"""),"2º CRBM")</f>
        <v>2º CRBM</v>
      </c>
      <c r="C184" s="1" t="str">
        <f>IFERROR(__xludf.DUMMYFUNCTION("""COMPUTED_VALUE"""),"7º BBM")</f>
        <v>7º BBM</v>
      </c>
      <c r="D184" s="1" t="str">
        <f>IFERROR(__xludf.DUMMYFUNCTION("""COMPUTED_VALUE"""),"Nonoai")</f>
        <v>Nonoai</v>
      </c>
      <c r="E184" s="1" t="str">
        <f>IFERROR(__xludf.DUMMYFUNCTION("""COMPUTED_VALUE"""),"NPBM")</f>
        <v>NPBM</v>
      </c>
      <c r="F184" s="1" t="str">
        <f>IFERROR(__xludf.DUMMYFUNCTION("""COMPUTED_VALUE"""),"NPBM")</f>
        <v>NPBM</v>
      </c>
      <c r="G184" s="1"/>
      <c r="H184" s="1" t="str">
        <f>IFERROR(__xludf.DUMMYFUNCTION("""COMPUTED_VALUE"""),"")</f>
        <v/>
      </c>
      <c r="I184" s="1" t="str">
        <f>IFERROR(__xludf.DUMMYFUNCTION("""COMPUTED_VALUE"""),"")</f>
        <v/>
      </c>
    </row>
    <row r="185" customHeight="1" spans="1:9">
      <c r="A185" s="1" t="str">
        <f>IFERROR(__xludf.DUMMYFUNCTION("""COMPUTED_VALUE"""),"Gramado Xavier")</f>
        <v>Gramado Xavier</v>
      </c>
      <c r="B185" s="144" t="str">
        <f>IFERROR(__xludf.DUMMYFUNCTION("""COMPUTED_VALUE"""),"4º CRBM")</f>
        <v>4º CRBM</v>
      </c>
      <c r="C185" s="1" t="str">
        <f>IFERROR(__xludf.DUMMYFUNCTION("""COMPUTED_VALUE"""),"6º BBM")</f>
        <v>6º BBM</v>
      </c>
      <c r="D185" s="1" t="str">
        <f>IFERROR(__xludf.DUMMYFUNCTION("""COMPUTED_VALUE"""),"Soledade")</f>
        <v>Soledade</v>
      </c>
      <c r="E185" s="1" t="str">
        <f>IFERROR(__xludf.DUMMYFUNCTION("""COMPUTED_VALUE"""),"NPBM")</f>
        <v>NPBM</v>
      </c>
      <c r="F185" s="1" t="str">
        <f>IFERROR(__xludf.DUMMYFUNCTION("""COMPUTED_VALUE"""),"NPBM")</f>
        <v>NPBM</v>
      </c>
      <c r="G185" s="1"/>
      <c r="H185" s="1" t="str">
        <f>IFERROR(__xludf.DUMMYFUNCTION("""COMPUTED_VALUE"""),"")</f>
        <v/>
      </c>
      <c r="I185" s="1" t="str">
        <f>IFERROR(__xludf.DUMMYFUNCTION("""COMPUTED_VALUE"""),"")</f>
        <v/>
      </c>
    </row>
    <row r="186" customHeight="1" spans="1:9">
      <c r="A186" s="1" t="str">
        <f>IFERROR(__xludf.DUMMYFUNCTION("""COMPUTED_VALUE"""),"Gravataí")</f>
        <v>Gravataí</v>
      </c>
      <c r="B186" s="144" t="str">
        <f>IFERROR(__xludf.DUMMYFUNCTION("""COMPUTED_VALUE"""),"1º CRBM")</f>
        <v>1º CRBM</v>
      </c>
      <c r="C186" s="1" t="str">
        <f>IFERROR(__xludf.DUMMYFUNCTION("""COMPUTED_VALUE"""),"8º BBM")</f>
        <v>8º BBM</v>
      </c>
      <c r="D186" s="1" t="str">
        <f>IFERROR(__xludf.DUMMYFUNCTION("""COMPUTED_VALUE"""),"Gravataí")</f>
        <v>Gravataí</v>
      </c>
      <c r="E186" s="1" t="str">
        <f>IFERROR(__xludf.DUMMYFUNCTION("""COMPUTED_VALUE"""),"Militar")</f>
        <v>Militar</v>
      </c>
      <c r="F186" s="1" t="str">
        <f>IFERROR(__xludf.DUMMYFUNCTION("""COMPUTED_VALUE"""),"Militar")</f>
        <v>Militar</v>
      </c>
      <c r="G186" s="1"/>
      <c r="H186" s="1">
        <f>IFERROR(__xludf.DUMMYFUNCTION("""COMPUTED_VALUE"""),1)</f>
        <v>1</v>
      </c>
      <c r="I186" s="1" t="str">
        <f>IFERROR(__xludf.DUMMYFUNCTION("""COMPUTED_VALUE"""),"")</f>
        <v/>
      </c>
    </row>
    <row r="187" customHeight="1" spans="1:9">
      <c r="A187" s="1" t="str">
        <f>IFERROR(__xludf.DUMMYFUNCTION("""COMPUTED_VALUE"""),"Guabiju")</f>
        <v>Guabiju</v>
      </c>
      <c r="B187" s="144" t="str">
        <f>IFERROR(__xludf.DUMMYFUNCTION("""COMPUTED_VALUE"""),"2º CRBM")</f>
        <v>2º CRBM</v>
      </c>
      <c r="C187" s="1" t="str">
        <f>IFERROR(__xludf.DUMMYFUNCTION("""COMPUTED_VALUE"""),"5º BBM")</f>
        <v>5º BBM</v>
      </c>
      <c r="D187" s="1" t="str">
        <f>IFERROR(__xludf.DUMMYFUNCTION("""COMPUTED_VALUE"""),"Veranópolis")</f>
        <v>Veranópolis</v>
      </c>
      <c r="E187" s="1" t="str">
        <f>IFERROR(__xludf.DUMMYFUNCTION("""COMPUTED_VALUE"""),"NPBM")</f>
        <v>NPBM</v>
      </c>
      <c r="F187" s="1" t="str">
        <f>IFERROR(__xludf.DUMMYFUNCTION("""COMPUTED_VALUE"""),"NPBM")</f>
        <v>NPBM</v>
      </c>
      <c r="G187" s="1"/>
      <c r="H187" s="1" t="str">
        <f>IFERROR(__xludf.DUMMYFUNCTION("""COMPUTED_VALUE"""),"")</f>
        <v/>
      </c>
      <c r="I187" s="1" t="str">
        <f>IFERROR(__xludf.DUMMYFUNCTION("""COMPUTED_VALUE"""),"")</f>
        <v/>
      </c>
    </row>
    <row r="188" customHeight="1" spans="1:9">
      <c r="A188" s="1" t="str">
        <f>IFERROR(__xludf.DUMMYFUNCTION("""COMPUTED_VALUE"""),"Guaíba")</f>
        <v>Guaíba</v>
      </c>
      <c r="B188" s="144" t="str">
        <f>IFERROR(__xludf.DUMMYFUNCTION("""COMPUTED_VALUE"""),"4º CRBM")</f>
        <v>4º CRBM</v>
      </c>
      <c r="C188" s="1" t="str">
        <f>IFERROR(__xludf.DUMMYFUNCTION("""COMPUTED_VALUE"""),"6º BBM")</f>
        <v>6º BBM</v>
      </c>
      <c r="D188" s="1" t="str">
        <f>IFERROR(__xludf.DUMMYFUNCTION("""COMPUTED_VALUE"""),"Guaíba")</f>
        <v>Guaíba</v>
      </c>
      <c r="E188" s="1" t="str">
        <f>IFERROR(__xludf.DUMMYFUNCTION("""COMPUTED_VALUE"""),"Militar")</f>
        <v>Militar</v>
      </c>
      <c r="F188" s="1" t="str">
        <f>IFERROR(__xludf.DUMMYFUNCTION("""COMPUTED_VALUE"""),"Militar")</f>
        <v>Militar</v>
      </c>
      <c r="G188" s="1"/>
      <c r="H188" s="1">
        <f>IFERROR(__xludf.DUMMYFUNCTION("""COMPUTED_VALUE"""),1)</f>
        <v>1</v>
      </c>
      <c r="I188" s="1" t="str">
        <f>IFERROR(__xludf.DUMMYFUNCTION("""COMPUTED_VALUE"""),"")</f>
        <v/>
      </c>
    </row>
    <row r="189" customHeight="1" spans="1:9">
      <c r="A189" s="1" t="str">
        <f>IFERROR(__xludf.DUMMYFUNCTION("""COMPUTED_VALUE"""),"Guaporé")</f>
        <v>Guaporé</v>
      </c>
      <c r="B189" s="144" t="str">
        <f>IFERROR(__xludf.DUMMYFUNCTION("""COMPUTED_VALUE"""),"2º CRBM")</f>
        <v>2º CRBM</v>
      </c>
      <c r="C189" s="1" t="str">
        <f>IFERROR(__xludf.DUMMYFUNCTION("""COMPUTED_VALUE"""),"7º BBM")</f>
        <v>7º BBM</v>
      </c>
      <c r="D189" s="1" t="str">
        <f>IFERROR(__xludf.DUMMYFUNCTION("""COMPUTED_VALUE"""),"Guaporé")</f>
        <v>Guaporé</v>
      </c>
      <c r="E189" s="1" t="str">
        <f>IFERROR(__xludf.DUMMYFUNCTION("""COMPUTED_VALUE"""),"Militar")</f>
        <v>Militar</v>
      </c>
      <c r="F189" s="1" t="str">
        <f>IFERROR(__xludf.DUMMYFUNCTION("""COMPUTED_VALUE"""),"Militar")</f>
        <v>Militar</v>
      </c>
      <c r="G189" s="1"/>
      <c r="H189" s="1">
        <f>IFERROR(__xludf.DUMMYFUNCTION("""COMPUTED_VALUE"""),1)</f>
        <v>1</v>
      </c>
      <c r="I189" s="1" t="str">
        <f>IFERROR(__xludf.DUMMYFUNCTION("""COMPUTED_VALUE"""),"")</f>
        <v/>
      </c>
    </row>
    <row r="190" customHeight="1" spans="1:9">
      <c r="A190" s="1" t="str">
        <f>IFERROR(__xludf.DUMMYFUNCTION("""COMPUTED_VALUE"""),"Guarani das Missões")</f>
        <v>Guarani das Missões</v>
      </c>
      <c r="B190" s="144" t="str">
        <f>IFERROR(__xludf.DUMMYFUNCTION("""COMPUTED_VALUE"""),"4º CRBM")</f>
        <v>4º CRBM</v>
      </c>
      <c r="C190" s="1" t="str">
        <f>IFERROR(__xludf.DUMMYFUNCTION("""COMPUTED_VALUE"""),"11º BBM")</f>
        <v>11º BBM</v>
      </c>
      <c r="D190" s="1" t="str">
        <f>IFERROR(__xludf.DUMMYFUNCTION("""COMPUTED_VALUE"""),"Santo Ângelo")</f>
        <v>Santo Ângelo</v>
      </c>
      <c r="E190" s="1" t="str">
        <f>IFERROR(__xludf.DUMMYFUNCTION("""COMPUTED_VALUE"""),"NPBM")</f>
        <v>NPBM</v>
      </c>
      <c r="F190" s="1" t="str">
        <f>IFERROR(__xludf.DUMMYFUNCTION("""COMPUTED_VALUE"""),"NPBM")</f>
        <v>NPBM</v>
      </c>
      <c r="G190" s="1"/>
      <c r="H190" s="1" t="str">
        <f>IFERROR(__xludf.DUMMYFUNCTION("""COMPUTED_VALUE"""),"")</f>
        <v/>
      </c>
      <c r="I190" s="1" t="str">
        <f>IFERROR(__xludf.DUMMYFUNCTION("""COMPUTED_VALUE"""),"")</f>
        <v/>
      </c>
    </row>
    <row r="191" customHeight="1" spans="1:9">
      <c r="A191" s="1" t="str">
        <f>IFERROR(__xludf.DUMMYFUNCTION("""COMPUTED_VALUE"""),"Harmonia")</f>
        <v>Harmonia</v>
      </c>
      <c r="B191" s="144" t="str">
        <f>IFERROR(__xludf.DUMMYFUNCTION("""COMPUTED_VALUE"""),"2º CRBM")</f>
        <v>2º CRBM</v>
      </c>
      <c r="C191" s="1" t="str">
        <f>IFERROR(__xludf.DUMMYFUNCTION("""COMPUTED_VALUE"""),"2º BBM")</f>
        <v>2º BBM</v>
      </c>
      <c r="D191" s="1" t="str">
        <f>IFERROR(__xludf.DUMMYFUNCTION("""COMPUTED_VALUE"""),"Montenegro")</f>
        <v>Montenegro</v>
      </c>
      <c r="E191" s="1" t="str">
        <f>IFERROR(__xludf.DUMMYFUNCTION("""COMPUTED_VALUE"""),"Voluntersul")</f>
        <v>Voluntersul</v>
      </c>
      <c r="F191" s="1" t="str">
        <f>IFERROR(__xludf.DUMMYFUNCTION("""COMPUTED_VALUE"""),"Voluntersul")</f>
        <v>Voluntersul</v>
      </c>
      <c r="G191" s="234" t="str">
        <f>IFERROR(__xludf.DUMMYFUNCTION("""COMPUTED_VALUE""")," 3 - Não Regularizado")</f>
        <v> 3 - Não Regularizado</v>
      </c>
      <c r="H191" s="1" t="str">
        <f>IFERROR(__xludf.DUMMYFUNCTION("""COMPUTED_VALUE"""),"")</f>
        <v/>
      </c>
      <c r="I191" s="1" t="str">
        <f>IFERROR(__xludf.DUMMYFUNCTION("""COMPUTED_VALUE"""),"")</f>
        <v/>
      </c>
    </row>
    <row r="192" customHeight="1" spans="1:9">
      <c r="A192" s="1" t="str">
        <f>IFERROR(__xludf.DUMMYFUNCTION("""COMPUTED_VALUE"""),"Herval")</f>
        <v>Herval</v>
      </c>
      <c r="B192" s="144" t="str">
        <f>IFERROR(__xludf.DUMMYFUNCTION("""COMPUTED_VALUE"""),"3º CRBM")</f>
        <v>3º CRBM</v>
      </c>
      <c r="C192" s="1" t="str">
        <f>IFERROR(__xludf.DUMMYFUNCTION("""COMPUTED_VALUE"""),"3º BBM")</f>
        <v>3º BBM</v>
      </c>
      <c r="D192" s="1" t="str">
        <f>IFERROR(__xludf.DUMMYFUNCTION("""COMPUTED_VALUE"""),"Jaguarão")</f>
        <v>Jaguarão</v>
      </c>
      <c r="E192" s="1" t="str">
        <f>IFERROR(__xludf.DUMMYFUNCTION("""COMPUTED_VALUE"""),"NPBM")</f>
        <v>NPBM</v>
      </c>
      <c r="F192" s="1" t="str">
        <f>IFERROR(__xludf.DUMMYFUNCTION("""COMPUTED_VALUE"""),"NPBM")</f>
        <v>NPBM</v>
      </c>
      <c r="G192" s="1"/>
      <c r="H192" s="1" t="str">
        <f>IFERROR(__xludf.DUMMYFUNCTION("""COMPUTED_VALUE"""),"")</f>
        <v/>
      </c>
      <c r="I192" s="1" t="str">
        <f>IFERROR(__xludf.DUMMYFUNCTION("""COMPUTED_VALUE"""),"")</f>
        <v/>
      </c>
    </row>
    <row r="193" customHeight="1" spans="1:9">
      <c r="A193" s="1" t="str">
        <f>IFERROR(__xludf.DUMMYFUNCTION("""COMPUTED_VALUE"""),"Herveiras")</f>
        <v>Herveiras</v>
      </c>
      <c r="B193" s="144" t="str">
        <f>IFERROR(__xludf.DUMMYFUNCTION("""COMPUTED_VALUE"""),"4º CRBM")</f>
        <v>4º CRBM</v>
      </c>
      <c r="C193" s="1" t="str">
        <f>IFERROR(__xludf.DUMMYFUNCTION("""COMPUTED_VALUE"""),"6º BBM")</f>
        <v>6º BBM</v>
      </c>
      <c r="D193" s="1" t="str">
        <f>IFERROR(__xludf.DUMMYFUNCTION("""COMPUTED_VALUE"""),"Santa Cruz do Sul")</f>
        <v>Santa Cruz do Sul</v>
      </c>
      <c r="E193" s="1" t="str">
        <f>IFERROR(__xludf.DUMMYFUNCTION("""COMPUTED_VALUE"""),"NPBM")</f>
        <v>NPBM</v>
      </c>
      <c r="F193" s="1" t="str">
        <f>IFERROR(__xludf.DUMMYFUNCTION("""COMPUTED_VALUE"""),"NPBM")</f>
        <v>NPBM</v>
      </c>
      <c r="G193" s="1"/>
      <c r="H193" s="1" t="str">
        <f>IFERROR(__xludf.DUMMYFUNCTION("""COMPUTED_VALUE"""),"")</f>
        <v/>
      </c>
      <c r="I193" s="1" t="str">
        <f>IFERROR(__xludf.DUMMYFUNCTION("""COMPUTED_VALUE"""),"")</f>
        <v/>
      </c>
    </row>
    <row r="194" customHeight="1" spans="1:9">
      <c r="A194" s="1" t="str">
        <f>IFERROR(__xludf.DUMMYFUNCTION("""COMPUTED_VALUE"""),"Horizontina")</f>
        <v>Horizontina</v>
      </c>
      <c r="B194" s="144" t="str">
        <f>IFERROR(__xludf.DUMMYFUNCTION("""COMPUTED_VALUE"""),"4º CRBM")</f>
        <v>4º CRBM</v>
      </c>
      <c r="C194" s="1" t="str">
        <f>IFERROR(__xludf.DUMMYFUNCTION("""COMPUTED_VALUE"""),"11º BBM")</f>
        <v>11º BBM</v>
      </c>
      <c r="D194" s="1" t="str">
        <f>IFERROR(__xludf.DUMMYFUNCTION("""COMPUTED_VALUE"""),"Horizontina")</f>
        <v>Horizontina</v>
      </c>
      <c r="E194" s="1" t="str">
        <f>IFERROR(__xludf.DUMMYFUNCTION("""COMPUTED_VALUE"""),"Militar")</f>
        <v>Militar</v>
      </c>
      <c r="F194" s="1" t="str">
        <f>IFERROR(__xludf.DUMMYFUNCTION("""COMPUTED_VALUE"""),"Militar")</f>
        <v>Militar</v>
      </c>
      <c r="G194" s="1"/>
      <c r="H194" s="1">
        <f>IFERROR(__xludf.DUMMYFUNCTION("""COMPUTED_VALUE"""),1)</f>
        <v>1</v>
      </c>
      <c r="I194" s="1" t="str">
        <f>IFERROR(__xludf.DUMMYFUNCTION("""COMPUTED_VALUE"""),"")</f>
        <v/>
      </c>
    </row>
    <row r="195" customHeight="1" spans="1:9">
      <c r="A195" s="1" t="str">
        <f>IFERROR(__xludf.DUMMYFUNCTION("""COMPUTED_VALUE"""),"Hulha Negra")</f>
        <v>Hulha Negra</v>
      </c>
      <c r="B195" s="144" t="str">
        <f>IFERROR(__xludf.DUMMYFUNCTION("""COMPUTED_VALUE"""),"3º CRBM")</f>
        <v>3º CRBM</v>
      </c>
      <c r="C195" s="1" t="str">
        <f>IFERROR(__xludf.DUMMYFUNCTION("""COMPUTED_VALUE"""),"10º BBM")</f>
        <v>10º BBM</v>
      </c>
      <c r="D195" s="1" t="str">
        <f>IFERROR(__xludf.DUMMYFUNCTION("""COMPUTED_VALUE"""),"Bagé")</f>
        <v>Bagé</v>
      </c>
      <c r="E195" s="1" t="str">
        <f>IFERROR(__xludf.DUMMYFUNCTION("""COMPUTED_VALUE"""),"NPBM")</f>
        <v>NPBM</v>
      </c>
      <c r="F195" s="1" t="str">
        <f>IFERROR(__xludf.DUMMYFUNCTION("""COMPUTED_VALUE"""),"NPBM")</f>
        <v>NPBM</v>
      </c>
      <c r="G195" s="1"/>
      <c r="H195" s="1" t="str">
        <f>IFERROR(__xludf.DUMMYFUNCTION("""COMPUTED_VALUE"""),"")</f>
        <v/>
      </c>
      <c r="I195" s="1" t="str">
        <f>IFERROR(__xludf.DUMMYFUNCTION("""COMPUTED_VALUE"""),"")</f>
        <v/>
      </c>
    </row>
    <row r="196" customHeight="1" spans="1:9">
      <c r="A196" s="1" t="str">
        <f>IFERROR(__xludf.DUMMYFUNCTION("""COMPUTED_VALUE"""),"Humaitá")</f>
        <v>Humaitá</v>
      </c>
      <c r="B196" s="144" t="str">
        <f>IFERROR(__xludf.DUMMYFUNCTION("""COMPUTED_VALUE"""),"4º CRBM")</f>
        <v>4º CRBM</v>
      </c>
      <c r="C196" s="1" t="str">
        <f>IFERROR(__xludf.DUMMYFUNCTION("""COMPUTED_VALUE"""),"11º BBM")</f>
        <v>11º BBM</v>
      </c>
      <c r="D196" s="1" t="str">
        <f>IFERROR(__xludf.DUMMYFUNCTION("""COMPUTED_VALUE"""),"Três Passos")</f>
        <v>Três Passos</v>
      </c>
      <c r="E196" s="1" t="str">
        <f>IFERROR(__xludf.DUMMYFUNCTION("""COMPUTED_VALUE"""),"NPBM")</f>
        <v>NPBM</v>
      </c>
      <c r="F196" s="1" t="str">
        <f>IFERROR(__xludf.DUMMYFUNCTION("""COMPUTED_VALUE"""),"NPBM")</f>
        <v>NPBM</v>
      </c>
      <c r="G196" s="1"/>
      <c r="H196" s="1" t="str">
        <f>IFERROR(__xludf.DUMMYFUNCTION("""COMPUTED_VALUE"""),"")</f>
        <v/>
      </c>
      <c r="I196" s="1" t="str">
        <f>IFERROR(__xludf.DUMMYFUNCTION("""COMPUTED_VALUE"""),"")</f>
        <v/>
      </c>
    </row>
    <row r="197" customHeight="1" spans="1:9">
      <c r="A197" s="1" t="str">
        <f>IFERROR(__xludf.DUMMYFUNCTION("""COMPUTED_VALUE"""),"Ibarama")</f>
        <v>Ibarama</v>
      </c>
      <c r="B197" s="144" t="str">
        <f>IFERROR(__xludf.DUMMYFUNCTION("""COMPUTED_VALUE"""),"4º CRBM")</f>
        <v>4º CRBM</v>
      </c>
      <c r="C197" s="1" t="str">
        <f>IFERROR(__xludf.DUMMYFUNCTION("""COMPUTED_VALUE"""),"6º BBM")</f>
        <v>6º BBM</v>
      </c>
      <c r="D197" s="1" t="str">
        <f>IFERROR(__xludf.DUMMYFUNCTION("""COMPUTED_VALUE"""),"Santa Cruz do Sul")</f>
        <v>Santa Cruz do Sul</v>
      </c>
      <c r="E197" s="1" t="str">
        <f>IFERROR(__xludf.DUMMYFUNCTION("""COMPUTED_VALUE"""),"NPBM")</f>
        <v>NPBM</v>
      </c>
      <c r="F197" s="1" t="str">
        <f>IFERROR(__xludf.DUMMYFUNCTION("""COMPUTED_VALUE"""),"NPBM")</f>
        <v>NPBM</v>
      </c>
      <c r="G197" s="1"/>
      <c r="H197" s="1" t="str">
        <f>IFERROR(__xludf.DUMMYFUNCTION("""COMPUTED_VALUE"""),"")</f>
        <v/>
      </c>
      <c r="I197" s="1" t="str">
        <f>IFERROR(__xludf.DUMMYFUNCTION("""COMPUTED_VALUE"""),"")</f>
        <v/>
      </c>
    </row>
    <row r="198" customHeight="1" spans="1:9">
      <c r="A198" s="1" t="str">
        <f>IFERROR(__xludf.DUMMYFUNCTION("""COMPUTED_VALUE"""),"Ibiaçá")</f>
        <v>Ibiaçá</v>
      </c>
      <c r="B198" s="144" t="str">
        <f>IFERROR(__xludf.DUMMYFUNCTION("""COMPUTED_VALUE"""),"2º CRBM")</f>
        <v>2º CRBM</v>
      </c>
      <c r="C198" s="1" t="str">
        <f>IFERROR(__xludf.DUMMYFUNCTION("""COMPUTED_VALUE"""),"5º BBM")</f>
        <v>5º BBM</v>
      </c>
      <c r="D198" s="1" t="str">
        <f>IFERROR(__xludf.DUMMYFUNCTION("""COMPUTED_VALUE"""),"Lagoa Vermelha")</f>
        <v>Lagoa Vermelha</v>
      </c>
      <c r="E198" s="1" t="str">
        <f>IFERROR(__xludf.DUMMYFUNCTION("""COMPUTED_VALUE"""),"NPBM")</f>
        <v>NPBM</v>
      </c>
      <c r="F198" s="1" t="str">
        <f>IFERROR(__xludf.DUMMYFUNCTION("""COMPUTED_VALUE"""),"NPBM")</f>
        <v>NPBM</v>
      </c>
      <c r="G198" s="1"/>
      <c r="H198" s="1" t="str">
        <f>IFERROR(__xludf.DUMMYFUNCTION("""COMPUTED_VALUE"""),"")</f>
        <v/>
      </c>
      <c r="I198" s="1" t="str">
        <f>IFERROR(__xludf.DUMMYFUNCTION("""COMPUTED_VALUE"""),"")</f>
        <v/>
      </c>
    </row>
    <row r="199" customHeight="1" spans="1:9">
      <c r="A199" s="1" t="str">
        <f>IFERROR(__xludf.DUMMYFUNCTION("""COMPUTED_VALUE"""),"Ibiraiaras")</f>
        <v>Ibiraiaras</v>
      </c>
      <c r="B199" s="144" t="str">
        <f>IFERROR(__xludf.DUMMYFUNCTION("""COMPUTED_VALUE"""),"2º CRBM")</f>
        <v>2º CRBM</v>
      </c>
      <c r="C199" s="1" t="str">
        <f>IFERROR(__xludf.DUMMYFUNCTION("""COMPUTED_VALUE"""),"5º BBM")</f>
        <v>5º BBM</v>
      </c>
      <c r="D199" s="1" t="str">
        <f>IFERROR(__xludf.DUMMYFUNCTION("""COMPUTED_VALUE"""),"Lagoa Vermelha")</f>
        <v>Lagoa Vermelha</v>
      </c>
      <c r="E199" s="1" t="str">
        <f>IFERROR(__xludf.DUMMYFUNCTION("""COMPUTED_VALUE"""),"NPBM")</f>
        <v>NPBM</v>
      </c>
      <c r="F199" s="1" t="str">
        <f>IFERROR(__xludf.DUMMYFUNCTION("""COMPUTED_VALUE"""),"NPBM")</f>
        <v>NPBM</v>
      </c>
      <c r="G199" s="1"/>
      <c r="H199" s="1" t="str">
        <f>IFERROR(__xludf.DUMMYFUNCTION("""COMPUTED_VALUE"""),"")</f>
        <v/>
      </c>
      <c r="I199" s="1" t="str">
        <f>IFERROR(__xludf.DUMMYFUNCTION("""COMPUTED_VALUE"""),"")</f>
        <v/>
      </c>
    </row>
    <row r="200" customHeight="1" spans="1:9">
      <c r="A200" s="1" t="str">
        <f>IFERROR(__xludf.DUMMYFUNCTION("""COMPUTED_VALUE"""),"Ibirapuitã")</f>
        <v>Ibirapuitã</v>
      </c>
      <c r="B200" s="144" t="str">
        <f>IFERROR(__xludf.DUMMYFUNCTION("""COMPUTED_VALUE"""),"2º CRBM")</f>
        <v>2º CRBM</v>
      </c>
      <c r="C200" s="1" t="str">
        <f>IFERROR(__xludf.DUMMYFUNCTION("""COMPUTED_VALUE"""),"7º BBM")</f>
        <v>7º BBM</v>
      </c>
      <c r="D200" s="1" t="str">
        <f>IFERROR(__xludf.DUMMYFUNCTION("""COMPUTED_VALUE"""),"Soledade")</f>
        <v>Soledade</v>
      </c>
      <c r="E200" s="1" t="str">
        <f>IFERROR(__xludf.DUMMYFUNCTION("""COMPUTED_VALUE"""),"NPBM")</f>
        <v>NPBM</v>
      </c>
      <c r="F200" s="1" t="str">
        <f>IFERROR(__xludf.DUMMYFUNCTION("""COMPUTED_VALUE"""),"NPBM")</f>
        <v>NPBM</v>
      </c>
      <c r="G200" s="1"/>
      <c r="H200" s="1" t="str">
        <f>IFERROR(__xludf.DUMMYFUNCTION("""COMPUTED_VALUE"""),"")</f>
        <v/>
      </c>
      <c r="I200" s="1" t="str">
        <f>IFERROR(__xludf.DUMMYFUNCTION("""COMPUTED_VALUE"""),"")</f>
        <v/>
      </c>
    </row>
    <row r="201" customHeight="1" spans="1:9">
      <c r="A201" s="1" t="str">
        <f>IFERROR(__xludf.DUMMYFUNCTION("""COMPUTED_VALUE"""),"Ibirubá")</f>
        <v>Ibirubá</v>
      </c>
      <c r="B201" s="144" t="str">
        <f>IFERROR(__xludf.DUMMYFUNCTION("""COMPUTED_VALUE"""),"4º CRBM")</f>
        <v>4º CRBM</v>
      </c>
      <c r="C201" s="1" t="str">
        <f>IFERROR(__xludf.DUMMYFUNCTION("""COMPUTED_VALUE"""),"12º BBM")</f>
        <v>12º BBM</v>
      </c>
      <c r="D201" s="1" t="str">
        <f>IFERROR(__xludf.DUMMYFUNCTION("""COMPUTED_VALUE"""),"Ibirubá")</f>
        <v>Ibirubá</v>
      </c>
      <c r="E201" s="1" t="str">
        <f>IFERROR(__xludf.DUMMYFUNCTION("""COMPUTED_VALUE"""),"Comunitário")</f>
        <v>Comunitário</v>
      </c>
      <c r="F201" s="1" t="str">
        <f>IFERROR(__xludf.DUMMYFUNCTION("""COMPUTED_VALUE"""),"Mil + Mun")</f>
        <v>Mil + Mun</v>
      </c>
      <c r="G201" s="1"/>
      <c r="H201" s="1">
        <f>IFERROR(__xludf.DUMMYFUNCTION("""COMPUTED_VALUE"""),1)</f>
        <v>1</v>
      </c>
      <c r="I201" s="1" t="str">
        <f>IFERROR(__xludf.DUMMYFUNCTION("""COMPUTED_VALUE"""),"")</f>
        <v/>
      </c>
    </row>
    <row r="202" customHeight="1" spans="1:9">
      <c r="A202" s="1" t="str">
        <f>IFERROR(__xludf.DUMMYFUNCTION("""COMPUTED_VALUE"""),"Igrejinha")</f>
        <v>Igrejinha</v>
      </c>
      <c r="B202" s="144" t="str">
        <f>IFERROR(__xludf.DUMMYFUNCTION("""COMPUTED_VALUE"""),"2º CRBM")</f>
        <v>2º CRBM</v>
      </c>
      <c r="C202" s="1" t="str">
        <f>IFERROR(__xludf.DUMMYFUNCTION("""COMPUTED_VALUE"""),"5º BBM")</f>
        <v>5º BBM</v>
      </c>
      <c r="D202" s="1" t="str">
        <f>IFERROR(__xludf.DUMMYFUNCTION("""COMPUTED_VALUE"""),"Taquara")</f>
        <v>Taquara</v>
      </c>
      <c r="E202" s="1" t="str">
        <f>IFERROR(__xludf.DUMMYFUNCTION("""COMPUTED_VALUE"""),"Voluntersul")</f>
        <v>Voluntersul</v>
      </c>
      <c r="F202" s="1" t="str">
        <f>IFERROR(__xludf.DUMMYFUNCTION("""COMPUTED_VALUE"""),"Voluntersul")</f>
        <v>Voluntersul</v>
      </c>
      <c r="G202" s="234" t="str">
        <f>IFERROR(__xludf.DUMMYFUNCTION("""COMPUTED_VALUE""")," 3 - Não Regularizado")</f>
        <v> 3 - Não Regularizado</v>
      </c>
      <c r="H202" s="1" t="str">
        <f>IFERROR(__xludf.DUMMYFUNCTION("""COMPUTED_VALUE"""),"")</f>
        <v/>
      </c>
      <c r="I202" s="1" t="str">
        <f>IFERROR(__xludf.DUMMYFUNCTION("""COMPUTED_VALUE"""),"")</f>
        <v/>
      </c>
    </row>
    <row r="203" customHeight="1" spans="1:9">
      <c r="A203" s="1" t="str">
        <f>IFERROR(__xludf.DUMMYFUNCTION("""COMPUTED_VALUE"""),"Ijuí")</f>
        <v>Ijuí</v>
      </c>
      <c r="B203" s="144" t="str">
        <f>IFERROR(__xludf.DUMMYFUNCTION("""COMPUTED_VALUE"""),"4º CRBM")</f>
        <v>4º CRBM</v>
      </c>
      <c r="C203" s="1" t="str">
        <f>IFERROR(__xludf.DUMMYFUNCTION("""COMPUTED_VALUE"""),"12º BBM")</f>
        <v>12º BBM</v>
      </c>
      <c r="D203" s="1" t="str">
        <f>IFERROR(__xludf.DUMMYFUNCTION("""COMPUTED_VALUE"""),"Ijuí")</f>
        <v>Ijuí</v>
      </c>
      <c r="E203" s="1" t="str">
        <f>IFERROR(__xludf.DUMMYFUNCTION("""COMPUTED_VALUE"""),"Militar")</f>
        <v>Militar</v>
      </c>
      <c r="F203" s="1" t="str">
        <f>IFERROR(__xludf.DUMMYFUNCTION("""COMPUTED_VALUE"""),"Militar")</f>
        <v>Militar</v>
      </c>
      <c r="G203" s="1"/>
      <c r="H203" s="1">
        <f>IFERROR(__xludf.DUMMYFUNCTION("""COMPUTED_VALUE"""),1)</f>
        <v>1</v>
      </c>
      <c r="I203" s="1" t="str">
        <f>IFERROR(__xludf.DUMMYFUNCTION("""COMPUTED_VALUE"""),"")</f>
        <v/>
      </c>
    </row>
    <row r="204" customHeight="1" spans="1:9">
      <c r="A204" s="1" t="str">
        <f>IFERROR(__xludf.DUMMYFUNCTION("""COMPUTED_VALUE"""),"Ilópolis")</f>
        <v>Ilópolis</v>
      </c>
      <c r="B204" s="144" t="str">
        <f>IFERROR(__xludf.DUMMYFUNCTION("""COMPUTED_VALUE"""),"2º CRBM")</f>
        <v>2º CRBM</v>
      </c>
      <c r="C204" s="1" t="str">
        <f>IFERROR(__xludf.DUMMYFUNCTION("""COMPUTED_VALUE"""),"7º BBM")</f>
        <v>7º BBM</v>
      </c>
      <c r="D204" s="1" t="str">
        <f>IFERROR(__xludf.DUMMYFUNCTION("""COMPUTED_VALUE"""),"Encantado")</f>
        <v>Encantado</v>
      </c>
      <c r="E204" s="1" t="str">
        <f>IFERROR(__xludf.DUMMYFUNCTION("""COMPUTED_VALUE"""),"NPBM")</f>
        <v>NPBM</v>
      </c>
      <c r="F204" s="1" t="str">
        <f>IFERROR(__xludf.DUMMYFUNCTION("""COMPUTED_VALUE"""),"NPBM")</f>
        <v>NPBM</v>
      </c>
      <c r="G204" s="1"/>
      <c r="H204" s="1" t="str">
        <f>IFERROR(__xludf.DUMMYFUNCTION("""COMPUTED_VALUE"""),"")</f>
        <v/>
      </c>
      <c r="I204" s="1" t="str">
        <f>IFERROR(__xludf.DUMMYFUNCTION("""COMPUTED_VALUE"""),"")</f>
        <v/>
      </c>
    </row>
    <row r="205" customHeight="1" spans="1:9">
      <c r="A205" s="1" t="str">
        <f>IFERROR(__xludf.DUMMYFUNCTION("""COMPUTED_VALUE"""),"Imbé")</f>
        <v>Imbé</v>
      </c>
      <c r="B205" s="144" t="str">
        <f>IFERROR(__xludf.DUMMYFUNCTION("""COMPUTED_VALUE"""),"1º CRBM")</f>
        <v>1º CRBM</v>
      </c>
      <c r="C205" s="1" t="str">
        <f>IFERROR(__xludf.DUMMYFUNCTION("""COMPUTED_VALUE"""),"9º BBM")</f>
        <v>9º BBM</v>
      </c>
      <c r="D205" s="1" t="str">
        <f>IFERROR(__xludf.DUMMYFUNCTION("""COMPUTED_VALUE"""),"Tramandaí")</f>
        <v>Tramandaí</v>
      </c>
      <c r="E205" s="1" t="str">
        <f>IFERROR(__xludf.DUMMYFUNCTION("""COMPUTED_VALUE"""),"NPBM")</f>
        <v>NPBM</v>
      </c>
      <c r="F205" s="1" t="str">
        <f>IFERROR(__xludf.DUMMYFUNCTION("""COMPUTED_VALUE"""),"NPBM")</f>
        <v>NPBM</v>
      </c>
      <c r="G205" s="1"/>
      <c r="H205" s="1" t="str">
        <f>IFERROR(__xludf.DUMMYFUNCTION("""COMPUTED_VALUE"""),"")</f>
        <v/>
      </c>
      <c r="I205" s="1" t="str">
        <f>IFERROR(__xludf.DUMMYFUNCTION("""COMPUTED_VALUE"""),"")</f>
        <v/>
      </c>
    </row>
    <row r="206" customHeight="1" spans="1:9">
      <c r="A206" s="1" t="str">
        <f>IFERROR(__xludf.DUMMYFUNCTION("""COMPUTED_VALUE"""),"Imigrante")</f>
        <v>Imigrante</v>
      </c>
      <c r="B206" s="144" t="str">
        <f>IFERROR(__xludf.DUMMYFUNCTION("""COMPUTED_VALUE"""),"4º CRBM")</f>
        <v>4º CRBM</v>
      </c>
      <c r="C206" s="1" t="str">
        <f>IFERROR(__xludf.DUMMYFUNCTION("""COMPUTED_VALUE"""),"6º BBM")</f>
        <v>6º BBM</v>
      </c>
      <c r="D206" s="1" t="str">
        <f>IFERROR(__xludf.DUMMYFUNCTION("""COMPUTED_VALUE"""),"Estrela")</f>
        <v>Estrela</v>
      </c>
      <c r="E206" s="1" t="str">
        <f>IFERROR(__xludf.DUMMYFUNCTION("""COMPUTED_VALUE"""),"Voluntersul")</f>
        <v>Voluntersul</v>
      </c>
      <c r="F206" s="1" t="str">
        <f>IFERROR(__xludf.DUMMYFUNCTION("""COMPUTED_VALUE"""),"Voluntersul")</f>
        <v>Voluntersul</v>
      </c>
      <c r="G206" s="234" t="str">
        <f>IFERROR(__xludf.DUMMYFUNCTION("""COMPUTED_VALUE""")," 4 - Desfavorável")</f>
        <v> 4 - Desfavorável</v>
      </c>
      <c r="H206" s="1" t="str">
        <f>IFERROR(__xludf.DUMMYFUNCTION("""COMPUTED_VALUE"""),"")</f>
        <v/>
      </c>
      <c r="I206" s="1" t="str">
        <f>IFERROR(__xludf.DUMMYFUNCTION("""COMPUTED_VALUE"""),"")</f>
        <v/>
      </c>
    </row>
    <row r="207" customHeight="1" spans="1:9">
      <c r="A207" s="1" t="str">
        <f>IFERROR(__xludf.DUMMYFUNCTION("""COMPUTED_VALUE"""),"Independência")</f>
        <v>Independência</v>
      </c>
      <c r="B207" s="144" t="str">
        <f>IFERROR(__xludf.DUMMYFUNCTION("""COMPUTED_VALUE"""),"4º CRBM")</f>
        <v>4º CRBM</v>
      </c>
      <c r="C207" s="1" t="str">
        <f>IFERROR(__xludf.DUMMYFUNCTION("""COMPUTED_VALUE"""),"11º BBM")</f>
        <v>11º BBM</v>
      </c>
      <c r="D207" s="1" t="str">
        <f>IFERROR(__xludf.DUMMYFUNCTION("""COMPUTED_VALUE"""),"Três de Maio")</f>
        <v>Três de Maio</v>
      </c>
      <c r="E207" s="1" t="str">
        <f>IFERROR(__xludf.DUMMYFUNCTION("""COMPUTED_VALUE"""),"NPBM")</f>
        <v>NPBM</v>
      </c>
      <c r="F207" s="1" t="str">
        <f>IFERROR(__xludf.DUMMYFUNCTION("""COMPUTED_VALUE"""),"NPBM")</f>
        <v>NPBM</v>
      </c>
      <c r="G207" s="1"/>
      <c r="H207" s="1" t="str">
        <f>IFERROR(__xludf.DUMMYFUNCTION("""COMPUTED_VALUE"""),"")</f>
        <v/>
      </c>
      <c r="I207" s="1" t="str">
        <f>IFERROR(__xludf.DUMMYFUNCTION("""COMPUTED_VALUE"""),"")</f>
        <v/>
      </c>
    </row>
    <row r="208" customHeight="1" spans="1:9">
      <c r="A208" s="1" t="str">
        <f>IFERROR(__xludf.DUMMYFUNCTION("""COMPUTED_VALUE"""),"Inhacorá")</f>
        <v>Inhacorá</v>
      </c>
      <c r="B208" s="144" t="str">
        <f>IFERROR(__xludf.DUMMYFUNCTION("""COMPUTED_VALUE"""),"4º CRBM")</f>
        <v>4º CRBM</v>
      </c>
      <c r="C208" s="1" t="str">
        <f>IFERROR(__xludf.DUMMYFUNCTION("""COMPUTED_VALUE"""),"12º BBM")</f>
        <v>12º BBM</v>
      </c>
      <c r="D208" s="1" t="str">
        <f>IFERROR(__xludf.DUMMYFUNCTION("""COMPUTED_VALUE"""),"Ijuí")</f>
        <v>Ijuí</v>
      </c>
      <c r="E208" s="1" t="str">
        <f>IFERROR(__xludf.DUMMYFUNCTION("""COMPUTED_VALUE"""),"NPBM")</f>
        <v>NPBM</v>
      </c>
      <c r="F208" s="1" t="str">
        <f>IFERROR(__xludf.DUMMYFUNCTION("""COMPUTED_VALUE"""),"NPBM")</f>
        <v>NPBM</v>
      </c>
      <c r="G208" s="1"/>
      <c r="H208" s="1" t="str">
        <f>IFERROR(__xludf.DUMMYFUNCTION("""COMPUTED_VALUE"""),"")</f>
        <v/>
      </c>
      <c r="I208" s="1" t="str">
        <f>IFERROR(__xludf.DUMMYFUNCTION("""COMPUTED_VALUE"""),"")</f>
        <v/>
      </c>
    </row>
    <row r="209" customHeight="1" spans="1:9">
      <c r="A209" s="1" t="str">
        <f>IFERROR(__xludf.DUMMYFUNCTION("""COMPUTED_VALUE"""),"Ipê")</f>
        <v>Ipê</v>
      </c>
      <c r="B209" s="144" t="str">
        <f>IFERROR(__xludf.DUMMYFUNCTION("""COMPUTED_VALUE"""),"2º CRBM")</f>
        <v>2º CRBM</v>
      </c>
      <c r="C209" s="1" t="str">
        <f>IFERROR(__xludf.DUMMYFUNCTION("""COMPUTED_VALUE"""),"5º BBM")</f>
        <v>5º BBM</v>
      </c>
      <c r="D209" s="1" t="str">
        <f>IFERROR(__xludf.DUMMYFUNCTION("""COMPUTED_VALUE"""),"Flores da Cunha")</f>
        <v>Flores da Cunha</v>
      </c>
      <c r="E209" s="1" t="str">
        <f>IFERROR(__xludf.DUMMYFUNCTION("""COMPUTED_VALUE"""),"NPBM")</f>
        <v>NPBM</v>
      </c>
      <c r="F209" s="1" t="str">
        <f>IFERROR(__xludf.DUMMYFUNCTION("""COMPUTED_VALUE"""),"NPBM")</f>
        <v>NPBM</v>
      </c>
      <c r="G209" s="1"/>
      <c r="H209" s="1" t="str">
        <f>IFERROR(__xludf.DUMMYFUNCTION("""COMPUTED_VALUE"""),"")</f>
        <v/>
      </c>
      <c r="I209" s="1" t="str">
        <f>IFERROR(__xludf.DUMMYFUNCTION("""COMPUTED_VALUE"""),"")</f>
        <v/>
      </c>
    </row>
    <row r="210" customHeight="1" spans="1:9">
      <c r="A210" s="1" t="str">
        <f>IFERROR(__xludf.DUMMYFUNCTION("""COMPUTED_VALUE"""),"Ipiranga do Sul")</f>
        <v>Ipiranga do Sul</v>
      </c>
      <c r="B210" s="144" t="str">
        <f>IFERROR(__xludf.DUMMYFUNCTION("""COMPUTED_VALUE"""),"2º CRBM")</f>
        <v>2º CRBM</v>
      </c>
      <c r="C210" s="1" t="str">
        <f>IFERROR(__xludf.DUMMYFUNCTION("""COMPUTED_VALUE"""),"7º BBM")</f>
        <v>7º BBM</v>
      </c>
      <c r="D210" s="1" t="str">
        <f>IFERROR(__xludf.DUMMYFUNCTION("""COMPUTED_VALUE"""),"Getúlio Vargas")</f>
        <v>Getúlio Vargas</v>
      </c>
      <c r="E210" s="1" t="str">
        <f>IFERROR(__xludf.DUMMYFUNCTION("""COMPUTED_VALUE"""),"NPBM")</f>
        <v>NPBM</v>
      </c>
      <c r="F210" s="1" t="str">
        <f>IFERROR(__xludf.DUMMYFUNCTION("""COMPUTED_VALUE"""),"NPBM")</f>
        <v>NPBM</v>
      </c>
      <c r="G210" s="1"/>
      <c r="H210" s="1" t="str">
        <f>IFERROR(__xludf.DUMMYFUNCTION("""COMPUTED_VALUE"""),"")</f>
        <v/>
      </c>
      <c r="I210" s="1" t="str">
        <f>IFERROR(__xludf.DUMMYFUNCTION("""COMPUTED_VALUE"""),"")</f>
        <v/>
      </c>
    </row>
    <row r="211" customHeight="1" spans="1:9">
      <c r="A211" s="1" t="str">
        <f>IFERROR(__xludf.DUMMYFUNCTION("""COMPUTED_VALUE"""),"Iraí")</f>
        <v>Iraí</v>
      </c>
      <c r="B211" s="144" t="str">
        <f>IFERROR(__xludf.DUMMYFUNCTION("""COMPUTED_VALUE"""),"4º CRBM")</f>
        <v>4º CRBM</v>
      </c>
      <c r="C211" s="1" t="str">
        <f>IFERROR(__xludf.DUMMYFUNCTION("""COMPUTED_VALUE"""),"12º BBM")</f>
        <v>12º BBM</v>
      </c>
      <c r="D211" s="1" t="str">
        <f>IFERROR(__xludf.DUMMYFUNCTION("""COMPUTED_VALUE"""),"Frederico Westphalen")</f>
        <v>Frederico Westphalen</v>
      </c>
      <c r="E211" s="1" t="str">
        <f>IFERROR(__xludf.DUMMYFUNCTION("""COMPUTED_VALUE"""),"NPBM")</f>
        <v>NPBM</v>
      </c>
      <c r="F211" s="1" t="str">
        <f>IFERROR(__xludf.DUMMYFUNCTION("""COMPUTED_VALUE"""),"NPBM")</f>
        <v>NPBM</v>
      </c>
      <c r="G211" s="1"/>
      <c r="H211" s="1" t="str">
        <f>IFERROR(__xludf.DUMMYFUNCTION("""COMPUTED_VALUE"""),"")</f>
        <v/>
      </c>
      <c r="I211" s="1" t="str">
        <f>IFERROR(__xludf.DUMMYFUNCTION("""COMPUTED_VALUE"""),"")</f>
        <v/>
      </c>
    </row>
    <row r="212" customHeight="1" spans="1:9">
      <c r="A212" s="1" t="str">
        <f>IFERROR(__xludf.DUMMYFUNCTION("""COMPUTED_VALUE"""),"Itaara")</f>
        <v>Itaara</v>
      </c>
      <c r="B212" s="144" t="str">
        <f>IFERROR(__xludf.DUMMYFUNCTION("""COMPUTED_VALUE"""),"4º CRBM")</f>
        <v>4º CRBM</v>
      </c>
      <c r="C212" s="1" t="str">
        <f>IFERROR(__xludf.DUMMYFUNCTION("""COMPUTED_VALUE"""),"4º BBM")</f>
        <v>4º BBM</v>
      </c>
      <c r="D212" s="1" t="str">
        <f>IFERROR(__xludf.DUMMYFUNCTION("""COMPUTED_VALUE"""),"Santa Maria")</f>
        <v>Santa Maria</v>
      </c>
      <c r="E212" s="1" t="str">
        <f>IFERROR(__xludf.DUMMYFUNCTION("""COMPUTED_VALUE"""),"NPBM")</f>
        <v>NPBM</v>
      </c>
      <c r="F212" s="1" t="str">
        <f>IFERROR(__xludf.DUMMYFUNCTION("""COMPUTED_VALUE"""),"NPBM")</f>
        <v>NPBM</v>
      </c>
      <c r="G212" s="1"/>
      <c r="H212" s="1" t="str">
        <f>IFERROR(__xludf.DUMMYFUNCTION("""COMPUTED_VALUE"""),"")</f>
        <v/>
      </c>
      <c r="I212" s="1" t="str">
        <f>IFERROR(__xludf.DUMMYFUNCTION("""COMPUTED_VALUE"""),"")</f>
        <v/>
      </c>
    </row>
    <row r="213" customHeight="1" spans="1:9">
      <c r="A213" s="1" t="str">
        <f>IFERROR(__xludf.DUMMYFUNCTION("""COMPUTED_VALUE"""),"Itacurubi")</f>
        <v>Itacurubi</v>
      </c>
      <c r="B213" s="144" t="str">
        <f>IFERROR(__xludf.DUMMYFUNCTION("""COMPUTED_VALUE"""),"3º CRBM")</f>
        <v>3º CRBM</v>
      </c>
      <c r="C213" s="1" t="str">
        <f>IFERROR(__xludf.DUMMYFUNCTION("""COMPUTED_VALUE"""),"13º BBM")</f>
        <v>13º BBM</v>
      </c>
      <c r="D213" s="1" t="str">
        <f>IFERROR(__xludf.DUMMYFUNCTION("""COMPUTED_VALUE"""),"Santiago")</f>
        <v>Santiago</v>
      </c>
      <c r="E213" s="1" t="str">
        <f>IFERROR(__xludf.DUMMYFUNCTION("""COMPUTED_VALUE"""),"NPBM")</f>
        <v>NPBM</v>
      </c>
      <c r="F213" s="1" t="str">
        <f>IFERROR(__xludf.DUMMYFUNCTION("""COMPUTED_VALUE"""),"NPBM")</f>
        <v>NPBM</v>
      </c>
      <c r="G213" s="1"/>
      <c r="H213" s="1" t="str">
        <f>IFERROR(__xludf.DUMMYFUNCTION("""COMPUTED_VALUE"""),"")</f>
        <v/>
      </c>
      <c r="I213" s="1" t="str">
        <f>IFERROR(__xludf.DUMMYFUNCTION("""COMPUTED_VALUE"""),"")</f>
        <v/>
      </c>
    </row>
    <row r="214" customHeight="1" spans="1:9">
      <c r="A214" s="1" t="str">
        <f>IFERROR(__xludf.DUMMYFUNCTION("""COMPUTED_VALUE"""),"Itapuca")</f>
        <v>Itapuca</v>
      </c>
      <c r="B214" s="144" t="str">
        <f>IFERROR(__xludf.DUMMYFUNCTION("""COMPUTED_VALUE"""),"2º CRBM")</f>
        <v>2º CRBM</v>
      </c>
      <c r="C214" s="1" t="str">
        <f>IFERROR(__xludf.DUMMYFUNCTION("""COMPUTED_VALUE"""),"7º BBM")</f>
        <v>7º BBM</v>
      </c>
      <c r="D214" s="1" t="str">
        <f>IFERROR(__xludf.DUMMYFUNCTION("""COMPUTED_VALUE"""),"Soledade")</f>
        <v>Soledade</v>
      </c>
      <c r="E214" s="1" t="str">
        <f>IFERROR(__xludf.DUMMYFUNCTION("""COMPUTED_VALUE"""),"NPBM")</f>
        <v>NPBM</v>
      </c>
      <c r="F214" s="1" t="str">
        <f>IFERROR(__xludf.DUMMYFUNCTION("""COMPUTED_VALUE"""),"NPBM")</f>
        <v>NPBM</v>
      </c>
      <c r="G214" s="1"/>
      <c r="H214" s="1" t="str">
        <f>IFERROR(__xludf.DUMMYFUNCTION("""COMPUTED_VALUE"""),"")</f>
        <v/>
      </c>
      <c r="I214" s="1" t="str">
        <f>IFERROR(__xludf.DUMMYFUNCTION("""COMPUTED_VALUE"""),"")</f>
        <v/>
      </c>
    </row>
    <row r="215" customHeight="1" spans="1:9">
      <c r="A215" s="1" t="str">
        <f>IFERROR(__xludf.DUMMYFUNCTION("""COMPUTED_VALUE"""),"Itaqui")</f>
        <v>Itaqui</v>
      </c>
      <c r="B215" s="144" t="str">
        <f>IFERROR(__xludf.DUMMYFUNCTION("""COMPUTED_VALUE"""),"3º CRBM")</f>
        <v>3º CRBM</v>
      </c>
      <c r="C215" s="1" t="str">
        <f>IFERROR(__xludf.DUMMYFUNCTION("""COMPUTED_VALUE"""),"13º BBM")</f>
        <v>13º BBM</v>
      </c>
      <c r="D215" s="1" t="str">
        <f>IFERROR(__xludf.DUMMYFUNCTION("""COMPUTED_VALUE"""),"Itaqui")</f>
        <v>Itaqui</v>
      </c>
      <c r="E215" s="1" t="str">
        <f>IFERROR(__xludf.DUMMYFUNCTION("""COMPUTED_VALUE"""),"Comunitário")</f>
        <v>Comunitário</v>
      </c>
      <c r="F215" s="1" t="str">
        <f>IFERROR(__xludf.DUMMYFUNCTION("""COMPUTED_VALUE"""),"Mil + Mun")</f>
        <v>Mil + Mun</v>
      </c>
      <c r="G215" s="234" t="str">
        <f>IFERROR(__xludf.DUMMYFUNCTION("""COMPUTED_VALUE""")," 3 - Não Regularizado")</f>
        <v> 3 - Não Regularizado</v>
      </c>
      <c r="H215" s="1">
        <f>IFERROR(__xludf.DUMMYFUNCTION("""COMPUTED_VALUE"""),1)</f>
        <v>1</v>
      </c>
      <c r="I215" s="1" t="str">
        <f>IFERROR(__xludf.DUMMYFUNCTION("""COMPUTED_VALUE"""),"")</f>
        <v/>
      </c>
    </row>
    <row r="216" customHeight="1" spans="1:9">
      <c r="A216" s="1" t="str">
        <f>IFERROR(__xludf.DUMMYFUNCTION("""COMPUTED_VALUE"""),"Itati")</f>
        <v>Itati</v>
      </c>
      <c r="B216" s="144" t="str">
        <f>IFERROR(__xludf.DUMMYFUNCTION("""COMPUTED_VALUE"""),"1º CRBM")</f>
        <v>1º CRBM</v>
      </c>
      <c r="C216" s="1" t="str">
        <f>IFERROR(__xludf.DUMMYFUNCTION("""COMPUTED_VALUE"""),"9º BBM")</f>
        <v>9º BBM</v>
      </c>
      <c r="D216" s="1" t="str">
        <f>IFERROR(__xludf.DUMMYFUNCTION("""COMPUTED_VALUE"""),"Terra de Areia")</f>
        <v>Terra de Areia</v>
      </c>
      <c r="E216" s="1" t="str">
        <f>IFERROR(__xludf.DUMMYFUNCTION("""COMPUTED_VALUE"""),"NPBM")</f>
        <v>NPBM</v>
      </c>
      <c r="F216" s="1" t="str">
        <f>IFERROR(__xludf.DUMMYFUNCTION("""COMPUTED_VALUE"""),"NPBM")</f>
        <v>NPBM</v>
      </c>
      <c r="G216" s="1"/>
      <c r="H216" s="1" t="str">
        <f>IFERROR(__xludf.DUMMYFUNCTION("""COMPUTED_VALUE"""),"")</f>
        <v/>
      </c>
      <c r="I216" s="1" t="str">
        <f>IFERROR(__xludf.DUMMYFUNCTION("""COMPUTED_VALUE"""),"")</f>
        <v/>
      </c>
    </row>
    <row r="217" customHeight="1" spans="1:9">
      <c r="A217" s="1" t="str">
        <f>IFERROR(__xludf.DUMMYFUNCTION("""COMPUTED_VALUE"""),"Itatiba do Sul")</f>
        <v>Itatiba do Sul</v>
      </c>
      <c r="B217" s="144" t="str">
        <f>IFERROR(__xludf.DUMMYFUNCTION("""COMPUTED_VALUE"""),"2º CRBM")</f>
        <v>2º CRBM</v>
      </c>
      <c r="C217" s="1" t="str">
        <f>IFERROR(__xludf.DUMMYFUNCTION("""COMPUTED_VALUE"""),"7º BBM")</f>
        <v>7º BBM</v>
      </c>
      <c r="D217" s="1" t="str">
        <f>IFERROR(__xludf.DUMMYFUNCTION("""COMPUTED_VALUE"""),"Erechim")</f>
        <v>Erechim</v>
      </c>
      <c r="E217" s="1" t="str">
        <f>IFERROR(__xludf.DUMMYFUNCTION("""COMPUTED_VALUE"""),"NPBM")</f>
        <v>NPBM</v>
      </c>
      <c r="F217" s="1" t="str">
        <f>IFERROR(__xludf.DUMMYFUNCTION("""COMPUTED_VALUE"""),"NPBM")</f>
        <v>NPBM</v>
      </c>
      <c r="G217" s="1"/>
      <c r="H217" s="1" t="str">
        <f>IFERROR(__xludf.DUMMYFUNCTION("""COMPUTED_VALUE"""),"")</f>
        <v/>
      </c>
      <c r="I217" s="1" t="str">
        <f>IFERROR(__xludf.DUMMYFUNCTION("""COMPUTED_VALUE"""),"")</f>
        <v/>
      </c>
    </row>
    <row r="218" customHeight="1" spans="1:9">
      <c r="A218" s="1" t="str">
        <f>IFERROR(__xludf.DUMMYFUNCTION("""COMPUTED_VALUE"""),"Ivorá")</f>
        <v>Ivorá</v>
      </c>
      <c r="B218" s="144" t="str">
        <f>IFERROR(__xludf.DUMMYFUNCTION("""COMPUTED_VALUE"""),"4º CRBM")</f>
        <v>4º CRBM</v>
      </c>
      <c r="C218" s="1" t="str">
        <f>IFERROR(__xludf.DUMMYFUNCTION("""COMPUTED_VALUE"""),"4º BBM")</f>
        <v>4º BBM</v>
      </c>
      <c r="D218" s="1" t="str">
        <f>IFERROR(__xludf.DUMMYFUNCTION("""COMPUTED_VALUE"""),"Júlio de Castilhos")</f>
        <v>Júlio de Castilhos</v>
      </c>
      <c r="E218" s="1" t="str">
        <f>IFERROR(__xludf.DUMMYFUNCTION("""COMPUTED_VALUE"""),"NPBM")</f>
        <v>NPBM</v>
      </c>
      <c r="F218" s="1" t="str">
        <f>IFERROR(__xludf.DUMMYFUNCTION("""COMPUTED_VALUE"""),"NPBM")</f>
        <v>NPBM</v>
      </c>
      <c r="G218" s="1"/>
      <c r="H218" s="1" t="str">
        <f>IFERROR(__xludf.DUMMYFUNCTION("""COMPUTED_VALUE"""),"")</f>
        <v/>
      </c>
      <c r="I218" s="1" t="str">
        <f>IFERROR(__xludf.DUMMYFUNCTION("""COMPUTED_VALUE"""),"")</f>
        <v/>
      </c>
    </row>
    <row r="219" customHeight="1" spans="1:9">
      <c r="A219" s="1" t="str">
        <f>IFERROR(__xludf.DUMMYFUNCTION("""COMPUTED_VALUE"""),"Ivoti")</f>
        <v>Ivoti</v>
      </c>
      <c r="B219" s="144" t="str">
        <f>IFERROR(__xludf.DUMMYFUNCTION("""COMPUTED_VALUE"""),"2º CRBM")</f>
        <v>2º CRBM</v>
      </c>
      <c r="C219" s="1" t="str">
        <f>IFERROR(__xludf.DUMMYFUNCTION("""COMPUTED_VALUE"""),"2º BBM")</f>
        <v>2º BBM</v>
      </c>
      <c r="D219" s="1" t="str">
        <f>IFERROR(__xludf.DUMMYFUNCTION("""COMPUTED_VALUE"""),"Ivoti")</f>
        <v>Ivoti</v>
      </c>
      <c r="E219" s="1" t="str">
        <f>IFERROR(__xludf.DUMMYFUNCTION("""COMPUTED_VALUE"""),"Comunitário")</f>
        <v>Comunitário</v>
      </c>
      <c r="F219" s="1" t="str">
        <f>IFERROR(__xludf.DUMMYFUNCTION("""COMPUTED_VALUE"""),"Mil + Mun + Vol")</f>
        <v>Mil + Mun + Vol</v>
      </c>
      <c r="G219" s="1"/>
      <c r="H219" s="1">
        <f>IFERROR(__xludf.DUMMYFUNCTION("""COMPUTED_VALUE"""),1)</f>
        <v>1</v>
      </c>
      <c r="I219" s="1" t="str">
        <f>IFERROR(__xludf.DUMMYFUNCTION("""COMPUTED_VALUE"""),"")</f>
        <v/>
      </c>
    </row>
    <row r="220" customHeight="1" spans="1:9">
      <c r="A220" s="1" t="str">
        <f>IFERROR(__xludf.DUMMYFUNCTION("""COMPUTED_VALUE"""),"Jaboticaba")</f>
        <v>Jaboticaba</v>
      </c>
      <c r="B220" s="144" t="str">
        <f>IFERROR(__xludf.DUMMYFUNCTION("""COMPUTED_VALUE"""),"4º CRBM")</f>
        <v>4º CRBM</v>
      </c>
      <c r="C220" s="1" t="str">
        <f>IFERROR(__xludf.DUMMYFUNCTION("""COMPUTED_VALUE"""),"12º BBM")</f>
        <v>12º BBM</v>
      </c>
      <c r="D220" s="1" t="str">
        <f>IFERROR(__xludf.DUMMYFUNCTION("""COMPUTED_VALUE"""),"Palmeira das Missões")</f>
        <v>Palmeira das Missões</v>
      </c>
      <c r="E220" s="1" t="str">
        <f>IFERROR(__xludf.DUMMYFUNCTION("""COMPUTED_VALUE"""),"NPBM")</f>
        <v>NPBM</v>
      </c>
      <c r="F220" s="1" t="str">
        <f>IFERROR(__xludf.DUMMYFUNCTION("""COMPUTED_VALUE"""),"NPBM")</f>
        <v>NPBM</v>
      </c>
      <c r="G220" s="1"/>
      <c r="H220" s="1" t="str">
        <f>IFERROR(__xludf.DUMMYFUNCTION("""COMPUTED_VALUE"""),"")</f>
        <v/>
      </c>
      <c r="I220" s="1" t="str">
        <f>IFERROR(__xludf.DUMMYFUNCTION("""COMPUTED_VALUE"""),"")</f>
        <v/>
      </c>
    </row>
    <row r="221" customHeight="1" spans="1:9">
      <c r="A221" s="1" t="str">
        <f>IFERROR(__xludf.DUMMYFUNCTION("""COMPUTED_VALUE"""),"Jacuizinho")</f>
        <v>Jacuizinho</v>
      </c>
      <c r="B221" s="144" t="str">
        <f>IFERROR(__xludf.DUMMYFUNCTION("""COMPUTED_VALUE"""),"4º CRBM")</f>
        <v>4º CRBM</v>
      </c>
      <c r="C221" s="1" t="str">
        <f>IFERROR(__xludf.DUMMYFUNCTION("""COMPUTED_VALUE"""),"12º BBM")</f>
        <v>12º BBM</v>
      </c>
      <c r="D221" s="1" t="str">
        <f>IFERROR(__xludf.DUMMYFUNCTION("""COMPUTED_VALUE"""),"Cruz Alta")</f>
        <v>Cruz Alta</v>
      </c>
      <c r="E221" s="1" t="str">
        <f>IFERROR(__xludf.DUMMYFUNCTION("""COMPUTED_VALUE"""),"NPBM")</f>
        <v>NPBM</v>
      </c>
      <c r="F221" s="1" t="str">
        <f>IFERROR(__xludf.DUMMYFUNCTION("""COMPUTED_VALUE"""),"NPBM")</f>
        <v>NPBM</v>
      </c>
      <c r="G221" s="1"/>
      <c r="H221" s="1" t="str">
        <f>IFERROR(__xludf.DUMMYFUNCTION("""COMPUTED_VALUE"""),"")</f>
        <v/>
      </c>
      <c r="I221" s="1" t="str">
        <f>IFERROR(__xludf.DUMMYFUNCTION("""COMPUTED_VALUE"""),"")</f>
        <v/>
      </c>
    </row>
    <row r="222" customHeight="1" spans="1:9">
      <c r="A222" s="1" t="str">
        <f>IFERROR(__xludf.DUMMYFUNCTION("""COMPUTED_VALUE"""),"Jacutinga")</f>
        <v>Jacutinga</v>
      </c>
      <c r="B222" s="144" t="str">
        <f>IFERROR(__xludf.DUMMYFUNCTION("""COMPUTED_VALUE"""),"2º CRBM")</f>
        <v>2º CRBM</v>
      </c>
      <c r="C222" s="1" t="str">
        <f>IFERROR(__xludf.DUMMYFUNCTION("""COMPUTED_VALUE"""),"7º BBM")</f>
        <v>7º BBM</v>
      </c>
      <c r="D222" s="1" t="str">
        <f>IFERROR(__xludf.DUMMYFUNCTION("""COMPUTED_VALUE"""),"Erechim")</f>
        <v>Erechim</v>
      </c>
      <c r="E222" s="1" t="str">
        <f>IFERROR(__xludf.DUMMYFUNCTION("""COMPUTED_VALUE"""),"SCAB")</f>
        <v>SCAB</v>
      </c>
      <c r="F222" s="1" t="str">
        <f>IFERROR(__xludf.DUMMYFUNCTION("""COMPUTED_VALUE"""),"Municipal")</f>
        <v>Municipal</v>
      </c>
      <c r="G222" s="234" t="str">
        <f>IFERROR(__xludf.DUMMYFUNCTION("""COMPUTED_VALUE""")," 1 - Credenciado")</f>
        <v> 1 - Credenciado</v>
      </c>
      <c r="H222" s="1" t="str">
        <f>IFERROR(__xludf.DUMMYFUNCTION("""COMPUTED_VALUE"""),"")</f>
        <v/>
      </c>
      <c r="I222" s="1" t="str">
        <f>IFERROR(__xludf.DUMMYFUNCTION("""COMPUTED_VALUE"""),"")</f>
        <v/>
      </c>
    </row>
    <row r="223" customHeight="1" spans="1:9">
      <c r="A223" s="1" t="str">
        <f>IFERROR(__xludf.DUMMYFUNCTION("""COMPUTED_VALUE"""),"Jaguarão")</f>
        <v>Jaguarão</v>
      </c>
      <c r="B223" s="144" t="str">
        <f>IFERROR(__xludf.DUMMYFUNCTION("""COMPUTED_VALUE"""),"3º CRBM")</f>
        <v>3º CRBM</v>
      </c>
      <c r="C223" s="1" t="str">
        <f>IFERROR(__xludf.DUMMYFUNCTION("""COMPUTED_VALUE"""),"3º BBM")</f>
        <v>3º BBM</v>
      </c>
      <c r="D223" s="1" t="str">
        <f>IFERROR(__xludf.DUMMYFUNCTION("""COMPUTED_VALUE"""),"Jaguarão")</f>
        <v>Jaguarão</v>
      </c>
      <c r="E223" s="1" t="str">
        <f>IFERROR(__xludf.DUMMYFUNCTION("""COMPUTED_VALUE"""),"Militar")</f>
        <v>Militar</v>
      </c>
      <c r="F223" s="1" t="str">
        <f>IFERROR(__xludf.DUMMYFUNCTION("""COMPUTED_VALUE"""),"Militar")</f>
        <v>Militar</v>
      </c>
      <c r="G223" s="1"/>
      <c r="H223" s="1">
        <f>IFERROR(__xludf.DUMMYFUNCTION("""COMPUTED_VALUE"""),1)</f>
        <v>1</v>
      </c>
      <c r="I223" s="1" t="str">
        <f>IFERROR(__xludf.DUMMYFUNCTION("""COMPUTED_VALUE"""),"")</f>
        <v/>
      </c>
    </row>
    <row r="224" customHeight="1" spans="1:9">
      <c r="A224" s="1" t="str">
        <f>IFERROR(__xludf.DUMMYFUNCTION("""COMPUTED_VALUE"""),"Jaguari")</f>
        <v>Jaguari</v>
      </c>
      <c r="B224" s="144" t="str">
        <f>IFERROR(__xludf.DUMMYFUNCTION("""COMPUTED_VALUE"""),"3º CRBM")</f>
        <v>3º CRBM</v>
      </c>
      <c r="C224" s="1" t="str">
        <f>IFERROR(__xludf.DUMMYFUNCTION("""COMPUTED_VALUE"""),"13º BBM")</f>
        <v>13º BBM</v>
      </c>
      <c r="D224" s="1" t="str">
        <f>IFERROR(__xludf.DUMMYFUNCTION("""COMPUTED_VALUE"""),"Santiago")</f>
        <v>Santiago</v>
      </c>
      <c r="E224" s="1" t="str">
        <f>IFERROR(__xludf.DUMMYFUNCTION("""COMPUTED_VALUE"""),"NPBM")</f>
        <v>NPBM</v>
      </c>
      <c r="F224" s="1" t="str">
        <f>IFERROR(__xludf.DUMMYFUNCTION("""COMPUTED_VALUE"""),"NPBM")</f>
        <v>NPBM</v>
      </c>
      <c r="G224" s="1"/>
      <c r="H224" s="1" t="str">
        <f>IFERROR(__xludf.DUMMYFUNCTION("""COMPUTED_VALUE"""),"")</f>
        <v/>
      </c>
      <c r="I224" s="1" t="str">
        <f>IFERROR(__xludf.DUMMYFUNCTION("""COMPUTED_VALUE"""),"")</f>
        <v/>
      </c>
    </row>
    <row r="225" customHeight="1" spans="1:9">
      <c r="A225" s="1" t="str">
        <f>IFERROR(__xludf.DUMMYFUNCTION("""COMPUTED_VALUE"""),"Jaquirana")</f>
        <v>Jaquirana</v>
      </c>
      <c r="B225" s="144" t="str">
        <f>IFERROR(__xludf.DUMMYFUNCTION("""COMPUTED_VALUE"""),"2º CRBM")</f>
        <v>2º CRBM</v>
      </c>
      <c r="C225" s="1" t="str">
        <f>IFERROR(__xludf.DUMMYFUNCTION("""COMPUTED_VALUE"""),"5º BBM")</f>
        <v>5º BBM</v>
      </c>
      <c r="D225" s="1" t="str">
        <f>IFERROR(__xludf.DUMMYFUNCTION("""COMPUTED_VALUE"""),"Vacaria")</f>
        <v>Vacaria</v>
      </c>
      <c r="E225" s="1" t="str">
        <f>IFERROR(__xludf.DUMMYFUNCTION("""COMPUTED_VALUE"""),"Voluntersul")</f>
        <v>Voluntersul</v>
      </c>
      <c r="F225" s="1" t="str">
        <f>IFERROR(__xludf.DUMMYFUNCTION("""COMPUTED_VALUE"""),"Voluntersul")</f>
        <v>Voluntersul</v>
      </c>
      <c r="G225" s="234" t="str">
        <f>IFERROR(__xludf.DUMMYFUNCTION("""COMPUTED_VALUE""")," 3 - Não Regularizado")</f>
        <v> 3 - Não Regularizado</v>
      </c>
      <c r="H225" s="1" t="str">
        <f>IFERROR(__xludf.DUMMYFUNCTION("""COMPUTED_VALUE"""),"")</f>
        <v/>
      </c>
      <c r="I225" s="1" t="str">
        <f>IFERROR(__xludf.DUMMYFUNCTION("""COMPUTED_VALUE"""),"")</f>
        <v/>
      </c>
    </row>
    <row r="226" customHeight="1" spans="1:9">
      <c r="A226" s="1" t="str">
        <f>IFERROR(__xludf.DUMMYFUNCTION("""COMPUTED_VALUE"""),"Jari")</f>
        <v>Jari</v>
      </c>
      <c r="B226" s="144" t="str">
        <f>IFERROR(__xludf.DUMMYFUNCTION("""COMPUTED_VALUE"""),"4º CRBM")</f>
        <v>4º CRBM</v>
      </c>
      <c r="C226" s="1" t="str">
        <f>IFERROR(__xludf.DUMMYFUNCTION("""COMPUTED_VALUE"""),"4º BBM")</f>
        <v>4º BBM</v>
      </c>
      <c r="D226" s="1" t="str">
        <f>IFERROR(__xludf.DUMMYFUNCTION("""COMPUTED_VALUE"""),"São Pedro do Sul")</f>
        <v>São Pedro do Sul</v>
      </c>
      <c r="E226" s="1" t="str">
        <f>IFERROR(__xludf.DUMMYFUNCTION("""COMPUTED_VALUE"""),"NPBM")</f>
        <v>NPBM</v>
      </c>
      <c r="F226" s="1" t="str">
        <f>IFERROR(__xludf.DUMMYFUNCTION("""COMPUTED_VALUE"""),"NPBM")</f>
        <v>NPBM</v>
      </c>
      <c r="G226" s="1"/>
      <c r="H226" s="1" t="str">
        <f>IFERROR(__xludf.DUMMYFUNCTION("""COMPUTED_VALUE"""),"")</f>
        <v/>
      </c>
      <c r="I226" s="1" t="str">
        <f>IFERROR(__xludf.DUMMYFUNCTION("""COMPUTED_VALUE"""),"")</f>
        <v/>
      </c>
    </row>
    <row r="227" customHeight="1" spans="1:9">
      <c r="A227" s="1" t="str">
        <f>IFERROR(__xludf.DUMMYFUNCTION("""COMPUTED_VALUE"""),"Jóia")</f>
        <v>Jóia</v>
      </c>
      <c r="B227" s="144" t="str">
        <f>IFERROR(__xludf.DUMMYFUNCTION("""COMPUTED_VALUE"""),"4º CRBM")</f>
        <v>4º CRBM</v>
      </c>
      <c r="C227" s="1" t="str">
        <f>IFERROR(__xludf.DUMMYFUNCTION("""COMPUTED_VALUE"""),"12º BBM")</f>
        <v>12º BBM</v>
      </c>
      <c r="D227" s="1" t="str">
        <f>IFERROR(__xludf.DUMMYFUNCTION("""COMPUTED_VALUE"""),"Ijuí")</f>
        <v>Ijuí</v>
      </c>
      <c r="E227" s="1" t="str">
        <f>IFERROR(__xludf.DUMMYFUNCTION("""COMPUTED_VALUE"""),"NPBM")</f>
        <v>NPBM</v>
      </c>
      <c r="F227" s="1" t="str">
        <f>IFERROR(__xludf.DUMMYFUNCTION("""COMPUTED_VALUE"""),"NPBM")</f>
        <v>NPBM</v>
      </c>
      <c r="G227" s="1"/>
      <c r="H227" s="1" t="str">
        <f>IFERROR(__xludf.DUMMYFUNCTION("""COMPUTED_VALUE"""),"")</f>
        <v/>
      </c>
      <c r="I227" s="1" t="str">
        <f>IFERROR(__xludf.DUMMYFUNCTION("""COMPUTED_VALUE"""),"")</f>
        <v/>
      </c>
    </row>
    <row r="228" customHeight="1" spans="1:9">
      <c r="A228" s="1" t="str">
        <f>IFERROR(__xludf.DUMMYFUNCTION("""COMPUTED_VALUE"""),"Júlio de Castilhos")</f>
        <v>Júlio de Castilhos</v>
      </c>
      <c r="B228" s="144" t="str">
        <f>IFERROR(__xludf.DUMMYFUNCTION("""COMPUTED_VALUE"""),"4º CRBM")</f>
        <v>4º CRBM</v>
      </c>
      <c r="C228" s="1" t="str">
        <f>IFERROR(__xludf.DUMMYFUNCTION("""COMPUTED_VALUE"""),"4º BBM")</f>
        <v>4º BBM</v>
      </c>
      <c r="D228" s="1" t="str">
        <f>IFERROR(__xludf.DUMMYFUNCTION("""COMPUTED_VALUE"""),"Júlio de Castilhos")</f>
        <v>Júlio de Castilhos</v>
      </c>
      <c r="E228" s="1" t="str">
        <f>IFERROR(__xludf.DUMMYFUNCTION("""COMPUTED_VALUE"""),"Comunitário")</f>
        <v>Comunitário</v>
      </c>
      <c r="F228" s="1" t="str">
        <f>IFERROR(__xludf.DUMMYFUNCTION("""COMPUTED_VALUE"""),"Mil + Mun")</f>
        <v>Mil + Mun</v>
      </c>
      <c r="G228" s="1"/>
      <c r="H228" s="1" t="str">
        <f>IFERROR(__xludf.DUMMYFUNCTION("""COMPUTED_VALUE"""),"")</f>
        <v/>
      </c>
      <c r="I228" s="1" t="str">
        <f>IFERROR(__xludf.DUMMYFUNCTION("""COMPUTED_VALUE"""),"")</f>
        <v/>
      </c>
    </row>
    <row r="229" customHeight="1" spans="1:9">
      <c r="A229" s="1" t="str">
        <f>IFERROR(__xludf.DUMMYFUNCTION("""COMPUTED_VALUE"""),"Lagoa Bonita do Sul")</f>
        <v>Lagoa Bonita do Sul</v>
      </c>
      <c r="B229" s="144" t="str">
        <f>IFERROR(__xludf.DUMMYFUNCTION("""COMPUTED_VALUE"""),"4º CRBM")</f>
        <v>4º CRBM</v>
      </c>
      <c r="C229" s="1" t="str">
        <f>IFERROR(__xludf.DUMMYFUNCTION("""COMPUTED_VALUE"""),"6º BBM")</f>
        <v>6º BBM</v>
      </c>
      <c r="D229" s="1" t="str">
        <f>IFERROR(__xludf.DUMMYFUNCTION("""COMPUTED_VALUE"""),"Santa Cruz do Sul")</f>
        <v>Santa Cruz do Sul</v>
      </c>
      <c r="E229" s="1" t="str">
        <f>IFERROR(__xludf.DUMMYFUNCTION("""COMPUTED_VALUE"""),"NPBM")</f>
        <v>NPBM</v>
      </c>
      <c r="F229" s="1" t="str">
        <f>IFERROR(__xludf.DUMMYFUNCTION("""COMPUTED_VALUE"""),"NPBM")</f>
        <v>NPBM</v>
      </c>
      <c r="G229" s="1"/>
      <c r="H229" s="1" t="str">
        <f>IFERROR(__xludf.DUMMYFUNCTION("""COMPUTED_VALUE"""),"")</f>
        <v/>
      </c>
      <c r="I229" s="1" t="str">
        <f>IFERROR(__xludf.DUMMYFUNCTION("""COMPUTED_VALUE"""),"")</f>
        <v/>
      </c>
    </row>
    <row r="230" customHeight="1" spans="1:9">
      <c r="A230" s="1" t="str">
        <f>IFERROR(__xludf.DUMMYFUNCTION("""COMPUTED_VALUE"""),"Lagoa dos Três Cantos")</f>
        <v>Lagoa dos Três Cantos</v>
      </c>
      <c r="B230" s="144" t="str">
        <f>IFERROR(__xludf.DUMMYFUNCTION("""COMPUTED_VALUE"""),"2º CRBM")</f>
        <v>2º CRBM</v>
      </c>
      <c r="C230" s="1" t="str">
        <f>IFERROR(__xludf.DUMMYFUNCTION("""COMPUTED_VALUE"""),"7º BBM")</f>
        <v>7º BBM</v>
      </c>
      <c r="D230" s="1" t="str">
        <f>IFERROR(__xludf.DUMMYFUNCTION("""COMPUTED_VALUE"""),"Tapera")</f>
        <v>Tapera</v>
      </c>
      <c r="E230" s="1" t="str">
        <f>IFERROR(__xludf.DUMMYFUNCTION("""COMPUTED_VALUE"""),"NPBM")</f>
        <v>NPBM</v>
      </c>
      <c r="F230" s="1" t="str">
        <f>IFERROR(__xludf.DUMMYFUNCTION("""COMPUTED_VALUE"""),"NPBM")</f>
        <v>NPBM</v>
      </c>
      <c r="G230" s="1"/>
      <c r="H230" s="1" t="str">
        <f>IFERROR(__xludf.DUMMYFUNCTION("""COMPUTED_VALUE"""),"")</f>
        <v/>
      </c>
      <c r="I230" s="1" t="str">
        <f>IFERROR(__xludf.DUMMYFUNCTION("""COMPUTED_VALUE"""),"")</f>
        <v/>
      </c>
    </row>
    <row r="231" customHeight="1" spans="1:9">
      <c r="A231" s="1" t="str">
        <f>IFERROR(__xludf.DUMMYFUNCTION("""COMPUTED_VALUE"""),"Lagoa Vermelha")</f>
        <v>Lagoa Vermelha</v>
      </c>
      <c r="B231" s="144" t="str">
        <f>IFERROR(__xludf.DUMMYFUNCTION("""COMPUTED_VALUE"""),"2º CRBM")</f>
        <v>2º CRBM</v>
      </c>
      <c r="C231" s="1" t="str">
        <f>IFERROR(__xludf.DUMMYFUNCTION("""COMPUTED_VALUE"""),"5º BBM")</f>
        <v>5º BBM</v>
      </c>
      <c r="D231" s="1" t="str">
        <f>IFERROR(__xludf.DUMMYFUNCTION("""COMPUTED_VALUE"""),"Lagoa Vermelha")</f>
        <v>Lagoa Vermelha</v>
      </c>
      <c r="E231" s="1" t="str">
        <f>IFERROR(__xludf.DUMMYFUNCTION("""COMPUTED_VALUE"""),"Militar")</f>
        <v>Militar</v>
      </c>
      <c r="F231" s="1" t="str">
        <f>IFERROR(__xludf.DUMMYFUNCTION("""COMPUTED_VALUE"""),"Militar")</f>
        <v>Militar</v>
      </c>
      <c r="G231" s="1"/>
      <c r="H231" s="1">
        <f>IFERROR(__xludf.DUMMYFUNCTION("""COMPUTED_VALUE"""),1)</f>
        <v>1</v>
      </c>
      <c r="I231" s="1" t="str">
        <f>IFERROR(__xludf.DUMMYFUNCTION("""COMPUTED_VALUE"""),"")</f>
        <v/>
      </c>
    </row>
    <row r="232" customHeight="1" spans="1:9">
      <c r="A232" s="1" t="str">
        <f>IFERROR(__xludf.DUMMYFUNCTION("""COMPUTED_VALUE"""),"Lagoão")</f>
        <v>Lagoão</v>
      </c>
      <c r="B232" s="144" t="str">
        <f>IFERROR(__xludf.DUMMYFUNCTION("""COMPUTED_VALUE"""),"4º CRBM")</f>
        <v>4º CRBM</v>
      </c>
      <c r="C232" s="1" t="str">
        <f>IFERROR(__xludf.DUMMYFUNCTION("""COMPUTED_VALUE"""),"6º BBM")</f>
        <v>6º BBM</v>
      </c>
      <c r="D232" s="1" t="str">
        <f>IFERROR(__xludf.DUMMYFUNCTION("""COMPUTED_VALUE"""),"Soledade")</f>
        <v>Soledade</v>
      </c>
      <c r="E232" s="1" t="str">
        <f>IFERROR(__xludf.DUMMYFUNCTION("""COMPUTED_VALUE"""),"NPBM")</f>
        <v>NPBM</v>
      </c>
      <c r="F232" s="1" t="str">
        <f>IFERROR(__xludf.DUMMYFUNCTION("""COMPUTED_VALUE"""),"NPBM")</f>
        <v>NPBM</v>
      </c>
      <c r="G232" s="234" t="str">
        <f>IFERROR(__xludf.DUMMYFUNCTION("""COMPUTED_VALUE""")," 2 - Em Credenciamento")</f>
        <v> 2 - Em Credenciamento</v>
      </c>
      <c r="H232" s="1" t="str">
        <f>IFERROR(__xludf.DUMMYFUNCTION("""COMPUTED_VALUE"""),"")</f>
        <v/>
      </c>
      <c r="I232" s="1" t="str">
        <f>IFERROR(__xludf.DUMMYFUNCTION("""COMPUTED_VALUE"""),"")</f>
        <v/>
      </c>
    </row>
    <row r="233" customHeight="1" spans="1:9">
      <c r="A233" s="1" t="str">
        <f>IFERROR(__xludf.DUMMYFUNCTION("""COMPUTED_VALUE"""),"Lajeado")</f>
        <v>Lajeado</v>
      </c>
      <c r="B233" s="144" t="str">
        <f>IFERROR(__xludf.DUMMYFUNCTION("""COMPUTED_VALUE"""),"4º CRBM")</f>
        <v>4º CRBM</v>
      </c>
      <c r="C233" s="1" t="str">
        <f>IFERROR(__xludf.DUMMYFUNCTION("""COMPUTED_VALUE"""),"6º BBM")</f>
        <v>6º BBM</v>
      </c>
      <c r="D233" s="1" t="str">
        <f>IFERROR(__xludf.DUMMYFUNCTION("""COMPUTED_VALUE"""),"Lajeado")</f>
        <v>Lajeado</v>
      </c>
      <c r="E233" s="1" t="str">
        <f>IFERROR(__xludf.DUMMYFUNCTION("""COMPUTED_VALUE"""),"Militar")</f>
        <v>Militar</v>
      </c>
      <c r="F233" s="1" t="str">
        <f>IFERROR(__xludf.DUMMYFUNCTION("""COMPUTED_VALUE"""),"Militar")</f>
        <v>Militar</v>
      </c>
      <c r="G233" s="1"/>
      <c r="H233" s="1">
        <f>IFERROR(__xludf.DUMMYFUNCTION("""COMPUTED_VALUE"""),1)</f>
        <v>1</v>
      </c>
      <c r="I233" s="1" t="str">
        <f>IFERROR(__xludf.DUMMYFUNCTION("""COMPUTED_VALUE"""),"")</f>
        <v/>
      </c>
    </row>
    <row r="234" customHeight="1" spans="1:9">
      <c r="A234" s="1" t="str">
        <f>IFERROR(__xludf.DUMMYFUNCTION("""COMPUTED_VALUE"""),"Lajeado do Bugre")</f>
        <v>Lajeado do Bugre</v>
      </c>
      <c r="B234" s="144" t="str">
        <f>IFERROR(__xludf.DUMMYFUNCTION("""COMPUTED_VALUE"""),"4º CRBM")</f>
        <v>4º CRBM</v>
      </c>
      <c r="C234" s="1" t="str">
        <f>IFERROR(__xludf.DUMMYFUNCTION("""COMPUTED_VALUE"""),"12º BBM")</f>
        <v>12º BBM</v>
      </c>
      <c r="D234" s="1" t="str">
        <f>IFERROR(__xludf.DUMMYFUNCTION("""COMPUTED_VALUE"""),"Palmeira das Missões")</f>
        <v>Palmeira das Missões</v>
      </c>
      <c r="E234" s="1" t="str">
        <f>IFERROR(__xludf.DUMMYFUNCTION("""COMPUTED_VALUE"""),"NPBM")</f>
        <v>NPBM</v>
      </c>
      <c r="F234" s="1" t="str">
        <f>IFERROR(__xludf.DUMMYFUNCTION("""COMPUTED_VALUE"""),"NPBM")</f>
        <v>NPBM</v>
      </c>
      <c r="G234" s="1"/>
      <c r="H234" s="1" t="str">
        <f>IFERROR(__xludf.DUMMYFUNCTION("""COMPUTED_VALUE"""),"")</f>
        <v/>
      </c>
      <c r="I234" s="1" t="str">
        <f>IFERROR(__xludf.DUMMYFUNCTION("""COMPUTED_VALUE"""),"")</f>
        <v/>
      </c>
    </row>
    <row r="235" customHeight="1" spans="1:9">
      <c r="A235" s="1" t="str">
        <f>IFERROR(__xludf.DUMMYFUNCTION("""COMPUTED_VALUE"""),"Lavras do Sul")</f>
        <v>Lavras do Sul</v>
      </c>
      <c r="B235" s="144" t="str">
        <f>IFERROR(__xludf.DUMMYFUNCTION("""COMPUTED_VALUE"""),"3º CRBM")</f>
        <v>3º CRBM</v>
      </c>
      <c r="C235" s="1" t="str">
        <f>IFERROR(__xludf.DUMMYFUNCTION("""COMPUTED_VALUE"""),"10º BBM")</f>
        <v>10º BBM</v>
      </c>
      <c r="D235" s="1" t="str">
        <f>IFERROR(__xludf.DUMMYFUNCTION("""COMPUTED_VALUE"""),"Caçapava do Sul")</f>
        <v>Caçapava do Sul</v>
      </c>
      <c r="E235" s="1" t="str">
        <f>IFERROR(__xludf.DUMMYFUNCTION("""COMPUTED_VALUE"""),"NPBM")</f>
        <v>NPBM</v>
      </c>
      <c r="F235" s="1" t="str">
        <f>IFERROR(__xludf.DUMMYFUNCTION("""COMPUTED_VALUE"""),"NPBM")</f>
        <v>NPBM</v>
      </c>
      <c r="G235" s="234" t="str">
        <f>IFERROR(__xludf.DUMMYFUNCTION("""COMPUTED_VALUE""")," 2 - Em Credenciamento")</f>
        <v> 2 - Em Credenciamento</v>
      </c>
      <c r="H235" s="1" t="str">
        <f>IFERROR(__xludf.DUMMYFUNCTION("""COMPUTED_VALUE"""),"")</f>
        <v/>
      </c>
      <c r="I235" s="1" t="str">
        <f>IFERROR(__xludf.DUMMYFUNCTION("""COMPUTED_VALUE"""),"")</f>
        <v/>
      </c>
    </row>
    <row r="236" customHeight="1" spans="1:9">
      <c r="A236" s="1" t="str">
        <f>IFERROR(__xludf.DUMMYFUNCTION("""COMPUTED_VALUE"""),"Liberato Salzano")</f>
        <v>Liberato Salzano</v>
      </c>
      <c r="B236" s="144" t="str">
        <f>IFERROR(__xludf.DUMMYFUNCTION("""COMPUTED_VALUE"""),"2º CRBM")</f>
        <v>2º CRBM</v>
      </c>
      <c r="C236" s="1" t="str">
        <f>IFERROR(__xludf.DUMMYFUNCTION("""COMPUTED_VALUE"""),"7º BBM")</f>
        <v>7º BBM</v>
      </c>
      <c r="D236" s="1" t="str">
        <f>IFERROR(__xludf.DUMMYFUNCTION("""COMPUTED_VALUE"""),"Nonoai")</f>
        <v>Nonoai</v>
      </c>
      <c r="E236" s="1" t="str">
        <f>IFERROR(__xludf.DUMMYFUNCTION("""COMPUTED_VALUE"""),"NPBM")</f>
        <v>NPBM</v>
      </c>
      <c r="F236" s="1" t="str">
        <f>IFERROR(__xludf.DUMMYFUNCTION("""COMPUTED_VALUE"""),"NPBM")</f>
        <v>NPBM</v>
      </c>
      <c r="G236" s="1"/>
      <c r="H236" s="1" t="str">
        <f>IFERROR(__xludf.DUMMYFUNCTION("""COMPUTED_VALUE"""),"")</f>
        <v/>
      </c>
      <c r="I236" s="1" t="str">
        <f>IFERROR(__xludf.DUMMYFUNCTION("""COMPUTED_VALUE"""),"")</f>
        <v/>
      </c>
    </row>
    <row r="237" customHeight="1" spans="1:9">
      <c r="A237" s="1" t="str">
        <f>IFERROR(__xludf.DUMMYFUNCTION("""COMPUTED_VALUE"""),"Lindolfo Collor")</f>
        <v>Lindolfo Collor</v>
      </c>
      <c r="B237" s="144" t="str">
        <f>IFERROR(__xludf.DUMMYFUNCTION("""COMPUTED_VALUE"""),"2º CRBM")</f>
        <v>2º CRBM</v>
      </c>
      <c r="C237" s="1" t="str">
        <f>IFERROR(__xludf.DUMMYFUNCTION("""COMPUTED_VALUE"""),"2º BBM")</f>
        <v>2º BBM</v>
      </c>
      <c r="D237" s="1" t="str">
        <f>IFERROR(__xludf.DUMMYFUNCTION("""COMPUTED_VALUE"""),"Ivoti")</f>
        <v>Ivoti</v>
      </c>
      <c r="E237" s="1" t="str">
        <f>IFERROR(__xludf.DUMMYFUNCTION("""COMPUTED_VALUE"""),"NPBM")</f>
        <v>NPBM</v>
      </c>
      <c r="F237" s="1" t="str">
        <f>IFERROR(__xludf.DUMMYFUNCTION("""COMPUTED_VALUE"""),"NPBM")</f>
        <v>NPBM</v>
      </c>
      <c r="G237" s="1"/>
      <c r="H237" s="1" t="str">
        <f>IFERROR(__xludf.DUMMYFUNCTION("""COMPUTED_VALUE"""),"")</f>
        <v/>
      </c>
      <c r="I237" s="1" t="str">
        <f>IFERROR(__xludf.DUMMYFUNCTION("""COMPUTED_VALUE"""),"")</f>
        <v/>
      </c>
    </row>
    <row r="238" customHeight="1" spans="1:9">
      <c r="A238" s="1" t="str">
        <f>IFERROR(__xludf.DUMMYFUNCTION("""COMPUTED_VALUE"""),"Linha Nova")</f>
        <v>Linha Nova</v>
      </c>
      <c r="B238" s="144" t="str">
        <f>IFERROR(__xludf.DUMMYFUNCTION("""COMPUTED_VALUE"""),"2º CRBM")</f>
        <v>2º CRBM</v>
      </c>
      <c r="C238" s="1" t="str">
        <f>IFERROR(__xludf.DUMMYFUNCTION("""COMPUTED_VALUE"""),"2º BBM")</f>
        <v>2º BBM</v>
      </c>
      <c r="D238" s="1" t="str">
        <f>IFERROR(__xludf.DUMMYFUNCTION("""COMPUTED_VALUE"""),"Ivoti")</f>
        <v>Ivoti</v>
      </c>
      <c r="E238" s="1" t="str">
        <f>IFERROR(__xludf.DUMMYFUNCTION("""COMPUTED_VALUE"""),"NPBM")</f>
        <v>NPBM</v>
      </c>
      <c r="F238" s="1" t="str">
        <f>IFERROR(__xludf.DUMMYFUNCTION("""COMPUTED_VALUE"""),"NPBM")</f>
        <v>NPBM</v>
      </c>
      <c r="G238" s="1"/>
      <c r="H238" s="1" t="str">
        <f>IFERROR(__xludf.DUMMYFUNCTION("""COMPUTED_VALUE"""),"")</f>
        <v/>
      </c>
      <c r="I238" s="1" t="str">
        <f>IFERROR(__xludf.DUMMYFUNCTION("""COMPUTED_VALUE"""),"")</f>
        <v/>
      </c>
    </row>
    <row r="239" customHeight="1" spans="1:9">
      <c r="A239" s="1" t="str">
        <f>IFERROR(__xludf.DUMMYFUNCTION("""COMPUTED_VALUE"""),"Maçambará")</f>
        <v>Maçambará</v>
      </c>
      <c r="B239" s="144" t="str">
        <f>IFERROR(__xludf.DUMMYFUNCTION("""COMPUTED_VALUE"""),"3º CRBM")</f>
        <v>3º CRBM</v>
      </c>
      <c r="C239" s="1" t="str">
        <f>IFERROR(__xludf.DUMMYFUNCTION("""COMPUTED_VALUE"""),"13º BBM")</f>
        <v>13º BBM</v>
      </c>
      <c r="D239" s="1" t="str">
        <f>IFERROR(__xludf.DUMMYFUNCTION("""COMPUTED_VALUE"""),"Itaqui")</f>
        <v>Itaqui</v>
      </c>
      <c r="E239" s="1" t="str">
        <f>IFERROR(__xludf.DUMMYFUNCTION("""COMPUTED_VALUE"""),"SCAB")</f>
        <v>SCAB</v>
      </c>
      <c r="F239" s="1" t="str">
        <f>IFERROR(__xludf.DUMMYFUNCTION("""COMPUTED_VALUE"""),"Municipal")</f>
        <v>Municipal</v>
      </c>
      <c r="G239" s="234" t="str">
        <f>IFERROR(__xludf.DUMMYFUNCTION("""COMPUTED_VALUE""")," 2 - Em Credenciamento")</f>
        <v> 2 - Em Credenciamento</v>
      </c>
      <c r="H239" s="1" t="str">
        <f>IFERROR(__xludf.DUMMYFUNCTION("""COMPUTED_VALUE"""),"")</f>
        <v/>
      </c>
      <c r="I239" s="1" t="str">
        <f>IFERROR(__xludf.DUMMYFUNCTION("""COMPUTED_VALUE"""),"")</f>
        <v/>
      </c>
    </row>
    <row r="240" customHeight="1" spans="1:9">
      <c r="A240" s="1" t="str">
        <f>IFERROR(__xludf.DUMMYFUNCTION("""COMPUTED_VALUE"""),"Machadinho")</f>
        <v>Machadinho</v>
      </c>
      <c r="B240" s="144" t="str">
        <f>IFERROR(__xludf.DUMMYFUNCTION("""COMPUTED_VALUE"""),"2º CRBM")</f>
        <v>2º CRBM</v>
      </c>
      <c r="C240" s="1" t="str">
        <f>IFERROR(__xludf.DUMMYFUNCTION("""COMPUTED_VALUE"""),"7º BBM")</f>
        <v>7º BBM</v>
      </c>
      <c r="D240" s="1" t="str">
        <f>IFERROR(__xludf.DUMMYFUNCTION("""COMPUTED_VALUE"""),"Lagoa Vermelha")</f>
        <v>Lagoa Vermelha</v>
      </c>
      <c r="E240" s="1" t="str">
        <f>IFERROR(__xludf.DUMMYFUNCTION("""COMPUTED_VALUE"""),"Voluntersul")</f>
        <v>Voluntersul</v>
      </c>
      <c r="F240" s="1" t="str">
        <f>IFERROR(__xludf.DUMMYFUNCTION("""COMPUTED_VALUE"""),"Voluntersul")</f>
        <v>Voluntersul</v>
      </c>
      <c r="G240" s="234" t="str">
        <f>IFERROR(__xludf.DUMMYFUNCTION("""COMPUTED_VALUE""")," 4 - Desfavorável")</f>
        <v> 4 - Desfavorável</v>
      </c>
      <c r="H240" s="1" t="str">
        <f>IFERROR(__xludf.DUMMYFUNCTION("""COMPUTED_VALUE"""),"")</f>
        <v/>
      </c>
      <c r="I240" s="1" t="str">
        <f>IFERROR(__xludf.DUMMYFUNCTION("""COMPUTED_VALUE"""),"")</f>
        <v/>
      </c>
    </row>
    <row r="241" customHeight="1" spans="1:9">
      <c r="A241" s="1" t="str">
        <f>IFERROR(__xludf.DUMMYFUNCTION("""COMPUTED_VALUE"""),"Mampituba")</f>
        <v>Mampituba</v>
      </c>
      <c r="B241" s="144" t="str">
        <f>IFERROR(__xludf.DUMMYFUNCTION("""COMPUTED_VALUE"""),"1º CRBM")</f>
        <v>1º CRBM</v>
      </c>
      <c r="C241" s="1" t="str">
        <f>IFERROR(__xludf.DUMMYFUNCTION("""COMPUTED_VALUE"""),"9º BBM")</f>
        <v>9º BBM</v>
      </c>
      <c r="D241" s="1" t="str">
        <f>IFERROR(__xludf.DUMMYFUNCTION("""COMPUTED_VALUE"""),"Torres")</f>
        <v>Torres</v>
      </c>
      <c r="E241" s="1" t="str">
        <f>IFERROR(__xludf.DUMMYFUNCTION("""COMPUTED_VALUE"""),"NPBM")</f>
        <v>NPBM</v>
      </c>
      <c r="F241" s="1" t="str">
        <f>IFERROR(__xludf.DUMMYFUNCTION("""COMPUTED_VALUE"""),"NPBM")</f>
        <v>NPBM</v>
      </c>
      <c r="G241" s="1"/>
      <c r="H241" s="1" t="str">
        <f>IFERROR(__xludf.DUMMYFUNCTION("""COMPUTED_VALUE"""),"")</f>
        <v/>
      </c>
      <c r="I241" s="1" t="str">
        <f>IFERROR(__xludf.DUMMYFUNCTION("""COMPUTED_VALUE"""),"")</f>
        <v/>
      </c>
    </row>
    <row r="242" customHeight="1" spans="1:9">
      <c r="A242" s="1" t="str">
        <f>IFERROR(__xludf.DUMMYFUNCTION("""COMPUTED_VALUE"""),"Manoel Viana")</f>
        <v>Manoel Viana</v>
      </c>
      <c r="B242" s="144" t="str">
        <f>IFERROR(__xludf.DUMMYFUNCTION("""COMPUTED_VALUE"""),"3º CRBM")</f>
        <v>3º CRBM</v>
      </c>
      <c r="C242" s="1" t="str">
        <f>IFERROR(__xludf.DUMMYFUNCTION("""COMPUTED_VALUE"""),"13º BBM")</f>
        <v>13º BBM</v>
      </c>
      <c r="D242" s="1" t="str">
        <f>IFERROR(__xludf.DUMMYFUNCTION("""COMPUTED_VALUE"""),"Alegrete")</f>
        <v>Alegrete</v>
      </c>
      <c r="E242" s="1" t="str">
        <f>IFERROR(__xludf.DUMMYFUNCTION("""COMPUTED_VALUE"""),"NPBM")</f>
        <v>NPBM</v>
      </c>
      <c r="F242" s="1" t="str">
        <f>IFERROR(__xludf.DUMMYFUNCTION("""COMPUTED_VALUE"""),"NPBM")</f>
        <v>NPBM</v>
      </c>
      <c r="G242" s="1"/>
      <c r="H242" s="1" t="str">
        <f>IFERROR(__xludf.DUMMYFUNCTION("""COMPUTED_VALUE"""),"")</f>
        <v/>
      </c>
      <c r="I242" s="1" t="str">
        <f>IFERROR(__xludf.DUMMYFUNCTION("""COMPUTED_VALUE"""),"")</f>
        <v/>
      </c>
    </row>
    <row r="243" customHeight="1" spans="1:9">
      <c r="A243" s="1" t="str">
        <f>IFERROR(__xludf.DUMMYFUNCTION("""COMPUTED_VALUE"""),"Maquiné")</f>
        <v>Maquiné</v>
      </c>
      <c r="B243" s="144" t="str">
        <f>IFERROR(__xludf.DUMMYFUNCTION("""COMPUTED_VALUE"""),"1º CRBM")</f>
        <v>1º CRBM</v>
      </c>
      <c r="C243" s="1" t="str">
        <f>IFERROR(__xludf.DUMMYFUNCTION("""COMPUTED_VALUE"""),"9º BBM")</f>
        <v>9º BBM</v>
      </c>
      <c r="D243" s="1" t="str">
        <f>IFERROR(__xludf.DUMMYFUNCTION("""COMPUTED_VALUE"""),"Terra de Areia")</f>
        <v>Terra de Areia</v>
      </c>
      <c r="E243" s="1" t="str">
        <f>IFERROR(__xludf.DUMMYFUNCTION("""COMPUTED_VALUE"""),"NPBM")</f>
        <v>NPBM</v>
      </c>
      <c r="F243" s="1" t="str">
        <f>IFERROR(__xludf.DUMMYFUNCTION("""COMPUTED_VALUE"""),"NPBM")</f>
        <v>NPBM</v>
      </c>
      <c r="G243" s="1"/>
      <c r="H243" s="1" t="str">
        <f>IFERROR(__xludf.DUMMYFUNCTION("""COMPUTED_VALUE"""),"")</f>
        <v/>
      </c>
      <c r="I243" s="1" t="str">
        <f>IFERROR(__xludf.DUMMYFUNCTION("""COMPUTED_VALUE"""),"")</f>
        <v/>
      </c>
    </row>
    <row r="244" customHeight="1" spans="1:9">
      <c r="A244" s="1" t="str">
        <f>IFERROR(__xludf.DUMMYFUNCTION("""COMPUTED_VALUE"""),"Maratá")</f>
        <v>Maratá</v>
      </c>
      <c r="B244" s="144" t="str">
        <f>IFERROR(__xludf.DUMMYFUNCTION("""COMPUTED_VALUE"""),"2º CRBM")</f>
        <v>2º CRBM</v>
      </c>
      <c r="C244" s="1" t="str">
        <f>IFERROR(__xludf.DUMMYFUNCTION("""COMPUTED_VALUE"""),"2º BBM")</f>
        <v>2º BBM</v>
      </c>
      <c r="D244" s="1" t="str">
        <f>IFERROR(__xludf.DUMMYFUNCTION("""COMPUTED_VALUE"""),"Montenegro")</f>
        <v>Montenegro</v>
      </c>
      <c r="E244" s="1" t="str">
        <f>IFERROR(__xludf.DUMMYFUNCTION("""COMPUTED_VALUE"""),"SCAB")</f>
        <v>SCAB</v>
      </c>
      <c r="F244" s="1" t="str">
        <f>IFERROR(__xludf.DUMMYFUNCTION("""COMPUTED_VALUE"""),"Municipal")</f>
        <v>Municipal</v>
      </c>
      <c r="G244" s="234" t="str">
        <f>IFERROR(__xludf.DUMMYFUNCTION("""COMPUTED_VALUE""")," 1 - Credenciado")</f>
        <v> 1 - Credenciado</v>
      </c>
      <c r="H244" s="1" t="str">
        <f>IFERROR(__xludf.DUMMYFUNCTION("""COMPUTED_VALUE"""),"")</f>
        <v/>
      </c>
      <c r="I244" s="1" t="str">
        <f>IFERROR(__xludf.DUMMYFUNCTION("""COMPUTED_VALUE"""),"")</f>
        <v/>
      </c>
    </row>
    <row r="245" customHeight="1" spans="1:9">
      <c r="A245" s="1" t="str">
        <f>IFERROR(__xludf.DUMMYFUNCTION("""COMPUTED_VALUE"""),"Marau")</f>
        <v>Marau</v>
      </c>
      <c r="B245" s="144" t="str">
        <f>IFERROR(__xludf.DUMMYFUNCTION("""COMPUTED_VALUE"""),"2º CRBM")</f>
        <v>2º CRBM</v>
      </c>
      <c r="C245" s="1" t="str">
        <f>IFERROR(__xludf.DUMMYFUNCTION("""COMPUTED_VALUE"""),"7º BBM")</f>
        <v>7º BBM</v>
      </c>
      <c r="D245" s="1" t="str">
        <f>IFERROR(__xludf.DUMMYFUNCTION("""COMPUTED_VALUE"""),"Passo Fundo")</f>
        <v>Passo Fundo</v>
      </c>
      <c r="E245" s="1" t="str">
        <f>IFERROR(__xludf.DUMMYFUNCTION("""COMPUTED_VALUE"""),"Voluntersul")</f>
        <v>Voluntersul</v>
      </c>
      <c r="F245" s="1" t="str">
        <f>IFERROR(__xludf.DUMMYFUNCTION("""COMPUTED_VALUE"""),"Voluntersul")</f>
        <v>Voluntersul</v>
      </c>
      <c r="G245" s="234" t="str">
        <f>IFERROR(__xludf.DUMMYFUNCTION("""COMPUTED_VALUE""")," 3 - Não Regularizado")</f>
        <v> 3 - Não Regularizado</v>
      </c>
      <c r="H245" s="1" t="str">
        <f>IFERROR(__xludf.DUMMYFUNCTION("""COMPUTED_VALUE"""),"")</f>
        <v/>
      </c>
      <c r="I245" s="1" t="str">
        <f>IFERROR(__xludf.DUMMYFUNCTION("""COMPUTED_VALUE"""),"")</f>
        <v/>
      </c>
    </row>
    <row r="246" customHeight="1" spans="1:9">
      <c r="A246" s="1" t="str">
        <f>IFERROR(__xludf.DUMMYFUNCTION("""COMPUTED_VALUE"""),"Marcelino Ramos")</f>
        <v>Marcelino Ramos</v>
      </c>
      <c r="B246" s="144" t="str">
        <f>IFERROR(__xludf.DUMMYFUNCTION("""COMPUTED_VALUE"""),"2º CRBM")</f>
        <v>2º CRBM</v>
      </c>
      <c r="C246" s="1" t="str">
        <f>IFERROR(__xludf.DUMMYFUNCTION("""COMPUTED_VALUE"""),"7º BBM")</f>
        <v>7º BBM</v>
      </c>
      <c r="D246" s="1" t="str">
        <f>IFERROR(__xludf.DUMMYFUNCTION("""COMPUTED_VALUE"""),"Erechim")</f>
        <v>Erechim</v>
      </c>
      <c r="E246" s="1" t="str">
        <f>IFERROR(__xludf.DUMMYFUNCTION("""COMPUTED_VALUE"""),"Voluntersul")</f>
        <v>Voluntersul</v>
      </c>
      <c r="F246" s="1" t="str">
        <f>IFERROR(__xludf.DUMMYFUNCTION("""COMPUTED_VALUE"""),"Voluntersul")</f>
        <v>Voluntersul</v>
      </c>
      <c r="G246" s="234" t="str">
        <f>IFERROR(__xludf.DUMMYFUNCTION("""COMPUTED_VALUE""")," 3 - Não Regularizado")</f>
        <v> 3 - Não Regularizado</v>
      </c>
      <c r="H246" s="1" t="str">
        <f>IFERROR(__xludf.DUMMYFUNCTION("""COMPUTED_VALUE"""),"")</f>
        <v/>
      </c>
      <c r="I246" s="1" t="str">
        <f>IFERROR(__xludf.DUMMYFUNCTION("""COMPUTED_VALUE"""),"")</f>
        <v/>
      </c>
    </row>
    <row r="247" customHeight="1" spans="1:9">
      <c r="A247" s="1" t="str">
        <f>IFERROR(__xludf.DUMMYFUNCTION("""COMPUTED_VALUE"""),"Mariana Pimentel")</f>
        <v>Mariana Pimentel</v>
      </c>
      <c r="B247" s="144" t="str">
        <f>IFERROR(__xludf.DUMMYFUNCTION("""COMPUTED_VALUE"""),"4º CRBM")</f>
        <v>4º CRBM</v>
      </c>
      <c r="C247" s="1" t="str">
        <f>IFERROR(__xludf.DUMMYFUNCTION("""COMPUTED_VALUE"""),"6º BBM")</f>
        <v>6º BBM</v>
      </c>
      <c r="D247" s="1" t="str">
        <f>IFERROR(__xludf.DUMMYFUNCTION("""COMPUTED_VALUE"""),"Guaíba")</f>
        <v>Guaíba</v>
      </c>
      <c r="E247" s="1" t="str">
        <f>IFERROR(__xludf.DUMMYFUNCTION("""COMPUTED_VALUE"""),"Voluntersul")</f>
        <v>Voluntersul</v>
      </c>
      <c r="F247" s="1" t="str">
        <f>IFERROR(__xludf.DUMMYFUNCTION("""COMPUTED_VALUE"""),"Voluntersul")</f>
        <v>Voluntersul</v>
      </c>
      <c r="G247" s="234" t="str">
        <f>IFERROR(__xludf.DUMMYFUNCTION("""COMPUTED_VALUE""")," 3 - Não Regularizado")</f>
        <v> 3 - Não Regularizado</v>
      </c>
      <c r="H247" s="1" t="str">
        <f>IFERROR(__xludf.DUMMYFUNCTION("""COMPUTED_VALUE"""),"")</f>
        <v/>
      </c>
      <c r="I247" s="1" t="str">
        <f>IFERROR(__xludf.DUMMYFUNCTION("""COMPUTED_VALUE"""),"")</f>
        <v/>
      </c>
    </row>
    <row r="248" customHeight="1" spans="1:9">
      <c r="A248" s="1" t="str">
        <f>IFERROR(__xludf.DUMMYFUNCTION("""COMPUTED_VALUE"""),"Mariano Moro")</f>
        <v>Mariano Moro</v>
      </c>
      <c r="B248" s="144" t="str">
        <f>IFERROR(__xludf.DUMMYFUNCTION("""COMPUTED_VALUE"""),"2º CRBM")</f>
        <v>2º CRBM</v>
      </c>
      <c r="C248" s="1" t="str">
        <f>IFERROR(__xludf.DUMMYFUNCTION("""COMPUTED_VALUE"""),"7º BBM")</f>
        <v>7º BBM</v>
      </c>
      <c r="D248" s="1" t="str">
        <f>IFERROR(__xludf.DUMMYFUNCTION("""COMPUTED_VALUE"""),"Erechim")</f>
        <v>Erechim</v>
      </c>
      <c r="E248" s="1" t="str">
        <f>IFERROR(__xludf.DUMMYFUNCTION("""COMPUTED_VALUE"""),"NPBM")</f>
        <v>NPBM</v>
      </c>
      <c r="F248" s="1" t="str">
        <f>IFERROR(__xludf.DUMMYFUNCTION("""COMPUTED_VALUE"""),"NPBM")</f>
        <v>NPBM</v>
      </c>
      <c r="G248" s="1"/>
      <c r="H248" s="1" t="str">
        <f>IFERROR(__xludf.DUMMYFUNCTION("""COMPUTED_VALUE"""),"")</f>
        <v/>
      </c>
      <c r="I248" s="1" t="str">
        <f>IFERROR(__xludf.DUMMYFUNCTION("""COMPUTED_VALUE"""),"")</f>
        <v/>
      </c>
    </row>
    <row r="249" customHeight="1" spans="1:9">
      <c r="A249" s="1" t="str">
        <f>IFERROR(__xludf.DUMMYFUNCTION("""COMPUTED_VALUE"""),"Marques de Souza")</f>
        <v>Marques de Souza</v>
      </c>
      <c r="B249" s="144" t="str">
        <f>IFERROR(__xludf.DUMMYFUNCTION("""COMPUTED_VALUE"""),"4º CRBM")</f>
        <v>4º CRBM</v>
      </c>
      <c r="C249" s="1" t="str">
        <f>IFERROR(__xludf.DUMMYFUNCTION("""COMPUTED_VALUE"""),"6º BBM")</f>
        <v>6º BBM</v>
      </c>
      <c r="D249" s="1" t="str">
        <f>IFERROR(__xludf.DUMMYFUNCTION("""COMPUTED_VALUE"""),"Lajeado")</f>
        <v>Lajeado</v>
      </c>
      <c r="E249" s="1" t="str">
        <f>IFERROR(__xludf.DUMMYFUNCTION("""COMPUTED_VALUE"""),"NPBM")</f>
        <v>NPBM</v>
      </c>
      <c r="F249" s="1" t="str">
        <f>IFERROR(__xludf.DUMMYFUNCTION("""COMPUTED_VALUE"""),"NPBM")</f>
        <v>NPBM</v>
      </c>
      <c r="G249" s="1"/>
      <c r="H249" s="1" t="str">
        <f>IFERROR(__xludf.DUMMYFUNCTION("""COMPUTED_VALUE"""),"")</f>
        <v/>
      </c>
      <c r="I249" s="1" t="str">
        <f>IFERROR(__xludf.DUMMYFUNCTION("""COMPUTED_VALUE"""),"")</f>
        <v/>
      </c>
    </row>
    <row r="250" customHeight="1" spans="1:9">
      <c r="A250" s="1" t="str">
        <f>IFERROR(__xludf.DUMMYFUNCTION("""COMPUTED_VALUE"""),"Mata")</f>
        <v>Mata</v>
      </c>
      <c r="B250" s="144" t="str">
        <f>IFERROR(__xludf.DUMMYFUNCTION("""COMPUTED_VALUE"""),"3º CRBM")</f>
        <v>3º CRBM</v>
      </c>
      <c r="C250" s="1" t="str">
        <f>IFERROR(__xludf.DUMMYFUNCTION("""COMPUTED_VALUE"""),"13º BBM")</f>
        <v>13º BBM</v>
      </c>
      <c r="D250" s="1" t="str">
        <f>IFERROR(__xludf.DUMMYFUNCTION("""COMPUTED_VALUE"""),"São Pedro do Sul")</f>
        <v>São Pedro do Sul</v>
      </c>
      <c r="E250" s="1" t="str">
        <f>IFERROR(__xludf.DUMMYFUNCTION("""COMPUTED_VALUE"""),"NPBM")</f>
        <v>NPBM</v>
      </c>
      <c r="F250" s="1" t="str">
        <f>IFERROR(__xludf.DUMMYFUNCTION("""COMPUTED_VALUE"""),"NPBM")</f>
        <v>NPBM</v>
      </c>
      <c r="G250" s="234" t="str">
        <f>IFERROR(__xludf.DUMMYFUNCTION("""COMPUTED_VALUE""")," 2 - Em Credenciamento")</f>
        <v> 2 - Em Credenciamento</v>
      </c>
      <c r="H250" s="1" t="str">
        <f>IFERROR(__xludf.DUMMYFUNCTION("""COMPUTED_VALUE"""),"")</f>
        <v/>
      </c>
      <c r="I250" s="1" t="str">
        <f>IFERROR(__xludf.DUMMYFUNCTION("""COMPUTED_VALUE"""),"")</f>
        <v/>
      </c>
    </row>
    <row r="251" customHeight="1" spans="1:9">
      <c r="A251" s="1" t="str">
        <f>IFERROR(__xludf.DUMMYFUNCTION("""COMPUTED_VALUE"""),"Mato Castelhano")</f>
        <v>Mato Castelhano</v>
      </c>
      <c r="B251" s="144" t="str">
        <f>IFERROR(__xludf.DUMMYFUNCTION("""COMPUTED_VALUE"""),"2º CRBM")</f>
        <v>2º CRBM</v>
      </c>
      <c r="C251" s="1" t="str">
        <f>IFERROR(__xludf.DUMMYFUNCTION("""COMPUTED_VALUE"""),"7º BBM")</f>
        <v>7º BBM</v>
      </c>
      <c r="D251" s="1" t="str">
        <f>IFERROR(__xludf.DUMMYFUNCTION("""COMPUTED_VALUE"""),"Passo Fundo")</f>
        <v>Passo Fundo</v>
      </c>
      <c r="E251" s="1" t="str">
        <f>IFERROR(__xludf.DUMMYFUNCTION("""COMPUTED_VALUE"""),"NPBM")</f>
        <v>NPBM</v>
      </c>
      <c r="F251" s="1" t="str">
        <f>IFERROR(__xludf.DUMMYFUNCTION("""COMPUTED_VALUE"""),"NPBM")</f>
        <v>NPBM</v>
      </c>
      <c r="G251" s="1"/>
      <c r="H251" s="1" t="str">
        <f>IFERROR(__xludf.DUMMYFUNCTION("""COMPUTED_VALUE"""),"")</f>
        <v/>
      </c>
      <c r="I251" s="1" t="str">
        <f>IFERROR(__xludf.DUMMYFUNCTION("""COMPUTED_VALUE"""),"")</f>
        <v/>
      </c>
    </row>
    <row r="252" customHeight="1" spans="1:9">
      <c r="A252" s="1" t="str">
        <f>IFERROR(__xludf.DUMMYFUNCTION("""COMPUTED_VALUE"""),"Mato Leitão")</f>
        <v>Mato Leitão</v>
      </c>
      <c r="B252" s="144" t="str">
        <f>IFERROR(__xludf.DUMMYFUNCTION("""COMPUTED_VALUE"""),"4º CRBM")</f>
        <v>4º CRBM</v>
      </c>
      <c r="C252" s="1" t="str">
        <f>IFERROR(__xludf.DUMMYFUNCTION("""COMPUTED_VALUE"""),"6º BBM")</f>
        <v>6º BBM</v>
      </c>
      <c r="D252" s="1" t="str">
        <f>IFERROR(__xludf.DUMMYFUNCTION("""COMPUTED_VALUE"""),"Venâncio Aires")</f>
        <v>Venâncio Aires</v>
      </c>
      <c r="E252" s="1" t="str">
        <f>IFERROR(__xludf.DUMMYFUNCTION("""COMPUTED_VALUE"""),"NPBM")</f>
        <v>NPBM</v>
      </c>
      <c r="F252" s="1" t="str">
        <f>IFERROR(__xludf.DUMMYFUNCTION("""COMPUTED_VALUE"""),"NPBM")</f>
        <v>NPBM</v>
      </c>
      <c r="G252" s="1"/>
      <c r="H252" s="1" t="str">
        <f>IFERROR(__xludf.DUMMYFUNCTION("""COMPUTED_VALUE"""),"")</f>
        <v/>
      </c>
      <c r="I252" s="1" t="str">
        <f>IFERROR(__xludf.DUMMYFUNCTION("""COMPUTED_VALUE"""),"")</f>
        <v/>
      </c>
    </row>
    <row r="253" customHeight="1" spans="1:9">
      <c r="A253" s="1" t="str">
        <f>IFERROR(__xludf.DUMMYFUNCTION("""COMPUTED_VALUE"""),"Mato Queimado")</f>
        <v>Mato Queimado</v>
      </c>
      <c r="B253" s="144" t="str">
        <f>IFERROR(__xludf.DUMMYFUNCTION("""COMPUTED_VALUE"""),"4º CRBM")</f>
        <v>4º CRBM</v>
      </c>
      <c r="C253" s="1" t="str">
        <f>IFERROR(__xludf.DUMMYFUNCTION("""COMPUTED_VALUE"""),"11º BBM")</f>
        <v>11º BBM</v>
      </c>
      <c r="D253" s="1" t="str">
        <f>IFERROR(__xludf.DUMMYFUNCTION("""COMPUTED_VALUE"""),"São Luiz Gonzaga")</f>
        <v>São Luiz Gonzaga</v>
      </c>
      <c r="E253" s="1" t="str">
        <f>IFERROR(__xludf.DUMMYFUNCTION("""COMPUTED_VALUE"""),"NPBM")</f>
        <v>NPBM</v>
      </c>
      <c r="F253" s="1" t="str">
        <f>IFERROR(__xludf.DUMMYFUNCTION("""COMPUTED_VALUE"""),"NPBM")</f>
        <v>NPBM</v>
      </c>
      <c r="G253" s="1"/>
      <c r="H253" s="1" t="str">
        <f>IFERROR(__xludf.DUMMYFUNCTION("""COMPUTED_VALUE"""),"")</f>
        <v/>
      </c>
      <c r="I253" s="1" t="str">
        <f>IFERROR(__xludf.DUMMYFUNCTION("""COMPUTED_VALUE"""),"")</f>
        <v/>
      </c>
    </row>
    <row r="254" customHeight="1" spans="1:9">
      <c r="A254" s="1" t="str">
        <f>IFERROR(__xludf.DUMMYFUNCTION("""COMPUTED_VALUE"""),"Maximiliano de Almeida")</f>
        <v>Maximiliano de Almeida</v>
      </c>
      <c r="B254" s="144" t="str">
        <f>IFERROR(__xludf.DUMMYFUNCTION("""COMPUTED_VALUE"""),"2º CRBM")</f>
        <v>2º CRBM</v>
      </c>
      <c r="C254" s="1" t="str">
        <f>IFERROR(__xludf.DUMMYFUNCTION("""COMPUTED_VALUE"""),"7º BBM")</f>
        <v>7º BBM</v>
      </c>
      <c r="D254" s="1" t="str">
        <f>IFERROR(__xludf.DUMMYFUNCTION("""COMPUTED_VALUE"""),"Lagoa Vermelha")</f>
        <v>Lagoa Vermelha</v>
      </c>
      <c r="E254" s="1" t="str">
        <f>IFERROR(__xludf.DUMMYFUNCTION("""COMPUTED_VALUE"""),"NPBM")</f>
        <v>NPBM</v>
      </c>
      <c r="F254" s="1" t="str">
        <f>IFERROR(__xludf.DUMMYFUNCTION("""COMPUTED_VALUE"""),"NPBM")</f>
        <v>NPBM</v>
      </c>
      <c r="G254" s="1"/>
      <c r="H254" s="1" t="str">
        <f>IFERROR(__xludf.DUMMYFUNCTION("""COMPUTED_VALUE"""),"")</f>
        <v/>
      </c>
      <c r="I254" s="1" t="str">
        <f>IFERROR(__xludf.DUMMYFUNCTION("""COMPUTED_VALUE"""),"")</f>
        <v/>
      </c>
    </row>
    <row r="255" customHeight="1" spans="1:9">
      <c r="A255" s="1" t="str">
        <f>IFERROR(__xludf.DUMMYFUNCTION("""COMPUTED_VALUE"""),"Minas do Leão")</f>
        <v>Minas do Leão</v>
      </c>
      <c r="B255" s="144" t="str">
        <f>IFERROR(__xludf.DUMMYFUNCTION("""COMPUTED_VALUE"""),"4º CRBM")</f>
        <v>4º CRBM</v>
      </c>
      <c r="C255" s="1" t="str">
        <f>IFERROR(__xludf.DUMMYFUNCTION("""COMPUTED_VALUE"""),"6º BBM")</f>
        <v>6º BBM</v>
      </c>
      <c r="D255" s="1" t="str">
        <f>IFERROR(__xludf.DUMMYFUNCTION("""COMPUTED_VALUE"""),"São Jerônimo")</f>
        <v>São Jerônimo</v>
      </c>
      <c r="E255" s="1" t="str">
        <f>IFERROR(__xludf.DUMMYFUNCTION("""COMPUTED_VALUE"""),"NPBM")</f>
        <v>NPBM</v>
      </c>
      <c r="F255" s="1" t="str">
        <f>IFERROR(__xludf.DUMMYFUNCTION("""COMPUTED_VALUE"""),"NPBM")</f>
        <v>NPBM</v>
      </c>
      <c r="G255" s="1"/>
      <c r="H255" s="1" t="str">
        <f>IFERROR(__xludf.DUMMYFUNCTION("""COMPUTED_VALUE"""),"")</f>
        <v/>
      </c>
      <c r="I255" s="1" t="str">
        <f>IFERROR(__xludf.DUMMYFUNCTION("""COMPUTED_VALUE"""),"")</f>
        <v/>
      </c>
    </row>
    <row r="256" customHeight="1" spans="1:9">
      <c r="A256" s="1" t="str">
        <f>IFERROR(__xludf.DUMMYFUNCTION("""COMPUTED_VALUE"""),"Miraguaí")</f>
        <v>Miraguaí</v>
      </c>
      <c r="B256" s="144" t="str">
        <f>IFERROR(__xludf.DUMMYFUNCTION("""COMPUTED_VALUE"""),"4º CRBM")</f>
        <v>4º CRBM</v>
      </c>
      <c r="C256" s="1" t="str">
        <f>IFERROR(__xludf.DUMMYFUNCTION("""COMPUTED_VALUE"""),"11º BBM")</f>
        <v>11º BBM</v>
      </c>
      <c r="D256" s="1" t="str">
        <f>IFERROR(__xludf.DUMMYFUNCTION("""COMPUTED_VALUE"""),"Três Passos")</f>
        <v>Três Passos</v>
      </c>
      <c r="E256" s="1" t="str">
        <f>IFERROR(__xludf.DUMMYFUNCTION("""COMPUTED_VALUE"""),"NPBM")</f>
        <v>NPBM</v>
      </c>
      <c r="F256" s="1" t="str">
        <f>IFERROR(__xludf.DUMMYFUNCTION("""COMPUTED_VALUE"""),"NPBM")</f>
        <v>NPBM</v>
      </c>
      <c r="G256" s="1"/>
      <c r="H256" s="1" t="str">
        <f>IFERROR(__xludf.DUMMYFUNCTION("""COMPUTED_VALUE"""),"")</f>
        <v/>
      </c>
      <c r="I256" s="1" t="str">
        <f>IFERROR(__xludf.DUMMYFUNCTION("""COMPUTED_VALUE"""),"")</f>
        <v/>
      </c>
    </row>
    <row r="257" customHeight="1" spans="1:9">
      <c r="A257" s="1" t="str">
        <f>IFERROR(__xludf.DUMMYFUNCTION("""COMPUTED_VALUE"""),"Montauri")</f>
        <v>Montauri</v>
      </c>
      <c r="B257" s="144" t="str">
        <f>IFERROR(__xludf.DUMMYFUNCTION("""COMPUTED_VALUE"""),"2º CRBM")</f>
        <v>2º CRBM</v>
      </c>
      <c r="C257" s="1" t="str">
        <f>IFERROR(__xludf.DUMMYFUNCTION("""COMPUTED_VALUE"""),"7º BBM")</f>
        <v>7º BBM</v>
      </c>
      <c r="D257" s="1" t="str">
        <f>IFERROR(__xludf.DUMMYFUNCTION("""COMPUTED_VALUE"""),"Guaporé")</f>
        <v>Guaporé</v>
      </c>
      <c r="E257" s="1" t="str">
        <f>IFERROR(__xludf.DUMMYFUNCTION("""COMPUTED_VALUE"""),"SCAB")</f>
        <v>SCAB</v>
      </c>
      <c r="F257" s="1" t="str">
        <f>IFERROR(__xludf.DUMMYFUNCTION("""COMPUTED_VALUE"""),"Municipal")</f>
        <v>Municipal</v>
      </c>
      <c r="G257" s="234" t="str">
        <f>IFERROR(__xludf.DUMMYFUNCTION("""COMPUTED_VALUE""")," 1 - Credenciado")</f>
        <v> 1 - Credenciado</v>
      </c>
      <c r="H257" s="1" t="str">
        <f>IFERROR(__xludf.DUMMYFUNCTION("""COMPUTED_VALUE"""),"")</f>
        <v/>
      </c>
      <c r="I257" s="1" t="str">
        <f>IFERROR(__xludf.DUMMYFUNCTION("""COMPUTED_VALUE"""),"")</f>
        <v/>
      </c>
    </row>
    <row r="258" customHeight="1" spans="1:9">
      <c r="A258" s="1" t="str">
        <f>IFERROR(__xludf.DUMMYFUNCTION("""COMPUTED_VALUE"""),"Monte Alegre dos Campos")</f>
        <v>Monte Alegre dos Campos</v>
      </c>
      <c r="B258" s="144" t="str">
        <f>IFERROR(__xludf.DUMMYFUNCTION("""COMPUTED_VALUE"""),"2º CRBM")</f>
        <v>2º CRBM</v>
      </c>
      <c r="C258" s="1" t="str">
        <f>IFERROR(__xludf.DUMMYFUNCTION("""COMPUTED_VALUE"""),"5º BBM")</f>
        <v>5º BBM</v>
      </c>
      <c r="D258" s="1" t="str">
        <f>IFERROR(__xludf.DUMMYFUNCTION("""COMPUTED_VALUE"""),"Vacaria")</f>
        <v>Vacaria</v>
      </c>
      <c r="E258" s="1" t="str">
        <f>IFERROR(__xludf.DUMMYFUNCTION("""COMPUTED_VALUE"""),"NPBM")</f>
        <v>NPBM</v>
      </c>
      <c r="F258" s="1" t="str">
        <f>IFERROR(__xludf.DUMMYFUNCTION("""COMPUTED_VALUE"""),"NPBM")</f>
        <v>NPBM</v>
      </c>
      <c r="G258" s="1"/>
      <c r="H258" s="1" t="str">
        <f>IFERROR(__xludf.DUMMYFUNCTION("""COMPUTED_VALUE"""),"")</f>
        <v/>
      </c>
      <c r="I258" s="1" t="str">
        <f>IFERROR(__xludf.DUMMYFUNCTION("""COMPUTED_VALUE"""),"")</f>
        <v/>
      </c>
    </row>
    <row r="259" customHeight="1" spans="1:9">
      <c r="A259" s="1" t="str">
        <f>IFERROR(__xludf.DUMMYFUNCTION("""COMPUTED_VALUE"""),"Monte Belo do Sul")</f>
        <v>Monte Belo do Sul</v>
      </c>
      <c r="B259" s="144" t="str">
        <f>IFERROR(__xludf.DUMMYFUNCTION("""COMPUTED_VALUE"""),"2º CRBM")</f>
        <v>2º CRBM</v>
      </c>
      <c r="C259" s="1" t="str">
        <f>IFERROR(__xludf.DUMMYFUNCTION("""COMPUTED_VALUE"""),"5º BBM")</f>
        <v>5º BBM</v>
      </c>
      <c r="D259" s="1" t="str">
        <f>IFERROR(__xludf.DUMMYFUNCTION("""COMPUTED_VALUE"""),"Bento Gonçalves")</f>
        <v>Bento Gonçalves</v>
      </c>
      <c r="E259" s="1" t="str">
        <f>IFERROR(__xludf.DUMMYFUNCTION("""COMPUTED_VALUE"""),"NPBM")</f>
        <v>NPBM</v>
      </c>
      <c r="F259" s="1" t="str">
        <f>IFERROR(__xludf.DUMMYFUNCTION("""COMPUTED_VALUE"""),"NPBM")</f>
        <v>NPBM</v>
      </c>
      <c r="G259" s="1"/>
      <c r="H259" s="1" t="str">
        <f>IFERROR(__xludf.DUMMYFUNCTION("""COMPUTED_VALUE"""),"")</f>
        <v/>
      </c>
      <c r="I259" s="1" t="str">
        <f>IFERROR(__xludf.DUMMYFUNCTION("""COMPUTED_VALUE"""),"")</f>
        <v/>
      </c>
    </row>
    <row r="260" customHeight="1" spans="1:9">
      <c r="A260" s="1" t="str">
        <f>IFERROR(__xludf.DUMMYFUNCTION("""COMPUTED_VALUE"""),"Montenegro")</f>
        <v>Montenegro</v>
      </c>
      <c r="B260" s="144" t="str">
        <f>IFERROR(__xludf.DUMMYFUNCTION("""COMPUTED_VALUE"""),"2º CRBM")</f>
        <v>2º CRBM</v>
      </c>
      <c r="C260" s="1" t="str">
        <f>IFERROR(__xludf.DUMMYFUNCTION("""COMPUTED_VALUE"""),"2º BBM")</f>
        <v>2º BBM</v>
      </c>
      <c r="D260" s="1" t="str">
        <f>IFERROR(__xludf.DUMMYFUNCTION("""COMPUTED_VALUE"""),"Montenegro")</f>
        <v>Montenegro</v>
      </c>
      <c r="E260" s="1" t="str">
        <f>IFERROR(__xludf.DUMMYFUNCTION("""COMPUTED_VALUE"""),"Comunitário")</f>
        <v>Comunitário</v>
      </c>
      <c r="F260" s="1" t="str">
        <f>IFERROR(__xludf.DUMMYFUNCTION("""COMPUTED_VALUE"""),"Mil + Vol")</f>
        <v>Mil + Vol</v>
      </c>
      <c r="G260" s="1"/>
      <c r="H260" s="1">
        <f>IFERROR(__xludf.DUMMYFUNCTION("""COMPUTED_VALUE"""),1)</f>
        <v>1</v>
      </c>
      <c r="I260" s="1" t="str">
        <f>IFERROR(__xludf.DUMMYFUNCTION("""COMPUTED_VALUE"""),"")</f>
        <v/>
      </c>
    </row>
    <row r="261" customHeight="1" spans="1:9">
      <c r="A261" s="1" t="str">
        <f>IFERROR(__xludf.DUMMYFUNCTION("""COMPUTED_VALUE"""),"Mormaço")</f>
        <v>Mormaço</v>
      </c>
      <c r="B261" s="144" t="str">
        <f>IFERROR(__xludf.DUMMYFUNCTION("""COMPUTED_VALUE"""),"2º CRBM")</f>
        <v>2º CRBM</v>
      </c>
      <c r="C261" s="1" t="str">
        <f>IFERROR(__xludf.DUMMYFUNCTION("""COMPUTED_VALUE"""),"7º BBM")</f>
        <v>7º BBM</v>
      </c>
      <c r="D261" s="1" t="str">
        <f>IFERROR(__xludf.DUMMYFUNCTION("""COMPUTED_VALUE"""),"Soledade")</f>
        <v>Soledade</v>
      </c>
      <c r="E261" s="1" t="str">
        <f>IFERROR(__xludf.DUMMYFUNCTION("""COMPUTED_VALUE"""),"SCAB")</f>
        <v>SCAB</v>
      </c>
      <c r="F261" s="1" t="str">
        <f>IFERROR(__xludf.DUMMYFUNCTION("""COMPUTED_VALUE"""),"Municipal")</f>
        <v>Municipal</v>
      </c>
      <c r="G261" s="234" t="str">
        <f>IFERROR(__xludf.DUMMYFUNCTION("""COMPUTED_VALUE""")," 1 - Credenciado")</f>
        <v> 1 - Credenciado</v>
      </c>
      <c r="H261" s="1" t="str">
        <f>IFERROR(__xludf.DUMMYFUNCTION("""COMPUTED_VALUE"""),"")</f>
        <v/>
      </c>
      <c r="I261" s="1" t="str">
        <f>IFERROR(__xludf.DUMMYFUNCTION("""COMPUTED_VALUE"""),"")</f>
        <v/>
      </c>
    </row>
    <row r="262" customHeight="1" spans="1:9">
      <c r="A262" s="1" t="str">
        <f>IFERROR(__xludf.DUMMYFUNCTION("""COMPUTED_VALUE"""),"Morrinhos do Sul")</f>
        <v>Morrinhos do Sul</v>
      </c>
      <c r="B262" s="144" t="str">
        <f>IFERROR(__xludf.DUMMYFUNCTION("""COMPUTED_VALUE"""),"1º CRBM")</f>
        <v>1º CRBM</v>
      </c>
      <c r="C262" s="1" t="str">
        <f>IFERROR(__xludf.DUMMYFUNCTION("""COMPUTED_VALUE"""),"9º BBM")</f>
        <v>9º BBM</v>
      </c>
      <c r="D262" s="1" t="str">
        <f>IFERROR(__xludf.DUMMYFUNCTION("""COMPUTED_VALUE"""),"Torres")</f>
        <v>Torres</v>
      </c>
      <c r="E262" s="1" t="str">
        <f>IFERROR(__xludf.DUMMYFUNCTION("""COMPUTED_VALUE"""),"NPBM")</f>
        <v>NPBM</v>
      </c>
      <c r="F262" s="1" t="str">
        <f>IFERROR(__xludf.DUMMYFUNCTION("""COMPUTED_VALUE"""),"NPBM")</f>
        <v>NPBM</v>
      </c>
      <c r="G262" s="1"/>
      <c r="H262" s="1" t="str">
        <f>IFERROR(__xludf.DUMMYFUNCTION("""COMPUTED_VALUE"""),"")</f>
        <v/>
      </c>
      <c r="I262" s="1" t="str">
        <f>IFERROR(__xludf.DUMMYFUNCTION("""COMPUTED_VALUE"""),"")</f>
        <v/>
      </c>
    </row>
    <row r="263" customHeight="1" spans="1:9">
      <c r="A263" s="1" t="str">
        <f>IFERROR(__xludf.DUMMYFUNCTION("""COMPUTED_VALUE"""),"Morro Redondo")</f>
        <v>Morro Redondo</v>
      </c>
      <c r="B263" s="144" t="str">
        <f>IFERROR(__xludf.DUMMYFUNCTION("""COMPUTED_VALUE"""),"3º CRBM")</f>
        <v>3º CRBM</v>
      </c>
      <c r="C263" s="1" t="str">
        <f>IFERROR(__xludf.DUMMYFUNCTION("""COMPUTED_VALUE"""),"3º BBM")</f>
        <v>3º BBM</v>
      </c>
      <c r="D263" s="1" t="str">
        <f>IFERROR(__xludf.DUMMYFUNCTION("""COMPUTED_VALUE"""),"Canguçu")</f>
        <v>Canguçu</v>
      </c>
      <c r="E263" s="1" t="str">
        <f>IFERROR(__xludf.DUMMYFUNCTION("""COMPUTED_VALUE"""),"NPBM")</f>
        <v>NPBM</v>
      </c>
      <c r="F263" s="1" t="str">
        <f>IFERROR(__xludf.DUMMYFUNCTION("""COMPUTED_VALUE"""),"NPBM")</f>
        <v>NPBM</v>
      </c>
      <c r="G263" s="1"/>
      <c r="H263" s="1" t="str">
        <f>IFERROR(__xludf.DUMMYFUNCTION("""COMPUTED_VALUE"""),"")</f>
        <v/>
      </c>
      <c r="I263" s="1" t="str">
        <f>IFERROR(__xludf.DUMMYFUNCTION("""COMPUTED_VALUE"""),"")</f>
        <v/>
      </c>
    </row>
    <row r="264" customHeight="1" spans="1:9">
      <c r="A264" s="1" t="str">
        <f>IFERROR(__xludf.DUMMYFUNCTION("""COMPUTED_VALUE"""),"Morro Reuter")</f>
        <v>Morro Reuter</v>
      </c>
      <c r="B264" s="144" t="str">
        <f>IFERROR(__xludf.DUMMYFUNCTION("""COMPUTED_VALUE"""),"2º CRBM")</f>
        <v>2º CRBM</v>
      </c>
      <c r="C264" s="1" t="str">
        <f>IFERROR(__xludf.DUMMYFUNCTION("""COMPUTED_VALUE"""),"2º BBM")</f>
        <v>2º BBM</v>
      </c>
      <c r="D264" s="1" t="str">
        <f>IFERROR(__xludf.DUMMYFUNCTION("""COMPUTED_VALUE"""),"Dois Irmãos")</f>
        <v>Dois Irmãos</v>
      </c>
      <c r="E264" s="1" t="str">
        <f>IFERROR(__xludf.DUMMYFUNCTION("""COMPUTED_VALUE"""),"NPBM")</f>
        <v>NPBM</v>
      </c>
      <c r="F264" s="1" t="str">
        <f>IFERROR(__xludf.DUMMYFUNCTION("""COMPUTED_VALUE"""),"NPBM")</f>
        <v>NPBM</v>
      </c>
      <c r="G264" s="1"/>
      <c r="H264" s="1" t="str">
        <f>IFERROR(__xludf.DUMMYFUNCTION("""COMPUTED_VALUE"""),"")</f>
        <v/>
      </c>
      <c r="I264" s="1" t="str">
        <f>IFERROR(__xludf.DUMMYFUNCTION("""COMPUTED_VALUE"""),"")</f>
        <v/>
      </c>
    </row>
    <row r="265" customHeight="1" spans="1:9">
      <c r="A265" s="1" t="str">
        <f>IFERROR(__xludf.DUMMYFUNCTION("""COMPUTED_VALUE"""),"Mostardas")</f>
        <v>Mostardas</v>
      </c>
      <c r="B265" s="144" t="str">
        <f>IFERROR(__xludf.DUMMYFUNCTION("""COMPUTED_VALUE"""),"1º CRBM")</f>
        <v>1º CRBM</v>
      </c>
      <c r="C265" s="1" t="str">
        <f>IFERROR(__xludf.DUMMYFUNCTION("""COMPUTED_VALUE"""),"9º BBM")</f>
        <v>9º BBM</v>
      </c>
      <c r="D265" s="1" t="str">
        <f>IFERROR(__xludf.DUMMYFUNCTION("""COMPUTED_VALUE"""),"Cidreira")</f>
        <v>Cidreira</v>
      </c>
      <c r="E265" s="1" t="str">
        <f>IFERROR(__xludf.DUMMYFUNCTION("""COMPUTED_VALUE"""),"NPBM")</f>
        <v>NPBM</v>
      </c>
      <c r="F265" s="1" t="str">
        <f>IFERROR(__xludf.DUMMYFUNCTION("""COMPUTED_VALUE"""),"NPBM")</f>
        <v>NPBM</v>
      </c>
      <c r="G265" s="234" t="str">
        <f>IFERROR(__xludf.DUMMYFUNCTION("""COMPUTED_VALUE""")," 2 - Em Credenciamento")</f>
        <v> 2 - Em Credenciamento</v>
      </c>
      <c r="H265" s="1" t="str">
        <f>IFERROR(__xludf.DUMMYFUNCTION("""COMPUTED_VALUE"""),"")</f>
        <v/>
      </c>
      <c r="I265" s="1" t="str">
        <f>IFERROR(__xludf.DUMMYFUNCTION("""COMPUTED_VALUE"""),"")</f>
        <v/>
      </c>
    </row>
    <row r="266" customHeight="1" spans="1:9">
      <c r="A266" s="1" t="str">
        <f>IFERROR(__xludf.DUMMYFUNCTION("""COMPUTED_VALUE"""),"Muçum")</f>
        <v>Muçum</v>
      </c>
      <c r="B266" s="144" t="str">
        <f>IFERROR(__xludf.DUMMYFUNCTION("""COMPUTED_VALUE"""),"4º CRBM")</f>
        <v>4º CRBM</v>
      </c>
      <c r="C266" s="1" t="str">
        <f>IFERROR(__xludf.DUMMYFUNCTION("""COMPUTED_VALUE"""),"6º BBM")</f>
        <v>6º BBM</v>
      </c>
      <c r="D266" s="1" t="str">
        <f>IFERROR(__xludf.DUMMYFUNCTION("""COMPUTED_VALUE"""),"Encantado")</f>
        <v>Encantado</v>
      </c>
      <c r="E266" s="1" t="str">
        <f>IFERROR(__xludf.DUMMYFUNCTION("""COMPUTED_VALUE"""),"NPBM")</f>
        <v>NPBM</v>
      </c>
      <c r="F266" s="1" t="str">
        <f>IFERROR(__xludf.DUMMYFUNCTION("""COMPUTED_VALUE"""),"NPBM")</f>
        <v>NPBM</v>
      </c>
      <c r="G266" s="1"/>
      <c r="H266" s="1" t="str">
        <f>IFERROR(__xludf.DUMMYFUNCTION("""COMPUTED_VALUE"""),"")</f>
        <v/>
      </c>
      <c r="I266" s="1" t="str">
        <f>IFERROR(__xludf.DUMMYFUNCTION("""COMPUTED_VALUE"""),"")</f>
        <v/>
      </c>
    </row>
    <row r="267" customHeight="1" spans="1:9">
      <c r="A267" s="1" t="str">
        <f>IFERROR(__xludf.DUMMYFUNCTION("""COMPUTED_VALUE"""),"Muitos Capões")</f>
        <v>Muitos Capões</v>
      </c>
      <c r="B267" s="144" t="str">
        <f>IFERROR(__xludf.DUMMYFUNCTION("""COMPUTED_VALUE"""),"2º CRBM")</f>
        <v>2º CRBM</v>
      </c>
      <c r="C267" s="1" t="str">
        <f>IFERROR(__xludf.DUMMYFUNCTION("""COMPUTED_VALUE"""),"5º BBM")</f>
        <v>5º BBM</v>
      </c>
      <c r="D267" s="1" t="str">
        <f>IFERROR(__xludf.DUMMYFUNCTION("""COMPUTED_VALUE"""),"Vacaria")</f>
        <v>Vacaria</v>
      </c>
      <c r="E267" s="1" t="str">
        <f>IFERROR(__xludf.DUMMYFUNCTION("""COMPUTED_VALUE"""),"SCAB")</f>
        <v>SCAB</v>
      </c>
      <c r="F267" s="1" t="str">
        <f>IFERROR(__xludf.DUMMYFUNCTION("""COMPUTED_VALUE"""),"Municipal")</f>
        <v>Municipal</v>
      </c>
      <c r="G267" s="234" t="str">
        <f>IFERROR(__xludf.DUMMYFUNCTION("""COMPUTED_VALUE""")," 1 - Credenciado")</f>
        <v> 1 - Credenciado</v>
      </c>
      <c r="H267" s="1" t="str">
        <f>IFERROR(__xludf.DUMMYFUNCTION("""COMPUTED_VALUE"""),"")</f>
        <v/>
      </c>
      <c r="I267" s="1" t="str">
        <f>IFERROR(__xludf.DUMMYFUNCTION("""COMPUTED_VALUE"""),"")</f>
        <v/>
      </c>
    </row>
    <row r="268" customHeight="1" spans="1:9">
      <c r="A268" s="1" t="str">
        <f>IFERROR(__xludf.DUMMYFUNCTION("""COMPUTED_VALUE"""),"Muliterno")</f>
        <v>Muliterno</v>
      </c>
      <c r="B268" s="144" t="str">
        <f>IFERROR(__xludf.DUMMYFUNCTION("""COMPUTED_VALUE"""),"2º CRBM")</f>
        <v>2º CRBM</v>
      </c>
      <c r="C268" s="1" t="str">
        <f>IFERROR(__xludf.DUMMYFUNCTION("""COMPUTED_VALUE"""),"7º BBM")</f>
        <v>7º BBM</v>
      </c>
      <c r="D268" s="1" t="str">
        <f>IFERROR(__xludf.DUMMYFUNCTION("""COMPUTED_VALUE"""),"Lagoa Vermelha")</f>
        <v>Lagoa Vermelha</v>
      </c>
      <c r="E268" s="1" t="str">
        <f>IFERROR(__xludf.DUMMYFUNCTION("""COMPUTED_VALUE"""),"NPBM")</f>
        <v>NPBM</v>
      </c>
      <c r="F268" s="1" t="str">
        <f>IFERROR(__xludf.DUMMYFUNCTION("""COMPUTED_VALUE"""),"NPBM")</f>
        <v>NPBM</v>
      </c>
      <c r="G268" s="1"/>
      <c r="H268" s="1" t="str">
        <f>IFERROR(__xludf.DUMMYFUNCTION("""COMPUTED_VALUE"""),"")</f>
        <v/>
      </c>
      <c r="I268" s="1" t="str">
        <f>IFERROR(__xludf.DUMMYFUNCTION("""COMPUTED_VALUE"""),"")</f>
        <v/>
      </c>
    </row>
    <row r="269" customHeight="1" spans="1:9">
      <c r="A269" s="1" t="str">
        <f>IFERROR(__xludf.DUMMYFUNCTION("""COMPUTED_VALUE"""),"Não-Me-Toque")</f>
        <v>Não-Me-Toque</v>
      </c>
      <c r="B269" s="144" t="str">
        <f>IFERROR(__xludf.DUMMYFUNCTION("""COMPUTED_VALUE"""),"2º CRBM")</f>
        <v>2º CRBM</v>
      </c>
      <c r="C269" s="1" t="str">
        <f>IFERROR(__xludf.DUMMYFUNCTION("""COMPUTED_VALUE"""),"7º BBM")</f>
        <v>7º BBM</v>
      </c>
      <c r="D269" s="1" t="str">
        <f>IFERROR(__xludf.DUMMYFUNCTION("""COMPUTED_VALUE"""),"Carazinho")</f>
        <v>Carazinho</v>
      </c>
      <c r="E269" s="1" t="str">
        <f>IFERROR(__xludf.DUMMYFUNCTION("""COMPUTED_VALUE"""),"SCAB")</f>
        <v>SCAB</v>
      </c>
      <c r="F269" s="1" t="str">
        <f>IFERROR(__xludf.DUMMYFUNCTION("""COMPUTED_VALUE"""),"Municipal")</f>
        <v>Municipal</v>
      </c>
      <c r="G269" s="234" t="str">
        <f>IFERROR(__xludf.DUMMYFUNCTION("""COMPUTED_VALUE""")," 1 - Credenciado")</f>
        <v> 1 - Credenciado</v>
      </c>
      <c r="H269" s="1" t="str">
        <f>IFERROR(__xludf.DUMMYFUNCTION("""COMPUTED_VALUE"""),"")</f>
        <v/>
      </c>
      <c r="I269" s="1" t="str">
        <f>IFERROR(__xludf.DUMMYFUNCTION("""COMPUTED_VALUE"""),"")</f>
        <v/>
      </c>
    </row>
    <row r="270" customHeight="1" spans="1:9">
      <c r="A270" s="1" t="str">
        <f>IFERROR(__xludf.DUMMYFUNCTION("""COMPUTED_VALUE"""),"Nicolau Vergueiro")</f>
        <v>Nicolau Vergueiro</v>
      </c>
      <c r="B270" s="144" t="str">
        <f>IFERROR(__xludf.DUMMYFUNCTION("""COMPUTED_VALUE"""),"2º CRBM")</f>
        <v>2º CRBM</v>
      </c>
      <c r="C270" s="1" t="str">
        <f>IFERROR(__xludf.DUMMYFUNCTION("""COMPUTED_VALUE"""),"7º BBM")</f>
        <v>7º BBM</v>
      </c>
      <c r="D270" s="1" t="str">
        <f>IFERROR(__xludf.DUMMYFUNCTION("""COMPUTED_VALUE"""),"Passo Fundo")</f>
        <v>Passo Fundo</v>
      </c>
      <c r="E270" s="1" t="str">
        <f>IFERROR(__xludf.DUMMYFUNCTION("""COMPUTED_VALUE"""),"NPBM")</f>
        <v>NPBM</v>
      </c>
      <c r="F270" s="1" t="str">
        <f>IFERROR(__xludf.DUMMYFUNCTION("""COMPUTED_VALUE"""),"NPBM")</f>
        <v>NPBM</v>
      </c>
      <c r="G270" s="1"/>
      <c r="H270" s="1" t="str">
        <f>IFERROR(__xludf.DUMMYFUNCTION("""COMPUTED_VALUE"""),"")</f>
        <v/>
      </c>
      <c r="I270" s="1" t="str">
        <f>IFERROR(__xludf.DUMMYFUNCTION("""COMPUTED_VALUE"""),"")</f>
        <v/>
      </c>
    </row>
    <row r="271" customHeight="1" spans="1:9">
      <c r="A271" s="1" t="str">
        <f>IFERROR(__xludf.DUMMYFUNCTION("""COMPUTED_VALUE"""),"Nonoai")</f>
        <v>Nonoai</v>
      </c>
      <c r="B271" s="144" t="str">
        <f>IFERROR(__xludf.DUMMYFUNCTION("""COMPUTED_VALUE"""),"2º CRBM")</f>
        <v>2º CRBM</v>
      </c>
      <c r="C271" s="1" t="str">
        <f>IFERROR(__xludf.DUMMYFUNCTION("""COMPUTED_VALUE"""),"7º BBM")</f>
        <v>7º BBM</v>
      </c>
      <c r="D271" s="1" t="str">
        <f>IFERROR(__xludf.DUMMYFUNCTION("""COMPUTED_VALUE"""),"Nonoai")</f>
        <v>Nonoai</v>
      </c>
      <c r="E271" s="1" t="str">
        <f>IFERROR(__xludf.DUMMYFUNCTION("""COMPUTED_VALUE"""),"Comunitário")</f>
        <v>Comunitário</v>
      </c>
      <c r="F271" s="1" t="str">
        <f>IFERROR(__xludf.DUMMYFUNCTION("""COMPUTED_VALUE"""),"Mil + Mun")</f>
        <v>Mil + Mun</v>
      </c>
      <c r="G271" s="1"/>
      <c r="H271" s="1">
        <f>IFERROR(__xludf.DUMMYFUNCTION("""COMPUTED_VALUE"""),1)</f>
        <v>1</v>
      </c>
      <c r="I271" s="1" t="str">
        <f>IFERROR(__xludf.DUMMYFUNCTION("""COMPUTED_VALUE"""),"")</f>
        <v/>
      </c>
    </row>
    <row r="272" customHeight="1" spans="1:9">
      <c r="A272" s="1" t="str">
        <f>IFERROR(__xludf.DUMMYFUNCTION("""COMPUTED_VALUE"""),"Nova Alvorada")</f>
        <v>Nova Alvorada</v>
      </c>
      <c r="B272" s="144" t="str">
        <f>IFERROR(__xludf.DUMMYFUNCTION("""COMPUTED_VALUE"""),"2º CRBM")</f>
        <v>2º CRBM</v>
      </c>
      <c r="C272" s="1" t="str">
        <f>IFERROR(__xludf.DUMMYFUNCTION("""COMPUTED_VALUE"""),"7º BBM")</f>
        <v>7º BBM</v>
      </c>
      <c r="D272" s="1" t="str">
        <f>IFERROR(__xludf.DUMMYFUNCTION("""COMPUTED_VALUE"""),"Passo Fundo")</f>
        <v>Passo Fundo</v>
      </c>
      <c r="E272" s="1" t="str">
        <f>IFERROR(__xludf.DUMMYFUNCTION("""COMPUTED_VALUE"""),"NPBM")</f>
        <v>NPBM</v>
      </c>
      <c r="F272" s="1" t="str">
        <f>IFERROR(__xludf.DUMMYFUNCTION("""COMPUTED_VALUE"""),"NPBM")</f>
        <v>NPBM</v>
      </c>
      <c r="G272" s="1"/>
      <c r="H272" s="1" t="str">
        <f>IFERROR(__xludf.DUMMYFUNCTION("""COMPUTED_VALUE"""),"")</f>
        <v/>
      </c>
      <c r="I272" s="1" t="str">
        <f>IFERROR(__xludf.DUMMYFUNCTION("""COMPUTED_VALUE"""),"")</f>
        <v/>
      </c>
    </row>
    <row r="273" customHeight="1" spans="1:9">
      <c r="A273" s="1" t="str">
        <f>IFERROR(__xludf.DUMMYFUNCTION("""COMPUTED_VALUE"""),"Nova Araçá")</f>
        <v>Nova Araçá</v>
      </c>
      <c r="B273" s="144" t="str">
        <f>IFERROR(__xludf.DUMMYFUNCTION("""COMPUTED_VALUE"""),"2º CRBM")</f>
        <v>2º CRBM</v>
      </c>
      <c r="C273" s="1" t="str">
        <f>IFERROR(__xludf.DUMMYFUNCTION("""COMPUTED_VALUE"""),"5º BBM")</f>
        <v>5º BBM</v>
      </c>
      <c r="D273" s="1" t="str">
        <f>IFERROR(__xludf.DUMMYFUNCTION("""COMPUTED_VALUE"""),"Veranópolis")</f>
        <v>Veranópolis</v>
      </c>
      <c r="E273" s="1" t="str">
        <f>IFERROR(__xludf.DUMMYFUNCTION("""COMPUTED_VALUE"""),"NPBM")</f>
        <v>NPBM</v>
      </c>
      <c r="F273" s="1" t="str">
        <f>IFERROR(__xludf.DUMMYFUNCTION("""COMPUTED_VALUE"""),"NPBM")</f>
        <v>NPBM</v>
      </c>
      <c r="G273" s="1"/>
      <c r="H273" s="1" t="str">
        <f>IFERROR(__xludf.DUMMYFUNCTION("""COMPUTED_VALUE"""),"")</f>
        <v/>
      </c>
      <c r="I273" s="1" t="str">
        <f>IFERROR(__xludf.DUMMYFUNCTION("""COMPUTED_VALUE"""),"")</f>
        <v/>
      </c>
    </row>
    <row r="274" customHeight="1" spans="1:9">
      <c r="A274" s="1" t="str">
        <f>IFERROR(__xludf.DUMMYFUNCTION("""COMPUTED_VALUE"""),"Nova Bassano")</f>
        <v>Nova Bassano</v>
      </c>
      <c r="B274" s="144" t="str">
        <f>IFERROR(__xludf.DUMMYFUNCTION("""COMPUTED_VALUE"""),"2º CRBM")</f>
        <v>2º CRBM</v>
      </c>
      <c r="C274" s="1" t="str">
        <f>IFERROR(__xludf.DUMMYFUNCTION("""COMPUTED_VALUE"""),"5º BBM")</f>
        <v>5º BBM</v>
      </c>
      <c r="D274" s="1" t="str">
        <f>IFERROR(__xludf.DUMMYFUNCTION("""COMPUTED_VALUE"""),"Veranópolis")</f>
        <v>Veranópolis</v>
      </c>
      <c r="E274" s="1" t="str">
        <f>IFERROR(__xludf.DUMMYFUNCTION("""COMPUTED_VALUE"""),"NPBM")</f>
        <v>NPBM</v>
      </c>
      <c r="F274" s="1" t="str">
        <f>IFERROR(__xludf.DUMMYFUNCTION("""COMPUTED_VALUE"""),"NPBM")</f>
        <v>NPBM</v>
      </c>
      <c r="G274" s="1"/>
      <c r="H274" s="1" t="str">
        <f>IFERROR(__xludf.DUMMYFUNCTION("""COMPUTED_VALUE"""),"")</f>
        <v/>
      </c>
      <c r="I274" s="1" t="str">
        <f>IFERROR(__xludf.DUMMYFUNCTION("""COMPUTED_VALUE"""),"")</f>
        <v/>
      </c>
    </row>
    <row r="275" customHeight="1" spans="1:9">
      <c r="A275" s="1" t="str">
        <f>IFERROR(__xludf.DUMMYFUNCTION("""COMPUTED_VALUE"""),"Nova Boa Vista")</f>
        <v>Nova Boa Vista</v>
      </c>
      <c r="B275" s="144" t="str">
        <f>IFERROR(__xludf.DUMMYFUNCTION("""COMPUTED_VALUE"""),"2º CRBM")</f>
        <v>2º CRBM</v>
      </c>
      <c r="C275" s="1" t="str">
        <f>IFERROR(__xludf.DUMMYFUNCTION("""COMPUTED_VALUE"""),"7º BBM")</f>
        <v>7º BBM</v>
      </c>
      <c r="D275" s="1" t="str">
        <f>IFERROR(__xludf.DUMMYFUNCTION("""COMPUTED_VALUE"""),"Sarandi")</f>
        <v>Sarandi</v>
      </c>
      <c r="E275" s="1" t="str">
        <f>IFERROR(__xludf.DUMMYFUNCTION("""COMPUTED_VALUE"""),"NPBM")</f>
        <v>NPBM</v>
      </c>
      <c r="F275" s="1" t="str">
        <f>IFERROR(__xludf.DUMMYFUNCTION("""COMPUTED_VALUE"""),"NPBM")</f>
        <v>NPBM</v>
      </c>
      <c r="G275" s="1"/>
      <c r="H275" s="1" t="str">
        <f>IFERROR(__xludf.DUMMYFUNCTION("""COMPUTED_VALUE"""),"")</f>
        <v/>
      </c>
      <c r="I275" s="1" t="str">
        <f>IFERROR(__xludf.DUMMYFUNCTION("""COMPUTED_VALUE"""),"")</f>
        <v/>
      </c>
    </row>
    <row r="276" customHeight="1" spans="1:9">
      <c r="A276" s="1" t="str">
        <f>IFERROR(__xludf.DUMMYFUNCTION("""COMPUTED_VALUE"""),"Nova Bréscia")</f>
        <v>Nova Bréscia</v>
      </c>
      <c r="B276" s="144" t="str">
        <f>IFERROR(__xludf.DUMMYFUNCTION("""COMPUTED_VALUE"""),"4º CRBM")</f>
        <v>4º CRBM</v>
      </c>
      <c r="C276" s="1" t="str">
        <f>IFERROR(__xludf.DUMMYFUNCTION("""COMPUTED_VALUE"""),"6º BBM")</f>
        <v>6º BBM</v>
      </c>
      <c r="D276" s="1" t="str">
        <f>IFERROR(__xludf.DUMMYFUNCTION("""COMPUTED_VALUE"""),"Encantado")</f>
        <v>Encantado</v>
      </c>
      <c r="E276" s="1" t="str">
        <f>IFERROR(__xludf.DUMMYFUNCTION("""COMPUTED_VALUE"""),"NPBM")</f>
        <v>NPBM</v>
      </c>
      <c r="F276" s="1" t="str">
        <f>IFERROR(__xludf.DUMMYFUNCTION("""COMPUTED_VALUE"""),"NPBM")</f>
        <v>NPBM</v>
      </c>
      <c r="G276" s="1"/>
      <c r="H276" s="1" t="str">
        <f>IFERROR(__xludf.DUMMYFUNCTION("""COMPUTED_VALUE"""),"")</f>
        <v/>
      </c>
      <c r="I276" s="1" t="str">
        <f>IFERROR(__xludf.DUMMYFUNCTION("""COMPUTED_VALUE"""),"")</f>
        <v/>
      </c>
    </row>
    <row r="277" customHeight="1" spans="1:9">
      <c r="A277" s="1" t="str">
        <f>IFERROR(__xludf.DUMMYFUNCTION("""COMPUTED_VALUE"""),"Nova Candelária")</f>
        <v>Nova Candelária</v>
      </c>
      <c r="B277" s="144" t="str">
        <f>IFERROR(__xludf.DUMMYFUNCTION("""COMPUTED_VALUE"""),"4º CRBM")</f>
        <v>4º CRBM</v>
      </c>
      <c r="C277" s="1" t="str">
        <f>IFERROR(__xludf.DUMMYFUNCTION("""COMPUTED_VALUE"""),"11º BBM")</f>
        <v>11º BBM</v>
      </c>
      <c r="D277" s="1" t="str">
        <f>IFERROR(__xludf.DUMMYFUNCTION("""COMPUTED_VALUE"""),"Três de Maio")</f>
        <v>Três de Maio</v>
      </c>
      <c r="E277" s="1" t="str">
        <f>IFERROR(__xludf.DUMMYFUNCTION("""COMPUTED_VALUE"""),"NPBM")</f>
        <v>NPBM</v>
      </c>
      <c r="F277" s="1" t="str">
        <f>IFERROR(__xludf.DUMMYFUNCTION("""COMPUTED_VALUE"""),"NPBM")</f>
        <v>NPBM</v>
      </c>
      <c r="G277" s="1"/>
      <c r="H277" s="1" t="str">
        <f>IFERROR(__xludf.DUMMYFUNCTION("""COMPUTED_VALUE"""),"")</f>
        <v/>
      </c>
      <c r="I277" s="1" t="str">
        <f>IFERROR(__xludf.DUMMYFUNCTION("""COMPUTED_VALUE"""),"")</f>
        <v/>
      </c>
    </row>
    <row r="278" customHeight="1" spans="1:9">
      <c r="A278" s="1" t="str">
        <f>IFERROR(__xludf.DUMMYFUNCTION("""COMPUTED_VALUE"""),"Nova Esperança do Sul")</f>
        <v>Nova Esperança do Sul</v>
      </c>
      <c r="B278" s="144" t="str">
        <f>IFERROR(__xludf.DUMMYFUNCTION("""COMPUTED_VALUE"""),"3º CRBM")</f>
        <v>3º CRBM</v>
      </c>
      <c r="C278" s="1" t="str">
        <f>IFERROR(__xludf.DUMMYFUNCTION("""COMPUTED_VALUE"""),"13º BBM")</f>
        <v>13º BBM</v>
      </c>
      <c r="D278" s="1" t="str">
        <f>IFERROR(__xludf.DUMMYFUNCTION("""COMPUTED_VALUE"""),"Santiago")</f>
        <v>Santiago</v>
      </c>
      <c r="E278" s="1" t="str">
        <f>IFERROR(__xludf.DUMMYFUNCTION("""COMPUTED_VALUE"""),"NPBM")</f>
        <v>NPBM</v>
      </c>
      <c r="F278" s="1" t="str">
        <f>IFERROR(__xludf.DUMMYFUNCTION("""COMPUTED_VALUE"""),"NPBM")</f>
        <v>NPBM</v>
      </c>
      <c r="G278" s="1"/>
      <c r="H278" s="1" t="str">
        <f>IFERROR(__xludf.DUMMYFUNCTION("""COMPUTED_VALUE"""),"")</f>
        <v/>
      </c>
      <c r="I278" s="1" t="str">
        <f>IFERROR(__xludf.DUMMYFUNCTION("""COMPUTED_VALUE"""),"")</f>
        <v/>
      </c>
    </row>
    <row r="279" customHeight="1" spans="1:9">
      <c r="A279" s="1" t="str">
        <f>IFERROR(__xludf.DUMMYFUNCTION("""COMPUTED_VALUE"""),"Nova Hartz")</f>
        <v>Nova Hartz</v>
      </c>
      <c r="B279" s="144" t="str">
        <f>IFERROR(__xludf.DUMMYFUNCTION("""COMPUTED_VALUE"""),"2º CRBM")</f>
        <v>2º CRBM</v>
      </c>
      <c r="C279" s="1" t="str">
        <f>IFERROR(__xludf.DUMMYFUNCTION("""COMPUTED_VALUE"""),"2º BBM")</f>
        <v>2º BBM</v>
      </c>
      <c r="D279" s="1" t="str">
        <f>IFERROR(__xludf.DUMMYFUNCTION("""COMPUTED_VALUE"""),"Sapiranga")</f>
        <v>Sapiranga</v>
      </c>
      <c r="E279" s="1" t="str">
        <f>IFERROR(__xludf.DUMMYFUNCTION("""COMPUTED_VALUE"""),"Voluntersul")</f>
        <v>Voluntersul</v>
      </c>
      <c r="F279" s="1" t="str">
        <f>IFERROR(__xludf.DUMMYFUNCTION("""COMPUTED_VALUE"""),"Voluntersul")</f>
        <v>Voluntersul</v>
      </c>
      <c r="G279" s="234" t="str">
        <f>IFERROR(__xludf.DUMMYFUNCTION("""COMPUTED_VALUE""")," 3 - Não Regularizado")</f>
        <v> 3 - Não Regularizado</v>
      </c>
      <c r="H279" s="1" t="str">
        <f>IFERROR(__xludf.DUMMYFUNCTION("""COMPUTED_VALUE"""),"")</f>
        <v/>
      </c>
      <c r="I279" s="1" t="str">
        <f>IFERROR(__xludf.DUMMYFUNCTION("""COMPUTED_VALUE"""),"")</f>
        <v/>
      </c>
    </row>
    <row r="280" customHeight="1" spans="1:9">
      <c r="A280" s="1" t="str">
        <f>IFERROR(__xludf.DUMMYFUNCTION("""COMPUTED_VALUE"""),"Nova Pádua")</f>
        <v>Nova Pádua</v>
      </c>
      <c r="B280" s="144" t="str">
        <f>IFERROR(__xludf.DUMMYFUNCTION("""COMPUTED_VALUE"""),"2º CRBM")</f>
        <v>2º CRBM</v>
      </c>
      <c r="C280" s="1" t="str">
        <f>IFERROR(__xludf.DUMMYFUNCTION("""COMPUTED_VALUE"""),"5º BBM")</f>
        <v>5º BBM</v>
      </c>
      <c r="D280" s="1" t="str">
        <f>IFERROR(__xludf.DUMMYFUNCTION("""COMPUTED_VALUE"""),"Flores da Cunha")</f>
        <v>Flores da Cunha</v>
      </c>
      <c r="E280" s="1" t="str">
        <f>IFERROR(__xludf.DUMMYFUNCTION("""COMPUTED_VALUE"""),"NPBM")</f>
        <v>NPBM</v>
      </c>
      <c r="F280" s="1" t="str">
        <f>IFERROR(__xludf.DUMMYFUNCTION("""COMPUTED_VALUE"""),"NPBM")</f>
        <v>NPBM</v>
      </c>
      <c r="G280" s="1"/>
      <c r="H280" s="1" t="str">
        <f>IFERROR(__xludf.DUMMYFUNCTION("""COMPUTED_VALUE"""),"")</f>
        <v/>
      </c>
      <c r="I280" s="1" t="str">
        <f>IFERROR(__xludf.DUMMYFUNCTION("""COMPUTED_VALUE"""),"")</f>
        <v/>
      </c>
    </row>
    <row r="281" customHeight="1" spans="1:9">
      <c r="A281" s="1" t="str">
        <f>IFERROR(__xludf.DUMMYFUNCTION("""COMPUTED_VALUE"""),"Nova Palma")</f>
        <v>Nova Palma</v>
      </c>
      <c r="B281" s="144" t="str">
        <f>IFERROR(__xludf.DUMMYFUNCTION("""COMPUTED_VALUE"""),"4º CRBM")</f>
        <v>4º CRBM</v>
      </c>
      <c r="C281" s="1" t="str">
        <f>IFERROR(__xludf.DUMMYFUNCTION("""COMPUTED_VALUE"""),"4º BBM")</f>
        <v>4º BBM</v>
      </c>
      <c r="D281" s="1" t="str">
        <f>IFERROR(__xludf.DUMMYFUNCTION("""COMPUTED_VALUE"""),"Restinga Sêca")</f>
        <v>Restinga Sêca</v>
      </c>
      <c r="E281" s="1" t="str">
        <f>IFERROR(__xludf.DUMMYFUNCTION("""COMPUTED_VALUE"""),"NPBM")</f>
        <v>NPBM</v>
      </c>
      <c r="F281" s="1" t="str">
        <f>IFERROR(__xludf.DUMMYFUNCTION("""COMPUTED_VALUE"""),"NPBM")</f>
        <v>NPBM</v>
      </c>
      <c r="G281" s="1"/>
      <c r="H281" s="1" t="str">
        <f>IFERROR(__xludf.DUMMYFUNCTION("""COMPUTED_VALUE"""),"")</f>
        <v/>
      </c>
      <c r="I281" s="1" t="str">
        <f>IFERROR(__xludf.DUMMYFUNCTION("""COMPUTED_VALUE"""),"")</f>
        <v/>
      </c>
    </row>
    <row r="282" customHeight="1" spans="1:9">
      <c r="A282" s="1" t="str">
        <f>IFERROR(__xludf.DUMMYFUNCTION("""COMPUTED_VALUE"""),"Nova Petrópolis")</f>
        <v>Nova Petrópolis</v>
      </c>
      <c r="B282" s="144" t="str">
        <f>IFERROR(__xludf.DUMMYFUNCTION("""COMPUTED_VALUE"""),"2º CRBM")</f>
        <v>2º CRBM</v>
      </c>
      <c r="C282" s="1" t="str">
        <f>IFERROR(__xludf.DUMMYFUNCTION("""COMPUTED_VALUE"""),"5º BBM")</f>
        <v>5º BBM</v>
      </c>
      <c r="D282" s="1" t="str">
        <f>IFERROR(__xludf.DUMMYFUNCTION("""COMPUTED_VALUE"""),"Gramado")</f>
        <v>Gramado</v>
      </c>
      <c r="E282" s="1" t="str">
        <f>IFERROR(__xludf.DUMMYFUNCTION("""COMPUTED_VALUE"""),"Voluntersul")</f>
        <v>Voluntersul</v>
      </c>
      <c r="F282" s="1" t="str">
        <f>IFERROR(__xludf.DUMMYFUNCTION("""COMPUTED_VALUE"""),"Voluntersul")</f>
        <v>Voluntersul</v>
      </c>
      <c r="G282" s="234" t="str">
        <f>IFERROR(__xludf.DUMMYFUNCTION("""COMPUTED_VALUE""")," 3 - Não Regularizado")</f>
        <v> 3 - Não Regularizado</v>
      </c>
      <c r="H282" s="1" t="str">
        <f>IFERROR(__xludf.DUMMYFUNCTION("""COMPUTED_VALUE"""),"")</f>
        <v/>
      </c>
      <c r="I282" s="1" t="str">
        <f>IFERROR(__xludf.DUMMYFUNCTION("""COMPUTED_VALUE"""),"")</f>
        <v/>
      </c>
    </row>
    <row r="283" customHeight="1" spans="1:9">
      <c r="A283" s="1" t="str">
        <f>IFERROR(__xludf.DUMMYFUNCTION("""COMPUTED_VALUE"""),"Nova Prata")</f>
        <v>Nova Prata</v>
      </c>
      <c r="B283" s="144" t="str">
        <f>IFERROR(__xludf.DUMMYFUNCTION("""COMPUTED_VALUE"""),"2º CRBM")</f>
        <v>2º CRBM</v>
      </c>
      <c r="C283" s="1" t="str">
        <f>IFERROR(__xludf.DUMMYFUNCTION("""COMPUTED_VALUE"""),"5º BBM")</f>
        <v>5º BBM</v>
      </c>
      <c r="D283" s="1" t="str">
        <f>IFERROR(__xludf.DUMMYFUNCTION("""COMPUTED_VALUE"""),"Veranópolis")</f>
        <v>Veranópolis</v>
      </c>
      <c r="E283" s="1" t="str">
        <f>IFERROR(__xludf.DUMMYFUNCTION("""COMPUTED_VALUE"""),"Voluntersul")</f>
        <v>Voluntersul</v>
      </c>
      <c r="F283" s="1" t="str">
        <f>IFERROR(__xludf.DUMMYFUNCTION("""COMPUTED_VALUE"""),"Voluntersul")</f>
        <v>Voluntersul</v>
      </c>
      <c r="G283" s="234" t="str">
        <f>IFERROR(__xludf.DUMMYFUNCTION("""COMPUTED_VALUE""")," 4 - Desfavorável")</f>
        <v> 4 - Desfavorável</v>
      </c>
      <c r="H283" s="1" t="str">
        <f>IFERROR(__xludf.DUMMYFUNCTION("""COMPUTED_VALUE"""),"")</f>
        <v/>
      </c>
      <c r="I283" s="1" t="str">
        <f>IFERROR(__xludf.DUMMYFUNCTION("""COMPUTED_VALUE"""),"")</f>
        <v/>
      </c>
    </row>
    <row r="284" customHeight="1" spans="1:9">
      <c r="A284" s="1" t="str">
        <f>IFERROR(__xludf.DUMMYFUNCTION("""COMPUTED_VALUE"""),"Nova Ramada")</f>
        <v>Nova Ramada</v>
      </c>
      <c r="B284" s="144" t="str">
        <f>IFERROR(__xludf.DUMMYFUNCTION("""COMPUTED_VALUE"""),"4º CRBM")</f>
        <v>4º CRBM</v>
      </c>
      <c r="C284" s="1" t="str">
        <f>IFERROR(__xludf.DUMMYFUNCTION("""COMPUTED_VALUE"""),"12º BBM")</f>
        <v>12º BBM</v>
      </c>
      <c r="D284" s="1" t="str">
        <f>IFERROR(__xludf.DUMMYFUNCTION("""COMPUTED_VALUE"""),"Ijuí")</f>
        <v>Ijuí</v>
      </c>
      <c r="E284" s="1" t="str">
        <f>IFERROR(__xludf.DUMMYFUNCTION("""COMPUTED_VALUE"""),"NPBM")</f>
        <v>NPBM</v>
      </c>
      <c r="F284" s="1" t="str">
        <f>IFERROR(__xludf.DUMMYFUNCTION("""COMPUTED_VALUE"""),"NPBM")</f>
        <v>NPBM</v>
      </c>
      <c r="G284" s="1"/>
      <c r="H284" s="1" t="str">
        <f>IFERROR(__xludf.DUMMYFUNCTION("""COMPUTED_VALUE"""),"")</f>
        <v/>
      </c>
      <c r="I284" s="1" t="str">
        <f>IFERROR(__xludf.DUMMYFUNCTION("""COMPUTED_VALUE"""),"")</f>
        <v/>
      </c>
    </row>
    <row r="285" customHeight="1" spans="1:9">
      <c r="A285" s="1" t="str">
        <f>IFERROR(__xludf.DUMMYFUNCTION("""COMPUTED_VALUE"""),"Nova Roma do Sul")</f>
        <v>Nova Roma do Sul</v>
      </c>
      <c r="B285" s="144" t="str">
        <f>IFERROR(__xludf.DUMMYFUNCTION("""COMPUTED_VALUE"""),"2º CRBM")</f>
        <v>2º CRBM</v>
      </c>
      <c r="C285" s="1" t="str">
        <f>IFERROR(__xludf.DUMMYFUNCTION("""COMPUTED_VALUE"""),"5º BBM")</f>
        <v>5º BBM</v>
      </c>
      <c r="D285" s="1" t="str">
        <f>IFERROR(__xludf.DUMMYFUNCTION("""COMPUTED_VALUE"""),"Farroupilha")</f>
        <v>Farroupilha</v>
      </c>
      <c r="E285" s="1" t="str">
        <f>IFERROR(__xludf.DUMMYFUNCTION("""COMPUTED_VALUE"""),"NPBM")</f>
        <v>NPBM</v>
      </c>
      <c r="F285" s="1" t="str">
        <f>IFERROR(__xludf.DUMMYFUNCTION("""COMPUTED_VALUE"""),"NPBM")</f>
        <v>NPBM</v>
      </c>
      <c r="G285" s="234" t="str">
        <f>IFERROR(__xludf.DUMMYFUNCTION("""COMPUTED_VALUE""")," 2 - Em Credenciamento")</f>
        <v> 2 - Em Credenciamento</v>
      </c>
      <c r="H285" s="1" t="str">
        <f>IFERROR(__xludf.DUMMYFUNCTION("""COMPUTED_VALUE"""),"")</f>
        <v/>
      </c>
      <c r="I285" s="1" t="str">
        <f>IFERROR(__xludf.DUMMYFUNCTION("""COMPUTED_VALUE"""),"")</f>
        <v/>
      </c>
    </row>
    <row r="286" customHeight="1" spans="1:9">
      <c r="A286" s="1" t="str">
        <f>IFERROR(__xludf.DUMMYFUNCTION("""COMPUTED_VALUE"""),"Nova Santa Rita")</f>
        <v>Nova Santa Rita</v>
      </c>
      <c r="B286" s="144" t="str">
        <f>IFERROR(__xludf.DUMMYFUNCTION("""COMPUTED_VALUE"""),"1º CRBM")</f>
        <v>1º CRBM</v>
      </c>
      <c r="C286" s="1" t="str">
        <f>IFERROR(__xludf.DUMMYFUNCTION("""COMPUTED_VALUE"""),"8º BBM")</f>
        <v>8º BBM</v>
      </c>
      <c r="D286" s="1" t="str">
        <f>IFERROR(__xludf.DUMMYFUNCTION("""COMPUTED_VALUE"""),"Nova Santa Rita")</f>
        <v>Nova Santa Rita</v>
      </c>
      <c r="E286" s="1" t="str">
        <f>IFERROR(__xludf.DUMMYFUNCTION("""COMPUTED_VALUE"""),"Militar")</f>
        <v>Militar</v>
      </c>
      <c r="F286" s="1" t="str">
        <f>IFERROR(__xludf.DUMMYFUNCTION("""COMPUTED_VALUE"""),"Militar")</f>
        <v>Militar</v>
      </c>
      <c r="G286" s="1"/>
      <c r="H286" s="1" t="str">
        <f>IFERROR(__xludf.DUMMYFUNCTION("""COMPUTED_VALUE"""),"")</f>
        <v/>
      </c>
      <c r="I286" s="1" t="str">
        <f>IFERROR(__xludf.DUMMYFUNCTION("""COMPUTED_VALUE"""),"")</f>
        <v/>
      </c>
    </row>
    <row r="287" customHeight="1" spans="1:9">
      <c r="A287" s="1" t="str">
        <f>IFERROR(__xludf.DUMMYFUNCTION("""COMPUTED_VALUE"""),"Novo Barreiro")</f>
        <v>Novo Barreiro</v>
      </c>
      <c r="B287" s="144" t="str">
        <f>IFERROR(__xludf.DUMMYFUNCTION("""COMPUTED_VALUE"""),"4º CRBM")</f>
        <v>4º CRBM</v>
      </c>
      <c r="C287" s="1" t="str">
        <f>IFERROR(__xludf.DUMMYFUNCTION("""COMPUTED_VALUE"""),"12º BBM")</f>
        <v>12º BBM</v>
      </c>
      <c r="D287" s="1" t="str">
        <f>IFERROR(__xludf.DUMMYFUNCTION("""COMPUTED_VALUE"""),"Palmeira das Missões")</f>
        <v>Palmeira das Missões</v>
      </c>
      <c r="E287" s="1" t="str">
        <f>IFERROR(__xludf.DUMMYFUNCTION("""COMPUTED_VALUE"""),"NPBM")</f>
        <v>NPBM</v>
      </c>
      <c r="F287" s="1" t="str">
        <f>IFERROR(__xludf.DUMMYFUNCTION("""COMPUTED_VALUE"""),"NPBM")</f>
        <v>NPBM</v>
      </c>
      <c r="G287" s="1"/>
      <c r="H287" s="1" t="str">
        <f>IFERROR(__xludf.DUMMYFUNCTION("""COMPUTED_VALUE"""),"")</f>
        <v/>
      </c>
      <c r="I287" s="1" t="str">
        <f>IFERROR(__xludf.DUMMYFUNCTION("""COMPUTED_VALUE"""),"")</f>
        <v/>
      </c>
    </row>
    <row r="288" customHeight="1" spans="1:9">
      <c r="A288" s="1" t="str">
        <f>IFERROR(__xludf.DUMMYFUNCTION("""COMPUTED_VALUE"""),"Novo Cabrais")</f>
        <v>Novo Cabrais</v>
      </c>
      <c r="B288" s="144" t="str">
        <f>IFERROR(__xludf.DUMMYFUNCTION("""COMPUTED_VALUE"""),"4º CRBM")</f>
        <v>4º CRBM</v>
      </c>
      <c r="C288" s="1" t="str">
        <f>IFERROR(__xludf.DUMMYFUNCTION("""COMPUTED_VALUE"""),"4º BBM")</f>
        <v>4º BBM</v>
      </c>
      <c r="D288" s="1" t="str">
        <f>IFERROR(__xludf.DUMMYFUNCTION("""COMPUTED_VALUE"""),"Cachoeira do Sul")</f>
        <v>Cachoeira do Sul</v>
      </c>
      <c r="E288" s="1" t="str">
        <f>IFERROR(__xludf.DUMMYFUNCTION("""COMPUTED_VALUE"""),"Voluntersul")</f>
        <v>Voluntersul</v>
      </c>
      <c r="F288" s="1" t="str">
        <f>IFERROR(__xludf.DUMMYFUNCTION("""COMPUTED_VALUE"""),"Voluntersul")</f>
        <v>Voluntersul</v>
      </c>
      <c r="G288" s="234" t="str">
        <f>IFERROR(__xludf.DUMMYFUNCTION("""COMPUTED_VALUE""")," 3 - Não Regularizado")</f>
        <v> 3 - Não Regularizado</v>
      </c>
      <c r="H288" s="1" t="str">
        <f>IFERROR(__xludf.DUMMYFUNCTION("""COMPUTED_VALUE"""),"")</f>
        <v/>
      </c>
      <c r="I288" s="1" t="str">
        <f>IFERROR(__xludf.DUMMYFUNCTION("""COMPUTED_VALUE"""),"")</f>
        <v/>
      </c>
    </row>
    <row r="289" customHeight="1" spans="1:9">
      <c r="A289" s="1" t="str">
        <f>IFERROR(__xludf.DUMMYFUNCTION("""COMPUTED_VALUE"""),"Novo Hamburgo")</f>
        <v>Novo Hamburgo</v>
      </c>
      <c r="B289" s="144" t="str">
        <f>IFERROR(__xludf.DUMMYFUNCTION("""COMPUTED_VALUE"""),"2º CRBM")</f>
        <v>2º CRBM</v>
      </c>
      <c r="C289" s="1" t="str">
        <f>IFERROR(__xludf.DUMMYFUNCTION("""COMPUTED_VALUE"""),"2º BBM")</f>
        <v>2º BBM</v>
      </c>
      <c r="D289" s="1" t="str">
        <f>IFERROR(__xludf.DUMMYFUNCTION("""COMPUTED_VALUE"""),"Novo Hamburgo")</f>
        <v>Novo Hamburgo</v>
      </c>
      <c r="E289" s="1" t="str">
        <f>IFERROR(__xludf.DUMMYFUNCTION("""COMPUTED_VALUE"""),"Militar")</f>
        <v>Militar</v>
      </c>
      <c r="F289" s="1" t="str">
        <f>IFERROR(__xludf.DUMMYFUNCTION("""COMPUTED_VALUE"""),"Militar")</f>
        <v>Militar</v>
      </c>
      <c r="G289" s="1"/>
      <c r="H289" s="1">
        <f>IFERROR(__xludf.DUMMYFUNCTION("""COMPUTED_VALUE"""),1)</f>
        <v>1</v>
      </c>
      <c r="I289" s="1" t="str">
        <f>IFERROR(__xludf.DUMMYFUNCTION("""COMPUTED_VALUE"""),"")</f>
        <v/>
      </c>
    </row>
    <row r="290" customHeight="1" spans="1:9">
      <c r="A290" s="1" t="str">
        <f>IFERROR(__xludf.DUMMYFUNCTION("""COMPUTED_VALUE"""),"Novo Machado")</f>
        <v>Novo Machado</v>
      </c>
      <c r="B290" s="144" t="str">
        <f>IFERROR(__xludf.DUMMYFUNCTION("""COMPUTED_VALUE"""),"4º CRBM")</f>
        <v>4º CRBM</v>
      </c>
      <c r="C290" s="1" t="str">
        <f>IFERROR(__xludf.DUMMYFUNCTION("""COMPUTED_VALUE"""),"11º BBM")</f>
        <v>11º BBM</v>
      </c>
      <c r="D290" s="1" t="str">
        <f>IFERROR(__xludf.DUMMYFUNCTION("""COMPUTED_VALUE"""),"Horizontina")</f>
        <v>Horizontina</v>
      </c>
      <c r="E290" s="1" t="str">
        <f>IFERROR(__xludf.DUMMYFUNCTION("""COMPUTED_VALUE"""),"NPBM")</f>
        <v>NPBM</v>
      </c>
      <c r="F290" s="1" t="str">
        <f>IFERROR(__xludf.DUMMYFUNCTION("""COMPUTED_VALUE"""),"NPBM")</f>
        <v>NPBM</v>
      </c>
      <c r="G290" s="1"/>
      <c r="H290" s="1" t="str">
        <f>IFERROR(__xludf.DUMMYFUNCTION("""COMPUTED_VALUE"""),"")</f>
        <v/>
      </c>
      <c r="I290" s="1" t="str">
        <f>IFERROR(__xludf.DUMMYFUNCTION("""COMPUTED_VALUE"""),"")</f>
        <v/>
      </c>
    </row>
    <row r="291" customHeight="1" spans="1:9">
      <c r="A291" s="1" t="str">
        <f>IFERROR(__xludf.DUMMYFUNCTION("""COMPUTED_VALUE"""),"Novo Tiradentes")</f>
        <v>Novo Tiradentes</v>
      </c>
      <c r="B291" s="144" t="str">
        <f>IFERROR(__xludf.DUMMYFUNCTION("""COMPUTED_VALUE"""),"4º CRBM")</f>
        <v>4º CRBM</v>
      </c>
      <c r="C291" s="1" t="str">
        <f>IFERROR(__xludf.DUMMYFUNCTION("""COMPUTED_VALUE"""),"12º BBM")</f>
        <v>12º BBM</v>
      </c>
      <c r="D291" s="1" t="str">
        <f>IFERROR(__xludf.DUMMYFUNCTION("""COMPUTED_VALUE"""),"Palmeira das Missões")</f>
        <v>Palmeira das Missões</v>
      </c>
      <c r="E291" s="1" t="str">
        <f>IFERROR(__xludf.DUMMYFUNCTION("""COMPUTED_VALUE"""),"NPBM")</f>
        <v>NPBM</v>
      </c>
      <c r="F291" s="1" t="str">
        <f>IFERROR(__xludf.DUMMYFUNCTION("""COMPUTED_VALUE"""),"NPBM")</f>
        <v>NPBM</v>
      </c>
      <c r="G291" s="1"/>
      <c r="H291" s="1" t="str">
        <f>IFERROR(__xludf.DUMMYFUNCTION("""COMPUTED_VALUE"""),"")</f>
        <v/>
      </c>
      <c r="I291" s="1" t="str">
        <f>IFERROR(__xludf.DUMMYFUNCTION("""COMPUTED_VALUE"""),"")</f>
        <v/>
      </c>
    </row>
    <row r="292" customHeight="1" spans="1:9">
      <c r="A292" s="1" t="str">
        <f>IFERROR(__xludf.DUMMYFUNCTION("""COMPUTED_VALUE"""),"Novo Xingu")</f>
        <v>Novo Xingu</v>
      </c>
      <c r="B292" s="144" t="str">
        <f>IFERROR(__xludf.DUMMYFUNCTION("""COMPUTED_VALUE"""),"2º CRBM")</f>
        <v>2º CRBM</v>
      </c>
      <c r="C292" s="1" t="str">
        <f>IFERROR(__xludf.DUMMYFUNCTION("""COMPUTED_VALUE"""),"7º BBM")</f>
        <v>7º BBM</v>
      </c>
      <c r="D292" s="1" t="str">
        <f>IFERROR(__xludf.DUMMYFUNCTION("""COMPUTED_VALUE"""),"Sarandi")</f>
        <v>Sarandi</v>
      </c>
      <c r="E292" s="1" t="str">
        <f>IFERROR(__xludf.DUMMYFUNCTION("""COMPUTED_VALUE"""),"NPBM")</f>
        <v>NPBM</v>
      </c>
      <c r="F292" s="1" t="str">
        <f>IFERROR(__xludf.DUMMYFUNCTION("""COMPUTED_VALUE"""),"NPBM")</f>
        <v>NPBM</v>
      </c>
      <c r="G292" s="1"/>
      <c r="H292" s="1" t="str">
        <f>IFERROR(__xludf.DUMMYFUNCTION("""COMPUTED_VALUE"""),"")</f>
        <v/>
      </c>
      <c r="I292" s="1" t="str">
        <f>IFERROR(__xludf.DUMMYFUNCTION("""COMPUTED_VALUE"""),"")</f>
        <v/>
      </c>
    </row>
    <row r="293" customHeight="1" spans="1:9">
      <c r="A293" s="1" t="str">
        <f>IFERROR(__xludf.DUMMYFUNCTION("""COMPUTED_VALUE"""),"Osório")</f>
        <v>Osório</v>
      </c>
      <c r="B293" s="144" t="str">
        <f>IFERROR(__xludf.DUMMYFUNCTION("""COMPUTED_VALUE"""),"1º CRBM")</f>
        <v>1º CRBM</v>
      </c>
      <c r="C293" s="1" t="str">
        <f>IFERROR(__xludf.DUMMYFUNCTION("""COMPUTED_VALUE"""),"9º BBM")</f>
        <v>9º BBM</v>
      </c>
      <c r="D293" s="1" t="str">
        <f>IFERROR(__xludf.DUMMYFUNCTION("""COMPUTED_VALUE"""),"Osório")</f>
        <v>Osório</v>
      </c>
      <c r="E293" s="1" t="str">
        <f>IFERROR(__xludf.DUMMYFUNCTION("""COMPUTED_VALUE"""),"Militar")</f>
        <v>Militar</v>
      </c>
      <c r="F293" s="1" t="str">
        <f>IFERROR(__xludf.DUMMYFUNCTION("""COMPUTED_VALUE"""),"Militar")</f>
        <v>Militar</v>
      </c>
      <c r="G293" s="1"/>
      <c r="H293" s="1">
        <f>IFERROR(__xludf.DUMMYFUNCTION("""COMPUTED_VALUE"""),1)</f>
        <v>1</v>
      </c>
      <c r="I293" s="1" t="str">
        <f>IFERROR(__xludf.DUMMYFUNCTION("""COMPUTED_VALUE"""),"")</f>
        <v/>
      </c>
    </row>
    <row r="294" customHeight="1" spans="1:9">
      <c r="A294" s="1" t="str">
        <f>IFERROR(__xludf.DUMMYFUNCTION("""COMPUTED_VALUE"""),"Paim Filho")</f>
        <v>Paim Filho</v>
      </c>
      <c r="B294" s="144" t="str">
        <f>IFERROR(__xludf.DUMMYFUNCTION("""COMPUTED_VALUE"""),"2º CRBM")</f>
        <v>2º CRBM</v>
      </c>
      <c r="C294" s="1" t="str">
        <f>IFERROR(__xludf.DUMMYFUNCTION("""COMPUTED_VALUE"""),"7º BBM")</f>
        <v>7º BBM</v>
      </c>
      <c r="D294" s="1" t="str">
        <f>IFERROR(__xludf.DUMMYFUNCTION("""COMPUTED_VALUE"""),"Lagoa Vermelha")</f>
        <v>Lagoa Vermelha</v>
      </c>
      <c r="E294" s="1" t="str">
        <f>IFERROR(__xludf.DUMMYFUNCTION("""COMPUTED_VALUE"""),"NPBM")</f>
        <v>NPBM</v>
      </c>
      <c r="F294" s="1" t="str">
        <f>IFERROR(__xludf.DUMMYFUNCTION("""COMPUTED_VALUE"""),"NPBM")</f>
        <v>NPBM</v>
      </c>
      <c r="G294" s="1"/>
      <c r="H294" s="1" t="str">
        <f>IFERROR(__xludf.DUMMYFUNCTION("""COMPUTED_VALUE"""),"")</f>
        <v/>
      </c>
      <c r="I294" s="1" t="str">
        <f>IFERROR(__xludf.DUMMYFUNCTION("""COMPUTED_VALUE"""),"")</f>
        <v/>
      </c>
    </row>
    <row r="295" customHeight="1" spans="1:9">
      <c r="A295" s="1" t="str">
        <f>IFERROR(__xludf.DUMMYFUNCTION("""COMPUTED_VALUE"""),"Palmares do Sul")</f>
        <v>Palmares do Sul</v>
      </c>
      <c r="B295" s="144" t="str">
        <f>IFERROR(__xludf.DUMMYFUNCTION("""COMPUTED_VALUE"""),"1º CRBM")</f>
        <v>1º CRBM</v>
      </c>
      <c r="C295" s="1" t="str">
        <f>IFERROR(__xludf.DUMMYFUNCTION("""COMPUTED_VALUE"""),"9º BBM")</f>
        <v>9º BBM</v>
      </c>
      <c r="D295" s="1" t="str">
        <f>IFERROR(__xludf.DUMMYFUNCTION("""COMPUTED_VALUE"""),"Cidreira")</f>
        <v>Cidreira</v>
      </c>
      <c r="E295" s="1" t="str">
        <f>IFERROR(__xludf.DUMMYFUNCTION("""COMPUTED_VALUE"""),"NPBM")</f>
        <v>NPBM</v>
      </c>
      <c r="F295" s="1" t="str">
        <f>IFERROR(__xludf.DUMMYFUNCTION("""COMPUTED_VALUE"""),"NPBM")</f>
        <v>NPBM</v>
      </c>
      <c r="G295" s="1"/>
      <c r="H295" s="1" t="str">
        <f>IFERROR(__xludf.DUMMYFUNCTION("""COMPUTED_VALUE"""),"")</f>
        <v/>
      </c>
      <c r="I295" s="1" t="str">
        <f>IFERROR(__xludf.DUMMYFUNCTION("""COMPUTED_VALUE"""),"")</f>
        <v/>
      </c>
    </row>
    <row r="296" customHeight="1" spans="1:9">
      <c r="A296" s="1" t="str">
        <f>IFERROR(__xludf.DUMMYFUNCTION("""COMPUTED_VALUE"""),"Palmeira das Missões")</f>
        <v>Palmeira das Missões</v>
      </c>
      <c r="B296" s="144" t="str">
        <f>IFERROR(__xludf.DUMMYFUNCTION("""COMPUTED_VALUE"""),"4º CRBM")</f>
        <v>4º CRBM</v>
      </c>
      <c r="C296" s="1" t="str">
        <f>IFERROR(__xludf.DUMMYFUNCTION("""COMPUTED_VALUE"""),"12º BBM")</f>
        <v>12º BBM</v>
      </c>
      <c r="D296" s="1" t="str">
        <f>IFERROR(__xludf.DUMMYFUNCTION("""COMPUTED_VALUE"""),"Palmeira das Missões")</f>
        <v>Palmeira das Missões</v>
      </c>
      <c r="E296" s="1" t="str">
        <f>IFERROR(__xludf.DUMMYFUNCTION("""COMPUTED_VALUE"""),"Militar")</f>
        <v>Militar</v>
      </c>
      <c r="F296" s="1" t="str">
        <f>IFERROR(__xludf.DUMMYFUNCTION("""COMPUTED_VALUE"""),"Militar")</f>
        <v>Militar</v>
      </c>
      <c r="G296" s="1"/>
      <c r="H296" s="1">
        <f>IFERROR(__xludf.DUMMYFUNCTION("""COMPUTED_VALUE"""),1)</f>
        <v>1</v>
      </c>
      <c r="I296" s="1" t="str">
        <f>IFERROR(__xludf.DUMMYFUNCTION("""COMPUTED_VALUE"""),"")</f>
        <v/>
      </c>
    </row>
    <row r="297" customHeight="1" spans="1:9">
      <c r="A297" s="1" t="str">
        <f>IFERROR(__xludf.DUMMYFUNCTION("""COMPUTED_VALUE"""),"Palmitinho")</f>
        <v>Palmitinho</v>
      </c>
      <c r="B297" s="144" t="str">
        <f>IFERROR(__xludf.DUMMYFUNCTION("""COMPUTED_VALUE"""),"4º CRBM")</f>
        <v>4º CRBM</v>
      </c>
      <c r="C297" s="1" t="str">
        <f>IFERROR(__xludf.DUMMYFUNCTION("""COMPUTED_VALUE"""),"12º BBM")</f>
        <v>12º BBM</v>
      </c>
      <c r="D297" s="1" t="str">
        <f>IFERROR(__xludf.DUMMYFUNCTION("""COMPUTED_VALUE"""),"Frederico Westphalen")</f>
        <v>Frederico Westphalen</v>
      </c>
      <c r="E297" s="1" t="str">
        <f>IFERROR(__xludf.DUMMYFUNCTION("""COMPUTED_VALUE"""),"NPBM")</f>
        <v>NPBM</v>
      </c>
      <c r="F297" s="1" t="str">
        <f>IFERROR(__xludf.DUMMYFUNCTION("""COMPUTED_VALUE"""),"Projeto Com.")</f>
        <v>Projeto Com.</v>
      </c>
      <c r="G297" s="1"/>
      <c r="H297" s="1" t="str">
        <f>IFERROR(__xludf.DUMMYFUNCTION("""COMPUTED_VALUE"""),"")</f>
        <v/>
      </c>
      <c r="I297" s="1" t="str">
        <f>IFERROR(__xludf.DUMMYFUNCTION("""COMPUTED_VALUE"""),"")</f>
        <v/>
      </c>
    </row>
    <row r="298" customHeight="1" spans="1:9">
      <c r="A298" s="1" t="str">
        <f>IFERROR(__xludf.DUMMYFUNCTION("""COMPUTED_VALUE"""),"Panambi")</f>
        <v>Panambi</v>
      </c>
      <c r="B298" s="144" t="str">
        <f>IFERROR(__xludf.DUMMYFUNCTION("""COMPUTED_VALUE"""),"4º CRBM")</f>
        <v>4º CRBM</v>
      </c>
      <c r="C298" s="1" t="str">
        <f>IFERROR(__xludf.DUMMYFUNCTION("""COMPUTED_VALUE"""),"12º BBM")</f>
        <v>12º BBM</v>
      </c>
      <c r="D298" s="1" t="str">
        <f>IFERROR(__xludf.DUMMYFUNCTION("""COMPUTED_VALUE"""),"Panambi")</f>
        <v>Panambi</v>
      </c>
      <c r="E298" s="1" t="str">
        <f>IFERROR(__xludf.DUMMYFUNCTION("""COMPUTED_VALUE"""),"Militar")</f>
        <v>Militar</v>
      </c>
      <c r="F298" s="1" t="str">
        <f>IFERROR(__xludf.DUMMYFUNCTION("""COMPUTED_VALUE"""),"Militar")</f>
        <v>Militar</v>
      </c>
      <c r="G298" s="1"/>
      <c r="H298" s="1">
        <f>IFERROR(__xludf.DUMMYFUNCTION("""COMPUTED_VALUE"""),1)</f>
        <v>1</v>
      </c>
      <c r="I298" s="1" t="str">
        <f>IFERROR(__xludf.DUMMYFUNCTION("""COMPUTED_VALUE"""),"")</f>
        <v/>
      </c>
    </row>
    <row r="299" customHeight="1" spans="1:9">
      <c r="A299" s="1" t="str">
        <f>IFERROR(__xludf.DUMMYFUNCTION("""COMPUTED_VALUE"""),"Pantano Grande")</f>
        <v>Pantano Grande</v>
      </c>
      <c r="B299" s="144" t="str">
        <f>IFERROR(__xludf.DUMMYFUNCTION("""COMPUTED_VALUE"""),"4º CRBM")</f>
        <v>4º CRBM</v>
      </c>
      <c r="C299" s="1" t="str">
        <f>IFERROR(__xludf.DUMMYFUNCTION("""COMPUTED_VALUE"""),"6º BBM")</f>
        <v>6º BBM</v>
      </c>
      <c r="D299" s="1" t="str">
        <f>IFERROR(__xludf.DUMMYFUNCTION("""COMPUTED_VALUE"""),"Rio Pardo")</f>
        <v>Rio Pardo</v>
      </c>
      <c r="E299" s="1" t="str">
        <f>IFERROR(__xludf.DUMMYFUNCTION("""COMPUTED_VALUE"""),"NPBM")</f>
        <v>NPBM</v>
      </c>
      <c r="F299" s="1" t="str">
        <f>IFERROR(__xludf.DUMMYFUNCTION("""COMPUTED_VALUE"""),"NPBM")</f>
        <v>NPBM</v>
      </c>
      <c r="G299" s="1"/>
      <c r="H299" s="1" t="str">
        <f>IFERROR(__xludf.DUMMYFUNCTION("""COMPUTED_VALUE"""),"")</f>
        <v/>
      </c>
      <c r="I299" s="1" t="str">
        <f>IFERROR(__xludf.DUMMYFUNCTION("""COMPUTED_VALUE"""),"")</f>
        <v/>
      </c>
    </row>
    <row r="300" customHeight="1" spans="1:9">
      <c r="A300" s="1" t="str">
        <f>IFERROR(__xludf.DUMMYFUNCTION("""COMPUTED_VALUE"""),"Paraí")</f>
        <v>Paraí</v>
      </c>
      <c r="B300" s="144" t="str">
        <f>IFERROR(__xludf.DUMMYFUNCTION("""COMPUTED_VALUE"""),"2º CRBM")</f>
        <v>2º CRBM</v>
      </c>
      <c r="C300" s="1" t="str">
        <f>IFERROR(__xludf.DUMMYFUNCTION("""COMPUTED_VALUE"""),"5º BBM")</f>
        <v>5º BBM</v>
      </c>
      <c r="D300" s="1" t="str">
        <f>IFERROR(__xludf.DUMMYFUNCTION("""COMPUTED_VALUE"""),"Veranópolis")</f>
        <v>Veranópolis</v>
      </c>
      <c r="E300" s="1" t="str">
        <f>IFERROR(__xludf.DUMMYFUNCTION("""COMPUTED_VALUE"""),"NPBM")</f>
        <v>NPBM</v>
      </c>
      <c r="F300" s="1" t="str">
        <f>IFERROR(__xludf.DUMMYFUNCTION("""COMPUTED_VALUE"""),"NPBM")</f>
        <v>NPBM</v>
      </c>
      <c r="G300" s="234" t="str">
        <f>IFERROR(__xludf.DUMMYFUNCTION("""COMPUTED_VALUE""")," 2 - Em Credenciamento")</f>
        <v> 2 - Em Credenciamento</v>
      </c>
      <c r="H300" s="1" t="str">
        <f>IFERROR(__xludf.DUMMYFUNCTION("""COMPUTED_VALUE"""),"")</f>
        <v/>
      </c>
      <c r="I300" s="1" t="str">
        <f>IFERROR(__xludf.DUMMYFUNCTION("""COMPUTED_VALUE"""),"")</f>
        <v/>
      </c>
    </row>
    <row r="301" customHeight="1" spans="1:9">
      <c r="A301" s="1" t="str">
        <f>IFERROR(__xludf.DUMMYFUNCTION("""COMPUTED_VALUE"""),"Paraíso do Sul")</f>
        <v>Paraíso do Sul</v>
      </c>
      <c r="B301" s="144" t="str">
        <f>IFERROR(__xludf.DUMMYFUNCTION("""COMPUTED_VALUE"""),"4º CRBM")</f>
        <v>4º CRBM</v>
      </c>
      <c r="C301" s="1" t="str">
        <f>IFERROR(__xludf.DUMMYFUNCTION("""COMPUTED_VALUE"""),"4º BBM")</f>
        <v>4º BBM</v>
      </c>
      <c r="D301" s="1" t="str">
        <f>IFERROR(__xludf.DUMMYFUNCTION("""COMPUTED_VALUE"""),"Restinga Sêca")</f>
        <v>Restinga Sêca</v>
      </c>
      <c r="E301" s="1" t="str">
        <f>IFERROR(__xludf.DUMMYFUNCTION("""COMPUTED_VALUE"""),"Voluntersul")</f>
        <v>Voluntersul</v>
      </c>
      <c r="F301" s="1" t="str">
        <f>IFERROR(__xludf.DUMMYFUNCTION("""COMPUTED_VALUE"""),"Voluntersul")</f>
        <v>Voluntersul</v>
      </c>
      <c r="G301" s="234" t="str">
        <f>IFERROR(__xludf.DUMMYFUNCTION("""COMPUTED_VALUE""")," 3 - Não Regularizado")</f>
        <v> 3 - Não Regularizado</v>
      </c>
      <c r="H301" s="1" t="str">
        <f>IFERROR(__xludf.DUMMYFUNCTION("""COMPUTED_VALUE"""),"")</f>
        <v/>
      </c>
      <c r="I301" s="1" t="str">
        <f>IFERROR(__xludf.DUMMYFUNCTION("""COMPUTED_VALUE"""),"")</f>
        <v/>
      </c>
    </row>
    <row r="302" customHeight="1" spans="1:9">
      <c r="A302" s="1" t="str">
        <f>IFERROR(__xludf.DUMMYFUNCTION("""COMPUTED_VALUE"""),"Pareci Novo")</f>
        <v>Pareci Novo</v>
      </c>
      <c r="B302" s="144" t="str">
        <f>IFERROR(__xludf.DUMMYFUNCTION("""COMPUTED_VALUE"""),"2º CRBM")</f>
        <v>2º CRBM</v>
      </c>
      <c r="C302" s="1" t="str">
        <f>IFERROR(__xludf.DUMMYFUNCTION("""COMPUTED_VALUE"""),"2º BBM")</f>
        <v>2º BBM</v>
      </c>
      <c r="D302" s="1" t="str">
        <f>IFERROR(__xludf.DUMMYFUNCTION("""COMPUTED_VALUE"""),"Montenegro")</f>
        <v>Montenegro</v>
      </c>
      <c r="E302" s="1" t="str">
        <f>IFERROR(__xludf.DUMMYFUNCTION("""COMPUTED_VALUE"""),"NPBM")</f>
        <v>NPBM</v>
      </c>
      <c r="F302" s="1" t="str">
        <f>IFERROR(__xludf.DUMMYFUNCTION("""COMPUTED_VALUE"""),"NPBM")</f>
        <v>NPBM</v>
      </c>
      <c r="G302" s="1"/>
      <c r="H302" s="1" t="str">
        <f>IFERROR(__xludf.DUMMYFUNCTION("""COMPUTED_VALUE"""),"")</f>
        <v/>
      </c>
      <c r="I302" s="1" t="str">
        <f>IFERROR(__xludf.DUMMYFUNCTION("""COMPUTED_VALUE"""),"")</f>
        <v/>
      </c>
    </row>
    <row r="303" customHeight="1" spans="1:9">
      <c r="A303" s="1" t="str">
        <f>IFERROR(__xludf.DUMMYFUNCTION("""COMPUTED_VALUE"""),"Parobé")</f>
        <v>Parobé</v>
      </c>
      <c r="B303" s="144" t="str">
        <f>IFERROR(__xludf.DUMMYFUNCTION("""COMPUTED_VALUE"""),"2º CRBM")</f>
        <v>2º CRBM</v>
      </c>
      <c r="C303" s="1" t="str">
        <f>IFERROR(__xludf.DUMMYFUNCTION("""COMPUTED_VALUE"""),"2º BBM")</f>
        <v>2º BBM</v>
      </c>
      <c r="D303" s="1" t="str">
        <f>IFERROR(__xludf.DUMMYFUNCTION("""COMPUTED_VALUE"""),"Parobé")</f>
        <v>Parobé</v>
      </c>
      <c r="E303" s="1" t="str">
        <f>IFERROR(__xludf.DUMMYFUNCTION("""COMPUTED_VALUE"""),"Comunitário")</f>
        <v>Comunitário</v>
      </c>
      <c r="F303" s="1" t="str">
        <f>IFERROR(__xludf.DUMMYFUNCTION("""COMPUTED_VALUE"""),"Mil + Mun + Vol")</f>
        <v>Mil + Mun + Vol</v>
      </c>
      <c r="G303" s="1"/>
      <c r="H303" s="1">
        <f>IFERROR(__xludf.DUMMYFUNCTION("""COMPUTED_VALUE"""),1)</f>
        <v>1</v>
      </c>
      <c r="I303" s="1" t="str">
        <f>IFERROR(__xludf.DUMMYFUNCTION("""COMPUTED_VALUE"""),"")</f>
        <v/>
      </c>
    </row>
    <row r="304" customHeight="1" spans="1:9">
      <c r="A304" s="1" t="str">
        <f>IFERROR(__xludf.DUMMYFUNCTION("""COMPUTED_VALUE"""),"Passa Sete")</f>
        <v>Passa Sete</v>
      </c>
      <c r="B304" s="144" t="str">
        <f>IFERROR(__xludf.DUMMYFUNCTION("""COMPUTED_VALUE"""),"4º CRBM")</f>
        <v>4º CRBM</v>
      </c>
      <c r="C304" s="1" t="str">
        <f>IFERROR(__xludf.DUMMYFUNCTION("""COMPUTED_VALUE"""),"6º BBM")</f>
        <v>6º BBM</v>
      </c>
      <c r="D304" s="1" t="str">
        <f>IFERROR(__xludf.DUMMYFUNCTION("""COMPUTED_VALUE"""),"Santa Cruz do Sul")</f>
        <v>Santa Cruz do Sul</v>
      </c>
      <c r="E304" s="1" t="str">
        <f>IFERROR(__xludf.DUMMYFUNCTION("""COMPUTED_VALUE"""),"NPBM")</f>
        <v>NPBM</v>
      </c>
      <c r="F304" s="1" t="str">
        <f>IFERROR(__xludf.DUMMYFUNCTION("""COMPUTED_VALUE"""),"NPBM")</f>
        <v>NPBM</v>
      </c>
      <c r="G304" s="1"/>
      <c r="H304" s="1" t="str">
        <f>IFERROR(__xludf.DUMMYFUNCTION("""COMPUTED_VALUE"""),"")</f>
        <v/>
      </c>
      <c r="I304" s="1" t="str">
        <f>IFERROR(__xludf.DUMMYFUNCTION("""COMPUTED_VALUE"""),"")</f>
        <v/>
      </c>
    </row>
    <row r="305" customHeight="1" spans="1:9">
      <c r="A305" s="1" t="str">
        <f>IFERROR(__xludf.DUMMYFUNCTION("""COMPUTED_VALUE"""),"Passo do Sobrado")</f>
        <v>Passo do Sobrado</v>
      </c>
      <c r="B305" s="144" t="str">
        <f>IFERROR(__xludf.DUMMYFUNCTION("""COMPUTED_VALUE"""),"4º CRBM")</f>
        <v>4º CRBM</v>
      </c>
      <c r="C305" s="1" t="str">
        <f>IFERROR(__xludf.DUMMYFUNCTION("""COMPUTED_VALUE"""),"6º BBM")</f>
        <v>6º BBM</v>
      </c>
      <c r="D305" s="1" t="str">
        <f>IFERROR(__xludf.DUMMYFUNCTION("""COMPUTED_VALUE"""),"Santa Cruz do Sul")</f>
        <v>Santa Cruz do Sul</v>
      </c>
      <c r="E305" s="1" t="str">
        <f>IFERROR(__xludf.DUMMYFUNCTION("""COMPUTED_VALUE"""),"Voluntersul")</f>
        <v>Voluntersul</v>
      </c>
      <c r="F305" s="1" t="str">
        <f>IFERROR(__xludf.DUMMYFUNCTION("""COMPUTED_VALUE"""),"Voluntersul")</f>
        <v>Voluntersul</v>
      </c>
      <c r="G305" s="234" t="str">
        <f>IFERROR(__xludf.DUMMYFUNCTION("""COMPUTED_VALUE""")," 4 - Desfavorável")</f>
        <v> 4 - Desfavorável</v>
      </c>
      <c r="H305" s="1" t="str">
        <f>IFERROR(__xludf.DUMMYFUNCTION("""COMPUTED_VALUE"""),"")</f>
        <v/>
      </c>
      <c r="I305" s="1" t="str">
        <f>IFERROR(__xludf.DUMMYFUNCTION("""COMPUTED_VALUE"""),"")</f>
        <v/>
      </c>
    </row>
    <row r="306" customHeight="1" spans="1:9">
      <c r="A306" s="1" t="str">
        <f>IFERROR(__xludf.DUMMYFUNCTION("""COMPUTED_VALUE"""),"Passo Fundo")</f>
        <v>Passo Fundo</v>
      </c>
      <c r="B306" s="144" t="str">
        <f>IFERROR(__xludf.DUMMYFUNCTION("""COMPUTED_VALUE"""),"2º CRBM")</f>
        <v>2º CRBM</v>
      </c>
      <c r="C306" s="1" t="str">
        <f>IFERROR(__xludf.DUMMYFUNCTION("""COMPUTED_VALUE"""),"7º BBM")</f>
        <v>7º BBM</v>
      </c>
      <c r="D306" s="1" t="str">
        <f>IFERROR(__xludf.DUMMYFUNCTION("""COMPUTED_VALUE"""),"Passo Fundo")</f>
        <v>Passo Fundo</v>
      </c>
      <c r="E306" s="1" t="str">
        <f>IFERROR(__xludf.DUMMYFUNCTION("""COMPUTED_VALUE"""),"Militar")</f>
        <v>Militar</v>
      </c>
      <c r="F306" s="1" t="str">
        <f>IFERROR(__xludf.DUMMYFUNCTION("""COMPUTED_VALUE"""),"Militar")</f>
        <v>Militar</v>
      </c>
      <c r="G306" s="1"/>
      <c r="H306" s="1">
        <f>IFERROR(__xludf.DUMMYFUNCTION("""COMPUTED_VALUE"""),3)</f>
        <v>3</v>
      </c>
      <c r="I306" s="1" t="str">
        <f>IFERROR(__xludf.DUMMYFUNCTION("""COMPUTED_VALUE"""),"")</f>
        <v/>
      </c>
    </row>
    <row r="307" customHeight="1" spans="1:9">
      <c r="A307" s="1" t="str">
        <f>IFERROR(__xludf.DUMMYFUNCTION("""COMPUTED_VALUE"""),"Paulo Bento")</f>
        <v>Paulo Bento</v>
      </c>
      <c r="B307" s="144" t="str">
        <f>IFERROR(__xludf.DUMMYFUNCTION("""COMPUTED_VALUE"""),"2º CRBM")</f>
        <v>2º CRBM</v>
      </c>
      <c r="C307" s="1" t="str">
        <f>IFERROR(__xludf.DUMMYFUNCTION("""COMPUTED_VALUE"""),"7º BBM")</f>
        <v>7º BBM</v>
      </c>
      <c r="D307" s="1" t="str">
        <f>IFERROR(__xludf.DUMMYFUNCTION("""COMPUTED_VALUE"""),"Erechim")</f>
        <v>Erechim</v>
      </c>
      <c r="E307" s="1" t="str">
        <f>IFERROR(__xludf.DUMMYFUNCTION("""COMPUTED_VALUE"""),"NPBM")</f>
        <v>NPBM</v>
      </c>
      <c r="F307" s="1" t="str">
        <f>IFERROR(__xludf.DUMMYFUNCTION("""COMPUTED_VALUE"""),"NPBM")</f>
        <v>NPBM</v>
      </c>
      <c r="G307" s="1"/>
      <c r="H307" s="1" t="str">
        <f>IFERROR(__xludf.DUMMYFUNCTION("""COMPUTED_VALUE"""),"")</f>
        <v/>
      </c>
      <c r="I307" s="1" t="str">
        <f>IFERROR(__xludf.DUMMYFUNCTION("""COMPUTED_VALUE"""),"")</f>
        <v/>
      </c>
    </row>
    <row r="308" customHeight="1" spans="1:9">
      <c r="A308" s="1" t="str">
        <f>IFERROR(__xludf.DUMMYFUNCTION("""COMPUTED_VALUE"""),"Paverama")</f>
        <v>Paverama</v>
      </c>
      <c r="B308" s="144" t="str">
        <f>IFERROR(__xludf.DUMMYFUNCTION("""COMPUTED_VALUE"""),"4º CRBM")</f>
        <v>4º CRBM</v>
      </c>
      <c r="C308" s="1" t="str">
        <f>IFERROR(__xludf.DUMMYFUNCTION("""COMPUTED_VALUE"""),"6º BBM")</f>
        <v>6º BBM</v>
      </c>
      <c r="D308" s="1" t="str">
        <f>IFERROR(__xludf.DUMMYFUNCTION("""COMPUTED_VALUE"""),"Estrela")</f>
        <v>Estrela</v>
      </c>
      <c r="E308" s="1" t="str">
        <f>IFERROR(__xludf.DUMMYFUNCTION("""COMPUTED_VALUE"""),"NPBM")</f>
        <v>NPBM</v>
      </c>
      <c r="F308" s="1" t="str">
        <f>IFERROR(__xludf.DUMMYFUNCTION("""COMPUTED_VALUE"""),"NPBM")</f>
        <v>NPBM</v>
      </c>
      <c r="G308" s="1"/>
      <c r="H308" s="1" t="str">
        <f>IFERROR(__xludf.DUMMYFUNCTION("""COMPUTED_VALUE"""),"")</f>
        <v/>
      </c>
      <c r="I308" s="1" t="str">
        <f>IFERROR(__xludf.DUMMYFUNCTION("""COMPUTED_VALUE"""),"")</f>
        <v/>
      </c>
    </row>
    <row r="309" customHeight="1" spans="1:9">
      <c r="A309" s="1" t="str">
        <f>IFERROR(__xludf.DUMMYFUNCTION("""COMPUTED_VALUE"""),"Pedras Altas")</f>
        <v>Pedras Altas</v>
      </c>
      <c r="B309" s="144" t="str">
        <f>IFERROR(__xludf.DUMMYFUNCTION("""COMPUTED_VALUE"""),"3º CRBM")</f>
        <v>3º CRBM</v>
      </c>
      <c r="C309" s="1" t="str">
        <f>IFERROR(__xludf.DUMMYFUNCTION("""COMPUTED_VALUE"""),"10º BBM")</f>
        <v>10º BBM</v>
      </c>
      <c r="D309" s="1" t="str">
        <f>IFERROR(__xludf.DUMMYFUNCTION("""COMPUTED_VALUE"""),"Bagé")</f>
        <v>Bagé</v>
      </c>
      <c r="E309" s="1" t="str">
        <f>IFERROR(__xludf.DUMMYFUNCTION("""COMPUTED_VALUE"""),"NPBM")</f>
        <v>NPBM</v>
      </c>
      <c r="F309" s="1" t="str">
        <f>IFERROR(__xludf.DUMMYFUNCTION("""COMPUTED_VALUE"""),"NPBM")</f>
        <v>NPBM</v>
      </c>
      <c r="G309" s="1"/>
      <c r="H309" s="1" t="str">
        <f>IFERROR(__xludf.DUMMYFUNCTION("""COMPUTED_VALUE"""),"")</f>
        <v/>
      </c>
      <c r="I309" s="1" t="str">
        <f>IFERROR(__xludf.DUMMYFUNCTION("""COMPUTED_VALUE"""),"")</f>
        <v/>
      </c>
    </row>
    <row r="310" customHeight="1" spans="1:9">
      <c r="A310" s="1" t="str">
        <f>IFERROR(__xludf.DUMMYFUNCTION("""COMPUTED_VALUE"""),"Pedro Osório")</f>
        <v>Pedro Osório</v>
      </c>
      <c r="B310" s="144" t="str">
        <f>IFERROR(__xludf.DUMMYFUNCTION("""COMPUTED_VALUE"""),"3º CRBM")</f>
        <v>3º CRBM</v>
      </c>
      <c r="C310" s="1" t="str">
        <f>IFERROR(__xludf.DUMMYFUNCTION("""COMPUTED_VALUE"""),"3º BBM")</f>
        <v>3º BBM</v>
      </c>
      <c r="D310" s="1" t="str">
        <f>IFERROR(__xludf.DUMMYFUNCTION("""COMPUTED_VALUE"""),"Pelotas")</f>
        <v>Pelotas</v>
      </c>
      <c r="E310" s="1" t="str">
        <f>IFERROR(__xludf.DUMMYFUNCTION("""COMPUTED_VALUE"""),"NPBM")</f>
        <v>NPBM</v>
      </c>
      <c r="F310" s="1" t="str">
        <f>IFERROR(__xludf.DUMMYFUNCTION("""COMPUTED_VALUE"""),"NPBM")</f>
        <v>NPBM</v>
      </c>
      <c r="G310" s="1"/>
      <c r="H310" s="1" t="str">
        <f>IFERROR(__xludf.DUMMYFUNCTION("""COMPUTED_VALUE"""),"")</f>
        <v/>
      </c>
      <c r="I310" s="1" t="str">
        <f>IFERROR(__xludf.DUMMYFUNCTION("""COMPUTED_VALUE"""),"")</f>
        <v/>
      </c>
    </row>
    <row r="311" customHeight="1" spans="1:9">
      <c r="A311" s="1" t="str">
        <f>IFERROR(__xludf.DUMMYFUNCTION("""COMPUTED_VALUE"""),"Pejuçara")</f>
        <v>Pejuçara</v>
      </c>
      <c r="B311" s="144" t="str">
        <f>IFERROR(__xludf.DUMMYFUNCTION("""COMPUTED_VALUE"""),"4º CRBM")</f>
        <v>4º CRBM</v>
      </c>
      <c r="C311" s="1" t="str">
        <f>IFERROR(__xludf.DUMMYFUNCTION("""COMPUTED_VALUE"""),"12º BBM")</f>
        <v>12º BBM</v>
      </c>
      <c r="D311" s="1" t="str">
        <f>IFERROR(__xludf.DUMMYFUNCTION("""COMPUTED_VALUE"""),"Panambi")</f>
        <v>Panambi</v>
      </c>
      <c r="E311" s="1" t="str">
        <f>IFERROR(__xludf.DUMMYFUNCTION("""COMPUTED_VALUE"""),"NPBM")</f>
        <v>NPBM</v>
      </c>
      <c r="F311" s="1" t="str">
        <f>IFERROR(__xludf.DUMMYFUNCTION("""COMPUTED_VALUE"""),"NPBM")</f>
        <v>NPBM</v>
      </c>
      <c r="G311" s="1"/>
      <c r="H311" s="1" t="str">
        <f>IFERROR(__xludf.DUMMYFUNCTION("""COMPUTED_VALUE"""),"")</f>
        <v/>
      </c>
      <c r="I311" s="1" t="str">
        <f>IFERROR(__xludf.DUMMYFUNCTION("""COMPUTED_VALUE"""),"")</f>
        <v/>
      </c>
    </row>
    <row r="312" customHeight="1" spans="1:9">
      <c r="A312" s="1" t="str">
        <f>IFERROR(__xludf.DUMMYFUNCTION("""COMPUTED_VALUE"""),"Pelotas")</f>
        <v>Pelotas</v>
      </c>
      <c r="B312" s="144" t="str">
        <f>IFERROR(__xludf.DUMMYFUNCTION("""COMPUTED_VALUE"""),"3º CRBM")</f>
        <v>3º CRBM</v>
      </c>
      <c r="C312" s="1" t="str">
        <f>IFERROR(__xludf.DUMMYFUNCTION("""COMPUTED_VALUE"""),"3º BBM")</f>
        <v>3º BBM</v>
      </c>
      <c r="D312" s="1" t="str">
        <f>IFERROR(__xludf.DUMMYFUNCTION("""COMPUTED_VALUE"""),"Pelotas")</f>
        <v>Pelotas</v>
      </c>
      <c r="E312" s="1" t="str">
        <f>IFERROR(__xludf.DUMMYFUNCTION("""COMPUTED_VALUE"""),"Militar")</f>
        <v>Militar</v>
      </c>
      <c r="F312" s="1" t="str">
        <f>IFERROR(__xludf.DUMMYFUNCTION("""COMPUTED_VALUE"""),"Militar")</f>
        <v>Militar</v>
      </c>
      <c r="G312" s="1"/>
      <c r="H312" s="1">
        <f>IFERROR(__xludf.DUMMYFUNCTION("""COMPUTED_VALUE"""),3)</f>
        <v>3</v>
      </c>
      <c r="I312" s="1" t="str">
        <f>IFERROR(__xludf.DUMMYFUNCTION("""COMPUTED_VALUE"""),"")</f>
        <v/>
      </c>
    </row>
    <row r="313" customHeight="1" spans="1:9">
      <c r="A313" s="1" t="str">
        <f>IFERROR(__xludf.DUMMYFUNCTION("""COMPUTED_VALUE"""),"Picada Café")</f>
        <v>Picada Café</v>
      </c>
      <c r="B313" s="144" t="str">
        <f>IFERROR(__xludf.DUMMYFUNCTION("""COMPUTED_VALUE"""),"2º CRBM")</f>
        <v>2º CRBM</v>
      </c>
      <c r="C313" s="1" t="str">
        <f>IFERROR(__xludf.DUMMYFUNCTION("""COMPUTED_VALUE"""),"5º BBM")</f>
        <v>5º BBM</v>
      </c>
      <c r="D313" s="1" t="str">
        <f>IFERROR(__xludf.DUMMYFUNCTION("""COMPUTED_VALUE"""),"Dois Irmãos")</f>
        <v>Dois Irmãos</v>
      </c>
      <c r="E313" s="1" t="str">
        <f>IFERROR(__xludf.DUMMYFUNCTION("""COMPUTED_VALUE"""),"Voluntersul")</f>
        <v>Voluntersul</v>
      </c>
      <c r="F313" s="1" t="str">
        <f>IFERROR(__xludf.DUMMYFUNCTION("""COMPUTED_VALUE"""),"Voluntersul")</f>
        <v>Voluntersul</v>
      </c>
      <c r="G313" s="234" t="str">
        <f>IFERROR(__xludf.DUMMYFUNCTION("""COMPUTED_VALUE""")," 4 - Desfavorável")</f>
        <v> 4 - Desfavorável</v>
      </c>
      <c r="H313" s="1" t="str">
        <f>IFERROR(__xludf.DUMMYFUNCTION("""COMPUTED_VALUE"""),"")</f>
        <v/>
      </c>
      <c r="I313" s="1" t="str">
        <f>IFERROR(__xludf.DUMMYFUNCTION("""COMPUTED_VALUE"""),"")</f>
        <v/>
      </c>
    </row>
    <row r="314" customHeight="1" spans="1:9">
      <c r="A314" s="1" t="str">
        <f>IFERROR(__xludf.DUMMYFUNCTION("""COMPUTED_VALUE"""),"Pinhal")</f>
        <v>Pinhal</v>
      </c>
      <c r="B314" s="144" t="str">
        <f>IFERROR(__xludf.DUMMYFUNCTION("""COMPUTED_VALUE"""),"4º CRBM")</f>
        <v>4º CRBM</v>
      </c>
      <c r="C314" s="1" t="str">
        <f>IFERROR(__xludf.DUMMYFUNCTION("""COMPUTED_VALUE"""),"12º BBM")</f>
        <v>12º BBM</v>
      </c>
      <c r="D314" s="1" t="str">
        <f>IFERROR(__xludf.DUMMYFUNCTION("""COMPUTED_VALUE"""),"Frederico Westphalen")</f>
        <v>Frederico Westphalen</v>
      </c>
      <c r="E314" s="1" t="str">
        <f>IFERROR(__xludf.DUMMYFUNCTION("""COMPUTED_VALUE"""),"NPBM")</f>
        <v>NPBM</v>
      </c>
      <c r="F314" s="1" t="str">
        <f>IFERROR(__xludf.DUMMYFUNCTION("""COMPUTED_VALUE"""),"NPBM")</f>
        <v>NPBM</v>
      </c>
      <c r="G314" s="1"/>
      <c r="H314" s="1" t="str">
        <f>IFERROR(__xludf.DUMMYFUNCTION("""COMPUTED_VALUE"""),"")</f>
        <v/>
      </c>
      <c r="I314" s="1" t="str">
        <f>IFERROR(__xludf.DUMMYFUNCTION("""COMPUTED_VALUE"""),"")</f>
        <v/>
      </c>
    </row>
    <row r="315" customHeight="1" spans="1:9">
      <c r="A315" s="1" t="str">
        <f>IFERROR(__xludf.DUMMYFUNCTION("""COMPUTED_VALUE"""),"Pinhal da Serra")</f>
        <v>Pinhal da Serra</v>
      </c>
      <c r="B315" s="144" t="str">
        <f>IFERROR(__xludf.DUMMYFUNCTION("""COMPUTED_VALUE"""),"2º CRBM")</f>
        <v>2º CRBM</v>
      </c>
      <c r="C315" s="1" t="str">
        <f>IFERROR(__xludf.DUMMYFUNCTION("""COMPUTED_VALUE"""),"5º BBM")</f>
        <v>5º BBM</v>
      </c>
      <c r="D315" s="1" t="str">
        <f>IFERROR(__xludf.DUMMYFUNCTION("""COMPUTED_VALUE"""),"Vacaria")</f>
        <v>Vacaria</v>
      </c>
      <c r="E315" s="1" t="str">
        <f>IFERROR(__xludf.DUMMYFUNCTION("""COMPUTED_VALUE"""),"NPBM")</f>
        <v>NPBM</v>
      </c>
      <c r="F315" s="1" t="str">
        <f>IFERROR(__xludf.DUMMYFUNCTION("""COMPUTED_VALUE"""),"NPBM")</f>
        <v>NPBM</v>
      </c>
      <c r="G315" s="1"/>
      <c r="H315" s="1" t="str">
        <f>IFERROR(__xludf.DUMMYFUNCTION("""COMPUTED_VALUE"""),"")</f>
        <v/>
      </c>
      <c r="I315" s="1" t="str">
        <f>IFERROR(__xludf.DUMMYFUNCTION("""COMPUTED_VALUE"""),"")</f>
        <v/>
      </c>
    </row>
    <row r="316" customHeight="1" spans="1:9">
      <c r="A316" s="1" t="str">
        <f>IFERROR(__xludf.DUMMYFUNCTION("""COMPUTED_VALUE"""),"Pinhal Grande")</f>
        <v>Pinhal Grande</v>
      </c>
      <c r="B316" s="144" t="str">
        <f>IFERROR(__xludf.DUMMYFUNCTION("""COMPUTED_VALUE"""),"4º CRBM")</f>
        <v>4º CRBM</v>
      </c>
      <c r="C316" s="1" t="str">
        <f>IFERROR(__xludf.DUMMYFUNCTION("""COMPUTED_VALUE"""),"4º BBM")</f>
        <v>4º BBM</v>
      </c>
      <c r="D316" s="1" t="str">
        <f>IFERROR(__xludf.DUMMYFUNCTION("""COMPUTED_VALUE"""),"Júlio de Castilhos")</f>
        <v>Júlio de Castilhos</v>
      </c>
      <c r="E316" s="1" t="str">
        <f>IFERROR(__xludf.DUMMYFUNCTION("""COMPUTED_VALUE"""),"NPBM")</f>
        <v>NPBM</v>
      </c>
      <c r="F316" s="1" t="str">
        <f>IFERROR(__xludf.DUMMYFUNCTION("""COMPUTED_VALUE"""),"NPBM")</f>
        <v>NPBM</v>
      </c>
      <c r="G316" s="1"/>
      <c r="H316" s="1" t="str">
        <f>IFERROR(__xludf.DUMMYFUNCTION("""COMPUTED_VALUE"""),"")</f>
        <v/>
      </c>
      <c r="I316" s="1" t="str">
        <f>IFERROR(__xludf.DUMMYFUNCTION("""COMPUTED_VALUE"""),"")</f>
        <v/>
      </c>
    </row>
    <row r="317" customHeight="1" spans="1:9">
      <c r="A317" s="1" t="str">
        <f>IFERROR(__xludf.DUMMYFUNCTION("""COMPUTED_VALUE"""),"Pinheirinho do Vale")</f>
        <v>Pinheirinho do Vale</v>
      </c>
      <c r="B317" s="144" t="str">
        <f>IFERROR(__xludf.DUMMYFUNCTION("""COMPUTED_VALUE"""),"4º CRBM")</f>
        <v>4º CRBM</v>
      </c>
      <c r="C317" s="1" t="str">
        <f>IFERROR(__xludf.DUMMYFUNCTION("""COMPUTED_VALUE"""),"12º BBM")</f>
        <v>12º BBM</v>
      </c>
      <c r="D317" s="1" t="str">
        <f>IFERROR(__xludf.DUMMYFUNCTION("""COMPUTED_VALUE"""),"Frederico Westphalen")</f>
        <v>Frederico Westphalen</v>
      </c>
      <c r="E317" s="1" t="str">
        <f>IFERROR(__xludf.DUMMYFUNCTION("""COMPUTED_VALUE"""),"NPBM")</f>
        <v>NPBM</v>
      </c>
      <c r="F317" s="1" t="str">
        <f>IFERROR(__xludf.DUMMYFUNCTION("""COMPUTED_VALUE"""),"NPBM")</f>
        <v>NPBM</v>
      </c>
      <c r="G317" s="1"/>
      <c r="H317" s="1" t="str">
        <f>IFERROR(__xludf.DUMMYFUNCTION("""COMPUTED_VALUE"""),"")</f>
        <v/>
      </c>
      <c r="I317" s="1" t="str">
        <f>IFERROR(__xludf.DUMMYFUNCTION("""COMPUTED_VALUE"""),"")</f>
        <v/>
      </c>
    </row>
    <row r="318" customHeight="1" spans="1:9">
      <c r="A318" s="1" t="str">
        <f>IFERROR(__xludf.DUMMYFUNCTION("""COMPUTED_VALUE"""),"Pinheiro Machado")</f>
        <v>Pinheiro Machado</v>
      </c>
      <c r="B318" s="144" t="str">
        <f>IFERROR(__xludf.DUMMYFUNCTION("""COMPUTED_VALUE"""),"3º CRBM")</f>
        <v>3º CRBM</v>
      </c>
      <c r="C318" s="1" t="str">
        <f>IFERROR(__xludf.DUMMYFUNCTION("""COMPUTED_VALUE"""),"10º BBM")</f>
        <v>10º BBM</v>
      </c>
      <c r="D318" s="1" t="str">
        <f>IFERROR(__xludf.DUMMYFUNCTION("""COMPUTED_VALUE"""),"Bagé")</f>
        <v>Bagé</v>
      </c>
      <c r="E318" s="1" t="str">
        <f>IFERROR(__xludf.DUMMYFUNCTION("""COMPUTED_VALUE"""),"NPBM")</f>
        <v>NPBM</v>
      </c>
      <c r="F318" s="1" t="str">
        <f>IFERROR(__xludf.DUMMYFUNCTION("""COMPUTED_VALUE"""),"NPBM")</f>
        <v>NPBM</v>
      </c>
      <c r="G318" s="1"/>
      <c r="H318" s="1" t="str">
        <f>IFERROR(__xludf.DUMMYFUNCTION("""COMPUTED_VALUE"""),"")</f>
        <v/>
      </c>
      <c r="I318" s="1" t="str">
        <f>IFERROR(__xludf.DUMMYFUNCTION("""COMPUTED_VALUE"""),"")</f>
        <v/>
      </c>
    </row>
    <row r="319" customHeight="1" spans="1:9">
      <c r="A319" s="1" t="str">
        <f>IFERROR(__xludf.DUMMYFUNCTION("""COMPUTED_VALUE"""),"Pinto Bandeira")</f>
        <v>Pinto Bandeira</v>
      </c>
      <c r="B319" s="144" t="str">
        <f>IFERROR(__xludf.DUMMYFUNCTION("""COMPUTED_VALUE"""),"2º CRBM")</f>
        <v>2º CRBM</v>
      </c>
      <c r="C319" s="1" t="str">
        <f>IFERROR(__xludf.DUMMYFUNCTION("""COMPUTED_VALUE"""),"5º BBM")</f>
        <v>5º BBM</v>
      </c>
      <c r="D319" s="1" t="str">
        <f>IFERROR(__xludf.DUMMYFUNCTION("""COMPUTED_VALUE"""),"Bento Gonçalves")</f>
        <v>Bento Gonçalves</v>
      </c>
      <c r="E319" s="1" t="str">
        <f>IFERROR(__xludf.DUMMYFUNCTION("""COMPUTED_VALUE"""),"NPBM")</f>
        <v>NPBM</v>
      </c>
      <c r="F319" s="1" t="str">
        <f>IFERROR(__xludf.DUMMYFUNCTION("""COMPUTED_VALUE"""),"NPBM")</f>
        <v>NPBM</v>
      </c>
      <c r="G319" s="1"/>
      <c r="H319" s="1" t="str">
        <f>IFERROR(__xludf.DUMMYFUNCTION("""COMPUTED_VALUE"""),"")</f>
        <v/>
      </c>
      <c r="I319" s="1" t="str">
        <f>IFERROR(__xludf.DUMMYFUNCTION("""COMPUTED_VALUE"""),"")</f>
        <v/>
      </c>
    </row>
    <row r="320" customHeight="1" spans="1:9">
      <c r="A320" s="1" t="str">
        <f>IFERROR(__xludf.DUMMYFUNCTION("""COMPUTED_VALUE"""),"Pirapó")</f>
        <v>Pirapó</v>
      </c>
      <c r="B320" s="144" t="str">
        <f>IFERROR(__xludf.DUMMYFUNCTION("""COMPUTED_VALUE"""),"4º CRBM")</f>
        <v>4º CRBM</v>
      </c>
      <c r="C320" s="1" t="str">
        <f>IFERROR(__xludf.DUMMYFUNCTION("""COMPUTED_VALUE"""),"11º BBM")</f>
        <v>11º BBM</v>
      </c>
      <c r="D320" s="1" t="str">
        <f>IFERROR(__xludf.DUMMYFUNCTION("""COMPUTED_VALUE"""),"São Luiz Gonzaga")</f>
        <v>São Luiz Gonzaga</v>
      </c>
      <c r="E320" s="1" t="str">
        <f>IFERROR(__xludf.DUMMYFUNCTION("""COMPUTED_VALUE"""),"NPBM")</f>
        <v>NPBM</v>
      </c>
      <c r="F320" s="1" t="str">
        <f>IFERROR(__xludf.DUMMYFUNCTION("""COMPUTED_VALUE"""),"NPBM")</f>
        <v>NPBM</v>
      </c>
      <c r="G320" s="1"/>
      <c r="H320" s="1" t="str">
        <f>IFERROR(__xludf.DUMMYFUNCTION("""COMPUTED_VALUE"""),"")</f>
        <v/>
      </c>
      <c r="I320" s="1" t="str">
        <f>IFERROR(__xludf.DUMMYFUNCTION("""COMPUTED_VALUE"""),"")</f>
        <v/>
      </c>
    </row>
    <row r="321" customHeight="1" spans="1:9">
      <c r="A321" s="1" t="str">
        <f>IFERROR(__xludf.DUMMYFUNCTION("""COMPUTED_VALUE"""),"Piratini")</f>
        <v>Piratini</v>
      </c>
      <c r="B321" s="144" t="str">
        <f>IFERROR(__xludf.DUMMYFUNCTION("""COMPUTED_VALUE"""),"3º CRBM")</f>
        <v>3º CRBM</v>
      </c>
      <c r="C321" s="1" t="str">
        <f>IFERROR(__xludf.DUMMYFUNCTION("""COMPUTED_VALUE"""),"3º BBM")</f>
        <v>3º BBM</v>
      </c>
      <c r="D321" s="1" t="str">
        <f>IFERROR(__xludf.DUMMYFUNCTION("""COMPUTED_VALUE"""),"Canguçu")</f>
        <v>Canguçu</v>
      </c>
      <c r="E321" s="1" t="str">
        <f>IFERROR(__xludf.DUMMYFUNCTION("""COMPUTED_VALUE"""),"NPBM")</f>
        <v>NPBM</v>
      </c>
      <c r="F321" s="1" t="str">
        <f>IFERROR(__xludf.DUMMYFUNCTION("""COMPUTED_VALUE"""),"NPBM")</f>
        <v>NPBM</v>
      </c>
      <c r="G321" s="1"/>
      <c r="H321" s="1" t="str">
        <f>IFERROR(__xludf.DUMMYFUNCTION("""COMPUTED_VALUE"""),"")</f>
        <v/>
      </c>
      <c r="I321" s="1" t="str">
        <f>IFERROR(__xludf.DUMMYFUNCTION("""COMPUTED_VALUE"""),"")</f>
        <v/>
      </c>
    </row>
    <row r="322" customHeight="1" spans="1:9">
      <c r="A322" s="1" t="str">
        <f>IFERROR(__xludf.DUMMYFUNCTION("""COMPUTED_VALUE"""),"Planalto")</f>
        <v>Planalto</v>
      </c>
      <c r="B322" s="144" t="str">
        <f>IFERROR(__xludf.DUMMYFUNCTION("""COMPUTED_VALUE"""),"4º CRBM")</f>
        <v>4º CRBM</v>
      </c>
      <c r="C322" s="1" t="str">
        <f>IFERROR(__xludf.DUMMYFUNCTION("""COMPUTED_VALUE"""),"12º BBM")</f>
        <v>12º BBM</v>
      </c>
      <c r="D322" s="1" t="str">
        <f>IFERROR(__xludf.DUMMYFUNCTION("""COMPUTED_VALUE"""),"Nonoai")</f>
        <v>Nonoai</v>
      </c>
      <c r="E322" s="1" t="str">
        <f>IFERROR(__xludf.DUMMYFUNCTION("""COMPUTED_VALUE"""),"Voluntersul")</f>
        <v>Voluntersul</v>
      </c>
      <c r="F322" s="1" t="str">
        <f>IFERROR(__xludf.DUMMYFUNCTION("""COMPUTED_VALUE"""),"Voluntersul")</f>
        <v>Voluntersul</v>
      </c>
      <c r="G322" s="1"/>
      <c r="H322" s="1" t="str">
        <f>IFERROR(__xludf.DUMMYFUNCTION("""COMPUTED_VALUE"""),"")</f>
        <v/>
      </c>
      <c r="I322" s="1" t="str">
        <f>IFERROR(__xludf.DUMMYFUNCTION("""COMPUTED_VALUE"""),"")</f>
        <v/>
      </c>
    </row>
    <row r="323" customHeight="1" spans="1:9">
      <c r="A323" s="1" t="str">
        <f>IFERROR(__xludf.DUMMYFUNCTION("""COMPUTED_VALUE"""),"Poço das Antas")</f>
        <v>Poço das Antas</v>
      </c>
      <c r="B323" s="144" t="str">
        <f>IFERROR(__xludf.DUMMYFUNCTION("""COMPUTED_VALUE"""),"4º CRBM")</f>
        <v>4º CRBM</v>
      </c>
      <c r="C323" s="1" t="str">
        <f>IFERROR(__xludf.DUMMYFUNCTION("""COMPUTED_VALUE"""),"6º BBM")</f>
        <v>6º BBM</v>
      </c>
      <c r="D323" s="1" t="str">
        <f>IFERROR(__xludf.DUMMYFUNCTION("""COMPUTED_VALUE"""),"Estrela")</f>
        <v>Estrela</v>
      </c>
      <c r="E323" s="1" t="str">
        <f>IFERROR(__xludf.DUMMYFUNCTION("""COMPUTED_VALUE"""),"NPBM")</f>
        <v>NPBM</v>
      </c>
      <c r="F323" s="1" t="str">
        <f>IFERROR(__xludf.DUMMYFUNCTION("""COMPUTED_VALUE"""),"NPBM")</f>
        <v>NPBM</v>
      </c>
      <c r="G323" s="1"/>
      <c r="H323" s="1" t="str">
        <f>IFERROR(__xludf.DUMMYFUNCTION("""COMPUTED_VALUE"""),"")</f>
        <v/>
      </c>
      <c r="I323" s="1" t="str">
        <f>IFERROR(__xludf.DUMMYFUNCTION("""COMPUTED_VALUE"""),"")</f>
        <v/>
      </c>
    </row>
    <row r="324" customHeight="1" spans="1:9">
      <c r="A324" s="1" t="str">
        <f>IFERROR(__xludf.DUMMYFUNCTION("""COMPUTED_VALUE"""),"Pontão")</f>
        <v>Pontão</v>
      </c>
      <c r="B324" s="144" t="str">
        <f>IFERROR(__xludf.DUMMYFUNCTION("""COMPUTED_VALUE"""),"2º CRBM")</f>
        <v>2º CRBM</v>
      </c>
      <c r="C324" s="1" t="str">
        <f>IFERROR(__xludf.DUMMYFUNCTION("""COMPUTED_VALUE"""),"7º BBM")</f>
        <v>7º BBM</v>
      </c>
      <c r="D324" s="1" t="str">
        <f>IFERROR(__xludf.DUMMYFUNCTION("""COMPUTED_VALUE"""),"Passo Fundo")</f>
        <v>Passo Fundo</v>
      </c>
      <c r="E324" s="1" t="str">
        <f>IFERROR(__xludf.DUMMYFUNCTION("""COMPUTED_VALUE"""),"NPBM")</f>
        <v>NPBM</v>
      </c>
      <c r="F324" s="1" t="str">
        <f>IFERROR(__xludf.DUMMYFUNCTION("""COMPUTED_VALUE"""),"NPBM")</f>
        <v>NPBM</v>
      </c>
      <c r="G324" s="1"/>
      <c r="H324" s="1" t="str">
        <f>IFERROR(__xludf.DUMMYFUNCTION("""COMPUTED_VALUE"""),"")</f>
        <v/>
      </c>
      <c r="I324" s="1" t="str">
        <f>IFERROR(__xludf.DUMMYFUNCTION("""COMPUTED_VALUE"""),"")</f>
        <v/>
      </c>
    </row>
    <row r="325" customHeight="1" spans="1:9">
      <c r="A325" s="1" t="str">
        <f>IFERROR(__xludf.DUMMYFUNCTION("""COMPUTED_VALUE"""),"Ponte Preta")</f>
        <v>Ponte Preta</v>
      </c>
      <c r="B325" s="144" t="str">
        <f>IFERROR(__xludf.DUMMYFUNCTION("""COMPUTED_VALUE"""),"2º CRBM")</f>
        <v>2º CRBM</v>
      </c>
      <c r="C325" s="1" t="str">
        <f>IFERROR(__xludf.DUMMYFUNCTION("""COMPUTED_VALUE"""),"7º BBM")</f>
        <v>7º BBM</v>
      </c>
      <c r="D325" s="1" t="str">
        <f>IFERROR(__xludf.DUMMYFUNCTION("""COMPUTED_VALUE"""),"Erechim")</f>
        <v>Erechim</v>
      </c>
      <c r="E325" s="1" t="str">
        <f>IFERROR(__xludf.DUMMYFUNCTION("""COMPUTED_VALUE"""),"NPBM")</f>
        <v>NPBM</v>
      </c>
      <c r="F325" s="1" t="str">
        <f>IFERROR(__xludf.DUMMYFUNCTION("""COMPUTED_VALUE"""),"NPBM")</f>
        <v>NPBM</v>
      </c>
      <c r="G325" s="1"/>
      <c r="H325" s="1" t="str">
        <f>IFERROR(__xludf.DUMMYFUNCTION("""COMPUTED_VALUE"""),"")</f>
        <v/>
      </c>
      <c r="I325" s="1" t="str">
        <f>IFERROR(__xludf.DUMMYFUNCTION("""COMPUTED_VALUE"""),"")</f>
        <v/>
      </c>
    </row>
    <row r="326" customHeight="1" spans="1:9">
      <c r="A326" s="1" t="str">
        <f>IFERROR(__xludf.DUMMYFUNCTION("""COMPUTED_VALUE"""),"Portão")</f>
        <v>Portão</v>
      </c>
      <c r="B326" s="144" t="str">
        <f>IFERROR(__xludf.DUMMYFUNCTION("""COMPUTED_VALUE"""),"2º CRBM")</f>
        <v>2º CRBM</v>
      </c>
      <c r="C326" s="1" t="str">
        <f>IFERROR(__xludf.DUMMYFUNCTION("""COMPUTED_VALUE"""),"2º BBM")</f>
        <v>2º BBM</v>
      </c>
      <c r="D326" s="1" t="str">
        <f>IFERROR(__xludf.DUMMYFUNCTION("""COMPUTED_VALUE"""),"Portão")</f>
        <v>Portão</v>
      </c>
      <c r="E326" s="1" t="str">
        <f>IFERROR(__xludf.DUMMYFUNCTION("""COMPUTED_VALUE"""),"Comunitário")</f>
        <v>Comunitário</v>
      </c>
      <c r="F326" s="1" t="str">
        <f>IFERROR(__xludf.DUMMYFUNCTION("""COMPUTED_VALUE"""),"Mil + Vol")</f>
        <v>Mil + Vol</v>
      </c>
      <c r="G326" s="1"/>
      <c r="H326" s="1">
        <f>IFERROR(__xludf.DUMMYFUNCTION("""COMPUTED_VALUE"""),1)</f>
        <v>1</v>
      </c>
      <c r="I326" s="1" t="str">
        <f>IFERROR(__xludf.DUMMYFUNCTION("""COMPUTED_VALUE"""),"")</f>
        <v/>
      </c>
    </row>
    <row r="327" customHeight="1" spans="1:9">
      <c r="A327" s="1" t="str">
        <f>IFERROR(__xludf.DUMMYFUNCTION("""COMPUTED_VALUE"""),"Porto Alegre")</f>
        <v>Porto Alegre</v>
      </c>
      <c r="B327" s="144" t="str">
        <f>IFERROR(__xludf.DUMMYFUNCTION("""COMPUTED_VALUE"""),"1º CRBM")</f>
        <v>1º CRBM</v>
      </c>
      <c r="C327" s="1" t="str">
        <f>IFERROR(__xludf.DUMMYFUNCTION("""COMPUTED_VALUE"""),"1º BBM")</f>
        <v>1º BBM</v>
      </c>
      <c r="D327" s="1" t="str">
        <f>IFERROR(__xludf.DUMMYFUNCTION("""COMPUTED_VALUE"""),"Porto Alegre")</f>
        <v>Porto Alegre</v>
      </c>
      <c r="E327" s="1" t="str">
        <f>IFERROR(__xludf.DUMMYFUNCTION("""COMPUTED_VALUE"""),"Militar")</f>
        <v>Militar</v>
      </c>
      <c r="F327" s="1" t="str">
        <f>IFERROR(__xludf.DUMMYFUNCTION("""COMPUTED_VALUE"""),"Militar")</f>
        <v>Militar</v>
      </c>
      <c r="G327" s="1"/>
      <c r="H327" s="1">
        <f>IFERROR(__xludf.DUMMYFUNCTION("""COMPUTED_VALUE"""),13)</f>
        <v>13</v>
      </c>
      <c r="I327" s="1" t="str">
        <f>IFERROR(__xludf.DUMMYFUNCTION("""COMPUTED_VALUE"""),"")</f>
        <v/>
      </c>
    </row>
    <row r="328" customHeight="1" spans="1:9">
      <c r="A328" s="1" t="str">
        <f>IFERROR(__xludf.DUMMYFUNCTION("""COMPUTED_VALUE"""),"Porto Lucena")</f>
        <v>Porto Lucena</v>
      </c>
      <c r="B328" s="144" t="str">
        <f>IFERROR(__xludf.DUMMYFUNCTION("""COMPUTED_VALUE"""),"4º CRBM")</f>
        <v>4º CRBM</v>
      </c>
      <c r="C328" s="1" t="str">
        <f>IFERROR(__xludf.DUMMYFUNCTION("""COMPUTED_VALUE"""),"11º BBM")</f>
        <v>11º BBM</v>
      </c>
      <c r="D328" s="1" t="str">
        <f>IFERROR(__xludf.DUMMYFUNCTION("""COMPUTED_VALUE"""),"Santa Rosa")</f>
        <v>Santa Rosa</v>
      </c>
      <c r="E328" s="1" t="str">
        <f>IFERROR(__xludf.DUMMYFUNCTION("""COMPUTED_VALUE"""),"NPBM")</f>
        <v>NPBM</v>
      </c>
      <c r="F328" s="1" t="str">
        <f>IFERROR(__xludf.DUMMYFUNCTION("""COMPUTED_VALUE"""),"NPBM")</f>
        <v>NPBM</v>
      </c>
      <c r="G328" s="1"/>
      <c r="H328" s="1" t="str">
        <f>IFERROR(__xludf.DUMMYFUNCTION("""COMPUTED_VALUE"""),"")</f>
        <v/>
      </c>
      <c r="I328" s="1" t="str">
        <f>IFERROR(__xludf.DUMMYFUNCTION("""COMPUTED_VALUE"""),"")</f>
        <v/>
      </c>
    </row>
    <row r="329" customHeight="1" spans="1:9">
      <c r="A329" s="1" t="str">
        <f>IFERROR(__xludf.DUMMYFUNCTION("""COMPUTED_VALUE"""),"Porto Mauá")</f>
        <v>Porto Mauá</v>
      </c>
      <c r="B329" s="144" t="str">
        <f>IFERROR(__xludf.DUMMYFUNCTION("""COMPUTED_VALUE"""),"4º CRBM")</f>
        <v>4º CRBM</v>
      </c>
      <c r="C329" s="1" t="str">
        <f>IFERROR(__xludf.DUMMYFUNCTION("""COMPUTED_VALUE"""),"11º BBM")</f>
        <v>11º BBM</v>
      </c>
      <c r="D329" s="1" t="str">
        <f>IFERROR(__xludf.DUMMYFUNCTION("""COMPUTED_VALUE"""),"Santa Rosa")</f>
        <v>Santa Rosa</v>
      </c>
      <c r="E329" s="1" t="str">
        <f>IFERROR(__xludf.DUMMYFUNCTION("""COMPUTED_VALUE"""),"NPBM")</f>
        <v>NPBM</v>
      </c>
      <c r="F329" s="1" t="str">
        <f>IFERROR(__xludf.DUMMYFUNCTION("""COMPUTED_VALUE"""),"NPBM")</f>
        <v>NPBM</v>
      </c>
      <c r="G329" s="1"/>
      <c r="H329" s="1" t="str">
        <f>IFERROR(__xludf.DUMMYFUNCTION("""COMPUTED_VALUE"""),"")</f>
        <v/>
      </c>
      <c r="I329" s="1" t="str">
        <f>IFERROR(__xludf.DUMMYFUNCTION("""COMPUTED_VALUE"""),"")</f>
        <v/>
      </c>
    </row>
    <row r="330" customHeight="1" spans="1:9">
      <c r="A330" s="1" t="str">
        <f>IFERROR(__xludf.DUMMYFUNCTION("""COMPUTED_VALUE"""),"Porto Vera Cruz")</f>
        <v>Porto Vera Cruz</v>
      </c>
      <c r="B330" s="144" t="str">
        <f>IFERROR(__xludf.DUMMYFUNCTION("""COMPUTED_VALUE"""),"4º CRBM")</f>
        <v>4º CRBM</v>
      </c>
      <c r="C330" s="1" t="str">
        <f>IFERROR(__xludf.DUMMYFUNCTION("""COMPUTED_VALUE"""),"11º BBM")</f>
        <v>11º BBM</v>
      </c>
      <c r="D330" s="1" t="str">
        <f>IFERROR(__xludf.DUMMYFUNCTION("""COMPUTED_VALUE"""),"Santa Rosa")</f>
        <v>Santa Rosa</v>
      </c>
      <c r="E330" s="1" t="str">
        <f>IFERROR(__xludf.DUMMYFUNCTION("""COMPUTED_VALUE"""),"NPBM")</f>
        <v>NPBM</v>
      </c>
      <c r="F330" s="1" t="str">
        <f>IFERROR(__xludf.DUMMYFUNCTION("""COMPUTED_VALUE"""),"NPBM")</f>
        <v>NPBM</v>
      </c>
      <c r="G330" s="1"/>
      <c r="H330" s="1" t="str">
        <f>IFERROR(__xludf.DUMMYFUNCTION("""COMPUTED_VALUE"""),"")</f>
        <v/>
      </c>
      <c r="I330" s="1" t="str">
        <f>IFERROR(__xludf.DUMMYFUNCTION("""COMPUTED_VALUE"""),"")</f>
        <v/>
      </c>
    </row>
    <row r="331" customHeight="1" spans="1:9">
      <c r="A331" s="1" t="str">
        <f>IFERROR(__xludf.DUMMYFUNCTION("""COMPUTED_VALUE"""),"Porto Xavier")</f>
        <v>Porto Xavier</v>
      </c>
      <c r="B331" s="144" t="str">
        <f>IFERROR(__xludf.DUMMYFUNCTION("""COMPUTED_VALUE"""),"4º CRBM")</f>
        <v>4º CRBM</v>
      </c>
      <c r="C331" s="1" t="str">
        <f>IFERROR(__xludf.DUMMYFUNCTION("""COMPUTED_VALUE"""),"11º BBM")</f>
        <v>11º BBM</v>
      </c>
      <c r="D331" s="1" t="str">
        <f>IFERROR(__xludf.DUMMYFUNCTION("""COMPUTED_VALUE"""),"São Luiz Gonzaga")</f>
        <v>São Luiz Gonzaga</v>
      </c>
      <c r="E331" s="1" t="str">
        <f>IFERROR(__xludf.DUMMYFUNCTION("""COMPUTED_VALUE"""),"Voluntersul")</f>
        <v>Voluntersul</v>
      </c>
      <c r="F331" s="1" t="str">
        <f>IFERROR(__xludf.DUMMYFUNCTION("""COMPUTED_VALUE"""),"Voluntersul")</f>
        <v>Voluntersul</v>
      </c>
      <c r="G331" s="234" t="str">
        <f>IFERROR(__xludf.DUMMYFUNCTION("""COMPUTED_VALUE""")," 4 - Desfavorável")</f>
        <v> 4 - Desfavorável</v>
      </c>
      <c r="H331" s="1" t="str">
        <f>IFERROR(__xludf.DUMMYFUNCTION("""COMPUTED_VALUE"""),"")</f>
        <v/>
      </c>
      <c r="I331" s="1" t="str">
        <f>IFERROR(__xludf.DUMMYFUNCTION("""COMPUTED_VALUE"""),"")</f>
        <v/>
      </c>
    </row>
    <row r="332" customHeight="1" spans="1:9">
      <c r="A332" s="1" t="str">
        <f>IFERROR(__xludf.DUMMYFUNCTION("""COMPUTED_VALUE"""),"Pouso Novo")</f>
        <v>Pouso Novo</v>
      </c>
      <c r="B332" s="144" t="str">
        <f>IFERROR(__xludf.DUMMYFUNCTION("""COMPUTED_VALUE"""),"4º CRBM")</f>
        <v>4º CRBM</v>
      </c>
      <c r="C332" s="1" t="str">
        <f>IFERROR(__xludf.DUMMYFUNCTION("""COMPUTED_VALUE"""),"6º BBM")</f>
        <v>6º BBM</v>
      </c>
      <c r="D332" s="1" t="str">
        <f>IFERROR(__xludf.DUMMYFUNCTION("""COMPUTED_VALUE"""),"Lajeado")</f>
        <v>Lajeado</v>
      </c>
      <c r="E332" s="1" t="str">
        <f>IFERROR(__xludf.DUMMYFUNCTION("""COMPUTED_VALUE"""),"NPBM")</f>
        <v>NPBM</v>
      </c>
      <c r="F332" s="1" t="str">
        <f>IFERROR(__xludf.DUMMYFUNCTION("""COMPUTED_VALUE"""),"NPBM")</f>
        <v>NPBM</v>
      </c>
      <c r="G332" s="1"/>
      <c r="H332" s="1" t="str">
        <f>IFERROR(__xludf.DUMMYFUNCTION("""COMPUTED_VALUE"""),"")</f>
        <v/>
      </c>
      <c r="I332" s="1" t="str">
        <f>IFERROR(__xludf.DUMMYFUNCTION("""COMPUTED_VALUE"""),"")</f>
        <v/>
      </c>
    </row>
    <row r="333" customHeight="1" spans="1:9">
      <c r="A333" s="1" t="str">
        <f>IFERROR(__xludf.DUMMYFUNCTION("""COMPUTED_VALUE"""),"Presidente Lucena")</f>
        <v>Presidente Lucena</v>
      </c>
      <c r="B333" s="144" t="str">
        <f>IFERROR(__xludf.DUMMYFUNCTION("""COMPUTED_VALUE"""),"2º CRBM")</f>
        <v>2º CRBM</v>
      </c>
      <c r="C333" s="1" t="str">
        <f>IFERROR(__xludf.DUMMYFUNCTION("""COMPUTED_VALUE"""),"2º BBM")</f>
        <v>2º BBM</v>
      </c>
      <c r="D333" s="1" t="str">
        <f>IFERROR(__xludf.DUMMYFUNCTION("""COMPUTED_VALUE"""),"Ivoti")</f>
        <v>Ivoti</v>
      </c>
      <c r="E333" s="1" t="str">
        <f>IFERROR(__xludf.DUMMYFUNCTION("""COMPUTED_VALUE"""),"NPBM")</f>
        <v>NPBM</v>
      </c>
      <c r="F333" s="1" t="str">
        <f>IFERROR(__xludf.DUMMYFUNCTION("""COMPUTED_VALUE"""),"NPBM")</f>
        <v>NPBM</v>
      </c>
      <c r="G333" s="1"/>
      <c r="H333" s="1" t="str">
        <f>IFERROR(__xludf.DUMMYFUNCTION("""COMPUTED_VALUE"""),"")</f>
        <v/>
      </c>
      <c r="I333" s="1" t="str">
        <f>IFERROR(__xludf.DUMMYFUNCTION("""COMPUTED_VALUE"""),"")</f>
        <v/>
      </c>
    </row>
    <row r="334" customHeight="1" spans="1:9">
      <c r="A334" s="1" t="str">
        <f>IFERROR(__xludf.DUMMYFUNCTION("""COMPUTED_VALUE"""),"Progresso")</f>
        <v>Progresso</v>
      </c>
      <c r="B334" s="144" t="str">
        <f>IFERROR(__xludf.DUMMYFUNCTION("""COMPUTED_VALUE"""),"4º CRBM")</f>
        <v>4º CRBM</v>
      </c>
      <c r="C334" s="1" t="str">
        <f>IFERROR(__xludf.DUMMYFUNCTION("""COMPUTED_VALUE"""),"6º BBM")</f>
        <v>6º BBM</v>
      </c>
      <c r="D334" s="1" t="str">
        <f>IFERROR(__xludf.DUMMYFUNCTION("""COMPUTED_VALUE"""),"Lajeado")</f>
        <v>Lajeado</v>
      </c>
      <c r="E334" s="1" t="str">
        <f>IFERROR(__xludf.DUMMYFUNCTION("""COMPUTED_VALUE"""),"NPBM")</f>
        <v>NPBM</v>
      </c>
      <c r="F334" s="1" t="str">
        <f>IFERROR(__xludf.DUMMYFUNCTION("""COMPUTED_VALUE"""),"NPBM")</f>
        <v>NPBM</v>
      </c>
      <c r="G334" s="1"/>
      <c r="H334" s="1" t="str">
        <f>IFERROR(__xludf.DUMMYFUNCTION("""COMPUTED_VALUE"""),"")</f>
        <v/>
      </c>
      <c r="I334" s="1" t="str">
        <f>IFERROR(__xludf.DUMMYFUNCTION("""COMPUTED_VALUE"""),"")</f>
        <v/>
      </c>
    </row>
    <row r="335" customHeight="1" spans="1:9">
      <c r="A335" s="1" t="str">
        <f>IFERROR(__xludf.DUMMYFUNCTION("""COMPUTED_VALUE"""),"Protásio Alves")</f>
        <v>Protásio Alves</v>
      </c>
      <c r="B335" s="144" t="str">
        <f>IFERROR(__xludf.DUMMYFUNCTION("""COMPUTED_VALUE"""),"2º CRBM")</f>
        <v>2º CRBM</v>
      </c>
      <c r="C335" s="1" t="str">
        <f>IFERROR(__xludf.DUMMYFUNCTION("""COMPUTED_VALUE"""),"5º BBM")</f>
        <v>5º BBM</v>
      </c>
      <c r="D335" s="1" t="str">
        <f>IFERROR(__xludf.DUMMYFUNCTION("""COMPUTED_VALUE"""),"Veranópolis")</f>
        <v>Veranópolis</v>
      </c>
      <c r="E335" s="1" t="str">
        <f>IFERROR(__xludf.DUMMYFUNCTION("""COMPUTED_VALUE"""),"NPBM")</f>
        <v>NPBM</v>
      </c>
      <c r="F335" s="1" t="str">
        <f>IFERROR(__xludf.DUMMYFUNCTION("""COMPUTED_VALUE"""),"NPBM")</f>
        <v>NPBM</v>
      </c>
      <c r="G335" s="1"/>
      <c r="H335" s="1" t="str">
        <f>IFERROR(__xludf.DUMMYFUNCTION("""COMPUTED_VALUE"""),"")</f>
        <v/>
      </c>
      <c r="I335" s="1" t="str">
        <f>IFERROR(__xludf.DUMMYFUNCTION("""COMPUTED_VALUE"""),"")</f>
        <v/>
      </c>
    </row>
    <row r="336" customHeight="1" spans="1:9">
      <c r="A336" s="1" t="str">
        <f>IFERROR(__xludf.DUMMYFUNCTION("""COMPUTED_VALUE"""),"Putinga")</f>
        <v>Putinga</v>
      </c>
      <c r="B336" s="144" t="str">
        <f>IFERROR(__xludf.DUMMYFUNCTION("""COMPUTED_VALUE"""),"2º CRBM")</f>
        <v>2º CRBM</v>
      </c>
      <c r="C336" s="1" t="str">
        <f>IFERROR(__xludf.DUMMYFUNCTION("""COMPUTED_VALUE"""),"7º BBM")</f>
        <v>7º BBM</v>
      </c>
      <c r="D336" s="1" t="str">
        <f>IFERROR(__xludf.DUMMYFUNCTION("""COMPUTED_VALUE"""),"Encantado")</f>
        <v>Encantado</v>
      </c>
      <c r="E336" s="1" t="str">
        <f>IFERROR(__xludf.DUMMYFUNCTION("""COMPUTED_VALUE"""),"NPBM")</f>
        <v>NPBM</v>
      </c>
      <c r="F336" s="1" t="str">
        <f>IFERROR(__xludf.DUMMYFUNCTION("""COMPUTED_VALUE"""),"NPBM")</f>
        <v>NPBM</v>
      </c>
      <c r="G336" s="1"/>
      <c r="H336" s="1" t="str">
        <f>IFERROR(__xludf.DUMMYFUNCTION("""COMPUTED_VALUE"""),"")</f>
        <v/>
      </c>
      <c r="I336" s="1" t="str">
        <f>IFERROR(__xludf.DUMMYFUNCTION("""COMPUTED_VALUE"""),"")</f>
        <v/>
      </c>
    </row>
    <row r="337" customHeight="1" spans="1:9">
      <c r="A337" s="1" t="str">
        <f>IFERROR(__xludf.DUMMYFUNCTION("""COMPUTED_VALUE"""),"Quaraí")</f>
        <v>Quaraí</v>
      </c>
      <c r="B337" s="144" t="str">
        <f>IFERROR(__xludf.DUMMYFUNCTION("""COMPUTED_VALUE"""),"3º CRBM")</f>
        <v>3º CRBM</v>
      </c>
      <c r="C337" s="1" t="str">
        <f>IFERROR(__xludf.DUMMYFUNCTION("""COMPUTED_VALUE"""),"10º BBM")</f>
        <v>10º BBM</v>
      </c>
      <c r="D337" s="1" t="str">
        <f>IFERROR(__xludf.DUMMYFUNCTION("""COMPUTED_VALUE"""),"Quaraí")</f>
        <v>Quaraí</v>
      </c>
      <c r="E337" s="1" t="str">
        <f>IFERROR(__xludf.DUMMYFUNCTION("""COMPUTED_VALUE"""),"Militar")</f>
        <v>Militar</v>
      </c>
      <c r="F337" s="1" t="str">
        <f>IFERROR(__xludf.DUMMYFUNCTION("""COMPUTED_VALUE"""),"Militar")</f>
        <v>Militar</v>
      </c>
      <c r="G337" s="1"/>
      <c r="H337" s="1">
        <f>IFERROR(__xludf.DUMMYFUNCTION("""COMPUTED_VALUE"""),1)</f>
        <v>1</v>
      </c>
      <c r="I337" s="1" t="str">
        <f>IFERROR(__xludf.DUMMYFUNCTION("""COMPUTED_VALUE"""),"")</f>
        <v/>
      </c>
    </row>
    <row r="338" customHeight="1" spans="1:9">
      <c r="A338" s="1" t="str">
        <f>IFERROR(__xludf.DUMMYFUNCTION("""COMPUTED_VALUE"""),"Quatro Irmãos")</f>
        <v>Quatro Irmãos</v>
      </c>
      <c r="B338" s="144" t="str">
        <f>IFERROR(__xludf.DUMMYFUNCTION("""COMPUTED_VALUE"""),"2º CRBM")</f>
        <v>2º CRBM</v>
      </c>
      <c r="C338" s="1" t="str">
        <f>IFERROR(__xludf.DUMMYFUNCTION("""COMPUTED_VALUE"""),"7º BBM")</f>
        <v>7º BBM</v>
      </c>
      <c r="D338" s="1" t="str">
        <f>IFERROR(__xludf.DUMMYFUNCTION("""COMPUTED_VALUE"""),"Erechim")</f>
        <v>Erechim</v>
      </c>
      <c r="E338" s="1" t="str">
        <f>IFERROR(__xludf.DUMMYFUNCTION("""COMPUTED_VALUE"""),"NPBM")</f>
        <v>NPBM</v>
      </c>
      <c r="F338" s="1" t="str">
        <f>IFERROR(__xludf.DUMMYFUNCTION("""COMPUTED_VALUE"""),"NPBM")</f>
        <v>NPBM</v>
      </c>
      <c r="G338" s="1"/>
      <c r="H338" s="1" t="str">
        <f>IFERROR(__xludf.DUMMYFUNCTION("""COMPUTED_VALUE"""),"")</f>
        <v/>
      </c>
      <c r="I338" s="1" t="str">
        <f>IFERROR(__xludf.DUMMYFUNCTION("""COMPUTED_VALUE"""),"")</f>
        <v/>
      </c>
    </row>
    <row r="339" customHeight="1" spans="1:9">
      <c r="A339" s="1" t="str">
        <f>IFERROR(__xludf.DUMMYFUNCTION("""COMPUTED_VALUE"""),"Quevedos")</f>
        <v>Quevedos</v>
      </c>
      <c r="B339" s="144" t="str">
        <f>IFERROR(__xludf.DUMMYFUNCTION("""COMPUTED_VALUE"""),"4º CRBM")</f>
        <v>4º CRBM</v>
      </c>
      <c r="C339" s="1" t="str">
        <f>IFERROR(__xludf.DUMMYFUNCTION("""COMPUTED_VALUE"""),"4º BBM")</f>
        <v>4º BBM</v>
      </c>
      <c r="D339" s="1" t="str">
        <f>IFERROR(__xludf.DUMMYFUNCTION("""COMPUTED_VALUE"""),"São Pedro do Sul")</f>
        <v>São Pedro do Sul</v>
      </c>
      <c r="E339" s="1" t="str">
        <f>IFERROR(__xludf.DUMMYFUNCTION("""COMPUTED_VALUE"""),"NPBM")</f>
        <v>NPBM</v>
      </c>
      <c r="F339" s="1" t="str">
        <f>IFERROR(__xludf.DUMMYFUNCTION("""COMPUTED_VALUE"""),"NPBM")</f>
        <v>NPBM</v>
      </c>
      <c r="G339" s="1"/>
      <c r="H339" s="1" t="str">
        <f>IFERROR(__xludf.DUMMYFUNCTION("""COMPUTED_VALUE"""),"")</f>
        <v/>
      </c>
      <c r="I339" s="1" t="str">
        <f>IFERROR(__xludf.DUMMYFUNCTION("""COMPUTED_VALUE"""),"")</f>
        <v/>
      </c>
    </row>
    <row r="340" customHeight="1" spans="1:9">
      <c r="A340" s="1" t="str">
        <f>IFERROR(__xludf.DUMMYFUNCTION("""COMPUTED_VALUE"""),"Quinze de Novembro")</f>
        <v>Quinze de Novembro</v>
      </c>
      <c r="B340" s="144" t="str">
        <f>IFERROR(__xludf.DUMMYFUNCTION("""COMPUTED_VALUE"""),"4º CRBM")</f>
        <v>4º CRBM</v>
      </c>
      <c r="C340" s="1" t="str">
        <f>IFERROR(__xludf.DUMMYFUNCTION("""COMPUTED_VALUE"""),"12º BBM")</f>
        <v>12º BBM</v>
      </c>
      <c r="D340" s="1" t="str">
        <f>IFERROR(__xludf.DUMMYFUNCTION("""COMPUTED_VALUE"""),"Ibirubá")</f>
        <v>Ibirubá</v>
      </c>
      <c r="E340" s="1" t="str">
        <f>IFERROR(__xludf.DUMMYFUNCTION("""COMPUTED_VALUE"""),"SCAB")</f>
        <v>SCAB</v>
      </c>
      <c r="F340" s="1" t="str">
        <f>IFERROR(__xludf.DUMMYFUNCTION("""COMPUTED_VALUE"""),"Municipal")</f>
        <v>Municipal</v>
      </c>
      <c r="G340" s="234" t="str">
        <f>IFERROR(__xludf.DUMMYFUNCTION("""COMPUTED_VALUE""")," 1 - Credenciado")</f>
        <v> 1 - Credenciado</v>
      </c>
      <c r="H340" s="1" t="str">
        <f>IFERROR(__xludf.DUMMYFUNCTION("""COMPUTED_VALUE"""),"")</f>
        <v/>
      </c>
      <c r="I340" s="1" t="str">
        <f>IFERROR(__xludf.DUMMYFUNCTION("""COMPUTED_VALUE"""),"")</f>
        <v/>
      </c>
    </row>
    <row r="341" customHeight="1" spans="1:9">
      <c r="A341" s="1" t="str">
        <f>IFERROR(__xludf.DUMMYFUNCTION("""COMPUTED_VALUE"""),"Redentora")</f>
        <v>Redentora</v>
      </c>
      <c r="B341" s="144" t="str">
        <f>IFERROR(__xludf.DUMMYFUNCTION("""COMPUTED_VALUE"""),"4º CRBM")</f>
        <v>4º CRBM</v>
      </c>
      <c r="C341" s="1" t="str">
        <f>IFERROR(__xludf.DUMMYFUNCTION("""COMPUTED_VALUE"""),"11º BBM")</f>
        <v>11º BBM</v>
      </c>
      <c r="D341" s="1" t="str">
        <f>IFERROR(__xludf.DUMMYFUNCTION("""COMPUTED_VALUE"""),"Três Passos")</f>
        <v>Três Passos</v>
      </c>
      <c r="E341" s="1" t="str">
        <f>IFERROR(__xludf.DUMMYFUNCTION("""COMPUTED_VALUE"""),"NPBM")</f>
        <v>NPBM</v>
      </c>
      <c r="F341" s="1" t="str">
        <f>IFERROR(__xludf.DUMMYFUNCTION("""COMPUTED_VALUE"""),"NPBM")</f>
        <v>NPBM</v>
      </c>
      <c r="G341" s="1"/>
      <c r="H341" s="1" t="str">
        <f>IFERROR(__xludf.DUMMYFUNCTION("""COMPUTED_VALUE"""),"")</f>
        <v/>
      </c>
      <c r="I341" s="1" t="str">
        <f>IFERROR(__xludf.DUMMYFUNCTION("""COMPUTED_VALUE"""),"")</f>
        <v/>
      </c>
    </row>
    <row r="342" customHeight="1" spans="1:9">
      <c r="A342" s="1" t="str">
        <f>IFERROR(__xludf.DUMMYFUNCTION("""COMPUTED_VALUE"""),"Relvado")</f>
        <v>Relvado</v>
      </c>
      <c r="B342" s="144" t="str">
        <f>IFERROR(__xludf.DUMMYFUNCTION("""COMPUTED_VALUE"""),"4º CRBM")</f>
        <v>4º CRBM</v>
      </c>
      <c r="C342" s="1" t="str">
        <f>IFERROR(__xludf.DUMMYFUNCTION("""COMPUTED_VALUE"""),"6º BBM")</f>
        <v>6º BBM</v>
      </c>
      <c r="D342" s="1" t="str">
        <f>IFERROR(__xludf.DUMMYFUNCTION("""COMPUTED_VALUE"""),"Encantado")</f>
        <v>Encantado</v>
      </c>
      <c r="E342" s="1" t="str">
        <f>IFERROR(__xludf.DUMMYFUNCTION("""COMPUTED_VALUE"""),"NPBM")</f>
        <v>NPBM</v>
      </c>
      <c r="F342" s="1" t="str">
        <f>IFERROR(__xludf.DUMMYFUNCTION("""COMPUTED_VALUE"""),"NPBM")</f>
        <v>NPBM</v>
      </c>
      <c r="G342" s="1"/>
      <c r="H342" s="1" t="str">
        <f>IFERROR(__xludf.DUMMYFUNCTION("""COMPUTED_VALUE"""),"")</f>
        <v/>
      </c>
      <c r="I342" s="1" t="str">
        <f>IFERROR(__xludf.DUMMYFUNCTION("""COMPUTED_VALUE"""),"")</f>
        <v/>
      </c>
    </row>
    <row r="343" customHeight="1" spans="1:9">
      <c r="A343" s="1" t="str">
        <f>IFERROR(__xludf.DUMMYFUNCTION("""COMPUTED_VALUE"""),"Restinga Sêca")</f>
        <v>Restinga Sêca</v>
      </c>
      <c r="B343" s="144" t="str">
        <f>IFERROR(__xludf.DUMMYFUNCTION("""COMPUTED_VALUE"""),"4º CRBM")</f>
        <v>4º CRBM</v>
      </c>
      <c r="C343" s="1" t="str">
        <f>IFERROR(__xludf.DUMMYFUNCTION("""COMPUTED_VALUE"""),"4º BBM")</f>
        <v>4º BBM</v>
      </c>
      <c r="D343" s="1" t="str">
        <f>IFERROR(__xludf.DUMMYFUNCTION("""COMPUTED_VALUE"""),"Restinga Sêca")</f>
        <v>Restinga Sêca</v>
      </c>
      <c r="E343" s="1" t="str">
        <f>IFERROR(__xludf.DUMMYFUNCTION("""COMPUTED_VALUE"""),"Comunitário")</f>
        <v>Comunitário</v>
      </c>
      <c r="F343" s="1" t="str">
        <f>IFERROR(__xludf.DUMMYFUNCTION("""COMPUTED_VALUE"""),"Mil + Mun")</f>
        <v>Mil + Mun</v>
      </c>
      <c r="G343" s="1"/>
      <c r="H343" s="1">
        <f>IFERROR(__xludf.DUMMYFUNCTION("""COMPUTED_VALUE"""),1)</f>
        <v>1</v>
      </c>
      <c r="I343" s="1" t="str">
        <f>IFERROR(__xludf.DUMMYFUNCTION("""COMPUTED_VALUE"""),"")</f>
        <v/>
      </c>
    </row>
    <row r="344" customHeight="1" spans="1:9">
      <c r="A344" s="1" t="str">
        <f>IFERROR(__xludf.DUMMYFUNCTION("""COMPUTED_VALUE"""),"Rio dos Índios")</f>
        <v>Rio dos Índios</v>
      </c>
      <c r="B344" s="144" t="str">
        <f>IFERROR(__xludf.DUMMYFUNCTION("""COMPUTED_VALUE"""),"2º CRBM")</f>
        <v>2º CRBM</v>
      </c>
      <c r="C344" s="1" t="str">
        <f>IFERROR(__xludf.DUMMYFUNCTION("""COMPUTED_VALUE"""),"7º BBM")</f>
        <v>7º BBM</v>
      </c>
      <c r="D344" s="1" t="str">
        <f>IFERROR(__xludf.DUMMYFUNCTION("""COMPUTED_VALUE"""),"Nonoai")</f>
        <v>Nonoai</v>
      </c>
      <c r="E344" s="1" t="str">
        <f>IFERROR(__xludf.DUMMYFUNCTION("""COMPUTED_VALUE"""),"NPBM")</f>
        <v>NPBM</v>
      </c>
      <c r="F344" s="1" t="str">
        <f>IFERROR(__xludf.DUMMYFUNCTION("""COMPUTED_VALUE"""),"NPBM")</f>
        <v>NPBM</v>
      </c>
      <c r="G344" s="1"/>
      <c r="H344" s="1" t="str">
        <f>IFERROR(__xludf.DUMMYFUNCTION("""COMPUTED_VALUE"""),"")</f>
        <v/>
      </c>
      <c r="I344" s="1" t="str">
        <f>IFERROR(__xludf.DUMMYFUNCTION("""COMPUTED_VALUE"""),"")</f>
        <v/>
      </c>
    </row>
    <row r="345" customHeight="1" spans="1:9">
      <c r="A345" s="1" t="str">
        <f>IFERROR(__xludf.DUMMYFUNCTION("""COMPUTED_VALUE"""),"Rio Grande")</f>
        <v>Rio Grande</v>
      </c>
      <c r="B345" s="144" t="str">
        <f>IFERROR(__xludf.DUMMYFUNCTION("""COMPUTED_VALUE"""),"3º CRBM")</f>
        <v>3º CRBM</v>
      </c>
      <c r="C345" s="1" t="str">
        <f>IFERROR(__xludf.DUMMYFUNCTION("""COMPUTED_VALUE"""),"3º BBM")</f>
        <v>3º BBM</v>
      </c>
      <c r="D345" s="1" t="str">
        <f>IFERROR(__xludf.DUMMYFUNCTION("""COMPUTED_VALUE"""),"Rio Grande")</f>
        <v>Rio Grande</v>
      </c>
      <c r="E345" s="1" t="str">
        <f>IFERROR(__xludf.DUMMYFUNCTION("""COMPUTED_VALUE"""),"Militar")</f>
        <v>Militar</v>
      </c>
      <c r="F345" s="1" t="str">
        <f>IFERROR(__xludf.DUMMYFUNCTION("""COMPUTED_VALUE"""),"Militar")</f>
        <v>Militar</v>
      </c>
      <c r="G345" s="1"/>
      <c r="H345" s="1">
        <f>IFERROR(__xludf.DUMMYFUNCTION("""COMPUTED_VALUE"""),2)</f>
        <v>2</v>
      </c>
      <c r="I345" s="1">
        <f>IFERROR(__xludf.DUMMYFUNCTION("""COMPUTED_VALUE"""),1)</f>
        <v>1</v>
      </c>
    </row>
    <row r="346" customHeight="1" spans="1:9">
      <c r="A346" s="1" t="str">
        <f>IFERROR(__xludf.DUMMYFUNCTION("""COMPUTED_VALUE"""),"Rio Pardo")</f>
        <v>Rio Pardo</v>
      </c>
      <c r="B346" s="144" t="str">
        <f>IFERROR(__xludf.DUMMYFUNCTION("""COMPUTED_VALUE"""),"4º CRBM")</f>
        <v>4º CRBM</v>
      </c>
      <c r="C346" s="1" t="str">
        <f>IFERROR(__xludf.DUMMYFUNCTION("""COMPUTED_VALUE"""),"6º BBM")</f>
        <v>6º BBM</v>
      </c>
      <c r="D346" s="1" t="str">
        <f>IFERROR(__xludf.DUMMYFUNCTION("""COMPUTED_VALUE"""),"Rio Pardo")</f>
        <v>Rio Pardo</v>
      </c>
      <c r="E346" s="1" t="str">
        <f>IFERROR(__xludf.DUMMYFUNCTION("""COMPUTED_VALUE"""),"Militar")</f>
        <v>Militar</v>
      </c>
      <c r="F346" s="1" t="str">
        <f>IFERROR(__xludf.DUMMYFUNCTION("""COMPUTED_VALUE"""),"Militar")</f>
        <v>Militar</v>
      </c>
      <c r="G346" s="1"/>
      <c r="H346" s="1">
        <f>IFERROR(__xludf.DUMMYFUNCTION("""COMPUTED_VALUE"""),1)</f>
        <v>1</v>
      </c>
      <c r="I346" s="1" t="str">
        <f>IFERROR(__xludf.DUMMYFUNCTION("""COMPUTED_VALUE"""),"")</f>
        <v/>
      </c>
    </row>
    <row r="347" customHeight="1" spans="1:9">
      <c r="A347" s="1" t="str">
        <f>IFERROR(__xludf.DUMMYFUNCTION("""COMPUTED_VALUE"""),"Riozinho")</f>
        <v>Riozinho</v>
      </c>
      <c r="B347" s="144" t="str">
        <f>IFERROR(__xludf.DUMMYFUNCTION("""COMPUTED_VALUE"""),"2º CRBM")</f>
        <v>2º CRBM</v>
      </c>
      <c r="C347" s="1" t="str">
        <f>IFERROR(__xludf.DUMMYFUNCTION("""COMPUTED_VALUE"""),"5º BBM")</f>
        <v>5º BBM</v>
      </c>
      <c r="D347" s="1" t="str">
        <f>IFERROR(__xludf.DUMMYFUNCTION("""COMPUTED_VALUE"""),"Taquara")</f>
        <v>Taquara</v>
      </c>
      <c r="E347" s="1" t="str">
        <f>IFERROR(__xludf.DUMMYFUNCTION("""COMPUTED_VALUE"""),"NPBM")</f>
        <v>NPBM</v>
      </c>
      <c r="F347" s="1" t="str">
        <f>IFERROR(__xludf.DUMMYFUNCTION("""COMPUTED_VALUE"""),"NPBM")</f>
        <v>NPBM</v>
      </c>
      <c r="G347" s="1"/>
      <c r="H347" s="1" t="str">
        <f>IFERROR(__xludf.DUMMYFUNCTION("""COMPUTED_VALUE"""),"")</f>
        <v/>
      </c>
      <c r="I347" s="1" t="str">
        <f>IFERROR(__xludf.DUMMYFUNCTION("""COMPUTED_VALUE"""),"")</f>
        <v/>
      </c>
    </row>
    <row r="348" customHeight="1" spans="1:9">
      <c r="A348" s="1" t="str">
        <f>IFERROR(__xludf.DUMMYFUNCTION("""COMPUTED_VALUE"""),"Roca Sales")</f>
        <v>Roca Sales</v>
      </c>
      <c r="B348" s="144" t="str">
        <f>IFERROR(__xludf.DUMMYFUNCTION("""COMPUTED_VALUE"""),"4º CRBM")</f>
        <v>4º CRBM</v>
      </c>
      <c r="C348" s="1" t="str">
        <f>IFERROR(__xludf.DUMMYFUNCTION("""COMPUTED_VALUE"""),"6º BBM")</f>
        <v>6º BBM</v>
      </c>
      <c r="D348" s="1" t="str">
        <f>IFERROR(__xludf.DUMMYFUNCTION("""COMPUTED_VALUE"""),"Encantado")</f>
        <v>Encantado</v>
      </c>
      <c r="E348" s="1" t="str">
        <f>IFERROR(__xludf.DUMMYFUNCTION("""COMPUTED_VALUE"""),"NPBM")</f>
        <v>NPBM</v>
      </c>
      <c r="F348" s="1" t="str">
        <f>IFERROR(__xludf.DUMMYFUNCTION("""COMPUTED_VALUE"""),"NPBM")</f>
        <v>NPBM</v>
      </c>
      <c r="G348" s="1"/>
      <c r="H348" s="1" t="str">
        <f>IFERROR(__xludf.DUMMYFUNCTION("""COMPUTED_VALUE"""),"")</f>
        <v/>
      </c>
      <c r="I348" s="1" t="str">
        <f>IFERROR(__xludf.DUMMYFUNCTION("""COMPUTED_VALUE"""),"")</f>
        <v/>
      </c>
    </row>
    <row r="349" customHeight="1" spans="1:9">
      <c r="A349" s="1" t="str">
        <f>IFERROR(__xludf.DUMMYFUNCTION("""COMPUTED_VALUE"""),"Rodeio Bonito")</f>
        <v>Rodeio Bonito</v>
      </c>
      <c r="B349" s="144" t="str">
        <f>IFERROR(__xludf.DUMMYFUNCTION("""COMPUTED_VALUE"""),"4º CRBM")</f>
        <v>4º CRBM</v>
      </c>
      <c r="C349" s="1" t="str">
        <f>IFERROR(__xludf.DUMMYFUNCTION("""COMPUTED_VALUE"""),"12º BBM")</f>
        <v>12º BBM</v>
      </c>
      <c r="D349" s="1" t="str">
        <f>IFERROR(__xludf.DUMMYFUNCTION("""COMPUTED_VALUE"""),"Frederico Westphalen")</f>
        <v>Frederico Westphalen</v>
      </c>
      <c r="E349" s="1" t="str">
        <f>IFERROR(__xludf.DUMMYFUNCTION("""COMPUTED_VALUE"""),"NPBM")</f>
        <v>NPBM</v>
      </c>
      <c r="F349" s="1" t="str">
        <f>IFERROR(__xludf.DUMMYFUNCTION("""COMPUTED_VALUE"""),"NPBM")</f>
        <v>NPBM</v>
      </c>
      <c r="G349" s="1"/>
      <c r="H349" s="1" t="str">
        <f>IFERROR(__xludf.DUMMYFUNCTION("""COMPUTED_VALUE"""),"")</f>
        <v/>
      </c>
      <c r="I349" s="1" t="str">
        <f>IFERROR(__xludf.DUMMYFUNCTION("""COMPUTED_VALUE"""),"")</f>
        <v/>
      </c>
    </row>
    <row r="350" customHeight="1" spans="1:9">
      <c r="A350" s="1" t="str">
        <f>IFERROR(__xludf.DUMMYFUNCTION("""COMPUTED_VALUE"""),"Rolador")</f>
        <v>Rolador</v>
      </c>
      <c r="B350" s="144" t="str">
        <f>IFERROR(__xludf.DUMMYFUNCTION("""COMPUTED_VALUE"""),"4º CRBM")</f>
        <v>4º CRBM</v>
      </c>
      <c r="C350" s="1" t="str">
        <f>IFERROR(__xludf.DUMMYFUNCTION("""COMPUTED_VALUE"""),"11º BBM")</f>
        <v>11º BBM</v>
      </c>
      <c r="D350" s="1" t="str">
        <f>IFERROR(__xludf.DUMMYFUNCTION("""COMPUTED_VALUE"""),"São Luiz Gonzaga")</f>
        <v>São Luiz Gonzaga</v>
      </c>
      <c r="E350" s="1" t="str">
        <f>IFERROR(__xludf.DUMMYFUNCTION("""COMPUTED_VALUE"""),"NPBM")</f>
        <v>NPBM</v>
      </c>
      <c r="F350" s="1" t="str">
        <f>IFERROR(__xludf.DUMMYFUNCTION("""COMPUTED_VALUE"""),"NPBM")</f>
        <v>NPBM</v>
      </c>
      <c r="G350" s="1"/>
      <c r="H350" s="1" t="str">
        <f>IFERROR(__xludf.DUMMYFUNCTION("""COMPUTED_VALUE"""),"")</f>
        <v/>
      </c>
      <c r="I350" s="1" t="str">
        <f>IFERROR(__xludf.DUMMYFUNCTION("""COMPUTED_VALUE"""),"")</f>
        <v/>
      </c>
    </row>
    <row r="351" customHeight="1" spans="1:9">
      <c r="A351" s="1" t="str">
        <f>IFERROR(__xludf.DUMMYFUNCTION("""COMPUTED_VALUE"""),"Rolante")</f>
        <v>Rolante</v>
      </c>
      <c r="B351" s="144" t="str">
        <f>IFERROR(__xludf.DUMMYFUNCTION("""COMPUTED_VALUE"""),"2º CRBM")</f>
        <v>2º CRBM</v>
      </c>
      <c r="C351" s="1" t="str">
        <f>IFERROR(__xludf.DUMMYFUNCTION("""COMPUTED_VALUE"""),"5º BBM")</f>
        <v>5º BBM</v>
      </c>
      <c r="D351" s="1" t="str">
        <f>IFERROR(__xludf.DUMMYFUNCTION("""COMPUTED_VALUE"""),"Taquara")</f>
        <v>Taquara</v>
      </c>
      <c r="E351" s="1" t="str">
        <f>IFERROR(__xludf.DUMMYFUNCTION("""COMPUTED_VALUE"""),"Voluntersul")</f>
        <v>Voluntersul</v>
      </c>
      <c r="F351" s="1" t="str">
        <f>IFERROR(__xludf.DUMMYFUNCTION("""COMPUTED_VALUE"""),"Voluntersul")</f>
        <v>Voluntersul</v>
      </c>
      <c r="G351" s="234" t="str">
        <f>IFERROR(__xludf.DUMMYFUNCTION("""COMPUTED_VALUE""")," 3 - Não Regularizado")</f>
        <v> 3 - Não Regularizado</v>
      </c>
      <c r="H351" s="1" t="str">
        <f>IFERROR(__xludf.DUMMYFUNCTION("""COMPUTED_VALUE"""),"")</f>
        <v/>
      </c>
      <c r="I351" s="1" t="str">
        <f>IFERROR(__xludf.DUMMYFUNCTION("""COMPUTED_VALUE"""),"")</f>
        <v/>
      </c>
    </row>
    <row r="352" customHeight="1" spans="1:9">
      <c r="A352" s="1" t="str">
        <f>IFERROR(__xludf.DUMMYFUNCTION("""COMPUTED_VALUE"""),"Ronda Alta")</f>
        <v>Ronda Alta</v>
      </c>
      <c r="B352" s="144" t="str">
        <f>IFERROR(__xludf.DUMMYFUNCTION("""COMPUTED_VALUE"""),"2º CRBM")</f>
        <v>2º CRBM</v>
      </c>
      <c r="C352" s="1" t="str">
        <f>IFERROR(__xludf.DUMMYFUNCTION("""COMPUTED_VALUE"""),"7º BBM")</f>
        <v>7º BBM</v>
      </c>
      <c r="D352" s="1" t="str">
        <f>IFERROR(__xludf.DUMMYFUNCTION("""COMPUTED_VALUE"""),"Sarandi")</f>
        <v>Sarandi</v>
      </c>
      <c r="E352" s="1" t="str">
        <f>IFERROR(__xludf.DUMMYFUNCTION("""COMPUTED_VALUE"""),"NPBM")</f>
        <v>NPBM</v>
      </c>
      <c r="F352" s="1" t="str">
        <f>IFERROR(__xludf.DUMMYFUNCTION("""COMPUTED_VALUE"""),"NPBM")</f>
        <v>NPBM</v>
      </c>
      <c r="G352" s="1"/>
      <c r="H352" s="1" t="str">
        <f>IFERROR(__xludf.DUMMYFUNCTION("""COMPUTED_VALUE"""),"")</f>
        <v/>
      </c>
      <c r="I352" s="1" t="str">
        <f>IFERROR(__xludf.DUMMYFUNCTION("""COMPUTED_VALUE"""),"")</f>
        <v/>
      </c>
    </row>
    <row r="353" customHeight="1" spans="1:9">
      <c r="A353" s="1" t="str">
        <f>IFERROR(__xludf.DUMMYFUNCTION("""COMPUTED_VALUE"""),"Rondinha")</f>
        <v>Rondinha</v>
      </c>
      <c r="B353" s="144" t="str">
        <f>IFERROR(__xludf.DUMMYFUNCTION("""COMPUTED_VALUE"""),"2º CRBM")</f>
        <v>2º CRBM</v>
      </c>
      <c r="C353" s="1" t="str">
        <f>IFERROR(__xludf.DUMMYFUNCTION("""COMPUTED_VALUE"""),"7º BBM")</f>
        <v>7º BBM</v>
      </c>
      <c r="D353" s="1" t="str">
        <f>IFERROR(__xludf.DUMMYFUNCTION("""COMPUTED_VALUE"""),"Sarandi")</f>
        <v>Sarandi</v>
      </c>
      <c r="E353" s="1" t="str">
        <f>IFERROR(__xludf.DUMMYFUNCTION("""COMPUTED_VALUE"""),"NPBM")</f>
        <v>NPBM</v>
      </c>
      <c r="F353" s="1" t="str">
        <f>IFERROR(__xludf.DUMMYFUNCTION("""COMPUTED_VALUE"""),"NPBM")</f>
        <v>NPBM</v>
      </c>
      <c r="G353" s="1"/>
      <c r="H353" s="1" t="str">
        <f>IFERROR(__xludf.DUMMYFUNCTION("""COMPUTED_VALUE"""),"")</f>
        <v/>
      </c>
      <c r="I353" s="1" t="str">
        <f>IFERROR(__xludf.DUMMYFUNCTION("""COMPUTED_VALUE"""),"")</f>
        <v/>
      </c>
    </row>
    <row r="354" customHeight="1" spans="1:9">
      <c r="A354" s="1" t="str">
        <f>IFERROR(__xludf.DUMMYFUNCTION("""COMPUTED_VALUE"""),"Roque Gonzales")</f>
        <v>Roque Gonzales</v>
      </c>
      <c r="B354" s="144" t="str">
        <f>IFERROR(__xludf.DUMMYFUNCTION("""COMPUTED_VALUE"""),"4º CRBM")</f>
        <v>4º CRBM</v>
      </c>
      <c r="C354" s="1" t="str">
        <f>IFERROR(__xludf.DUMMYFUNCTION("""COMPUTED_VALUE"""),"11º BBM")</f>
        <v>11º BBM</v>
      </c>
      <c r="D354" s="1" t="str">
        <f>IFERROR(__xludf.DUMMYFUNCTION("""COMPUTED_VALUE"""),"São Luiz Gonzaga")</f>
        <v>São Luiz Gonzaga</v>
      </c>
      <c r="E354" s="1" t="str">
        <f>IFERROR(__xludf.DUMMYFUNCTION("""COMPUTED_VALUE"""),"NPBM")</f>
        <v>NPBM</v>
      </c>
      <c r="F354" s="1" t="str">
        <f>IFERROR(__xludf.DUMMYFUNCTION("""COMPUTED_VALUE"""),"NPBM")</f>
        <v>NPBM</v>
      </c>
      <c r="G354" s="1"/>
      <c r="H354" s="1" t="str">
        <f>IFERROR(__xludf.DUMMYFUNCTION("""COMPUTED_VALUE"""),"")</f>
        <v/>
      </c>
      <c r="I354" s="1" t="str">
        <f>IFERROR(__xludf.DUMMYFUNCTION("""COMPUTED_VALUE"""),"")</f>
        <v/>
      </c>
    </row>
    <row r="355" customHeight="1" spans="1:9">
      <c r="A355" s="1" t="str">
        <f>IFERROR(__xludf.DUMMYFUNCTION("""COMPUTED_VALUE"""),"Rosário do Sul")</f>
        <v>Rosário do Sul</v>
      </c>
      <c r="B355" s="144" t="str">
        <f>IFERROR(__xludf.DUMMYFUNCTION("""COMPUTED_VALUE"""),"3º CRBM")</f>
        <v>3º CRBM</v>
      </c>
      <c r="C355" s="1" t="str">
        <f>IFERROR(__xludf.DUMMYFUNCTION("""COMPUTED_VALUE"""),"10º BBM")</f>
        <v>10º BBM</v>
      </c>
      <c r="D355" s="1" t="str">
        <f>IFERROR(__xludf.DUMMYFUNCTION("""COMPUTED_VALUE"""),"Rosário do Sul")</f>
        <v>Rosário do Sul</v>
      </c>
      <c r="E355" s="1" t="str">
        <f>IFERROR(__xludf.DUMMYFUNCTION("""COMPUTED_VALUE"""),"Militar")</f>
        <v>Militar</v>
      </c>
      <c r="F355" s="1" t="str">
        <f>IFERROR(__xludf.DUMMYFUNCTION("""COMPUTED_VALUE"""),"Militar")</f>
        <v>Militar</v>
      </c>
      <c r="G355" s="1"/>
      <c r="H355" s="1">
        <f>IFERROR(__xludf.DUMMYFUNCTION("""COMPUTED_VALUE"""),1)</f>
        <v>1</v>
      </c>
      <c r="I355" s="1" t="str">
        <f>IFERROR(__xludf.DUMMYFUNCTION("""COMPUTED_VALUE"""),"")</f>
        <v/>
      </c>
    </row>
    <row r="356" customHeight="1" spans="1:9">
      <c r="A356" s="1" t="str">
        <f>IFERROR(__xludf.DUMMYFUNCTION("""COMPUTED_VALUE"""),"Sagrada Família")</f>
        <v>Sagrada Família</v>
      </c>
      <c r="B356" s="144" t="str">
        <f>IFERROR(__xludf.DUMMYFUNCTION("""COMPUTED_VALUE"""),"4º CRBM")</f>
        <v>4º CRBM</v>
      </c>
      <c r="C356" s="1" t="str">
        <f>IFERROR(__xludf.DUMMYFUNCTION("""COMPUTED_VALUE"""),"12º BBM")</f>
        <v>12º BBM</v>
      </c>
      <c r="D356" s="1" t="str">
        <f>IFERROR(__xludf.DUMMYFUNCTION("""COMPUTED_VALUE"""),"Sarandi")</f>
        <v>Sarandi</v>
      </c>
      <c r="E356" s="1" t="str">
        <f>IFERROR(__xludf.DUMMYFUNCTION("""COMPUTED_VALUE"""),"NPBM")</f>
        <v>NPBM</v>
      </c>
      <c r="F356" s="1" t="str">
        <f>IFERROR(__xludf.DUMMYFUNCTION("""COMPUTED_VALUE"""),"NPBM")</f>
        <v>NPBM</v>
      </c>
      <c r="G356" s="1"/>
      <c r="H356" s="1" t="str">
        <f>IFERROR(__xludf.DUMMYFUNCTION("""COMPUTED_VALUE"""),"")</f>
        <v/>
      </c>
      <c r="I356" s="1" t="str">
        <f>IFERROR(__xludf.DUMMYFUNCTION("""COMPUTED_VALUE"""),"")</f>
        <v/>
      </c>
    </row>
    <row r="357" customHeight="1" spans="1:9">
      <c r="A357" s="1" t="str">
        <f>IFERROR(__xludf.DUMMYFUNCTION("""COMPUTED_VALUE"""),"Saldanha Marinho")</f>
        <v>Saldanha Marinho</v>
      </c>
      <c r="B357" s="144" t="str">
        <f>IFERROR(__xludf.DUMMYFUNCTION("""COMPUTED_VALUE"""),"4º CRBM")</f>
        <v>4º CRBM</v>
      </c>
      <c r="C357" s="1" t="str">
        <f>IFERROR(__xludf.DUMMYFUNCTION("""COMPUTED_VALUE"""),"12º BBM")</f>
        <v>12º BBM</v>
      </c>
      <c r="D357" s="1" t="str">
        <f>IFERROR(__xludf.DUMMYFUNCTION("""COMPUTED_VALUE"""),"Carazinho")</f>
        <v>Carazinho</v>
      </c>
      <c r="E357" s="1" t="str">
        <f>IFERROR(__xludf.DUMMYFUNCTION("""COMPUTED_VALUE"""),"NPBM")</f>
        <v>NPBM</v>
      </c>
      <c r="F357" s="1" t="str">
        <f>IFERROR(__xludf.DUMMYFUNCTION("""COMPUTED_VALUE"""),"NPBM")</f>
        <v>NPBM</v>
      </c>
      <c r="G357" s="1"/>
      <c r="H357" s="1" t="str">
        <f>IFERROR(__xludf.DUMMYFUNCTION("""COMPUTED_VALUE"""),"")</f>
        <v/>
      </c>
      <c r="I357" s="1" t="str">
        <f>IFERROR(__xludf.DUMMYFUNCTION("""COMPUTED_VALUE"""),"")</f>
        <v/>
      </c>
    </row>
    <row r="358" customHeight="1" spans="1:9">
      <c r="A358" s="1" t="str">
        <f>IFERROR(__xludf.DUMMYFUNCTION("""COMPUTED_VALUE"""),"Salto do Jacuí")</f>
        <v>Salto do Jacuí</v>
      </c>
      <c r="B358" s="144" t="str">
        <f>IFERROR(__xludf.DUMMYFUNCTION("""COMPUTED_VALUE"""),"4º CRBM")</f>
        <v>4º CRBM</v>
      </c>
      <c r="C358" s="1" t="str">
        <f>IFERROR(__xludf.DUMMYFUNCTION("""COMPUTED_VALUE"""),"12º BBM")</f>
        <v>12º BBM</v>
      </c>
      <c r="D358" s="1" t="str">
        <f>IFERROR(__xludf.DUMMYFUNCTION("""COMPUTED_VALUE"""),"Cruz Alta")</f>
        <v>Cruz Alta</v>
      </c>
      <c r="E358" s="1" t="str">
        <f>IFERROR(__xludf.DUMMYFUNCTION("""COMPUTED_VALUE"""),"SCAB")</f>
        <v>SCAB</v>
      </c>
      <c r="F358" s="1" t="str">
        <f>IFERROR(__xludf.DUMMYFUNCTION("""COMPUTED_VALUE"""),"Municipal")</f>
        <v>Municipal</v>
      </c>
      <c r="G358" s="234" t="str">
        <f>IFERROR(__xludf.DUMMYFUNCTION("""COMPUTED_VALUE""")," 1 - Credenciado")</f>
        <v> 1 - Credenciado</v>
      </c>
      <c r="H358" s="1" t="str">
        <f>IFERROR(__xludf.DUMMYFUNCTION("""COMPUTED_VALUE"""),"")</f>
        <v/>
      </c>
      <c r="I358" s="1" t="str">
        <f>IFERROR(__xludf.DUMMYFUNCTION("""COMPUTED_VALUE"""),"")</f>
        <v/>
      </c>
    </row>
    <row r="359" customHeight="1" spans="1:9">
      <c r="A359" s="1" t="str">
        <f>IFERROR(__xludf.DUMMYFUNCTION("""COMPUTED_VALUE"""),"Salvador das Missões")</f>
        <v>Salvador das Missões</v>
      </c>
      <c r="B359" s="144" t="str">
        <f>IFERROR(__xludf.DUMMYFUNCTION("""COMPUTED_VALUE"""),"4º CRBM")</f>
        <v>4º CRBM</v>
      </c>
      <c r="C359" s="1" t="str">
        <f>IFERROR(__xludf.DUMMYFUNCTION("""COMPUTED_VALUE"""),"11º BBM")</f>
        <v>11º BBM</v>
      </c>
      <c r="D359" s="1" t="str">
        <f>IFERROR(__xludf.DUMMYFUNCTION("""COMPUTED_VALUE"""),"São Luiz Gonzaga")</f>
        <v>São Luiz Gonzaga</v>
      </c>
      <c r="E359" s="1" t="str">
        <f>IFERROR(__xludf.DUMMYFUNCTION("""COMPUTED_VALUE"""),"NPBM")</f>
        <v>NPBM</v>
      </c>
      <c r="F359" s="1" t="str">
        <f>IFERROR(__xludf.DUMMYFUNCTION("""COMPUTED_VALUE"""),"NPBM")</f>
        <v>NPBM</v>
      </c>
      <c r="G359" s="1"/>
      <c r="H359" s="1" t="str">
        <f>IFERROR(__xludf.DUMMYFUNCTION("""COMPUTED_VALUE"""),"")</f>
        <v/>
      </c>
      <c r="I359" s="1" t="str">
        <f>IFERROR(__xludf.DUMMYFUNCTION("""COMPUTED_VALUE"""),"")</f>
        <v/>
      </c>
    </row>
    <row r="360" customHeight="1" spans="1:9">
      <c r="A360" s="1" t="str">
        <f>IFERROR(__xludf.DUMMYFUNCTION("""COMPUTED_VALUE"""),"Salvador do Sul")</f>
        <v>Salvador do Sul</v>
      </c>
      <c r="B360" s="144" t="str">
        <f>IFERROR(__xludf.DUMMYFUNCTION("""COMPUTED_VALUE"""),"2º CRBM")</f>
        <v>2º CRBM</v>
      </c>
      <c r="C360" s="1" t="str">
        <f>IFERROR(__xludf.DUMMYFUNCTION("""COMPUTED_VALUE"""),"2º BBM")</f>
        <v>2º BBM</v>
      </c>
      <c r="D360" s="1" t="str">
        <f>IFERROR(__xludf.DUMMYFUNCTION("""COMPUTED_VALUE"""),"Montenegro")</f>
        <v>Montenegro</v>
      </c>
      <c r="E360" s="1" t="str">
        <f>IFERROR(__xludf.DUMMYFUNCTION("""COMPUTED_VALUE"""),"Voluntersul")</f>
        <v>Voluntersul</v>
      </c>
      <c r="F360" s="1" t="str">
        <f>IFERROR(__xludf.DUMMYFUNCTION("""COMPUTED_VALUE"""),"Voluntersul")</f>
        <v>Voluntersul</v>
      </c>
      <c r="G360" s="234" t="str">
        <f>IFERROR(__xludf.DUMMYFUNCTION("""COMPUTED_VALUE""")," 3 - Não Regularizado")</f>
        <v> 3 - Não Regularizado</v>
      </c>
      <c r="H360" s="1" t="str">
        <f>IFERROR(__xludf.DUMMYFUNCTION("""COMPUTED_VALUE"""),"")</f>
        <v/>
      </c>
      <c r="I360" s="1" t="str">
        <f>IFERROR(__xludf.DUMMYFUNCTION("""COMPUTED_VALUE"""),"")</f>
        <v/>
      </c>
    </row>
    <row r="361" customHeight="1" spans="1:9">
      <c r="A361" s="1" t="str">
        <f>IFERROR(__xludf.DUMMYFUNCTION("""COMPUTED_VALUE"""),"Sananduva")</f>
        <v>Sananduva</v>
      </c>
      <c r="B361" s="144" t="str">
        <f>IFERROR(__xludf.DUMMYFUNCTION("""COMPUTED_VALUE"""),"2º CRBM")</f>
        <v>2º CRBM</v>
      </c>
      <c r="C361" s="1" t="str">
        <f>IFERROR(__xludf.DUMMYFUNCTION("""COMPUTED_VALUE"""),"5º BBM")</f>
        <v>5º BBM</v>
      </c>
      <c r="D361" s="1" t="str">
        <f>IFERROR(__xludf.DUMMYFUNCTION("""COMPUTED_VALUE"""),"Lagoa Vermelha")</f>
        <v>Lagoa Vermelha</v>
      </c>
      <c r="E361" s="1" t="str">
        <f>IFERROR(__xludf.DUMMYFUNCTION("""COMPUTED_VALUE"""),"SCAB")</f>
        <v>SCAB</v>
      </c>
      <c r="F361" s="1" t="str">
        <f>IFERROR(__xludf.DUMMYFUNCTION("""COMPUTED_VALUE"""),"Municipal")</f>
        <v>Municipal</v>
      </c>
      <c r="G361" s="234" t="str">
        <f>IFERROR(__xludf.DUMMYFUNCTION("""COMPUTED_VALUE""")," 1 - Credenciado")</f>
        <v> 1 - Credenciado</v>
      </c>
      <c r="H361" s="1" t="str">
        <f>IFERROR(__xludf.DUMMYFUNCTION("""COMPUTED_VALUE"""),"")</f>
        <v/>
      </c>
      <c r="I361" s="1" t="str">
        <f>IFERROR(__xludf.DUMMYFUNCTION("""COMPUTED_VALUE"""),"")</f>
        <v/>
      </c>
    </row>
    <row r="362" customHeight="1" spans="1:9">
      <c r="A362" s="1" t="str">
        <f>IFERROR(__xludf.DUMMYFUNCTION("""COMPUTED_VALUE"""),"Santa Bárbara do Sul")</f>
        <v>Santa Bárbara do Sul</v>
      </c>
      <c r="B362" s="144" t="str">
        <f>IFERROR(__xludf.DUMMYFUNCTION("""COMPUTED_VALUE"""),"4º CRBM")</f>
        <v>4º CRBM</v>
      </c>
      <c r="C362" s="1" t="str">
        <f>IFERROR(__xludf.DUMMYFUNCTION("""COMPUTED_VALUE"""),"12º BBM")</f>
        <v>12º BBM</v>
      </c>
      <c r="D362" s="1" t="str">
        <f>IFERROR(__xludf.DUMMYFUNCTION("""COMPUTED_VALUE"""),"Panambi")</f>
        <v>Panambi</v>
      </c>
      <c r="E362" s="1" t="str">
        <f>IFERROR(__xludf.DUMMYFUNCTION("""COMPUTED_VALUE"""),"SCAB")</f>
        <v>SCAB</v>
      </c>
      <c r="F362" s="1" t="str">
        <f>IFERROR(__xludf.DUMMYFUNCTION("""COMPUTED_VALUE"""),"Municipal")</f>
        <v>Municipal</v>
      </c>
      <c r="G362" s="234" t="str">
        <f>IFERROR(__xludf.DUMMYFUNCTION("""COMPUTED_VALUE""")," 1 - Credenciado")</f>
        <v> 1 - Credenciado</v>
      </c>
      <c r="H362" s="1" t="str">
        <f>IFERROR(__xludf.DUMMYFUNCTION("""COMPUTED_VALUE"""),"")</f>
        <v/>
      </c>
      <c r="I362" s="1" t="str">
        <f>IFERROR(__xludf.DUMMYFUNCTION("""COMPUTED_VALUE"""),"")</f>
        <v/>
      </c>
    </row>
    <row r="363" customHeight="1" spans="1:9">
      <c r="A363" s="1" t="str">
        <f>IFERROR(__xludf.DUMMYFUNCTION("""COMPUTED_VALUE"""),"Santa Cecília do Sul")</f>
        <v>Santa Cecília do Sul</v>
      </c>
      <c r="B363" s="144" t="str">
        <f>IFERROR(__xludf.DUMMYFUNCTION("""COMPUTED_VALUE"""),"2º CRBM")</f>
        <v>2º CRBM</v>
      </c>
      <c r="C363" s="1" t="str">
        <f>IFERROR(__xludf.DUMMYFUNCTION("""COMPUTED_VALUE"""),"7º BBM")</f>
        <v>7º BBM</v>
      </c>
      <c r="D363" s="1" t="str">
        <f>IFERROR(__xludf.DUMMYFUNCTION("""COMPUTED_VALUE"""),"Getúlio Vargas")</f>
        <v>Getúlio Vargas</v>
      </c>
      <c r="E363" s="1" t="str">
        <f>IFERROR(__xludf.DUMMYFUNCTION("""COMPUTED_VALUE"""),"NPBM")</f>
        <v>NPBM</v>
      </c>
      <c r="F363" s="1" t="str">
        <f>IFERROR(__xludf.DUMMYFUNCTION("""COMPUTED_VALUE"""),"NPBM")</f>
        <v>NPBM</v>
      </c>
      <c r="G363" s="1"/>
      <c r="H363" s="1" t="str">
        <f>IFERROR(__xludf.DUMMYFUNCTION("""COMPUTED_VALUE"""),"")</f>
        <v/>
      </c>
      <c r="I363" s="1" t="str">
        <f>IFERROR(__xludf.DUMMYFUNCTION("""COMPUTED_VALUE"""),"")</f>
        <v/>
      </c>
    </row>
    <row r="364" customHeight="1" spans="1:9">
      <c r="A364" s="1" t="str">
        <f>IFERROR(__xludf.DUMMYFUNCTION("""COMPUTED_VALUE"""),"Santa Clara do Sul")</f>
        <v>Santa Clara do Sul</v>
      </c>
      <c r="B364" s="144" t="str">
        <f>IFERROR(__xludf.DUMMYFUNCTION("""COMPUTED_VALUE"""),"4º CRBM")</f>
        <v>4º CRBM</v>
      </c>
      <c r="C364" s="1" t="str">
        <f>IFERROR(__xludf.DUMMYFUNCTION("""COMPUTED_VALUE"""),"6º BBM")</f>
        <v>6º BBM</v>
      </c>
      <c r="D364" s="1" t="str">
        <f>IFERROR(__xludf.DUMMYFUNCTION("""COMPUTED_VALUE"""),"Lajeado")</f>
        <v>Lajeado</v>
      </c>
      <c r="E364" s="1" t="str">
        <f>IFERROR(__xludf.DUMMYFUNCTION("""COMPUTED_VALUE"""),"NPBM")</f>
        <v>NPBM</v>
      </c>
      <c r="F364" s="1" t="str">
        <f>IFERROR(__xludf.DUMMYFUNCTION("""COMPUTED_VALUE"""),"NPBM")</f>
        <v>NPBM</v>
      </c>
      <c r="G364" s="1"/>
      <c r="H364" s="1" t="str">
        <f>IFERROR(__xludf.DUMMYFUNCTION("""COMPUTED_VALUE"""),"")</f>
        <v/>
      </c>
      <c r="I364" s="1" t="str">
        <f>IFERROR(__xludf.DUMMYFUNCTION("""COMPUTED_VALUE"""),"")</f>
        <v/>
      </c>
    </row>
    <row r="365" customHeight="1" spans="1:9">
      <c r="A365" s="1" t="str">
        <f>IFERROR(__xludf.DUMMYFUNCTION("""COMPUTED_VALUE"""),"Santa Cruz do Sul")</f>
        <v>Santa Cruz do Sul</v>
      </c>
      <c r="B365" s="144" t="str">
        <f>IFERROR(__xludf.DUMMYFUNCTION("""COMPUTED_VALUE"""),"4º CRBM")</f>
        <v>4º CRBM</v>
      </c>
      <c r="C365" s="1" t="str">
        <f>IFERROR(__xludf.DUMMYFUNCTION("""COMPUTED_VALUE"""),"6º BBM")</f>
        <v>6º BBM</v>
      </c>
      <c r="D365" s="1" t="str">
        <f>IFERROR(__xludf.DUMMYFUNCTION("""COMPUTED_VALUE"""),"Santa Cruz do Sul")</f>
        <v>Santa Cruz do Sul</v>
      </c>
      <c r="E365" s="1" t="str">
        <f>IFERROR(__xludf.DUMMYFUNCTION("""COMPUTED_VALUE"""),"Militar")</f>
        <v>Militar</v>
      </c>
      <c r="F365" s="1" t="str">
        <f>IFERROR(__xludf.DUMMYFUNCTION("""COMPUTED_VALUE"""),"Militar")</f>
        <v>Militar</v>
      </c>
      <c r="G365" s="1"/>
      <c r="H365" s="1">
        <f>IFERROR(__xludf.DUMMYFUNCTION("""COMPUTED_VALUE"""),2)</f>
        <v>2</v>
      </c>
      <c r="I365" s="1" t="str">
        <f>IFERROR(__xludf.DUMMYFUNCTION("""COMPUTED_VALUE"""),"")</f>
        <v/>
      </c>
    </row>
    <row r="366" customHeight="1" spans="1:9">
      <c r="A366" s="1" t="str">
        <f>IFERROR(__xludf.DUMMYFUNCTION("""COMPUTED_VALUE"""),"Santa Margarida do Sul")</f>
        <v>Santa Margarida do Sul</v>
      </c>
      <c r="B366" s="144" t="str">
        <f>IFERROR(__xludf.DUMMYFUNCTION("""COMPUTED_VALUE"""),"3º CRBM")</f>
        <v>3º CRBM</v>
      </c>
      <c r="C366" s="1" t="str">
        <f>IFERROR(__xludf.DUMMYFUNCTION("""COMPUTED_VALUE"""),"10º BBM")</f>
        <v>10º BBM</v>
      </c>
      <c r="D366" s="1" t="str">
        <f>IFERROR(__xludf.DUMMYFUNCTION("""COMPUTED_VALUE"""),"São Gabriel")</f>
        <v>São Gabriel</v>
      </c>
      <c r="E366" s="1" t="str">
        <f>IFERROR(__xludf.DUMMYFUNCTION("""COMPUTED_VALUE"""),"NPBM")</f>
        <v>NPBM</v>
      </c>
      <c r="F366" s="1" t="str">
        <f>IFERROR(__xludf.DUMMYFUNCTION("""COMPUTED_VALUE"""),"NPBM")</f>
        <v>NPBM</v>
      </c>
      <c r="G366" s="1"/>
      <c r="H366" s="1" t="str">
        <f>IFERROR(__xludf.DUMMYFUNCTION("""COMPUTED_VALUE"""),"")</f>
        <v/>
      </c>
      <c r="I366" s="1" t="str">
        <f>IFERROR(__xludf.DUMMYFUNCTION("""COMPUTED_VALUE"""),"")</f>
        <v/>
      </c>
    </row>
    <row r="367" customHeight="1" spans="1:9">
      <c r="A367" s="1" t="str">
        <f>IFERROR(__xludf.DUMMYFUNCTION("""COMPUTED_VALUE"""),"Santa Maria")</f>
        <v>Santa Maria</v>
      </c>
      <c r="B367" s="144" t="str">
        <f>IFERROR(__xludf.DUMMYFUNCTION("""COMPUTED_VALUE"""),"4º CRBM")</f>
        <v>4º CRBM</v>
      </c>
      <c r="C367" s="1" t="str">
        <f>IFERROR(__xludf.DUMMYFUNCTION("""COMPUTED_VALUE"""),"4º BBM")</f>
        <v>4º BBM</v>
      </c>
      <c r="D367" s="1" t="str">
        <f>IFERROR(__xludf.DUMMYFUNCTION("""COMPUTED_VALUE"""),"Santa Maria")</f>
        <v>Santa Maria</v>
      </c>
      <c r="E367" s="1" t="str">
        <f>IFERROR(__xludf.DUMMYFUNCTION("""COMPUTED_VALUE"""),"Militar")</f>
        <v>Militar</v>
      </c>
      <c r="F367" s="1" t="str">
        <f>IFERROR(__xludf.DUMMYFUNCTION("""COMPUTED_VALUE"""),"Militar")</f>
        <v>Militar</v>
      </c>
      <c r="G367" s="1"/>
      <c r="H367" s="1">
        <f>IFERROR(__xludf.DUMMYFUNCTION("""COMPUTED_VALUE"""),3)</f>
        <v>3</v>
      </c>
      <c r="I367" s="1" t="str">
        <f>IFERROR(__xludf.DUMMYFUNCTION("""COMPUTED_VALUE"""),"")</f>
        <v/>
      </c>
    </row>
    <row r="368" customHeight="1" spans="1:9">
      <c r="A368" s="1" t="str">
        <f>IFERROR(__xludf.DUMMYFUNCTION("""COMPUTED_VALUE"""),"Santa Maria do Herval")</f>
        <v>Santa Maria do Herval</v>
      </c>
      <c r="B368" s="144" t="str">
        <f>IFERROR(__xludf.DUMMYFUNCTION("""COMPUTED_VALUE"""),"2º CRBM")</f>
        <v>2º CRBM</v>
      </c>
      <c r="C368" s="1" t="str">
        <f>IFERROR(__xludf.DUMMYFUNCTION("""COMPUTED_VALUE"""),"2º BBM")</f>
        <v>2º BBM</v>
      </c>
      <c r="D368" s="1" t="str">
        <f>IFERROR(__xludf.DUMMYFUNCTION("""COMPUTED_VALUE"""),"Dois Irmãos")</f>
        <v>Dois Irmãos</v>
      </c>
      <c r="E368" s="1" t="str">
        <f>IFERROR(__xludf.DUMMYFUNCTION("""COMPUTED_VALUE"""),"NPBM")</f>
        <v>NPBM</v>
      </c>
      <c r="F368" s="1" t="str">
        <f>IFERROR(__xludf.DUMMYFUNCTION("""COMPUTED_VALUE"""),"NPBM")</f>
        <v>NPBM</v>
      </c>
      <c r="G368" s="1"/>
      <c r="H368" s="1" t="str">
        <f>IFERROR(__xludf.DUMMYFUNCTION("""COMPUTED_VALUE"""),"")</f>
        <v/>
      </c>
      <c r="I368" s="1" t="str">
        <f>IFERROR(__xludf.DUMMYFUNCTION("""COMPUTED_VALUE"""),"")</f>
        <v/>
      </c>
    </row>
    <row r="369" customHeight="1" spans="1:9">
      <c r="A369" s="1" t="str">
        <f>IFERROR(__xludf.DUMMYFUNCTION("""COMPUTED_VALUE"""),"Santa Rosa")</f>
        <v>Santa Rosa</v>
      </c>
      <c r="B369" s="144" t="str">
        <f>IFERROR(__xludf.DUMMYFUNCTION("""COMPUTED_VALUE"""),"4º CRBM")</f>
        <v>4º CRBM</v>
      </c>
      <c r="C369" s="1" t="str">
        <f>IFERROR(__xludf.DUMMYFUNCTION("""COMPUTED_VALUE"""),"11º BBM")</f>
        <v>11º BBM</v>
      </c>
      <c r="D369" s="1" t="str">
        <f>IFERROR(__xludf.DUMMYFUNCTION("""COMPUTED_VALUE"""),"Santa Rosa")</f>
        <v>Santa Rosa</v>
      </c>
      <c r="E369" s="1" t="str">
        <f>IFERROR(__xludf.DUMMYFUNCTION("""COMPUTED_VALUE"""),"Militar")</f>
        <v>Militar</v>
      </c>
      <c r="F369" s="1" t="str">
        <f>IFERROR(__xludf.DUMMYFUNCTION("""COMPUTED_VALUE"""),"Militar")</f>
        <v>Militar</v>
      </c>
      <c r="G369" s="1"/>
      <c r="H369" s="1">
        <f>IFERROR(__xludf.DUMMYFUNCTION("""COMPUTED_VALUE"""),1)</f>
        <v>1</v>
      </c>
      <c r="I369" s="1" t="str">
        <f>IFERROR(__xludf.DUMMYFUNCTION("""COMPUTED_VALUE"""),"")</f>
        <v/>
      </c>
    </row>
    <row r="370" customHeight="1" spans="1:9">
      <c r="A370" s="1" t="str">
        <f>IFERROR(__xludf.DUMMYFUNCTION("""COMPUTED_VALUE"""),"Santa Tereza")</f>
        <v>Santa Tereza</v>
      </c>
      <c r="B370" s="144" t="str">
        <f>IFERROR(__xludf.DUMMYFUNCTION("""COMPUTED_VALUE"""),"2º CRBM")</f>
        <v>2º CRBM</v>
      </c>
      <c r="C370" s="1" t="str">
        <f>IFERROR(__xludf.DUMMYFUNCTION("""COMPUTED_VALUE"""),"5º BBM")</f>
        <v>5º BBM</v>
      </c>
      <c r="D370" s="1" t="str">
        <f>IFERROR(__xludf.DUMMYFUNCTION("""COMPUTED_VALUE"""),"Bento Gonçalves")</f>
        <v>Bento Gonçalves</v>
      </c>
      <c r="E370" s="1" t="str">
        <f>IFERROR(__xludf.DUMMYFUNCTION("""COMPUTED_VALUE"""),"NPBM")</f>
        <v>NPBM</v>
      </c>
      <c r="F370" s="1" t="str">
        <f>IFERROR(__xludf.DUMMYFUNCTION("""COMPUTED_VALUE"""),"NPBM")</f>
        <v>NPBM</v>
      </c>
      <c r="G370" s="1"/>
      <c r="H370" s="1" t="str">
        <f>IFERROR(__xludf.DUMMYFUNCTION("""COMPUTED_VALUE"""),"")</f>
        <v/>
      </c>
      <c r="I370" s="1" t="str">
        <f>IFERROR(__xludf.DUMMYFUNCTION("""COMPUTED_VALUE"""),"")</f>
        <v/>
      </c>
    </row>
    <row r="371" customHeight="1" spans="1:9">
      <c r="A371" s="1" t="str">
        <f>IFERROR(__xludf.DUMMYFUNCTION("""COMPUTED_VALUE"""),"Santa Vitória do Palmar")</f>
        <v>Santa Vitória do Palmar</v>
      </c>
      <c r="B371" s="144" t="str">
        <f>IFERROR(__xludf.DUMMYFUNCTION("""COMPUTED_VALUE"""),"3º CRBM")</f>
        <v>3º CRBM</v>
      </c>
      <c r="C371" s="1" t="str">
        <f>IFERROR(__xludf.DUMMYFUNCTION("""COMPUTED_VALUE"""),"3º BBM")</f>
        <v>3º BBM</v>
      </c>
      <c r="D371" s="1" t="str">
        <f>IFERROR(__xludf.DUMMYFUNCTION("""COMPUTED_VALUE"""),"Santa Vitória do Palmar")</f>
        <v>Santa Vitória do Palmar</v>
      </c>
      <c r="E371" s="1" t="str">
        <f>IFERROR(__xludf.DUMMYFUNCTION("""COMPUTED_VALUE"""),"Militar")</f>
        <v>Militar</v>
      </c>
      <c r="F371" s="1" t="str">
        <f>IFERROR(__xludf.DUMMYFUNCTION("""COMPUTED_VALUE"""),"Militar")</f>
        <v>Militar</v>
      </c>
      <c r="G371" s="1"/>
      <c r="H371" s="1" t="str">
        <f>IFERROR(__xludf.DUMMYFUNCTION("""COMPUTED_VALUE"""),"")</f>
        <v/>
      </c>
      <c r="I371" s="1" t="str">
        <f>IFERROR(__xludf.DUMMYFUNCTION("""COMPUTED_VALUE"""),"")</f>
        <v/>
      </c>
    </row>
    <row r="372" customHeight="1" spans="1:9">
      <c r="A372" s="1" t="str">
        <f>IFERROR(__xludf.DUMMYFUNCTION("""COMPUTED_VALUE"""),"Santana da Boa Vista")</f>
        <v>Santana da Boa Vista</v>
      </c>
      <c r="B372" s="144" t="str">
        <f>IFERROR(__xludf.DUMMYFUNCTION("""COMPUTED_VALUE"""),"4º CRBM")</f>
        <v>4º CRBM</v>
      </c>
      <c r="C372" s="1" t="str">
        <f>IFERROR(__xludf.DUMMYFUNCTION("""COMPUTED_VALUE"""),"4º BBM")</f>
        <v>4º BBM</v>
      </c>
      <c r="D372" s="1" t="str">
        <f>IFERROR(__xludf.DUMMYFUNCTION("""COMPUTED_VALUE"""),"Caçapava do Sul")</f>
        <v>Caçapava do Sul</v>
      </c>
      <c r="E372" s="1" t="str">
        <f>IFERROR(__xludf.DUMMYFUNCTION("""COMPUTED_VALUE"""),"NPBM")</f>
        <v>NPBM</v>
      </c>
      <c r="F372" s="1" t="str">
        <f>IFERROR(__xludf.DUMMYFUNCTION("""COMPUTED_VALUE"""),"NPBM")</f>
        <v>NPBM</v>
      </c>
      <c r="G372" s="1"/>
      <c r="H372" s="1" t="str">
        <f>IFERROR(__xludf.DUMMYFUNCTION("""COMPUTED_VALUE"""),"")</f>
        <v/>
      </c>
      <c r="I372" s="1" t="str">
        <f>IFERROR(__xludf.DUMMYFUNCTION("""COMPUTED_VALUE"""),"")</f>
        <v/>
      </c>
    </row>
    <row r="373" customHeight="1" spans="1:9">
      <c r="A373" s="1" t="str">
        <f>IFERROR(__xludf.DUMMYFUNCTION("""COMPUTED_VALUE"""),"Santana do Livramento")</f>
        <v>Santana do Livramento</v>
      </c>
      <c r="B373" s="144" t="str">
        <f>IFERROR(__xludf.DUMMYFUNCTION("""COMPUTED_VALUE"""),"3º CRBM")</f>
        <v>3º CRBM</v>
      </c>
      <c r="C373" s="1" t="str">
        <f>IFERROR(__xludf.DUMMYFUNCTION("""COMPUTED_VALUE"""),"10º BBM")</f>
        <v>10º BBM</v>
      </c>
      <c r="D373" s="1" t="str">
        <f>IFERROR(__xludf.DUMMYFUNCTION("""COMPUTED_VALUE"""),"Santana do Livramento")</f>
        <v>Santana do Livramento</v>
      </c>
      <c r="E373" s="1" t="str">
        <f>IFERROR(__xludf.DUMMYFUNCTION("""COMPUTED_VALUE"""),"Militar")</f>
        <v>Militar</v>
      </c>
      <c r="F373" s="1" t="str">
        <f>IFERROR(__xludf.DUMMYFUNCTION("""COMPUTED_VALUE"""),"Militar")</f>
        <v>Militar</v>
      </c>
      <c r="G373" s="1"/>
      <c r="H373" s="1">
        <f>IFERROR(__xludf.DUMMYFUNCTION("""COMPUTED_VALUE"""),2)</f>
        <v>2</v>
      </c>
      <c r="I373" s="1" t="str">
        <f>IFERROR(__xludf.DUMMYFUNCTION("""COMPUTED_VALUE"""),"")</f>
        <v/>
      </c>
    </row>
    <row r="374" customHeight="1" spans="1:9">
      <c r="A374" s="1" t="str">
        <f>IFERROR(__xludf.DUMMYFUNCTION("""COMPUTED_VALUE"""),"Santiago")</f>
        <v>Santiago</v>
      </c>
      <c r="B374" s="144" t="str">
        <f>IFERROR(__xludf.DUMMYFUNCTION("""COMPUTED_VALUE"""),"3º CRBM")</f>
        <v>3º CRBM</v>
      </c>
      <c r="C374" s="1" t="str">
        <f>IFERROR(__xludf.DUMMYFUNCTION("""COMPUTED_VALUE"""),"13º BBM")</f>
        <v>13º BBM</v>
      </c>
      <c r="D374" s="1" t="str">
        <f>IFERROR(__xludf.DUMMYFUNCTION("""COMPUTED_VALUE"""),"Santiago")</f>
        <v>Santiago</v>
      </c>
      <c r="E374" s="1" t="str">
        <f>IFERROR(__xludf.DUMMYFUNCTION("""COMPUTED_VALUE"""),"Militar")</f>
        <v>Militar</v>
      </c>
      <c r="F374" s="1" t="str">
        <f>IFERROR(__xludf.DUMMYFUNCTION("""COMPUTED_VALUE"""),"Militar")</f>
        <v>Militar</v>
      </c>
      <c r="G374" s="1"/>
      <c r="H374" s="1">
        <f>IFERROR(__xludf.DUMMYFUNCTION("""COMPUTED_VALUE"""),1)</f>
        <v>1</v>
      </c>
      <c r="I374" s="1" t="str">
        <f>IFERROR(__xludf.DUMMYFUNCTION("""COMPUTED_VALUE"""),"")</f>
        <v/>
      </c>
    </row>
    <row r="375" customHeight="1" spans="1:9">
      <c r="A375" s="1" t="str">
        <f>IFERROR(__xludf.DUMMYFUNCTION("""COMPUTED_VALUE"""),"Santo Ângelo")</f>
        <v>Santo Ângelo</v>
      </c>
      <c r="B375" s="144" t="str">
        <f>IFERROR(__xludf.DUMMYFUNCTION("""COMPUTED_VALUE"""),"4º CRBM")</f>
        <v>4º CRBM</v>
      </c>
      <c r="C375" s="1" t="str">
        <f>IFERROR(__xludf.DUMMYFUNCTION("""COMPUTED_VALUE"""),"11º BBM")</f>
        <v>11º BBM</v>
      </c>
      <c r="D375" s="1" t="str">
        <f>IFERROR(__xludf.DUMMYFUNCTION("""COMPUTED_VALUE"""),"Santo Ângelo")</f>
        <v>Santo Ângelo</v>
      </c>
      <c r="E375" s="1" t="str">
        <f>IFERROR(__xludf.DUMMYFUNCTION("""COMPUTED_VALUE"""),"Militar")</f>
        <v>Militar</v>
      </c>
      <c r="F375" s="1" t="str">
        <f>IFERROR(__xludf.DUMMYFUNCTION("""COMPUTED_VALUE"""),"Militar")</f>
        <v>Militar</v>
      </c>
      <c r="G375" s="1"/>
      <c r="H375" s="1">
        <f>IFERROR(__xludf.DUMMYFUNCTION("""COMPUTED_VALUE"""),1)</f>
        <v>1</v>
      </c>
      <c r="I375" s="1">
        <f>IFERROR(__xludf.DUMMYFUNCTION("""COMPUTED_VALUE"""),1)</f>
        <v>1</v>
      </c>
    </row>
    <row r="376" customHeight="1" spans="1:9">
      <c r="A376" s="1" t="str">
        <f>IFERROR(__xludf.DUMMYFUNCTION("""COMPUTED_VALUE"""),"Santo Antônio da Patrulha")</f>
        <v>Santo Antônio da Patrulha</v>
      </c>
      <c r="B376" s="144" t="str">
        <f>IFERROR(__xludf.DUMMYFUNCTION("""COMPUTED_VALUE"""),"1º CRBM")</f>
        <v>1º CRBM</v>
      </c>
      <c r="C376" s="1" t="str">
        <f>IFERROR(__xludf.DUMMYFUNCTION("""COMPUTED_VALUE"""),"9º BBM")</f>
        <v>9º BBM</v>
      </c>
      <c r="D376" s="1" t="str">
        <f>IFERROR(__xludf.DUMMYFUNCTION("""COMPUTED_VALUE"""),"Santo Antônio da Patrulha")</f>
        <v>Santo Antônio da Patrulha</v>
      </c>
      <c r="E376" s="1" t="str">
        <f>IFERROR(__xludf.DUMMYFUNCTION("""COMPUTED_VALUE"""),"Militar")</f>
        <v>Militar</v>
      </c>
      <c r="F376" s="1" t="str">
        <f>IFERROR(__xludf.DUMMYFUNCTION("""COMPUTED_VALUE"""),"Militar")</f>
        <v>Militar</v>
      </c>
      <c r="G376" s="1"/>
      <c r="H376" s="1" t="str">
        <f>IFERROR(__xludf.DUMMYFUNCTION("""COMPUTED_VALUE"""),"")</f>
        <v/>
      </c>
      <c r="I376" s="1" t="str">
        <f>IFERROR(__xludf.DUMMYFUNCTION("""COMPUTED_VALUE"""),"")</f>
        <v/>
      </c>
    </row>
    <row r="377" customHeight="1" spans="1:9">
      <c r="A377" s="1" t="str">
        <f>IFERROR(__xludf.DUMMYFUNCTION("""COMPUTED_VALUE"""),"Santo Antônio das Missões")</f>
        <v>Santo Antônio das Missões</v>
      </c>
      <c r="B377" s="144" t="str">
        <f>IFERROR(__xludf.DUMMYFUNCTION("""COMPUTED_VALUE"""),"4º CRBM")</f>
        <v>4º CRBM</v>
      </c>
      <c r="C377" s="1" t="str">
        <f>IFERROR(__xludf.DUMMYFUNCTION("""COMPUTED_VALUE"""),"11º BBM")</f>
        <v>11º BBM</v>
      </c>
      <c r="D377" s="1" t="str">
        <f>IFERROR(__xludf.DUMMYFUNCTION("""COMPUTED_VALUE"""),"São Luiz Gonzaga")</f>
        <v>São Luiz Gonzaga</v>
      </c>
      <c r="E377" s="1" t="str">
        <f>IFERROR(__xludf.DUMMYFUNCTION("""COMPUTED_VALUE"""),"NPBM")</f>
        <v>NPBM</v>
      </c>
      <c r="F377" s="1" t="str">
        <f>IFERROR(__xludf.DUMMYFUNCTION("""COMPUTED_VALUE"""),"NPBM")</f>
        <v>NPBM</v>
      </c>
      <c r="G377" s="1"/>
      <c r="H377" s="1" t="str">
        <f>IFERROR(__xludf.DUMMYFUNCTION("""COMPUTED_VALUE"""),"")</f>
        <v/>
      </c>
      <c r="I377" s="1" t="str">
        <f>IFERROR(__xludf.DUMMYFUNCTION("""COMPUTED_VALUE"""),"")</f>
        <v/>
      </c>
    </row>
    <row r="378" customHeight="1" spans="1:9">
      <c r="A378" s="1" t="str">
        <f>IFERROR(__xludf.DUMMYFUNCTION("""COMPUTED_VALUE"""),"Santo Antônio do Palma")</f>
        <v>Santo Antônio do Palma</v>
      </c>
      <c r="B378" s="144" t="str">
        <f>IFERROR(__xludf.DUMMYFUNCTION("""COMPUTED_VALUE"""),"2º CRBM")</f>
        <v>2º CRBM</v>
      </c>
      <c r="C378" s="1" t="str">
        <f>IFERROR(__xludf.DUMMYFUNCTION("""COMPUTED_VALUE"""),"7º BBM")</f>
        <v>7º BBM</v>
      </c>
      <c r="D378" s="1" t="str">
        <f>IFERROR(__xludf.DUMMYFUNCTION("""COMPUTED_VALUE"""),"Guaporé")</f>
        <v>Guaporé</v>
      </c>
      <c r="E378" s="1" t="str">
        <f>IFERROR(__xludf.DUMMYFUNCTION("""COMPUTED_VALUE"""),"NPBM")</f>
        <v>NPBM</v>
      </c>
      <c r="F378" s="1" t="str">
        <f>IFERROR(__xludf.DUMMYFUNCTION("""COMPUTED_VALUE"""),"NPBM")</f>
        <v>NPBM</v>
      </c>
      <c r="G378" s="1"/>
      <c r="H378" s="1" t="str">
        <f>IFERROR(__xludf.DUMMYFUNCTION("""COMPUTED_VALUE"""),"")</f>
        <v/>
      </c>
      <c r="I378" s="1" t="str">
        <f>IFERROR(__xludf.DUMMYFUNCTION("""COMPUTED_VALUE"""),"")</f>
        <v/>
      </c>
    </row>
    <row r="379" customHeight="1" spans="1:9">
      <c r="A379" s="1" t="str">
        <f>IFERROR(__xludf.DUMMYFUNCTION("""COMPUTED_VALUE"""),"Santo Antônio do Planalto")</f>
        <v>Santo Antônio do Planalto</v>
      </c>
      <c r="B379" s="144" t="str">
        <f>IFERROR(__xludf.DUMMYFUNCTION("""COMPUTED_VALUE"""),"2º CRBM")</f>
        <v>2º CRBM</v>
      </c>
      <c r="C379" s="1" t="str">
        <f>IFERROR(__xludf.DUMMYFUNCTION("""COMPUTED_VALUE"""),"7º BBM")</f>
        <v>7º BBM</v>
      </c>
      <c r="D379" s="1" t="str">
        <f>IFERROR(__xludf.DUMMYFUNCTION("""COMPUTED_VALUE"""),"Carazinho")</f>
        <v>Carazinho</v>
      </c>
      <c r="E379" s="1" t="str">
        <f>IFERROR(__xludf.DUMMYFUNCTION("""COMPUTED_VALUE"""),"NPBM")</f>
        <v>NPBM</v>
      </c>
      <c r="F379" s="1" t="str">
        <f>IFERROR(__xludf.DUMMYFUNCTION("""COMPUTED_VALUE"""),"NPBM")</f>
        <v>NPBM</v>
      </c>
      <c r="G379" s="1"/>
      <c r="H379" s="1" t="str">
        <f>IFERROR(__xludf.DUMMYFUNCTION("""COMPUTED_VALUE"""),"")</f>
        <v/>
      </c>
      <c r="I379" s="1" t="str">
        <f>IFERROR(__xludf.DUMMYFUNCTION("""COMPUTED_VALUE"""),"")</f>
        <v/>
      </c>
    </row>
    <row r="380" customHeight="1" spans="1:9">
      <c r="A380" s="1" t="str">
        <f>IFERROR(__xludf.DUMMYFUNCTION("""COMPUTED_VALUE"""),"Santo Augusto")</f>
        <v>Santo Augusto</v>
      </c>
      <c r="B380" s="144" t="str">
        <f>IFERROR(__xludf.DUMMYFUNCTION("""COMPUTED_VALUE"""),"4º CRBM")</f>
        <v>4º CRBM</v>
      </c>
      <c r="C380" s="1" t="str">
        <f>IFERROR(__xludf.DUMMYFUNCTION("""COMPUTED_VALUE"""),"12º BBM")</f>
        <v>12º BBM</v>
      </c>
      <c r="D380" s="1" t="str">
        <f>IFERROR(__xludf.DUMMYFUNCTION("""COMPUTED_VALUE"""),"Ijuí")</f>
        <v>Ijuí</v>
      </c>
      <c r="E380" s="1" t="str">
        <f>IFERROR(__xludf.DUMMYFUNCTION("""COMPUTED_VALUE"""),"SCAB")</f>
        <v>SCAB</v>
      </c>
      <c r="F380" s="1" t="str">
        <f>IFERROR(__xludf.DUMMYFUNCTION("""COMPUTED_VALUE"""),"Municipal")</f>
        <v>Municipal</v>
      </c>
      <c r="G380" s="234" t="str">
        <f>IFERROR(__xludf.DUMMYFUNCTION("""COMPUTED_VALUE""")," 1 - Credenciado")</f>
        <v> 1 - Credenciado</v>
      </c>
      <c r="H380" s="1" t="str">
        <f>IFERROR(__xludf.DUMMYFUNCTION("""COMPUTED_VALUE"""),"")</f>
        <v/>
      </c>
      <c r="I380" s="1" t="str">
        <f>IFERROR(__xludf.DUMMYFUNCTION("""COMPUTED_VALUE"""),"")</f>
        <v/>
      </c>
    </row>
    <row r="381" customHeight="1" spans="1:9">
      <c r="A381" s="1" t="str">
        <f>IFERROR(__xludf.DUMMYFUNCTION("""COMPUTED_VALUE"""),"Santo Cristo")</f>
        <v>Santo Cristo</v>
      </c>
      <c r="B381" s="144" t="str">
        <f>IFERROR(__xludf.DUMMYFUNCTION("""COMPUTED_VALUE"""),"4º CRBM")</f>
        <v>4º CRBM</v>
      </c>
      <c r="C381" s="1" t="str">
        <f>IFERROR(__xludf.DUMMYFUNCTION("""COMPUTED_VALUE"""),"11º BBM")</f>
        <v>11º BBM</v>
      </c>
      <c r="D381" s="1" t="str">
        <f>IFERROR(__xludf.DUMMYFUNCTION("""COMPUTED_VALUE"""),"Santa Rosa")</f>
        <v>Santa Rosa</v>
      </c>
      <c r="E381" s="1" t="str">
        <f>IFERROR(__xludf.DUMMYFUNCTION("""COMPUTED_VALUE"""),"SCAB")</f>
        <v>SCAB</v>
      </c>
      <c r="F381" s="1" t="str">
        <f>IFERROR(__xludf.DUMMYFUNCTION("""COMPUTED_VALUE"""),"Municipal")</f>
        <v>Municipal</v>
      </c>
      <c r="G381" s="234" t="str">
        <f>IFERROR(__xludf.DUMMYFUNCTION("""COMPUTED_VALUE""")," 1 - Credenciado")</f>
        <v> 1 - Credenciado</v>
      </c>
      <c r="H381" s="1" t="str">
        <f>IFERROR(__xludf.DUMMYFUNCTION("""COMPUTED_VALUE"""),"")</f>
        <v/>
      </c>
      <c r="I381" s="1" t="str">
        <f>IFERROR(__xludf.DUMMYFUNCTION("""COMPUTED_VALUE"""),"")</f>
        <v/>
      </c>
    </row>
    <row r="382" customHeight="1" spans="1:9">
      <c r="A382" s="1" t="str">
        <f>IFERROR(__xludf.DUMMYFUNCTION("""COMPUTED_VALUE"""),"Santo Expedito do Sul")</f>
        <v>Santo Expedito do Sul</v>
      </c>
      <c r="B382" s="144" t="str">
        <f>IFERROR(__xludf.DUMMYFUNCTION("""COMPUTED_VALUE"""),"2º CRBM")</f>
        <v>2º CRBM</v>
      </c>
      <c r="C382" s="1" t="str">
        <f>IFERROR(__xludf.DUMMYFUNCTION("""COMPUTED_VALUE"""),"5º BBM")</f>
        <v>5º BBM</v>
      </c>
      <c r="D382" s="1" t="str">
        <f>IFERROR(__xludf.DUMMYFUNCTION("""COMPUTED_VALUE"""),"Lagoa Vermelha")</f>
        <v>Lagoa Vermelha</v>
      </c>
      <c r="E382" s="1" t="str">
        <f>IFERROR(__xludf.DUMMYFUNCTION("""COMPUTED_VALUE"""),"SCAB")</f>
        <v>SCAB</v>
      </c>
      <c r="F382" s="1" t="str">
        <f>IFERROR(__xludf.DUMMYFUNCTION("""COMPUTED_VALUE"""),"Municipal")</f>
        <v>Municipal</v>
      </c>
      <c r="G382" s="234" t="str">
        <f>IFERROR(__xludf.DUMMYFUNCTION("""COMPUTED_VALUE""")," 1 - Credenciado")</f>
        <v> 1 - Credenciado</v>
      </c>
      <c r="H382" s="1" t="str">
        <f>IFERROR(__xludf.DUMMYFUNCTION("""COMPUTED_VALUE"""),"")</f>
        <v/>
      </c>
      <c r="I382" s="1" t="str">
        <f>IFERROR(__xludf.DUMMYFUNCTION("""COMPUTED_VALUE"""),"")</f>
        <v/>
      </c>
    </row>
    <row r="383" customHeight="1" spans="1:9">
      <c r="A383" s="1" t="str">
        <f>IFERROR(__xludf.DUMMYFUNCTION("""COMPUTED_VALUE"""),"São Borja")</f>
        <v>São Borja</v>
      </c>
      <c r="B383" s="144" t="str">
        <f>IFERROR(__xludf.DUMMYFUNCTION("""COMPUTED_VALUE"""),"3º CRBM")</f>
        <v>3º CRBM</v>
      </c>
      <c r="C383" s="1" t="str">
        <f>IFERROR(__xludf.DUMMYFUNCTION("""COMPUTED_VALUE"""),"13º BBM")</f>
        <v>13º BBM</v>
      </c>
      <c r="D383" s="1" t="str">
        <f>IFERROR(__xludf.DUMMYFUNCTION("""COMPUTED_VALUE"""),"São Borja")</f>
        <v>São Borja</v>
      </c>
      <c r="E383" s="1" t="str">
        <f>IFERROR(__xludf.DUMMYFUNCTION("""COMPUTED_VALUE"""),"Militar")</f>
        <v>Militar</v>
      </c>
      <c r="F383" s="1" t="str">
        <f>IFERROR(__xludf.DUMMYFUNCTION("""COMPUTED_VALUE"""),"Militar")</f>
        <v>Militar</v>
      </c>
      <c r="G383" s="1"/>
      <c r="H383" s="1">
        <f>IFERROR(__xludf.DUMMYFUNCTION("""COMPUTED_VALUE"""),1)</f>
        <v>1</v>
      </c>
      <c r="I383" s="1" t="str">
        <f>IFERROR(__xludf.DUMMYFUNCTION("""COMPUTED_VALUE"""),"")</f>
        <v/>
      </c>
    </row>
    <row r="384" customHeight="1" spans="1:9">
      <c r="A384" s="1" t="str">
        <f>IFERROR(__xludf.DUMMYFUNCTION("""COMPUTED_VALUE"""),"São Domingos do Sul")</f>
        <v>São Domingos do Sul</v>
      </c>
      <c r="B384" s="144" t="str">
        <f>IFERROR(__xludf.DUMMYFUNCTION("""COMPUTED_VALUE"""),"2º CRBM")</f>
        <v>2º CRBM</v>
      </c>
      <c r="C384" s="1" t="str">
        <f>IFERROR(__xludf.DUMMYFUNCTION("""COMPUTED_VALUE"""),"7º BBM")</f>
        <v>7º BBM</v>
      </c>
      <c r="D384" s="1" t="str">
        <f>IFERROR(__xludf.DUMMYFUNCTION("""COMPUTED_VALUE"""),"Guaporé")</f>
        <v>Guaporé</v>
      </c>
      <c r="E384" s="1" t="str">
        <f>IFERROR(__xludf.DUMMYFUNCTION("""COMPUTED_VALUE"""),"NPBM")</f>
        <v>NPBM</v>
      </c>
      <c r="F384" s="1" t="str">
        <f>IFERROR(__xludf.DUMMYFUNCTION("""COMPUTED_VALUE"""),"NPBM")</f>
        <v>NPBM</v>
      </c>
      <c r="G384" s="1"/>
      <c r="H384" s="1" t="str">
        <f>IFERROR(__xludf.DUMMYFUNCTION("""COMPUTED_VALUE"""),"")</f>
        <v/>
      </c>
      <c r="I384" s="1" t="str">
        <f>IFERROR(__xludf.DUMMYFUNCTION("""COMPUTED_VALUE"""),"")</f>
        <v/>
      </c>
    </row>
    <row r="385" customHeight="1" spans="1:9">
      <c r="A385" s="1" t="str">
        <f>IFERROR(__xludf.DUMMYFUNCTION("""COMPUTED_VALUE"""),"São Francisco de Assis")</f>
        <v>São Francisco de Assis</v>
      </c>
      <c r="B385" s="144" t="str">
        <f>IFERROR(__xludf.DUMMYFUNCTION("""COMPUTED_VALUE"""),"3º CRBM")</f>
        <v>3º CRBM</v>
      </c>
      <c r="C385" s="1" t="str">
        <f>IFERROR(__xludf.DUMMYFUNCTION("""COMPUTED_VALUE"""),"13º BBM")</f>
        <v>13º BBM</v>
      </c>
      <c r="D385" s="1" t="str">
        <f>IFERROR(__xludf.DUMMYFUNCTION("""COMPUTED_VALUE"""),"Santiago")</f>
        <v>Santiago</v>
      </c>
      <c r="E385" s="1" t="str">
        <f>IFERROR(__xludf.DUMMYFUNCTION("""COMPUTED_VALUE"""),"NPBM")</f>
        <v>NPBM</v>
      </c>
      <c r="F385" s="1" t="str">
        <f>IFERROR(__xludf.DUMMYFUNCTION("""COMPUTED_VALUE"""),"Projeto Com.")</f>
        <v>Projeto Com.</v>
      </c>
      <c r="G385" s="1"/>
      <c r="H385" s="1" t="str">
        <f>IFERROR(__xludf.DUMMYFUNCTION("""COMPUTED_VALUE"""),"")</f>
        <v/>
      </c>
      <c r="I385" s="1" t="str">
        <f>IFERROR(__xludf.DUMMYFUNCTION("""COMPUTED_VALUE"""),"")</f>
        <v/>
      </c>
    </row>
    <row r="386" customHeight="1" spans="1:9">
      <c r="A386" s="1" t="str">
        <f>IFERROR(__xludf.DUMMYFUNCTION("""COMPUTED_VALUE"""),"São Francisco de Paula")</f>
        <v>São Francisco de Paula</v>
      </c>
      <c r="B386" s="144" t="str">
        <f>IFERROR(__xludf.DUMMYFUNCTION("""COMPUTED_VALUE"""),"2º CRBM")</f>
        <v>2º CRBM</v>
      </c>
      <c r="C386" s="1" t="str">
        <f>IFERROR(__xludf.DUMMYFUNCTION("""COMPUTED_VALUE"""),"5º BBM")</f>
        <v>5º BBM</v>
      </c>
      <c r="D386" s="1" t="str">
        <f>IFERROR(__xludf.DUMMYFUNCTION("""COMPUTED_VALUE"""),"Canela")</f>
        <v>Canela</v>
      </c>
      <c r="E386" s="1" t="str">
        <f>IFERROR(__xludf.DUMMYFUNCTION("""COMPUTED_VALUE"""),"Voluntersul")</f>
        <v>Voluntersul</v>
      </c>
      <c r="F386" s="1" t="str">
        <f>IFERROR(__xludf.DUMMYFUNCTION("""COMPUTED_VALUE"""),"Voluntersul")</f>
        <v>Voluntersul</v>
      </c>
      <c r="G386" s="234" t="str">
        <f>IFERROR(__xludf.DUMMYFUNCTION("""COMPUTED_VALUE""")," 2 - Em Credenciamento")</f>
        <v> 2 - Em Credenciamento</v>
      </c>
      <c r="H386" s="1" t="str">
        <f>IFERROR(__xludf.DUMMYFUNCTION("""COMPUTED_VALUE"""),"")</f>
        <v/>
      </c>
      <c r="I386" s="1" t="str">
        <f>IFERROR(__xludf.DUMMYFUNCTION("""COMPUTED_VALUE"""),"")</f>
        <v/>
      </c>
    </row>
    <row r="387" customHeight="1" spans="1:9">
      <c r="A387" s="1" t="str">
        <f>IFERROR(__xludf.DUMMYFUNCTION("""COMPUTED_VALUE"""),"São Gabriel")</f>
        <v>São Gabriel</v>
      </c>
      <c r="B387" s="144" t="str">
        <f>IFERROR(__xludf.DUMMYFUNCTION("""COMPUTED_VALUE"""),"3º CRBM")</f>
        <v>3º CRBM</v>
      </c>
      <c r="C387" s="1" t="str">
        <f>IFERROR(__xludf.DUMMYFUNCTION("""COMPUTED_VALUE"""),"10º BBM")</f>
        <v>10º BBM</v>
      </c>
      <c r="D387" s="1" t="str">
        <f>IFERROR(__xludf.DUMMYFUNCTION("""COMPUTED_VALUE"""),"São Gabriel")</f>
        <v>São Gabriel</v>
      </c>
      <c r="E387" s="1" t="str">
        <f>IFERROR(__xludf.DUMMYFUNCTION("""COMPUTED_VALUE"""),"Militar")</f>
        <v>Militar</v>
      </c>
      <c r="F387" s="1" t="str">
        <f>IFERROR(__xludf.DUMMYFUNCTION("""COMPUTED_VALUE"""),"Militar")</f>
        <v>Militar</v>
      </c>
      <c r="G387" s="1"/>
      <c r="H387" s="1">
        <f>IFERROR(__xludf.DUMMYFUNCTION("""COMPUTED_VALUE"""),1)</f>
        <v>1</v>
      </c>
      <c r="I387" s="1" t="str">
        <f>IFERROR(__xludf.DUMMYFUNCTION("""COMPUTED_VALUE"""),"")</f>
        <v/>
      </c>
    </row>
    <row r="388" customHeight="1" spans="1:9">
      <c r="A388" s="1" t="str">
        <f>IFERROR(__xludf.DUMMYFUNCTION("""COMPUTED_VALUE"""),"São Jerônimo")</f>
        <v>São Jerônimo</v>
      </c>
      <c r="B388" s="144" t="str">
        <f>IFERROR(__xludf.DUMMYFUNCTION("""COMPUTED_VALUE"""),"4º CRBM")</f>
        <v>4º CRBM</v>
      </c>
      <c r="C388" s="1" t="str">
        <f>IFERROR(__xludf.DUMMYFUNCTION("""COMPUTED_VALUE"""),"6º BBM")</f>
        <v>6º BBM</v>
      </c>
      <c r="D388" s="1" t="str">
        <f>IFERROR(__xludf.DUMMYFUNCTION("""COMPUTED_VALUE"""),"São Jerônimo")</f>
        <v>São Jerônimo</v>
      </c>
      <c r="E388" s="1" t="str">
        <f>IFERROR(__xludf.DUMMYFUNCTION("""COMPUTED_VALUE"""),"Militar")</f>
        <v>Militar</v>
      </c>
      <c r="F388" s="1" t="str">
        <f>IFERROR(__xludf.DUMMYFUNCTION("""COMPUTED_VALUE"""),"Militar")</f>
        <v>Militar</v>
      </c>
      <c r="G388" s="1"/>
      <c r="H388" s="1">
        <f>IFERROR(__xludf.DUMMYFUNCTION("""COMPUTED_VALUE"""),1)</f>
        <v>1</v>
      </c>
      <c r="I388" s="1" t="str">
        <f>IFERROR(__xludf.DUMMYFUNCTION("""COMPUTED_VALUE"""),"")</f>
        <v/>
      </c>
    </row>
    <row r="389" customHeight="1" spans="1:9">
      <c r="A389" s="1" t="str">
        <f>IFERROR(__xludf.DUMMYFUNCTION("""COMPUTED_VALUE"""),"São João da Urtiga")</f>
        <v>São João da Urtiga</v>
      </c>
      <c r="B389" s="144" t="str">
        <f>IFERROR(__xludf.DUMMYFUNCTION("""COMPUTED_VALUE"""),"2º CRBM")</f>
        <v>2º CRBM</v>
      </c>
      <c r="C389" s="1" t="str">
        <f>IFERROR(__xludf.DUMMYFUNCTION("""COMPUTED_VALUE"""),"5º BBM")</f>
        <v>5º BBM</v>
      </c>
      <c r="D389" s="1" t="str">
        <f>IFERROR(__xludf.DUMMYFUNCTION("""COMPUTED_VALUE"""),"Lagoa Vermelha")</f>
        <v>Lagoa Vermelha</v>
      </c>
      <c r="E389" s="1" t="str">
        <f>IFERROR(__xludf.DUMMYFUNCTION("""COMPUTED_VALUE"""),"SCAB")</f>
        <v>SCAB</v>
      </c>
      <c r="F389" s="1" t="str">
        <f>IFERROR(__xludf.DUMMYFUNCTION("""COMPUTED_VALUE"""),"Municipal")</f>
        <v>Municipal</v>
      </c>
      <c r="G389" s="234" t="str">
        <f>IFERROR(__xludf.DUMMYFUNCTION("""COMPUTED_VALUE""")," 1 - Credenciado")</f>
        <v> 1 - Credenciado</v>
      </c>
      <c r="H389" s="1" t="str">
        <f>IFERROR(__xludf.DUMMYFUNCTION("""COMPUTED_VALUE"""),"")</f>
        <v/>
      </c>
      <c r="I389" s="1" t="str">
        <f>IFERROR(__xludf.DUMMYFUNCTION("""COMPUTED_VALUE"""),"")</f>
        <v/>
      </c>
    </row>
    <row r="390" customHeight="1" spans="1:9">
      <c r="A390" s="1" t="str">
        <f>IFERROR(__xludf.DUMMYFUNCTION("""COMPUTED_VALUE"""),"São João do Polêsine")</f>
        <v>São João do Polêsine</v>
      </c>
      <c r="B390" s="144" t="str">
        <f>IFERROR(__xludf.DUMMYFUNCTION("""COMPUTED_VALUE"""),"4º CRBM")</f>
        <v>4º CRBM</v>
      </c>
      <c r="C390" s="1" t="str">
        <f>IFERROR(__xludf.DUMMYFUNCTION("""COMPUTED_VALUE"""),"4º BBM")</f>
        <v>4º BBM</v>
      </c>
      <c r="D390" s="1" t="str">
        <f>IFERROR(__xludf.DUMMYFUNCTION("""COMPUTED_VALUE"""),"Restinga Sêca")</f>
        <v>Restinga Sêca</v>
      </c>
      <c r="E390" s="1" t="str">
        <f>IFERROR(__xludf.DUMMYFUNCTION("""COMPUTED_VALUE"""),"NPBM")</f>
        <v>NPBM</v>
      </c>
      <c r="F390" s="1" t="str">
        <f>IFERROR(__xludf.DUMMYFUNCTION("""COMPUTED_VALUE"""),"NPBM")</f>
        <v>NPBM</v>
      </c>
      <c r="G390" s="1"/>
      <c r="H390" s="1" t="str">
        <f>IFERROR(__xludf.DUMMYFUNCTION("""COMPUTED_VALUE"""),"")</f>
        <v/>
      </c>
      <c r="I390" s="1" t="str">
        <f>IFERROR(__xludf.DUMMYFUNCTION("""COMPUTED_VALUE"""),"")</f>
        <v/>
      </c>
    </row>
    <row r="391" customHeight="1" spans="1:9">
      <c r="A391" s="1" t="str">
        <f>IFERROR(__xludf.DUMMYFUNCTION("""COMPUTED_VALUE"""),"São Jorge")</f>
        <v>São Jorge</v>
      </c>
      <c r="B391" s="144" t="str">
        <f>IFERROR(__xludf.DUMMYFUNCTION("""COMPUTED_VALUE"""),"2º CRBM")</f>
        <v>2º CRBM</v>
      </c>
      <c r="C391" s="1" t="str">
        <f>IFERROR(__xludf.DUMMYFUNCTION("""COMPUTED_VALUE"""),"5º BBM")</f>
        <v>5º BBM</v>
      </c>
      <c r="D391" s="1" t="str">
        <f>IFERROR(__xludf.DUMMYFUNCTION("""COMPUTED_VALUE"""),"Veranópolis")</f>
        <v>Veranópolis</v>
      </c>
      <c r="E391" s="1" t="str">
        <f>IFERROR(__xludf.DUMMYFUNCTION("""COMPUTED_VALUE"""),"NPBM")</f>
        <v>NPBM</v>
      </c>
      <c r="F391" s="1" t="str">
        <f>IFERROR(__xludf.DUMMYFUNCTION("""COMPUTED_VALUE"""),"NPBM")</f>
        <v>NPBM</v>
      </c>
      <c r="G391" s="1"/>
      <c r="H391" s="1" t="str">
        <f>IFERROR(__xludf.DUMMYFUNCTION("""COMPUTED_VALUE"""),"")</f>
        <v/>
      </c>
      <c r="I391" s="1" t="str">
        <f>IFERROR(__xludf.DUMMYFUNCTION("""COMPUTED_VALUE"""),"")</f>
        <v/>
      </c>
    </row>
    <row r="392" customHeight="1" spans="1:9">
      <c r="A392" s="1" t="str">
        <f>IFERROR(__xludf.DUMMYFUNCTION("""COMPUTED_VALUE"""),"São José das Missões")</f>
        <v>São José das Missões</v>
      </c>
      <c r="B392" s="144" t="str">
        <f>IFERROR(__xludf.DUMMYFUNCTION("""COMPUTED_VALUE"""),"4º CRBM")</f>
        <v>4º CRBM</v>
      </c>
      <c r="C392" s="1" t="str">
        <f>IFERROR(__xludf.DUMMYFUNCTION("""COMPUTED_VALUE"""),"12º BBM")</f>
        <v>12º BBM</v>
      </c>
      <c r="D392" s="1" t="str">
        <f>IFERROR(__xludf.DUMMYFUNCTION("""COMPUTED_VALUE"""),"Sarandi")</f>
        <v>Sarandi</v>
      </c>
      <c r="E392" s="1" t="str">
        <f>IFERROR(__xludf.DUMMYFUNCTION("""COMPUTED_VALUE"""),"NPBM")</f>
        <v>NPBM</v>
      </c>
      <c r="F392" s="1" t="str">
        <f>IFERROR(__xludf.DUMMYFUNCTION("""COMPUTED_VALUE"""),"NPBM")</f>
        <v>NPBM</v>
      </c>
      <c r="G392" s="1"/>
      <c r="H392" s="1" t="str">
        <f>IFERROR(__xludf.DUMMYFUNCTION("""COMPUTED_VALUE"""),"")</f>
        <v/>
      </c>
      <c r="I392" s="1" t="str">
        <f>IFERROR(__xludf.DUMMYFUNCTION("""COMPUTED_VALUE"""),"")</f>
        <v/>
      </c>
    </row>
    <row r="393" customHeight="1" spans="1:9">
      <c r="A393" s="1" t="str">
        <f>IFERROR(__xludf.DUMMYFUNCTION("""COMPUTED_VALUE"""),"São José do Herval")</f>
        <v>São José do Herval</v>
      </c>
      <c r="B393" s="144" t="str">
        <f>IFERROR(__xludf.DUMMYFUNCTION("""COMPUTED_VALUE"""),"2º CRBM")</f>
        <v>2º CRBM</v>
      </c>
      <c r="C393" s="1" t="str">
        <f>IFERROR(__xludf.DUMMYFUNCTION("""COMPUTED_VALUE"""),"7º BBM")</f>
        <v>7º BBM</v>
      </c>
      <c r="D393" s="1" t="str">
        <f>IFERROR(__xludf.DUMMYFUNCTION("""COMPUTED_VALUE"""),"Soledade")</f>
        <v>Soledade</v>
      </c>
      <c r="E393" s="1" t="str">
        <f>IFERROR(__xludf.DUMMYFUNCTION("""COMPUTED_VALUE"""),"NPBM")</f>
        <v>NPBM</v>
      </c>
      <c r="F393" s="1" t="str">
        <f>IFERROR(__xludf.DUMMYFUNCTION("""COMPUTED_VALUE"""),"NPBM")</f>
        <v>NPBM</v>
      </c>
      <c r="G393" s="1"/>
      <c r="H393" s="1" t="str">
        <f>IFERROR(__xludf.DUMMYFUNCTION("""COMPUTED_VALUE"""),"")</f>
        <v/>
      </c>
      <c r="I393" s="1" t="str">
        <f>IFERROR(__xludf.DUMMYFUNCTION("""COMPUTED_VALUE"""),"")</f>
        <v/>
      </c>
    </row>
    <row r="394" customHeight="1" spans="1:9">
      <c r="A394" s="1" t="str">
        <f>IFERROR(__xludf.DUMMYFUNCTION("""COMPUTED_VALUE"""),"São José do Hortêncio")</f>
        <v>São José do Hortêncio</v>
      </c>
      <c r="B394" s="144" t="str">
        <f>IFERROR(__xludf.DUMMYFUNCTION("""COMPUTED_VALUE"""),"2º CRBM")</f>
        <v>2º CRBM</v>
      </c>
      <c r="C394" s="1" t="str">
        <f>IFERROR(__xludf.DUMMYFUNCTION("""COMPUTED_VALUE"""),"2º BBM")</f>
        <v>2º BBM</v>
      </c>
      <c r="D394" s="1" t="str">
        <f>IFERROR(__xludf.DUMMYFUNCTION("""COMPUTED_VALUE"""),"Ivoti")</f>
        <v>Ivoti</v>
      </c>
      <c r="E394" s="1" t="str">
        <f>IFERROR(__xludf.DUMMYFUNCTION("""COMPUTED_VALUE"""),"Voluntersul")</f>
        <v>Voluntersul</v>
      </c>
      <c r="F394" s="1" t="str">
        <f>IFERROR(__xludf.DUMMYFUNCTION("""COMPUTED_VALUE"""),"Voluntersul")</f>
        <v>Voluntersul</v>
      </c>
      <c r="G394" s="234" t="str">
        <f>IFERROR(__xludf.DUMMYFUNCTION("""COMPUTED_VALUE""")," 3 - Não Regularizado")</f>
        <v> 3 - Não Regularizado</v>
      </c>
      <c r="H394" s="1" t="str">
        <f>IFERROR(__xludf.DUMMYFUNCTION("""COMPUTED_VALUE"""),"")</f>
        <v/>
      </c>
      <c r="I394" s="1" t="str">
        <f>IFERROR(__xludf.DUMMYFUNCTION("""COMPUTED_VALUE"""),"")</f>
        <v/>
      </c>
    </row>
    <row r="395" customHeight="1" spans="1:9">
      <c r="A395" s="1" t="str">
        <f>IFERROR(__xludf.DUMMYFUNCTION("""COMPUTED_VALUE"""),"São José do Inhacorá")</f>
        <v>São José do Inhacorá</v>
      </c>
      <c r="B395" s="144" t="str">
        <f>IFERROR(__xludf.DUMMYFUNCTION("""COMPUTED_VALUE"""),"4º CRBM")</f>
        <v>4º CRBM</v>
      </c>
      <c r="C395" s="1" t="str">
        <f>IFERROR(__xludf.DUMMYFUNCTION("""COMPUTED_VALUE"""),"11º BBM")</f>
        <v>11º BBM</v>
      </c>
      <c r="D395" s="1" t="str">
        <f>IFERROR(__xludf.DUMMYFUNCTION("""COMPUTED_VALUE"""),"Três de Maio")</f>
        <v>Três de Maio</v>
      </c>
      <c r="E395" s="1" t="str">
        <f>IFERROR(__xludf.DUMMYFUNCTION("""COMPUTED_VALUE"""),"NPBM")</f>
        <v>NPBM</v>
      </c>
      <c r="F395" s="1" t="str">
        <f>IFERROR(__xludf.DUMMYFUNCTION("""COMPUTED_VALUE"""),"NPBM")</f>
        <v>NPBM</v>
      </c>
      <c r="G395" s="1"/>
      <c r="H395" s="1" t="str">
        <f>IFERROR(__xludf.DUMMYFUNCTION("""COMPUTED_VALUE"""),"")</f>
        <v/>
      </c>
      <c r="I395" s="1" t="str">
        <f>IFERROR(__xludf.DUMMYFUNCTION("""COMPUTED_VALUE"""),"")</f>
        <v/>
      </c>
    </row>
    <row r="396" customHeight="1" spans="1:9">
      <c r="A396" s="1" t="str">
        <f>IFERROR(__xludf.DUMMYFUNCTION("""COMPUTED_VALUE"""),"São José do Norte")</f>
        <v>São José do Norte</v>
      </c>
      <c r="B396" s="144" t="str">
        <f>IFERROR(__xludf.DUMMYFUNCTION("""COMPUTED_VALUE"""),"3º CRBM")</f>
        <v>3º CRBM</v>
      </c>
      <c r="C396" s="1" t="str">
        <f>IFERROR(__xludf.DUMMYFUNCTION("""COMPUTED_VALUE"""),"3º BBM")</f>
        <v>3º BBM</v>
      </c>
      <c r="D396" s="1" t="str">
        <f>IFERROR(__xludf.DUMMYFUNCTION("""COMPUTED_VALUE"""),"São José do Norte")</f>
        <v>São José do Norte</v>
      </c>
      <c r="E396" s="1" t="str">
        <f>IFERROR(__xludf.DUMMYFUNCTION("""COMPUTED_VALUE"""),"Militar")</f>
        <v>Militar</v>
      </c>
      <c r="F396" s="1" t="str">
        <f>IFERROR(__xludf.DUMMYFUNCTION("""COMPUTED_VALUE"""),"Militar")</f>
        <v>Militar</v>
      </c>
      <c r="G396" s="1"/>
      <c r="H396" s="1">
        <f>IFERROR(__xludf.DUMMYFUNCTION("""COMPUTED_VALUE"""),1)</f>
        <v>1</v>
      </c>
      <c r="I396" s="1" t="str">
        <f>IFERROR(__xludf.DUMMYFUNCTION("""COMPUTED_VALUE"""),"")</f>
        <v/>
      </c>
    </row>
    <row r="397" customHeight="1" spans="1:9">
      <c r="A397" s="1" t="str">
        <f>IFERROR(__xludf.DUMMYFUNCTION("""COMPUTED_VALUE"""),"São José do Ouro")</f>
        <v>São José do Ouro</v>
      </c>
      <c r="B397" s="144" t="str">
        <f>IFERROR(__xludf.DUMMYFUNCTION("""COMPUTED_VALUE"""),"2º CRBM")</f>
        <v>2º CRBM</v>
      </c>
      <c r="C397" s="1" t="str">
        <f>IFERROR(__xludf.DUMMYFUNCTION("""COMPUTED_VALUE"""),"5º BBM")</f>
        <v>5º BBM</v>
      </c>
      <c r="D397" s="1" t="str">
        <f>IFERROR(__xludf.DUMMYFUNCTION("""COMPUTED_VALUE"""),"Lagoa Vermelha")</f>
        <v>Lagoa Vermelha</v>
      </c>
      <c r="E397" s="1" t="str">
        <f>IFERROR(__xludf.DUMMYFUNCTION("""COMPUTED_VALUE"""),"Voluntersul")</f>
        <v>Voluntersul</v>
      </c>
      <c r="F397" s="1" t="str">
        <f>IFERROR(__xludf.DUMMYFUNCTION("""COMPUTED_VALUE"""),"Voluntersul")</f>
        <v>Voluntersul</v>
      </c>
      <c r="G397" s="234" t="str">
        <f>IFERROR(__xludf.DUMMYFUNCTION("""COMPUTED_VALUE""")," 3 - Não Regularizado")</f>
        <v> 3 - Não Regularizado</v>
      </c>
      <c r="H397" s="1" t="str">
        <f>IFERROR(__xludf.DUMMYFUNCTION("""COMPUTED_VALUE"""),"")</f>
        <v/>
      </c>
      <c r="I397" s="1" t="str">
        <f>IFERROR(__xludf.DUMMYFUNCTION("""COMPUTED_VALUE"""),"")</f>
        <v/>
      </c>
    </row>
    <row r="398" customHeight="1" spans="1:9">
      <c r="A398" s="1" t="str">
        <f>IFERROR(__xludf.DUMMYFUNCTION("""COMPUTED_VALUE"""),"São José do Sul")</f>
        <v>São José do Sul</v>
      </c>
      <c r="B398" s="144" t="str">
        <f>IFERROR(__xludf.DUMMYFUNCTION("""COMPUTED_VALUE"""),"2º CRBM")</f>
        <v>2º CRBM</v>
      </c>
      <c r="C398" s="1" t="str">
        <f>IFERROR(__xludf.DUMMYFUNCTION("""COMPUTED_VALUE"""),"2º BBM")</f>
        <v>2º BBM</v>
      </c>
      <c r="D398" s="1" t="str">
        <f>IFERROR(__xludf.DUMMYFUNCTION("""COMPUTED_VALUE"""),"Montenegro")</f>
        <v>Montenegro</v>
      </c>
      <c r="E398" s="1" t="str">
        <f>IFERROR(__xludf.DUMMYFUNCTION("""COMPUTED_VALUE"""),"NPBM")</f>
        <v>NPBM</v>
      </c>
      <c r="F398" s="1" t="str">
        <f>IFERROR(__xludf.DUMMYFUNCTION("""COMPUTED_VALUE"""),"NPBM")</f>
        <v>NPBM</v>
      </c>
      <c r="G398" s="1"/>
      <c r="H398" s="1" t="str">
        <f>IFERROR(__xludf.DUMMYFUNCTION("""COMPUTED_VALUE"""),"")</f>
        <v/>
      </c>
      <c r="I398" s="1" t="str">
        <f>IFERROR(__xludf.DUMMYFUNCTION("""COMPUTED_VALUE"""),"")</f>
        <v/>
      </c>
    </row>
    <row r="399" customHeight="1" spans="1:9">
      <c r="A399" s="1" t="str">
        <f>IFERROR(__xludf.DUMMYFUNCTION("""COMPUTED_VALUE"""),"São José dos Ausentes")</f>
        <v>São José dos Ausentes</v>
      </c>
      <c r="B399" s="144" t="str">
        <f>IFERROR(__xludf.DUMMYFUNCTION("""COMPUTED_VALUE"""),"2º CRBM")</f>
        <v>2º CRBM</v>
      </c>
      <c r="C399" s="1" t="str">
        <f>IFERROR(__xludf.DUMMYFUNCTION("""COMPUTED_VALUE"""),"5º BBM")</f>
        <v>5º BBM</v>
      </c>
      <c r="D399" s="1" t="str">
        <f>IFERROR(__xludf.DUMMYFUNCTION("""COMPUTED_VALUE"""),"Vacaria")</f>
        <v>Vacaria</v>
      </c>
      <c r="E399" s="1" t="str">
        <f>IFERROR(__xludf.DUMMYFUNCTION("""COMPUTED_VALUE"""),"Voluntersul")</f>
        <v>Voluntersul</v>
      </c>
      <c r="F399" s="1" t="str">
        <f>IFERROR(__xludf.DUMMYFUNCTION("""COMPUTED_VALUE"""),"Voluntersul")</f>
        <v>Voluntersul</v>
      </c>
      <c r="G399" s="234" t="str">
        <f>IFERROR(__xludf.DUMMYFUNCTION("""COMPUTED_VALUE""")," 3 - Não Regularizado")</f>
        <v> 3 - Não Regularizado</v>
      </c>
      <c r="H399" s="1" t="str">
        <f>IFERROR(__xludf.DUMMYFUNCTION("""COMPUTED_VALUE"""),"")</f>
        <v/>
      </c>
      <c r="I399" s="1" t="str">
        <f>IFERROR(__xludf.DUMMYFUNCTION("""COMPUTED_VALUE"""),"")</f>
        <v/>
      </c>
    </row>
    <row r="400" customHeight="1" spans="1:9">
      <c r="A400" s="1" t="str">
        <f>IFERROR(__xludf.DUMMYFUNCTION("""COMPUTED_VALUE"""),"São Leopoldo")</f>
        <v>São Leopoldo</v>
      </c>
      <c r="B400" s="144" t="str">
        <f>IFERROR(__xludf.DUMMYFUNCTION("""COMPUTED_VALUE"""),"2º CRBM")</f>
        <v>2º CRBM</v>
      </c>
      <c r="C400" s="1" t="str">
        <f>IFERROR(__xludf.DUMMYFUNCTION("""COMPUTED_VALUE"""),"2º BBM")</f>
        <v>2º BBM</v>
      </c>
      <c r="D400" s="1" t="str">
        <f>IFERROR(__xludf.DUMMYFUNCTION("""COMPUTED_VALUE"""),"São Leopoldo")</f>
        <v>São Leopoldo</v>
      </c>
      <c r="E400" s="1" t="str">
        <f>IFERROR(__xludf.DUMMYFUNCTION("""COMPUTED_VALUE"""),"Militar")</f>
        <v>Militar</v>
      </c>
      <c r="F400" s="1" t="str">
        <f>IFERROR(__xludf.DUMMYFUNCTION("""COMPUTED_VALUE"""),"Militar")</f>
        <v>Militar</v>
      </c>
      <c r="G400" s="1"/>
      <c r="H400" s="1">
        <f>IFERROR(__xludf.DUMMYFUNCTION("""COMPUTED_VALUE"""),1)</f>
        <v>1</v>
      </c>
      <c r="I400" s="1" t="str">
        <f>IFERROR(__xludf.DUMMYFUNCTION("""COMPUTED_VALUE"""),"")</f>
        <v/>
      </c>
    </row>
    <row r="401" customHeight="1" spans="1:9">
      <c r="A401" s="1" t="str">
        <f>IFERROR(__xludf.DUMMYFUNCTION("""COMPUTED_VALUE"""),"São Lourenço do Sul")</f>
        <v>São Lourenço do Sul</v>
      </c>
      <c r="B401" s="144" t="str">
        <f>IFERROR(__xludf.DUMMYFUNCTION("""COMPUTED_VALUE"""),"4º CRBM")</f>
        <v>4º CRBM</v>
      </c>
      <c r="C401" s="1" t="str">
        <f>IFERROR(__xludf.DUMMYFUNCTION("""COMPUTED_VALUE"""),"6º BBM")</f>
        <v>6º BBM</v>
      </c>
      <c r="D401" s="1" t="str">
        <f>IFERROR(__xludf.DUMMYFUNCTION("""COMPUTED_VALUE"""),"São Lourenço do Sul")</f>
        <v>São Lourenço do Sul</v>
      </c>
      <c r="E401" s="1" t="str">
        <f>IFERROR(__xludf.DUMMYFUNCTION("""COMPUTED_VALUE"""),"Militar")</f>
        <v>Militar</v>
      </c>
      <c r="F401" s="1" t="str">
        <f>IFERROR(__xludf.DUMMYFUNCTION("""COMPUTED_VALUE"""),"Militar")</f>
        <v>Militar</v>
      </c>
      <c r="G401" s="1"/>
      <c r="H401" s="1">
        <f>IFERROR(__xludf.DUMMYFUNCTION("""COMPUTED_VALUE"""),1)</f>
        <v>1</v>
      </c>
      <c r="I401" s="1" t="str">
        <f>IFERROR(__xludf.DUMMYFUNCTION("""COMPUTED_VALUE"""),"")</f>
        <v/>
      </c>
    </row>
    <row r="402" customHeight="1" spans="1:9">
      <c r="A402" s="1" t="str">
        <f>IFERROR(__xludf.DUMMYFUNCTION("""COMPUTED_VALUE"""),"São Luiz Gonzaga")</f>
        <v>São Luiz Gonzaga</v>
      </c>
      <c r="B402" s="144" t="str">
        <f>IFERROR(__xludf.DUMMYFUNCTION("""COMPUTED_VALUE"""),"4º CRBM")</f>
        <v>4º CRBM</v>
      </c>
      <c r="C402" s="1" t="str">
        <f>IFERROR(__xludf.DUMMYFUNCTION("""COMPUTED_VALUE"""),"11º BBM")</f>
        <v>11º BBM</v>
      </c>
      <c r="D402" s="1" t="str">
        <f>IFERROR(__xludf.DUMMYFUNCTION("""COMPUTED_VALUE"""),"São Luiz Gonzaga")</f>
        <v>São Luiz Gonzaga</v>
      </c>
      <c r="E402" s="1" t="str">
        <f>IFERROR(__xludf.DUMMYFUNCTION("""COMPUTED_VALUE"""),"Militar")</f>
        <v>Militar</v>
      </c>
      <c r="F402" s="1" t="str">
        <f>IFERROR(__xludf.DUMMYFUNCTION("""COMPUTED_VALUE"""),"Militar")</f>
        <v>Militar</v>
      </c>
      <c r="G402" s="1"/>
      <c r="H402" s="1">
        <f>IFERROR(__xludf.DUMMYFUNCTION("""COMPUTED_VALUE"""),1)</f>
        <v>1</v>
      </c>
      <c r="I402" s="1" t="str">
        <f>IFERROR(__xludf.DUMMYFUNCTION("""COMPUTED_VALUE"""),"")</f>
        <v/>
      </c>
    </row>
    <row r="403" customHeight="1" spans="1:9">
      <c r="A403" s="1" t="str">
        <f>IFERROR(__xludf.DUMMYFUNCTION("""COMPUTED_VALUE"""),"São Marcos")</f>
        <v>São Marcos</v>
      </c>
      <c r="B403" s="144" t="str">
        <f>IFERROR(__xludf.DUMMYFUNCTION("""COMPUTED_VALUE"""),"2º CRBM")</f>
        <v>2º CRBM</v>
      </c>
      <c r="C403" s="1" t="str">
        <f>IFERROR(__xludf.DUMMYFUNCTION("""COMPUTED_VALUE"""),"5º BBM")</f>
        <v>5º BBM</v>
      </c>
      <c r="D403" s="1" t="str">
        <f>IFERROR(__xludf.DUMMYFUNCTION("""COMPUTED_VALUE"""),"São Marcos")</f>
        <v>São Marcos</v>
      </c>
      <c r="E403" s="1" t="str">
        <f>IFERROR(__xludf.DUMMYFUNCTION("""COMPUTED_VALUE"""),"Comunitário")</f>
        <v>Comunitário</v>
      </c>
      <c r="F403" s="1" t="str">
        <f>IFERROR(__xludf.DUMMYFUNCTION("""COMPUTED_VALUE"""),"Mil + Mun")</f>
        <v>Mil + Mun</v>
      </c>
      <c r="G403" s="1"/>
      <c r="H403" s="1">
        <f>IFERROR(__xludf.DUMMYFUNCTION("""COMPUTED_VALUE"""),1)</f>
        <v>1</v>
      </c>
      <c r="I403" s="1" t="str">
        <f>IFERROR(__xludf.DUMMYFUNCTION("""COMPUTED_VALUE"""),"")</f>
        <v/>
      </c>
    </row>
    <row r="404" customHeight="1" spans="1:9">
      <c r="A404" s="1" t="str">
        <f>IFERROR(__xludf.DUMMYFUNCTION("""COMPUTED_VALUE"""),"São Martinho")</f>
        <v>São Martinho</v>
      </c>
      <c r="B404" s="144" t="str">
        <f>IFERROR(__xludf.DUMMYFUNCTION("""COMPUTED_VALUE"""),"4º CRBM")</f>
        <v>4º CRBM</v>
      </c>
      <c r="C404" s="1" t="str">
        <f>IFERROR(__xludf.DUMMYFUNCTION("""COMPUTED_VALUE"""),"11º BBM")</f>
        <v>11º BBM</v>
      </c>
      <c r="D404" s="1" t="str">
        <f>IFERROR(__xludf.DUMMYFUNCTION("""COMPUTED_VALUE"""),"Três de Maio")</f>
        <v>Três de Maio</v>
      </c>
      <c r="E404" s="1" t="str">
        <f>IFERROR(__xludf.DUMMYFUNCTION("""COMPUTED_VALUE"""),"NPBM")</f>
        <v>NPBM</v>
      </c>
      <c r="F404" s="1" t="str">
        <f>IFERROR(__xludf.DUMMYFUNCTION("""COMPUTED_VALUE"""),"NPBM")</f>
        <v>NPBM</v>
      </c>
      <c r="G404" s="1"/>
      <c r="H404" s="1" t="str">
        <f>IFERROR(__xludf.DUMMYFUNCTION("""COMPUTED_VALUE"""),"")</f>
        <v/>
      </c>
      <c r="I404" s="1" t="str">
        <f>IFERROR(__xludf.DUMMYFUNCTION("""COMPUTED_VALUE"""),"")</f>
        <v/>
      </c>
    </row>
    <row r="405" customHeight="1" spans="1:9">
      <c r="A405" s="1" t="str">
        <f>IFERROR(__xludf.DUMMYFUNCTION("""COMPUTED_VALUE"""),"São Martinho da Serra")</f>
        <v>São Martinho da Serra</v>
      </c>
      <c r="B405" s="144" t="str">
        <f>IFERROR(__xludf.DUMMYFUNCTION("""COMPUTED_VALUE"""),"4º CRBM")</f>
        <v>4º CRBM</v>
      </c>
      <c r="C405" s="1" t="str">
        <f>IFERROR(__xludf.DUMMYFUNCTION("""COMPUTED_VALUE"""),"4º BBM")</f>
        <v>4º BBM</v>
      </c>
      <c r="D405" s="1" t="str">
        <f>IFERROR(__xludf.DUMMYFUNCTION("""COMPUTED_VALUE"""),"Santa Maria")</f>
        <v>Santa Maria</v>
      </c>
      <c r="E405" s="1" t="str">
        <f>IFERROR(__xludf.DUMMYFUNCTION("""COMPUTED_VALUE"""),"SCAB")</f>
        <v>SCAB</v>
      </c>
      <c r="F405" s="1" t="str">
        <f>IFERROR(__xludf.DUMMYFUNCTION("""COMPUTED_VALUE"""),"Municipal")</f>
        <v>Municipal</v>
      </c>
      <c r="G405" s="234" t="str">
        <f>IFERROR(__xludf.DUMMYFUNCTION("""COMPUTED_VALUE""")," 1 - Credenciado")</f>
        <v> 1 - Credenciado</v>
      </c>
      <c r="H405" s="1" t="str">
        <f>IFERROR(__xludf.DUMMYFUNCTION("""COMPUTED_VALUE"""),"")</f>
        <v/>
      </c>
      <c r="I405" s="1" t="str">
        <f>IFERROR(__xludf.DUMMYFUNCTION("""COMPUTED_VALUE"""),"")</f>
        <v/>
      </c>
    </row>
    <row r="406" customHeight="1" spans="1:9">
      <c r="A406" s="1" t="str">
        <f>IFERROR(__xludf.DUMMYFUNCTION("""COMPUTED_VALUE"""),"São Miguel das Missões")</f>
        <v>São Miguel das Missões</v>
      </c>
      <c r="B406" s="144" t="str">
        <f>IFERROR(__xludf.DUMMYFUNCTION("""COMPUTED_VALUE"""),"4º CRBM")</f>
        <v>4º CRBM</v>
      </c>
      <c r="C406" s="1" t="str">
        <f>IFERROR(__xludf.DUMMYFUNCTION("""COMPUTED_VALUE"""),"11º BBM")</f>
        <v>11º BBM</v>
      </c>
      <c r="D406" s="1" t="str">
        <f>IFERROR(__xludf.DUMMYFUNCTION("""COMPUTED_VALUE"""),"Santo Ângelo")</f>
        <v>Santo Ângelo</v>
      </c>
      <c r="E406" s="1" t="str">
        <f>IFERROR(__xludf.DUMMYFUNCTION("""COMPUTED_VALUE"""),"NPBM")</f>
        <v>NPBM</v>
      </c>
      <c r="F406" s="1" t="str">
        <f>IFERROR(__xludf.DUMMYFUNCTION("""COMPUTED_VALUE"""),"NPBM")</f>
        <v>NPBM</v>
      </c>
      <c r="G406" s="234" t="str">
        <f>IFERROR(__xludf.DUMMYFUNCTION("""COMPUTED_VALUE""")," 2 - Em Credenciamento")</f>
        <v> 2 - Em Credenciamento</v>
      </c>
      <c r="H406" s="1" t="str">
        <f>IFERROR(__xludf.DUMMYFUNCTION("""COMPUTED_VALUE"""),"")</f>
        <v/>
      </c>
      <c r="I406" s="1" t="str">
        <f>IFERROR(__xludf.DUMMYFUNCTION("""COMPUTED_VALUE"""),"")</f>
        <v/>
      </c>
    </row>
    <row r="407" customHeight="1" spans="1:9">
      <c r="A407" s="1" t="str">
        <f>IFERROR(__xludf.DUMMYFUNCTION("""COMPUTED_VALUE"""),"São Nicolau")</f>
        <v>São Nicolau</v>
      </c>
      <c r="B407" s="144" t="str">
        <f>IFERROR(__xludf.DUMMYFUNCTION("""COMPUTED_VALUE"""),"4º CRBM")</f>
        <v>4º CRBM</v>
      </c>
      <c r="C407" s="1" t="str">
        <f>IFERROR(__xludf.DUMMYFUNCTION("""COMPUTED_VALUE"""),"11º BBM")</f>
        <v>11º BBM</v>
      </c>
      <c r="D407" s="1" t="str">
        <f>IFERROR(__xludf.DUMMYFUNCTION("""COMPUTED_VALUE"""),"São Luiz Gonzaga")</f>
        <v>São Luiz Gonzaga</v>
      </c>
      <c r="E407" s="1" t="str">
        <f>IFERROR(__xludf.DUMMYFUNCTION("""COMPUTED_VALUE"""),"NPBM")</f>
        <v>NPBM</v>
      </c>
      <c r="F407" s="1" t="str">
        <f>IFERROR(__xludf.DUMMYFUNCTION("""COMPUTED_VALUE"""),"NPBM")</f>
        <v>NPBM</v>
      </c>
      <c r="G407" s="1"/>
      <c r="H407" s="1" t="str">
        <f>IFERROR(__xludf.DUMMYFUNCTION("""COMPUTED_VALUE"""),"")</f>
        <v/>
      </c>
      <c r="I407" s="1" t="str">
        <f>IFERROR(__xludf.DUMMYFUNCTION("""COMPUTED_VALUE"""),"")</f>
        <v/>
      </c>
    </row>
    <row r="408" customHeight="1" spans="1:9">
      <c r="A408" s="1" t="str">
        <f>IFERROR(__xludf.DUMMYFUNCTION("""COMPUTED_VALUE"""),"São Paulo das Missões")</f>
        <v>São Paulo das Missões</v>
      </c>
      <c r="B408" s="144" t="str">
        <f>IFERROR(__xludf.DUMMYFUNCTION("""COMPUTED_VALUE"""),"4º CRBM")</f>
        <v>4º CRBM</v>
      </c>
      <c r="C408" s="1" t="str">
        <f>IFERROR(__xludf.DUMMYFUNCTION("""COMPUTED_VALUE"""),"11º BBM")</f>
        <v>11º BBM</v>
      </c>
      <c r="D408" s="1" t="str">
        <f>IFERROR(__xludf.DUMMYFUNCTION("""COMPUTED_VALUE"""),"Santa Rosa")</f>
        <v>Santa Rosa</v>
      </c>
      <c r="E408" s="1" t="str">
        <f>IFERROR(__xludf.DUMMYFUNCTION("""COMPUTED_VALUE"""),"NPBM")</f>
        <v>NPBM</v>
      </c>
      <c r="F408" s="1" t="str">
        <f>IFERROR(__xludf.DUMMYFUNCTION("""COMPUTED_VALUE"""),"NPBM")</f>
        <v>NPBM</v>
      </c>
      <c r="G408" s="1"/>
      <c r="H408" s="1" t="str">
        <f>IFERROR(__xludf.DUMMYFUNCTION("""COMPUTED_VALUE"""),"")</f>
        <v/>
      </c>
      <c r="I408" s="1" t="str">
        <f>IFERROR(__xludf.DUMMYFUNCTION("""COMPUTED_VALUE"""),"")</f>
        <v/>
      </c>
    </row>
    <row r="409" customHeight="1" spans="1:9">
      <c r="A409" s="1" t="str">
        <f>IFERROR(__xludf.DUMMYFUNCTION("""COMPUTED_VALUE"""),"São Pedro da Serra")</f>
        <v>São Pedro da Serra</v>
      </c>
      <c r="B409" s="144" t="str">
        <f>IFERROR(__xludf.DUMMYFUNCTION("""COMPUTED_VALUE"""),"2º CRBM")</f>
        <v>2º CRBM</v>
      </c>
      <c r="C409" s="1" t="str">
        <f>IFERROR(__xludf.DUMMYFUNCTION("""COMPUTED_VALUE"""),"2º BBM")</f>
        <v>2º BBM</v>
      </c>
      <c r="D409" s="1" t="str">
        <f>IFERROR(__xludf.DUMMYFUNCTION("""COMPUTED_VALUE"""),"Montenegro")</f>
        <v>Montenegro</v>
      </c>
      <c r="E409" s="1" t="str">
        <f>IFERROR(__xludf.DUMMYFUNCTION("""COMPUTED_VALUE"""),"NPBM")</f>
        <v>NPBM</v>
      </c>
      <c r="F409" s="1" t="str">
        <f>IFERROR(__xludf.DUMMYFUNCTION("""COMPUTED_VALUE"""),"NPBM")</f>
        <v>NPBM</v>
      </c>
      <c r="G409" s="1"/>
      <c r="H409" s="1" t="str">
        <f>IFERROR(__xludf.DUMMYFUNCTION("""COMPUTED_VALUE"""),"")</f>
        <v/>
      </c>
      <c r="I409" s="1" t="str">
        <f>IFERROR(__xludf.DUMMYFUNCTION("""COMPUTED_VALUE"""),"")</f>
        <v/>
      </c>
    </row>
    <row r="410" customHeight="1" spans="1:9">
      <c r="A410" s="1" t="str">
        <f>IFERROR(__xludf.DUMMYFUNCTION("""COMPUTED_VALUE"""),"São Pedro das Missões")</f>
        <v>São Pedro das Missões</v>
      </c>
      <c r="B410" s="144" t="str">
        <f>IFERROR(__xludf.DUMMYFUNCTION("""COMPUTED_VALUE"""),"4º CRBM")</f>
        <v>4º CRBM</v>
      </c>
      <c r="C410" s="1" t="str">
        <f>IFERROR(__xludf.DUMMYFUNCTION("""COMPUTED_VALUE"""),"12º BBM")</f>
        <v>12º BBM</v>
      </c>
      <c r="D410" s="1" t="str">
        <f>IFERROR(__xludf.DUMMYFUNCTION("""COMPUTED_VALUE"""),"Palmeira das Missões")</f>
        <v>Palmeira das Missões</v>
      </c>
      <c r="E410" s="1" t="str">
        <f>IFERROR(__xludf.DUMMYFUNCTION("""COMPUTED_VALUE"""),"NPBM")</f>
        <v>NPBM</v>
      </c>
      <c r="F410" s="1" t="str">
        <f>IFERROR(__xludf.DUMMYFUNCTION("""COMPUTED_VALUE"""),"NPBM")</f>
        <v>NPBM</v>
      </c>
      <c r="G410" s="1"/>
      <c r="H410" s="1" t="str">
        <f>IFERROR(__xludf.DUMMYFUNCTION("""COMPUTED_VALUE"""),"")</f>
        <v/>
      </c>
      <c r="I410" s="1" t="str">
        <f>IFERROR(__xludf.DUMMYFUNCTION("""COMPUTED_VALUE"""),"")</f>
        <v/>
      </c>
    </row>
    <row r="411" customHeight="1" spans="1:9">
      <c r="A411" s="1" t="str">
        <f>IFERROR(__xludf.DUMMYFUNCTION("""COMPUTED_VALUE"""),"São Pedro do Butiá")</f>
        <v>São Pedro do Butiá</v>
      </c>
      <c r="B411" s="144" t="str">
        <f>IFERROR(__xludf.DUMMYFUNCTION("""COMPUTED_VALUE"""),"4º CRBM")</f>
        <v>4º CRBM</v>
      </c>
      <c r="C411" s="1" t="str">
        <f>IFERROR(__xludf.DUMMYFUNCTION("""COMPUTED_VALUE"""),"11º BBM")</f>
        <v>11º BBM</v>
      </c>
      <c r="D411" s="1" t="str">
        <f>IFERROR(__xludf.DUMMYFUNCTION("""COMPUTED_VALUE"""),"São Luiz Gonzaga")</f>
        <v>São Luiz Gonzaga</v>
      </c>
      <c r="E411" s="1" t="str">
        <f>IFERROR(__xludf.DUMMYFUNCTION("""COMPUTED_VALUE"""),"NPBM")</f>
        <v>NPBM</v>
      </c>
      <c r="F411" s="1" t="str">
        <f>IFERROR(__xludf.DUMMYFUNCTION("""COMPUTED_VALUE"""),"NPBM")</f>
        <v>NPBM</v>
      </c>
      <c r="G411" s="1"/>
      <c r="H411" s="1" t="str">
        <f>IFERROR(__xludf.DUMMYFUNCTION("""COMPUTED_VALUE"""),"")</f>
        <v/>
      </c>
      <c r="I411" s="1" t="str">
        <f>IFERROR(__xludf.DUMMYFUNCTION("""COMPUTED_VALUE"""),"")</f>
        <v/>
      </c>
    </row>
    <row r="412" customHeight="1" spans="1:9">
      <c r="A412" s="1" t="str">
        <f>IFERROR(__xludf.DUMMYFUNCTION("""COMPUTED_VALUE"""),"São Pedro do Sul")</f>
        <v>São Pedro do Sul</v>
      </c>
      <c r="B412" s="144" t="str">
        <f>IFERROR(__xludf.DUMMYFUNCTION("""COMPUTED_VALUE"""),"4º CRBM")</f>
        <v>4º CRBM</v>
      </c>
      <c r="C412" s="1" t="str">
        <f>IFERROR(__xludf.DUMMYFUNCTION("""COMPUTED_VALUE"""),"4º BBM")</f>
        <v>4º BBM</v>
      </c>
      <c r="D412" s="1" t="str">
        <f>IFERROR(__xludf.DUMMYFUNCTION("""COMPUTED_VALUE"""),"São Pedro do Sul")</f>
        <v>São Pedro do Sul</v>
      </c>
      <c r="E412" s="1" t="str">
        <f>IFERROR(__xludf.DUMMYFUNCTION("""COMPUTED_VALUE"""),"Militar")</f>
        <v>Militar</v>
      </c>
      <c r="F412" s="1" t="str">
        <f>IFERROR(__xludf.DUMMYFUNCTION("""COMPUTED_VALUE"""),"Militar")</f>
        <v>Militar</v>
      </c>
      <c r="G412" s="1"/>
      <c r="H412" s="1">
        <f>IFERROR(__xludf.DUMMYFUNCTION("""COMPUTED_VALUE"""),1)</f>
        <v>1</v>
      </c>
      <c r="I412" s="1" t="str">
        <f>IFERROR(__xludf.DUMMYFUNCTION("""COMPUTED_VALUE"""),"")</f>
        <v/>
      </c>
    </row>
    <row r="413" customHeight="1" spans="1:9">
      <c r="A413" s="1" t="str">
        <f>IFERROR(__xludf.DUMMYFUNCTION("""COMPUTED_VALUE"""),"São Sebastião do Caí")</f>
        <v>São Sebastião do Caí</v>
      </c>
      <c r="B413" s="144" t="str">
        <f>IFERROR(__xludf.DUMMYFUNCTION("""COMPUTED_VALUE"""),"2º CRBM")</f>
        <v>2º CRBM</v>
      </c>
      <c r="C413" s="1" t="str">
        <f>IFERROR(__xludf.DUMMYFUNCTION("""COMPUTED_VALUE"""),"2º BBM")</f>
        <v>2º BBM</v>
      </c>
      <c r="D413" s="1" t="str">
        <f>IFERROR(__xludf.DUMMYFUNCTION("""COMPUTED_VALUE"""),"Portão")</f>
        <v>Portão</v>
      </c>
      <c r="E413" s="1" t="str">
        <f>IFERROR(__xludf.DUMMYFUNCTION("""COMPUTED_VALUE"""),"Voluntersul")</f>
        <v>Voluntersul</v>
      </c>
      <c r="F413" s="1" t="str">
        <f>IFERROR(__xludf.DUMMYFUNCTION("""COMPUTED_VALUE"""),"Voluntersul")</f>
        <v>Voluntersul</v>
      </c>
      <c r="G413" s="234" t="str">
        <f>IFERROR(__xludf.DUMMYFUNCTION("""COMPUTED_VALUE""")," 3 - Não Regularizado")</f>
        <v> 3 - Não Regularizado</v>
      </c>
      <c r="H413" s="1" t="str">
        <f>IFERROR(__xludf.DUMMYFUNCTION("""COMPUTED_VALUE"""),"")</f>
        <v/>
      </c>
      <c r="I413" s="1" t="str">
        <f>IFERROR(__xludf.DUMMYFUNCTION("""COMPUTED_VALUE"""),"")</f>
        <v/>
      </c>
    </row>
    <row r="414" customHeight="1" spans="1:9">
      <c r="A414" s="1" t="str">
        <f>IFERROR(__xludf.DUMMYFUNCTION("""COMPUTED_VALUE"""),"São Sepé")</f>
        <v>São Sepé</v>
      </c>
      <c r="B414" s="144" t="str">
        <f>IFERROR(__xludf.DUMMYFUNCTION("""COMPUTED_VALUE"""),"4º CRBM")</f>
        <v>4º CRBM</v>
      </c>
      <c r="C414" s="1" t="str">
        <f>IFERROR(__xludf.DUMMYFUNCTION("""COMPUTED_VALUE"""),"4º BBM")</f>
        <v>4º BBM</v>
      </c>
      <c r="D414" s="1" t="str">
        <f>IFERROR(__xludf.DUMMYFUNCTION("""COMPUTED_VALUE"""),"São Sepé")</f>
        <v>São Sepé</v>
      </c>
      <c r="E414" s="1" t="str">
        <f>IFERROR(__xludf.DUMMYFUNCTION("""COMPUTED_VALUE"""),"Comunitário")</f>
        <v>Comunitário</v>
      </c>
      <c r="F414" s="1" t="str">
        <f>IFERROR(__xludf.DUMMYFUNCTION("""COMPUTED_VALUE"""),"Mil + Mun")</f>
        <v>Mil + Mun</v>
      </c>
      <c r="G414" s="1"/>
      <c r="H414" s="1">
        <f>IFERROR(__xludf.DUMMYFUNCTION("""COMPUTED_VALUE"""),1)</f>
        <v>1</v>
      </c>
      <c r="I414" s="1" t="str">
        <f>IFERROR(__xludf.DUMMYFUNCTION("""COMPUTED_VALUE"""),"")</f>
        <v/>
      </c>
    </row>
    <row r="415" customHeight="1" spans="1:9">
      <c r="A415" s="1" t="str">
        <f>IFERROR(__xludf.DUMMYFUNCTION("""COMPUTED_VALUE"""),"São Valentim")</f>
        <v>São Valentim</v>
      </c>
      <c r="B415" s="144" t="str">
        <f>IFERROR(__xludf.DUMMYFUNCTION("""COMPUTED_VALUE"""),"2º CRBM")</f>
        <v>2º CRBM</v>
      </c>
      <c r="C415" s="1" t="str">
        <f>IFERROR(__xludf.DUMMYFUNCTION("""COMPUTED_VALUE"""),"7º BBM")</f>
        <v>7º BBM</v>
      </c>
      <c r="D415" s="1" t="str">
        <f>IFERROR(__xludf.DUMMYFUNCTION("""COMPUTED_VALUE"""),"Erechim")</f>
        <v>Erechim</v>
      </c>
      <c r="E415" s="1" t="str">
        <f>IFERROR(__xludf.DUMMYFUNCTION("""COMPUTED_VALUE"""),"Voluntersul")</f>
        <v>Voluntersul</v>
      </c>
      <c r="F415" s="1" t="str">
        <f>IFERROR(__xludf.DUMMYFUNCTION("""COMPUTED_VALUE"""),"Voluntersul")</f>
        <v>Voluntersul</v>
      </c>
      <c r="G415" s="234" t="str">
        <f>IFERROR(__xludf.DUMMYFUNCTION("""COMPUTED_VALUE""")," 2 - Em Credenciamento")</f>
        <v> 2 - Em Credenciamento</v>
      </c>
      <c r="H415" s="1" t="str">
        <f>IFERROR(__xludf.DUMMYFUNCTION("""COMPUTED_VALUE"""),"")</f>
        <v/>
      </c>
      <c r="I415" s="1" t="str">
        <f>IFERROR(__xludf.DUMMYFUNCTION("""COMPUTED_VALUE"""),"")</f>
        <v/>
      </c>
    </row>
    <row r="416" customHeight="1" spans="1:9">
      <c r="A416" s="1" t="str">
        <f>IFERROR(__xludf.DUMMYFUNCTION("""COMPUTED_VALUE"""),"São Valentim do Sul")</f>
        <v>São Valentim do Sul</v>
      </c>
      <c r="B416" s="144" t="str">
        <f>IFERROR(__xludf.DUMMYFUNCTION("""COMPUTED_VALUE"""),"2º CRBM")</f>
        <v>2º CRBM</v>
      </c>
      <c r="C416" s="1" t="str">
        <f>IFERROR(__xludf.DUMMYFUNCTION("""COMPUTED_VALUE"""),"7º BBM")</f>
        <v>7º BBM</v>
      </c>
      <c r="D416" s="1" t="str">
        <f>IFERROR(__xludf.DUMMYFUNCTION("""COMPUTED_VALUE"""),"Guaporé")</f>
        <v>Guaporé</v>
      </c>
      <c r="E416" s="1" t="str">
        <f>IFERROR(__xludf.DUMMYFUNCTION("""COMPUTED_VALUE"""),"NPBM")</f>
        <v>NPBM</v>
      </c>
      <c r="F416" s="1" t="str">
        <f>IFERROR(__xludf.DUMMYFUNCTION("""COMPUTED_VALUE"""),"NPBM")</f>
        <v>NPBM</v>
      </c>
      <c r="G416" s="1"/>
      <c r="H416" s="1" t="str">
        <f>IFERROR(__xludf.DUMMYFUNCTION("""COMPUTED_VALUE"""),"")</f>
        <v/>
      </c>
      <c r="I416" s="1" t="str">
        <f>IFERROR(__xludf.DUMMYFUNCTION("""COMPUTED_VALUE"""),"")</f>
        <v/>
      </c>
    </row>
    <row r="417" customHeight="1" spans="1:9">
      <c r="A417" s="1" t="str">
        <f>IFERROR(__xludf.DUMMYFUNCTION("""COMPUTED_VALUE"""),"São Valério do Sul")</f>
        <v>São Valério do Sul</v>
      </c>
      <c r="B417" s="144" t="str">
        <f>IFERROR(__xludf.DUMMYFUNCTION("""COMPUTED_VALUE"""),"4º CRBM")</f>
        <v>4º CRBM</v>
      </c>
      <c r="C417" s="1" t="str">
        <f>IFERROR(__xludf.DUMMYFUNCTION("""COMPUTED_VALUE"""),"12º BBM")</f>
        <v>12º BBM</v>
      </c>
      <c r="D417" s="1" t="str">
        <f>IFERROR(__xludf.DUMMYFUNCTION("""COMPUTED_VALUE"""),"Ijuí")</f>
        <v>Ijuí</v>
      </c>
      <c r="E417" s="1" t="str">
        <f>IFERROR(__xludf.DUMMYFUNCTION("""COMPUTED_VALUE"""),"NPBM")</f>
        <v>NPBM</v>
      </c>
      <c r="F417" s="1" t="str">
        <f>IFERROR(__xludf.DUMMYFUNCTION("""COMPUTED_VALUE"""),"NPBM")</f>
        <v>NPBM</v>
      </c>
      <c r="G417" s="1"/>
      <c r="H417" s="1" t="str">
        <f>IFERROR(__xludf.DUMMYFUNCTION("""COMPUTED_VALUE"""),"")</f>
        <v/>
      </c>
      <c r="I417" s="1" t="str">
        <f>IFERROR(__xludf.DUMMYFUNCTION("""COMPUTED_VALUE"""),"")</f>
        <v/>
      </c>
    </row>
    <row r="418" customHeight="1" spans="1:9">
      <c r="A418" s="1" t="str">
        <f>IFERROR(__xludf.DUMMYFUNCTION("""COMPUTED_VALUE"""),"São Vendelino")</f>
        <v>São Vendelino</v>
      </c>
      <c r="B418" s="144" t="str">
        <f>IFERROR(__xludf.DUMMYFUNCTION("""COMPUTED_VALUE"""),"2º CRBM")</f>
        <v>2º CRBM</v>
      </c>
      <c r="C418" s="1" t="str">
        <f>IFERROR(__xludf.DUMMYFUNCTION("""COMPUTED_VALUE"""),"2º BBM")</f>
        <v>2º BBM</v>
      </c>
      <c r="D418" s="1" t="str">
        <f>IFERROR(__xludf.DUMMYFUNCTION("""COMPUTED_VALUE"""),"Farroupilha")</f>
        <v>Farroupilha</v>
      </c>
      <c r="E418" s="1" t="str">
        <f>IFERROR(__xludf.DUMMYFUNCTION("""COMPUTED_VALUE"""),"Voluntersul")</f>
        <v>Voluntersul</v>
      </c>
      <c r="F418" s="1" t="str">
        <f>IFERROR(__xludf.DUMMYFUNCTION("""COMPUTED_VALUE"""),"Voluntersul")</f>
        <v>Voluntersul</v>
      </c>
      <c r="G418" s="234" t="str">
        <f>IFERROR(__xludf.DUMMYFUNCTION("""COMPUTED_VALUE""")," 3 - Não Regularizado")</f>
        <v> 3 - Não Regularizado</v>
      </c>
      <c r="H418" s="1" t="str">
        <f>IFERROR(__xludf.DUMMYFUNCTION("""COMPUTED_VALUE"""),"")</f>
        <v/>
      </c>
      <c r="I418" s="1" t="str">
        <f>IFERROR(__xludf.DUMMYFUNCTION("""COMPUTED_VALUE"""),"")</f>
        <v/>
      </c>
    </row>
    <row r="419" customHeight="1" spans="1:9">
      <c r="A419" s="1" t="str">
        <f>IFERROR(__xludf.DUMMYFUNCTION("""COMPUTED_VALUE"""),"São Vicente do Sul")</f>
        <v>São Vicente do Sul</v>
      </c>
      <c r="B419" s="144" t="str">
        <f>IFERROR(__xludf.DUMMYFUNCTION("""COMPUTED_VALUE"""),"3º CRBM")</f>
        <v>3º CRBM</v>
      </c>
      <c r="C419" s="1" t="str">
        <f>IFERROR(__xludf.DUMMYFUNCTION("""COMPUTED_VALUE"""),"13º BBM")</f>
        <v>13º BBM</v>
      </c>
      <c r="D419" s="1" t="str">
        <f>IFERROR(__xludf.DUMMYFUNCTION("""COMPUTED_VALUE"""),"São Pedro do Sul")</f>
        <v>São Pedro do Sul</v>
      </c>
      <c r="E419" s="1" t="str">
        <f>IFERROR(__xludf.DUMMYFUNCTION("""COMPUTED_VALUE"""),"NPBM")</f>
        <v>NPBM</v>
      </c>
      <c r="F419" s="1" t="str">
        <f>IFERROR(__xludf.DUMMYFUNCTION("""COMPUTED_VALUE"""),"NPBM")</f>
        <v>NPBM</v>
      </c>
      <c r="G419" s="1"/>
      <c r="H419" s="1" t="str">
        <f>IFERROR(__xludf.DUMMYFUNCTION("""COMPUTED_VALUE"""),"")</f>
        <v/>
      </c>
      <c r="I419" s="1" t="str">
        <f>IFERROR(__xludf.DUMMYFUNCTION("""COMPUTED_VALUE"""),"")</f>
        <v/>
      </c>
    </row>
    <row r="420" customHeight="1" spans="1:9">
      <c r="A420" s="1" t="str">
        <f>IFERROR(__xludf.DUMMYFUNCTION("""COMPUTED_VALUE"""),"Sapiranga")</f>
        <v>Sapiranga</v>
      </c>
      <c r="B420" s="144" t="str">
        <f>IFERROR(__xludf.DUMMYFUNCTION("""COMPUTED_VALUE"""),"2º CRBM")</f>
        <v>2º CRBM</v>
      </c>
      <c r="C420" s="1" t="str">
        <f>IFERROR(__xludf.DUMMYFUNCTION("""COMPUTED_VALUE"""),"2º BBM")</f>
        <v>2º BBM</v>
      </c>
      <c r="D420" s="1" t="str">
        <f>IFERROR(__xludf.DUMMYFUNCTION("""COMPUTED_VALUE"""),"Sapiranga")</f>
        <v>Sapiranga</v>
      </c>
      <c r="E420" s="1" t="str">
        <f>IFERROR(__xludf.DUMMYFUNCTION("""COMPUTED_VALUE"""),"Militar")</f>
        <v>Militar</v>
      </c>
      <c r="F420" s="1" t="str">
        <f>IFERROR(__xludf.DUMMYFUNCTION("""COMPUTED_VALUE"""),"Militar")</f>
        <v>Militar</v>
      </c>
      <c r="G420" s="1"/>
      <c r="H420" s="1">
        <f>IFERROR(__xludf.DUMMYFUNCTION("""COMPUTED_VALUE"""),1)</f>
        <v>1</v>
      </c>
      <c r="I420" s="1" t="str">
        <f>IFERROR(__xludf.DUMMYFUNCTION("""COMPUTED_VALUE"""),"")</f>
        <v/>
      </c>
    </row>
    <row r="421" customHeight="1" spans="1:9">
      <c r="A421" s="1" t="str">
        <f>IFERROR(__xludf.DUMMYFUNCTION("""COMPUTED_VALUE"""),"Sapucaia do Sul")</f>
        <v>Sapucaia do Sul</v>
      </c>
      <c r="B421" s="144" t="str">
        <f>IFERROR(__xludf.DUMMYFUNCTION("""COMPUTED_VALUE"""),"1º CRBM")</f>
        <v>1º CRBM</v>
      </c>
      <c r="C421" s="1" t="str">
        <f>IFERROR(__xludf.DUMMYFUNCTION("""COMPUTED_VALUE"""),"8º BBM")</f>
        <v>8º BBM</v>
      </c>
      <c r="D421" s="1" t="str">
        <f>IFERROR(__xludf.DUMMYFUNCTION("""COMPUTED_VALUE"""),"Sapucaia do Sul")</f>
        <v>Sapucaia do Sul</v>
      </c>
      <c r="E421" s="1" t="str">
        <f>IFERROR(__xludf.DUMMYFUNCTION("""COMPUTED_VALUE"""),"Militar")</f>
        <v>Militar</v>
      </c>
      <c r="F421" s="1" t="str">
        <f>IFERROR(__xludf.DUMMYFUNCTION("""COMPUTED_VALUE"""),"Militar")</f>
        <v>Militar</v>
      </c>
      <c r="G421" s="1"/>
      <c r="H421" s="1">
        <f>IFERROR(__xludf.DUMMYFUNCTION("""COMPUTED_VALUE"""),1)</f>
        <v>1</v>
      </c>
      <c r="I421" s="1" t="str">
        <f>IFERROR(__xludf.DUMMYFUNCTION("""COMPUTED_VALUE"""),"")</f>
        <v/>
      </c>
    </row>
    <row r="422" customHeight="1" spans="1:9">
      <c r="A422" s="1" t="str">
        <f>IFERROR(__xludf.DUMMYFUNCTION("""COMPUTED_VALUE"""),"Sarandi")</f>
        <v>Sarandi</v>
      </c>
      <c r="B422" s="144" t="str">
        <f>IFERROR(__xludf.DUMMYFUNCTION("""COMPUTED_VALUE"""),"2º CRBM")</f>
        <v>2º CRBM</v>
      </c>
      <c r="C422" s="1" t="str">
        <f>IFERROR(__xludf.DUMMYFUNCTION("""COMPUTED_VALUE"""),"7º BBM")</f>
        <v>7º BBM</v>
      </c>
      <c r="D422" s="1" t="str">
        <f>IFERROR(__xludf.DUMMYFUNCTION("""COMPUTED_VALUE"""),"Sarandi")</f>
        <v>Sarandi</v>
      </c>
      <c r="E422" s="1" t="str">
        <f>IFERROR(__xludf.DUMMYFUNCTION("""COMPUTED_VALUE"""),"Comunitário")</f>
        <v>Comunitário</v>
      </c>
      <c r="F422" s="1" t="str">
        <f>IFERROR(__xludf.DUMMYFUNCTION("""COMPUTED_VALUE"""),"Mil + Mun")</f>
        <v>Mil + Mun</v>
      </c>
      <c r="G422" s="1"/>
      <c r="H422" s="1">
        <f>IFERROR(__xludf.DUMMYFUNCTION("""COMPUTED_VALUE"""),1)</f>
        <v>1</v>
      </c>
      <c r="I422" s="1" t="str">
        <f>IFERROR(__xludf.DUMMYFUNCTION("""COMPUTED_VALUE"""),"")</f>
        <v/>
      </c>
    </row>
    <row r="423" customHeight="1" spans="1:9">
      <c r="A423" s="1" t="str">
        <f>IFERROR(__xludf.DUMMYFUNCTION("""COMPUTED_VALUE"""),"Seberi")</f>
        <v>Seberi</v>
      </c>
      <c r="B423" s="144" t="str">
        <f>IFERROR(__xludf.DUMMYFUNCTION("""COMPUTED_VALUE"""),"4º CRBM")</f>
        <v>4º CRBM</v>
      </c>
      <c r="C423" s="1" t="str">
        <f>IFERROR(__xludf.DUMMYFUNCTION("""COMPUTED_VALUE"""),"12º BBM")</f>
        <v>12º BBM</v>
      </c>
      <c r="D423" s="1" t="str">
        <f>IFERROR(__xludf.DUMMYFUNCTION("""COMPUTED_VALUE"""),"Frederico Westphalen")</f>
        <v>Frederico Westphalen</v>
      </c>
      <c r="E423" s="1" t="str">
        <f>IFERROR(__xludf.DUMMYFUNCTION("""COMPUTED_VALUE"""),"NPBM")</f>
        <v>NPBM</v>
      </c>
      <c r="F423" s="1" t="str">
        <f>IFERROR(__xludf.DUMMYFUNCTION("""COMPUTED_VALUE"""),"NPBM")</f>
        <v>NPBM</v>
      </c>
      <c r="G423" s="1"/>
      <c r="H423" s="1" t="str">
        <f>IFERROR(__xludf.DUMMYFUNCTION("""COMPUTED_VALUE"""),"")</f>
        <v/>
      </c>
      <c r="I423" s="1" t="str">
        <f>IFERROR(__xludf.DUMMYFUNCTION("""COMPUTED_VALUE"""),"")</f>
        <v/>
      </c>
    </row>
    <row r="424" customHeight="1" spans="1:9">
      <c r="A424" s="1" t="str">
        <f>IFERROR(__xludf.DUMMYFUNCTION("""COMPUTED_VALUE"""),"Sede Nova")</f>
        <v>Sede Nova</v>
      </c>
      <c r="B424" s="144" t="str">
        <f>IFERROR(__xludf.DUMMYFUNCTION("""COMPUTED_VALUE"""),"4º CRBM")</f>
        <v>4º CRBM</v>
      </c>
      <c r="C424" s="1" t="str">
        <f>IFERROR(__xludf.DUMMYFUNCTION("""COMPUTED_VALUE"""),"11º BBM")</f>
        <v>11º BBM</v>
      </c>
      <c r="D424" s="1" t="str">
        <f>IFERROR(__xludf.DUMMYFUNCTION("""COMPUTED_VALUE"""),"Três Passos")</f>
        <v>Três Passos</v>
      </c>
      <c r="E424" s="1" t="str">
        <f>IFERROR(__xludf.DUMMYFUNCTION("""COMPUTED_VALUE"""),"NPBM")</f>
        <v>NPBM</v>
      </c>
      <c r="F424" s="1" t="str">
        <f>IFERROR(__xludf.DUMMYFUNCTION("""COMPUTED_VALUE"""),"NPBM")</f>
        <v>NPBM</v>
      </c>
      <c r="G424" s="1"/>
      <c r="H424" s="1" t="str">
        <f>IFERROR(__xludf.DUMMYFUNCTION("""COMPUTED_VALUE"""),"")</f>
        <v/>
      </c>
      <c r="I424" s="1" t="str">
        <f>IFERROR(__xludf.DUMMYFUNCTION("""COMPUTED_VALUE"""),"")</f>
        <v/>
      </c>
    </row>
    <row r="425" customHeight="1" spans="1:9">
      <c r="A425" s="1" t="str">
        <f>IFERROR(__xludf.DUMMYFUNCTION("""COMPUTED_VALUE"""),"Segredo")</f>
        <v>Segredo</v>
      </c>
      <c r="B425" s="144" t="str">
        <f>IFERROR(__xludf.DUMMYFUNCTION("""COMPUTED_VALUE"""),"4º CRBM")</f>
        <v>4º CRBM</v>
      </c>
      <c r="C425" s="1" t="str">
        <f>IFERROR(__xludf.DUMMYFUNCTION("""COMPUTED_VALUE"""),"6º BBM")</f>
        <v>6º BBM</v>
      </c>
      <c r="D425" s="1" t="str">
        <f>IFERROR(__xludf.DUMMYFUNCTION("""COMPUTED_VALUE"""),"Santa Cruz do Sul")</f>
        <v>Santa Cruz do Sul</v>
      </c>
      <c r="E425" s="1" t="str">
        <f>IFERROR(__xludf.DUMMYFUNCTION("""COMPUTED_VALUE"""),"NPBM")</f>
        <v>NPBM</v>
      </c>
      <c r="F425" s="1" t="str">
        <f>IFERROR(__xludf.DUMMYFUNCTION("""COMPUTED_VALUE"""),"NPBM")</f>
        <v>NPBM</v>
      </c>
      <c r="G425" s="1"/>
      <c r="H425" s="1" t="str">
        <f>IFERROR(__xludf.DUMMYFUNCTION("""COMPUTED_VALUE"""),"")</f>
        <v/>
      </c>
      <c r="I425" s="1" t="str">
        <f>IFERROR(__xludf.DUMMYFUNCTION("""COMPUTED_VALUE"""),"")</f>
        <v/>
      </c>
    </row>
    <row r="426" customHeight="1" spans="1:9">
      <c r="A426" s="1" t="str">
        <f>IFERROR(__xludf.DUMMYFUNCTION("""COMPUTED_VALUE"""),"Selbach")</f>
        <v>Selbach</v>
      </c>
      <c r="B426" s="144" t="str">
        <f>IFERROR(__xludf.DUMMYFUNCTION("""COMPUTED_VALUE"""),"4º CRBM")</f>
        <v>4º CRBM</v>
      </c>
      <c r="C426" s="1" t="str">
        <f>IFERROR(__xludf.DUMMYFUNCTION("""COMPUTED_VALUE"""),"12º BBM")</f>
        <v>12º BBM</v>
      </c>
      <c r="D426" s="1" t="str">
        <f>IFERROR(__xludf.DUMMYFUNCTION("""COMPUTED_VALUE"""),"Tapera")</f>
        <v>Tapera</v>
      </c>
      <c r="E426" s="1" t="str">
        <f>IFERROR(__xludf.DUMMYFUNCTION("""COMPUTED_VALUE"""),"NPBM")</f>
        <v>NPBM</v>
      </c>
      <c r="F426" s="1" t="str">
        <f>IFERROR(__xludf.DUMMYFUNCTION("""COMPUTED_VALUE"""),"NPBM")</f>
        <v>NPBM</v>
      </c>
      <c r="G426" s="1"/>
      <c r="H426" s="1" t="str">
        <f>IFERROR(__xludf.DUMMYFUNCTION("""COMPUTED_VALUE"""),"")</f>
        <v/>
      </c>
      <c r="I426" s="1" t="str">
        <f>IFERROR(__xludf.DUMMYFUNCTION("""COMPUTED_VALUE"""),"")</f>
        <v/>
      </c>
    </row>
    <row r="427" customHeight="1" spans="1:9">
      <c r="A427" s="1" t="str">
        <f>IFERROR(__xludf.DUMMYFUNCTION("""COMPUTED_VALUE"""),"Senador Salgado Filho")</f>
        <v>Senador Salgado Filho</v>
      </c>
      <c r="B427" s="144" t="str">
        <f>IFERROR(__xludf.DUMMYFUNCTION("""COMPUTED_VALUE"""),"4º CRBM")</f>
        <v>4º CRBM</v>
      </c>
      <c r="C427" s="1" t="str">
        <f>IFERROR(__xludf.DUMMYFUNCTION("""COMPUTED_VALUE"""),"11º BBM")</f>
        <v>11º BBM</v>
      </c>
      <c r="D427" s="1" t="str">
        <f>IFERROR(__xludf.DUMMYFUNCTION("""COMPUTED_VALUE"""),"Giruá")</f>
        <v>Giruá</v>
      </c>
      <c r="E427" s="1" t="str">
        <f>IFERROR(__xludf.DUMMYFUNCTION("""COMPUTED_VALUE"""),"NPBM")</f>
        <v>NPBM</v>
      </c>
      <c r="F427" s="1" t="str">
        <f>IFERROR(__xludf.DUMMYFUNCTION("""COMPUTED_VALUE"""),"NPBM")</f>
        <v>NPBM</v>
      </c>
      <c r="G427" s="1"/>
      <c r="H427" s="1" t="str">
        <f>IFERROR(__xludf.DUMMYFUNCTION("""COMPUTED_VALUE"""),"")</f>
        <v/>
      </c>
      <c r="I427" s="1" t="str">
        <f>IFERROR(__xludf.DUMMYFUNCTION("""COMPUTED_VALUE"""),"")</f>
        <v/>
      </c>
    </row>
    <row r="428" customHeight="1" spans="1:9">
      <c r="A428" s="1" t="str">
        <f>IFERROR(__xludf.DUMMYFUNCTION("""COMPUTED_VALUE"""),"Sentinela do Sul")</f>
        <v>Sentinela do Sul</v>
      </c>
      <c r="B428" s="144" t="str">
        <f>IFERROR(__xludf.DUMMYFUNCTION("""COMPUTED_VALUE"""),"4º CRBM")</f>
        <v>4º CRBM</v>
      </c>
      <c r="C428" s="1" t="str">
        <f>IFERROR(__xludf.DUMMYFUNCTION("""COMPUTED_VALUE"""),"6º BBM")</f>
        <v>6º BBM</v>
      </c>
      <c r="D428" s="1" t="str">
        <f>IFERROR(__xludf.DUMMYFUNCTION("""COMPUTED_VALUE"""),"Camaquã")</f>
        <v>Camaquã</v>
      </c>
      <c r="E428" s="1" t="str">
        <f>IFERROR(__xludf.DUMMYFUNCTION("""COMPUTED_VALUE"""),"NPBM")</f>
        <v>NPBM</v>
      </c>
      <c r="F428" s="1" t="str">
        <f>IFERROR(__xludf.DUMMYFUNCTION("""COMPUTED_VALUE"""),"NPBM")</f>
        <v>NPBM</v>
      </c>
      <c r="G428" s="1"/>
      <c r="H428" s="1" t="str">
        <f>IFERROR(__xludf.DUMMYFUNCTION("""COMPUTED_VALUE"""),"")</f>
        <v/>
      </c>
      <c r="I428" s="1" t="str">
        <f>IFERROR(__xludf.DUMMYFUNCTION("""COMPUTED_VALUE"""),"")</f>
        <v/>
      </c>
    </row>
    <row r="429" customHeight="1" spans="1:9">
      <c r="A429" s="1" t="str">
        <f>IFERROR(__xludf.DUMMYFUNCTION("""COMPUTED_VALUE"""),"Serafina Corrêa")</f>
        <v>Serafina Corrêa</v>
      </c>
      <c r="B429" s="144" t="str">
        <f>IFERROR(__xludf.DUMMYFUNCTION("""COMPUTED_VALUE"""),"2º CRBM")</f>
        <v>2º CRBM</v>
      </c>
      <c r="C429" s="1" t="str">
        <f>IFERROR(__xludf.DUMMYFUNCTION("""COMPUTED_VALUE"""),"7º BBM")</f>
        <v>7º BBM</v>
      </c>
      <c r="D429" s="1" t="str">
        <f>IFERROR(__xludf.DUMMYFUNCTION("""COMPUTED_VALUE"""),"Guaporé")</f>
        <v>Guaporé</v>
      </c>
      <c r="E429" s="1" t="str">
        <f>IFERROR(__xludf.DUMMYFUNCTION("""COMPUTED_VALUE"""),"SCAB")</f>
        <v>SCAB</v>
      </c>
      <c r="F429" s="1" t="str">
        <f>IFERROR(__xludf.DUMMYFUNCTION("""COMPUTED_VALUE"""),"Municipal")</f>
        <v>Municipal</v>
      </c>
      <c r="G429" s="234" t="str">
        <f>IFERROR(__xludf.DUMMYFUNCTION("""COMPUTED_VALUE""")," 1 - Credenciado")</f>
        <v> 1 - Credenciado</v>
      </c>
      <c r="H429" s="1" t="str">
        <f>IFERROR(__xludf.DUMMYFUNCTION("""COMPUTED_VALUE"""),"")</f>
        <v/>
      </c>
      <c r="I429" s="1" t="str">
        <f>IFERROR(__xludf.DUMMYFUNCTION("""COMPUTED_VALUE"""),"")</f>
        <v/>
      </c>
    </row>
    <row r="430" customHeight="1" spans="1:9">
      <c r="A430" s="1" t="str">
        <f>IFERROR(__xludf.DUMMYFUNCTION("""COMPUTED_VALUE"""),"Sério")</f>
        <v>Sério</v>
      </c>
      <c r="B430" s="144" t="str">
        <f>IFERROR(__xludf.DUMMYFUNCTION("""COMPUTED_VALUE"""),"4º CRBM")</f>
        <v>4º CRBM</v>
      </c>
      <c r="C430" s="1" t="str">
        <f>IFERROR(__xludf.DUMMYFUNCTION("""COMPUTED_VALUE"""),"6º BBM")</f>
        <v>6º BBM</v>
      </c>
      <c r="D430" s="1" t="str">
        <f>IFERROR(__xludf.DUMMYFUNCTION("""COMPUTED_VALUE"""),"Lajeado")</f>
        <v>Lajeado</v>
      </c>
      <c r="E430" s="1" t="str">
        <f>IFERROR(__xludf.DUMMYFUNCTION("""COMPUTED_VALUE"""),"NPBM")</f>
        <v>NPBM</v>
      </c>
      <c r="F430" s="1" t="str">
        <f>IFERROR(__xludf.DUMMYFUNCTION("""COMPUTED_VALUE"""),"NPBM")</f>
        <v>NPBM</v>
      </c>
      <c r="G430" s="1"/>
      <c r="H430" s="1" t="str">
        <f>IFERROR(__xludf.DUMMYFUNCTION("""COMPUTED_VALUE"""),"")</f>
        <v/>
      </c>
      <c r="I430" s="1" t="str">
        <f>IFERROR(__xludf.DUMMYFUNCTION("""COMPUTED_VALUE"""),"")</f>
        <v/>
      </c>
    </row>
    <row r="431" customHeight="1" spans="1:9">
      <c r="A431" s="1" t="str">
        <f>IFERROR(__xludf.DUMMYFUNCTION("""COMPUTED_VALUE"""),"Sertão")</f>
        <v>Sertão</v>
      </c>
      <c r="B431" s="144" t="str">
        <f>IFERROR(__xludf.DUMMYFUNCTION("""COMPUTED_VALUE"""),"2º CRBM")</f>
        <v>2º CRBM</v>
      </c>
      <c r="C431" s="1" t="str">
        <f>IFERROR(__xludf.DUMMYFUNCTION("""COMPUTED_VALUE"""),"7º BBM")</f>
        <v>7º BBM</v>
      </c>
      <c r="D431" s="1" t="str">
        <f>IFERROR(__xludf.DUMMYFUNCTION("""COMPUTED_VALUE"""),"Getúlio Vargas")</f>
        <v>Getúlio Vargas</v>
      </c>
      <c r="E431" s="1" t="str">
        <f>IFERROR(__xludf.DUMMYFUNCTION("""COMPUTED_VALUE"""),"NPBM")</f>
        <v>NPBM</v>
      </c>
      <c r="F431" s="1" t="str">
        <f>IFERROR(__xludf.DUMMYFUNCTION("""COMPUTED_VALUE"""),"NPBM")</f>
        <v>NPBM</v>
      </c>
      <c r="G431" s="1"/>
      <c r="H431" s="1" t="str">
        <f>IFERROR(__xludf.DUMMYFUNCTION("""COMPUTED_VALUE"""),"")</f>
        <v/>
      </c>
      <c r="I431" s="1" t="str">
        <f>IFERROR(__xludf.DUMMYFUNCTION("""COMPUTED_VALUE"""),"")</f>
        <v/>
      </c>
    </row>
    <row r="432" customHeight="1" spans="1:9">
      <c r="A432" s="1" t="str">
        <f>IFERROR(__xludf.DUMMYFUNCTION("""COMPUTED_VALUE"""),"Sertão Santana")</f>
        <v>Sertão Santana</v>
      </c>
      <c r="B432" s="144" t="str">
        <f>IFERROR(__xludf.DUMMYFUNCTION("""COMPUTED_VALUE"""),"4º CRBM")</f>
        <v>4º CRBM</v>
      </c>
      <c r="C432" s="1" t="str">
        <f>IFERROR(__xludf.DUMMYFUNCTION("""COMPUTED_VALUE"""),"6º BBM")</f>
        <v>6º BBM</v>
      </c>
      <c r="D432" s="1" t="str">
        <f>IFERROR(__xludf.DUMMYFUNCTION("""COMPUTED_VALUE"""),"Guaíba")</f>
        <v>Guaíba</v>
      </c>
      <c r="E432" s="1" t="str">
        <f>IFERROR(__xludf.DUMMYFUNCTION("""COMPUTED_VALUE"""),"NPBM")</f>
        <v>NPBM</v>
      </c>
      <c r="F432" s="1" t="str">
        <f>IFERROR(__xludf.DUMMYFUNCTION("""COMPUTED_VALUE"""),"NPBM")</f>
        <v>NPBM</v>
      </c>
      <c r="G432" s="1"/>
      <c r="H432" s="1" t="str">
        <f>IFERROR(__xludf.DUMMYFUNCTION("""COMPUTED_VALUE"""),"")</f>
        <v/>
      </c>
      <c r="I432" s="1" t="str">
        <f>IFERROR(__xludf.DUMMYFUNCTION("""COMPUTED_VALUE"""),"")</f>
        <v/>
      </c>
    </row>
    <row r="433" customHeight="1" spans="1:9">
      <c r="A433" s="1" t="str">
        <f>IFERROR(__xludf.DUMMYFUNCTION("""COMPUTED_VALUE"""),"Sete de Setembro")</f>
        <v>Sete de Setembro</v>
      </c>
      <c r="B433" s="144" t="str">
        <f>IFERROR(__xludf.DUMMYFUNCTION("""COMPUTED_VALUE"""),"4º CRBM")</f>
        <v>4º CRBM</v>
      </c>
      <c r="C433" s="1" t="str">
        <f>IFERROR(__xludf.DUMMYFUNCTION("""COMPUTED_VALUE"""),"11º BBM")</f>
        <v>11º BBM</v>
      </c>
      <c r="D433" s="1" t="str">
        <f>IFERROR(__xludf.DUMMYFUNCTION("""COMPUTED_VALUE"""),"Santo Ângelo")</f>
        <v>Santo Ângelo</v>
      </c>
      <c r="E433" s="1" t="str">
        <f>IFERROR(__xludf.DUMMYFUNCTION("""COMPUTED_VALUE"""),"NPBM")</f>
        <v>NPBM</v>
      </c>
      <c r="F433" s="1" t="str">
        <f>IFERROR(__xludf.DUMMYFUNCTION("""COMPUTED_VALUE"""),"NPBM")</f>
        <v>NPBM</v>
      </c>
      <c r="G433" s="1"/>
      <c r="H433" s="1" t="str">
        <f>IFERROR(__xludf.DUMMYFUNCTION("""COMPUTED_VALUE"""),"")</f>
        <v/>
      </c>
      <c r="I433" s="1" t="str">
        <f>IFERROR(__xludf.DUMMYFUNCTION("""COMPUTED_VALUE"""),"")</f>
        <v/>
      </c>
    </row>
    <row r="434" customHeight="1" spans="1:9">
      <c r="A434" s="1" t="str">
        <f>IFERROR(__xludf.DUMMYFUNCTION("""COMPUTED_VALUE"""),"Severiano de Almeida")</f>
        <v>Severiano de Almeida</v>
      </c>
      <c r="B434" s="144" t="str">
        <f>IFERROR(__xludf.DUMMYFUNCTION("""COMPUTED_VALUE"""),"2º CRBM")</f>
        <v>2º CRBM</v>
      </c>
      <c r="C434" s="1" t="str">
        <f>IFERROR(__xludf.DUMMYFUNCTION("""COMPUTED_VALUE"""),"7º BBM")</f>
        <v>7º BBM</v>
      </c>
      <c r="D434" s="1" t="str">
        <f>IFERROR(__xludf.DUMMYFUNCTION("""COMPUTED_VALUE"""),"Erechim")</f>
        <v>Erechim</v>
      </c>
      <c r="E434" s="1" t="str">
        <f>IFERROR(__xludf.DUMMYFUNCTION("""COMPUTED_VALUE"""),"NPBM")</f>
        <v>NPBM</v>
      </c>
      <c r="F434" s="1" t="str">
        <f>IFERROR(__xludf.DUMMYFUNCTION("""COMPUTED_VALUE"""),"NPBM")</f>
        <v>NPBM</v>
      </c>
      <c r="G434" s="1"/>
      <c r="H434" s="1" t="str">
        <f>IFERROR(__xludf.DUMMYFUNCTION("""COMPUTED_VALUE"""),"")</f>
        <v/>
      </c>
      <c r="I434" s="1" t="str">
        <f>IFERROR(__xludf.DUMMYFUNCTION("""COMPUTED_VALUE"""),"")</f>
        <v/>
      </c>
    </row>
    <row r="435" customHeight="1" spans="1:9">
      <c r="A435" s="1" t="str">
        <f>IFERROR(__xludf.DUMMYFUNCTION("""COMPUTED_VALUE"""),"Silveira Martins")</f>
        <v>Silveira Martins</v>
      </c>
      <c r="B435" s="144" t="str">
        <f>IFERROR(__xludf.DUMMYFUNCTION("""COMPUTED_VALUE"""),"4º CRBM")</f>
        <v>4º CRBM</v>
      </c>
      <c r="C435" s="1" t="str">
        <f>IFERROR(__xludf.DUMMYFUNCTION("""COMPUTED_VALUE"""),"4º BBM")</f>
        <v>4º BBM</v>
      </c>
      <c r="D435" s="1" t="str">
        <f>IFERROR(__xludf.DUMMYFUNCTION("""COMPUTED_VALUE"""),"Santa Maria")</f>
        <v>Santa Maria</v>
      </c>
      <c r="E435" s="1" t="str">
        <f>IFERROR(__xludf.DUMMYFUNCTION("""COMPUTED_VALUE"""),"NPBM")</f>
        <v>NPBM</v>
      </c>
      <c r="F435" s="1" t="str">
        <f>IFERROR(__xludf.DUMMYFUNCTION("""COMPUTED_VALUE"""),"NPBM")</f>
        <v>NPBM</v>
      </c>
      <c r="G435" s="1"/>
      <c r="H435" s="1" t="str">
        <f>IFERROR(__xludf.DUMMYFUNCTION("""COMPUTED_VALUE"""),"")</f>
        <v/>
      </c>
      <c r="I435" s="1" t="str">
        <f>IFERROR(__xludf.DUMMYFUNCTION("""COMPUTED_VALUE"""),"")</f>
        <v/>
      </c>
    </row>
    <row r="436" customHeight="1" spans="1:9">
      <c r="A436" s="1" t="str">
        <f>IFERROR(__xludf.DUMMYFUNCTION("""COMPUTED_VALUE"""),"Sinimbu")</f>
        <v>Sinimbu</v>
      </c>
      <c r="B436" s="144" t="str">
        <f>IFERROR(__xludf.DUMMYFUNCTION("""COMPUTED_VALUE"""),"4º CRBM")</f>
        <v>4º CRBM</v>
      </c>
      <c r="C436" s="1" t="str">
        <f>IFERROR(__xludf.DUMMYFUNCTION("""COMPUTED_VALUE"""),"6º BBM")</f>
        <v>6º BBM</v>
      </c>
      <c r="D436" s="1" t="str">
        <f>IFERROR(__xludf.DUMMYFUNCTION("""COMPUTED_VALUE"""),"Santa Cruz do Sul")</f>
        <v>Santa Cruz do Sul</v>
      </c>
      <c r="E436" s="1" t="str">
        <f>IFERROR(__xludf.DUMMYFUNCTION("""COMPUTED_VALUE"""),"NPBM")</f>
        <v>NPBM</v>
      </c>
      <c r="F436" s="1" t="str">
        <f>IFERROR(__xludf.DUMMYFUNCTION("""COMPUTED_VALUE"""),"NPBM")</f>
        <v>NPBM</v>
      </c>
      <c r="G436" s="1"/>
      <c r="H436" s="1" t="str">
        <f>IFERROR(__xludf.DUMMYFUNCTION("""COMPUTED_VALUE"""),"")</f>
        <v/>
      </c>
      <c r="I436" s="1" t="str">
        <f>IFERROR(__xludf.DUMMYFUNCTION("""COMPUTED_VALUE"""),"")</f>
        <v/>
      </c>
    </row>
    <row r="437" customHeight="1" spans="1:9">
      <c r="A437" s="1" t="str">
        <f>IFERROR(__xludf.DUMMYFUNCTION("""COMPUTED_VALUE"""),"Sobradinho")</f>
        <v>Sobradinho</v>
      </c>
      <c r="B437" s="144" t="str">
        <f>IFERROR(__xludf.DUMMYFUNCTION("""COMPUTED_VALUE"""),"4º CRBM")</f>
        <v>4º CRBM</v>
      </c>
      <c r="C437" s="1" t="str">
        <f>IFERROR(__xludf.DUMMYFUNCTION("""COMPUTED_VALUE"""),"6º BBM")</f>
        <v>6º BBM</v>
      </c>
      <c r="D437" s="1" t="str">
        <f>IFERROR(__xludf.DUMMYFUNCTION("""COMPUTED_VALUE"""),"Santa Cruz do Sul")</f>
        <v>Santa Cruz do Sul</v>
      </c>
      <c r="E437" s="1" t="str">
        <f>IFERROR(__xludf.DUMMYFUNCTION("""COMPUTED_VALUE"""),"Voluntersul")</f>
        <v>Voluntersul</v>
      </c>
      <c r="F437" s="1" t="str">
        <f>IFERROR(__xludf.DUMMYFUNCTION("""COMPUTED_VALUE"""),"Voluntersul")</f>
        <v>Voluntersul</v>
      </c>
      <c r="G437" s="234" t="str">
        <f>IFERROR(__xludf.DUMMYFUNCTION("""COMPUTED_VALUE""")," 4 - Desfavorável")</f>
        <v> 4 - Desfavorável</v>
      </c>
      <c r="H437" s="1" t="str">
        <f>IFERROR(__xludf.DUMMYFUNCTION("""COMPUTED_VALUE"""),"")</f>
        <v/>
      </c>
      <c r="I437" s="1" t="str">
        <f>IFERROR(__xludf.DUMMYFUNCTION("""COMPUTED_VALUE"""),"")</f>
        <v/>
      </c>
    </row>
    <row r="438" customHeight="1" spans="1:9">
      <c r="A438" s="1" t="str">
        <f>IFERROR(__xludf.DUMMYFUNCTION("""COMPUTED_VALUE"""),"Soledade")</f>
        <v>Soledade</v>
      </c>
      <c r="B438" s="144" t="str">
        <f>IFERROR(__xludf.DUMMYFUNCTION("""COMPUTED_VALUE"""),"2º CRBM")</f>
        <v>2º CRBM</v>
      </c>
      <c r="C438" s="1" t="str">
        <f>IFERROR(__xludf.DUMMYFUNCTION("""COMPUTED_VALUE"""),"7º BBM")</f>
        <v>7º BBM</v>
      </c>
      <c r="D438" s="1" t="str">
        <f>IFERROR(__xludf.DUMMYFUNCTION("""COMPUTED_VALUE"""),"Soledade")</f>
        <v>Soledade</v>
      </c>
      <c r="E438" s="1" t="str">
        <f>IFERROR(__xludf.DUMMYFUNCTION("""COMPUTED_VALUE"""),"Comunitário")</f>
        <v>Comunitário</v>
      </c>
      <c r="F438" s="1" t="str">
        <f>IFERROR(__xludf.DUMMYFUNCTION("""COMPUTED_VALUE"""),"Mil + Mun")</f>
        <v>Mil + Mun</v>
      </c>
      <c r="G438" s="1"/>
      <c r="H438" s="1">
        <f>IFERROR(__xludf.DUMMYFUNCTION("""COMPUTED_VALUE"""),1)</f>
        <v>1</v>
      </c>
      <c r="I438" s="1" t="str">
        <f>IFERROR(__xludf.DUMMYFUNCTION("""COMPUTED_VALUE"""),"")</f>
        <v/>
      </c>
    </row>
    <row r="439" customHeight="1" spans="1:9">
      <c r="A439" s="1" t="str">
        <f>IFERROR(__xludf.DUMMYFUNCTION("""COMPUTED_VALUE"""),"Tabaí")</f>
        <v>Tabaí</v>
      </c>
      <c r="B439" s="144" t="str">
        <f>IFERROR(__xludf.DUMMYFUNCTION("""COMPUTED_VALUE"""),"4º CRBM")</f>
        <v>4º CRBM</v>
      </c>
      <c r="C439" s="1" t="str">
        <f>IFERROR(__xludf.DUMMYFUNCTION("""COMPUTED_VALUE"""),"6º BBM")</f>
        <v>6º BBM</v>
      </c>
      <c r="D439" s="1" t="str">
        <f>IFERROR(__xludf.DUMMYFUNCTION("""COMPUTED_VALUE"""),"Taquari")</f>
        <v>Taquari</v>
      </c>
      <c r="E439" s="1" t="str">
        <f>IFERROR(__xludf.DUMMYFUNCTION("""COMPUTED_VALUE"""),"NPBM")</f>
        <v>NPBM</v>
      </c>
      <c r="F439" s="1" t="str">
        <f>IFERROR(__xludf.DUMMYFUNCTION("""COMPUTED_VALUE"""),"NPBM")</f>
        <v>NPBM</v>
      </c>
      <c r="G439" s="1"/>
      <c r="H439" s="1" t="str">
        <f>IFERROR(__xludf.DUMMYFUNCTION("""COMPUTED_VALUE"""),"")</f>
        <v/>
      </c>
      <c r="I439" s="1" t="str">
        <f>IFERROR(__xludf.DUMMYFUNCTION("""COMPUTED_VALUE"""),"")</f>
        <v/>
      </c>
    </row>
    <row r="440" customHeight="1" spans="1:9">
      <c r="A440" s="1" t="str">
        <f>IFERROR(__xludf.DUMMYFUNCTION("""COMPUTED_VALUE"""),"Tapejara")</f>
        <v>Tapejara</v>
      </c>
      <c r="B440" s="144" t="str">
        <f>IFERROR(__xludf.DUMMYFUNCTION("""COMPUTED_VALUE"""),"2º CRBM")</f>
        <v>2º CRBM</v>
      </c>
      <c r="C440" s="1" t="str">
        <f>IFERROR(__xludf.DUMMYFUNCTION("""COMPUTED_VALUE"""),"7º BBM")</f>
        <v>7º BBM</v>
      </c>
      <c r="D440" s="1" t="str">
        <f>IFERROR(__xludf.DUMMYFUNCTION("""COMPUTED_VALUE"""),"Getúlio Vargas")</f>
        <v>Getúlio Vargas</v>
      </c>
      <c r="E440" s="1" t="str">
        <f>IFERROR(__xludf.DUMMYFUNCTION("""COMPUTED_VALUE"""),"Voluntersul")</f>
        <v>Voluntersul</v>
      </c>
      <c r="F440" s="1" t="str">
        <f>IFERROR(__xludf.DUMMYFUNCTION("""COMPUTED_VALUE"""),"Voluntersul")</f>
        <v>Voluntersul</v>
      </c>
      <c r="G440" s="234" t="str">
        <f>IFERROR(__xludf.DUMMYFUNCTION("""COMPUTED_VALUE""")," 3 - Não Regularizado")</f>
        <v> 3 - Não Regularizado</v>
      </c>
      <c r="H440" s="1" t="str">
        <f>IFERROR(__xludf.DUMMYFUNCTION("""COMPUTED_VALUE"""),"")</f>
        <v/>
      </c>
      <c r="I440" s="1" t="str">
        <f>IFERROR(__xludf.DUMMYFUNCTION("""COMPUTED_VALUE"""),"")</f>
        <v/>
      </c>
    </row>
    <row r="441" customHeight="1" spans="1:9">
      <c r="A441" s="1" t="str">
        <f>IFERROR(__xludf.DUMMYFUNCTION("""COMPUTED_VALUE"""),"Tapera")</f>
        <v>Tapera</v>
      </c>
      <c r="B441" s="144" t="str">
        <f>IFERROR(__xludf.DUMMYFUNCTION("""COMPUTED_VALUE"""),"2º CRBM")</f>
        <v>2º CRBM</v>
      </c>
      <c r="C441" s="1" t="str">
        <f>IFERROR(__xludf.DUMMYFUNCTION("""COMPUTED_VALUE"""),"7º BBM")</f>
        <v>7º BBM</v>
      </c>
      <c r="D441" s="1" t="str">
        <f>IFERROR(__xludf.DUMMYFUNCTION("""COMPUTED_VALUE"""),"Tapera")</f>
        <v>Tapera</v>
      </c>
      <c r="E441" s="1" t="str">
        <f>IFERROR(__xludf.DUMMYFUNCTION("""COMPUTED_VALUE"""),"Comunitário")</f>
        <v>Comunitário</v>
      </c>
      <c r="F441" s="1" t="str">
        <f>IFERROR(__xludf.DUMMYFUNCTION("""COMPUTED_VALUE"""),"Mil + Mun")</f>
        <v>Mil + Mun</v>
      </c>
      <c r="G441" s="1"/>
      <c r="H441" s="1">
        <f>IFERROR(__xludf.DUMMYFUNCTION("""COMPUTED_VALUE"""),1)</f>
        <v>1</v>
      </c>
      <c r="I441" s="1" t="str">
        <f>IFERROR(__xludf.DUMMYFUNCTION("""COMPUTED_VALUE"""),"")</f>
        <v/>
      </c>
    </row>
    <row r="442" customHeight="1" spans="1:9">
      <c r="A442" s="1" t="str">
        <f>IFERROR(__xludf.DUMMYFUNCTION("""COMPUTED_VALUE"""),"Tapes")</f>
        <v>Tapes</v>
      </c>
      <c r="B442" s="144" t="str">
        <f>IFERROR(__xludf.DUMMYFUNCTION("""COMPUTED_VALUE"""),"4º CRBM")</f>
        <v>4º CRBM</v>
      </c>
      <c r="C442" s="1" t="str">
        <f>IFERROR(__xludf.DUMMYFUNCTION("""COMPUTED_VALUE"""),"6º BBM")</f>
        <v>6º BBM</v>
      </c>
      <c r="D442" s="1" t="str">
        <f>IFERROR(__xludf.DUMMYFUNCTION("""COMPUTED_VALUE"""),"Camaquã")</f>
        <v>Camaquã</v>
      </c>
      <c r="E442" s="1" t="str">
        <f>IFERROR(__xludf.DUMMYFUNCTION("""COMPUTED_VALUE"""),"Voluntersul")</f>
        <v>Voluntersul</v>
      </c>
      <c r="F442" s="1" t="str">
        <f>IFERROR(__xludf.DUMMYFUNCTION("""COMPUTED_VALUE"""),"Voluntersul")</f>
        <v>Voluntersul</v>
      </c>
      <c r="G442" s="234" t="str">
        <f>IFERROR(__xludf.DUMMYFUNCTION("""COMPUTED_VALUE""")," 3 - Não Regularizado")</f>
        <v> 3 - Não Regularizado</v>
      </c>
      <c r="H442" s="1" t="str">
        <f>IFERROR(__xludf.DUMMYFUNCTION("""COMPUTED_VALUE"""),"")</f>
        <v/>
      </c>
      <c r="I442" s="1" t="str">
        <f>IFERROR(__xludf.DUMMYFUNCTION("""COMPUTED_VALUE"""),"")</f>
        <v/>
      </c>
    </row>
    <row r="443" customHeight="1" spans="1:9">
      <c r="A443" s="1" t="str">
        <f>IFERROR(__xludf.DUMMYFUNCTION("""COMPUTED_VALUE"""),"Taquara")</f>
        <v>Taquara</v>
      </c>
      <c r="B443" s="144" t="str">
        <f>IFERROR(__xludf.DUMMYFUNCTION("""COMPUTED_VALUE"""),"2º CRBM")</f>
        <v>2º CRBM</v>
      </c>
      <c r="C443" s="1" t="str">
        <f>IFERROR(__xludf.DUMMYFUNCTION("""COMPUTED_VALUE"""),"5º BBM")</f>
        <v>5º BBM</v>
      </c>
      <c r="D443" s="1" t="str">
        <f>IFERROR(__xludf.DUMMYFUNCTION("""COMPUTED_VALUE"""),"Taquara")</f>
        <v>Taquara</v>
      </c>
      <c r="E443" s="1" t="str">
        <f>IFERROR(__xludf.DUMMYFUNCTION("""COMPUTED_VALUE"""),"Militar")</f>
        <v>Militar</v>
      </c>
      <c r="F443" s="1" t="str">
        <f>IFERROR(__xludf.DUMMYFUNCTION("""COMPUTED_VALUE"""),"Militar")</f>
        <v>Militar</v>
      </c>
      <c r="G443" s="1"/>
      <c r="H443" s="1">
        <f>IFERROR(__xludf.DUMMYFUNCTION("""COMPUTED_VALUE"""),1)</f>
        <v>1</v>
      </c>
      <c r="I443" s="1" t="str">
        <f>IFERROR(__xludf.DUMMYFUNCTION("""COMPUTED_VALUE"""),"")</f>
        <v/>
      </c>
    </row>
    <row r="444" customHeight="1" spans="1:9">
      <c r="A444" s="1" t="str">
        <f>IFERROR(__xludf.DUMMYFUNCTION("""COMPUTED_VALUE"""),"Taquari")</f>
        <v>Taquari</v>
      </c>
      <c r="B444" s="144" t="str">
        <f>IFERROR(__xludf.DUMMYFUNCTION("""COMPUTED_VALUE"""),"4º CRBM")</f>
        <v>4º CRBM</v>
      </c>
      <c r="C444" s="1" t="str">
        <f>IFERROR(__xludf.DUMMYFUNCTION("""COMPUTED_VALUE"""),"6º BBM")</f>
        <v>6º BBM</v>
      </c>
      <c r="D444" s="1" t="str">
        <f>IFERROR(__xludf.DUMMYFUNCTION("""COMPUTED_VALUE"""),"Taquari")</f>
        <v>Taquari</v>
      </c>
      <c r="E444" s="1" t="str">
        <f>IFERROR(__xludf.DUMMYFUNCTION("""COMPUTED_VALUE"""),"Militar")</f>
        <v>Militar</v>
      </c>
      <c r="F444" s="1" t="str">
        <f>IFERROR(__xludf.DUMMYFUNCTION("""COMPUTED_VALUE"""),"Militar")</f>
        <v>Militar</v>
      </c>
      <c r="G444" s="1"/>
      <c r="H444" s="1">
        <f>IFERROR(__xludf.DUMMYFUNCTION("""COMPUTED_VALUE"""),1)</f>
        <v>1</v>
      </c>
      <c r="I444" s="1" t="str">
        <f>IFERROR(__xludf.DUMMYFUNCTION("""COMPUTED_VALUE"""),"")</f>
        <v/>
      </c>
    </row>
    <row r="445" customHeight="1" spans="1:9">
      <c r="A445" s="1" t="str">
        <f>IFERROR(__xludf.DUMMYFUNCTION("""COMPUTED_VALUE"""),"Taquaruçu do Sul")</f>
        <v>Taquaruçu do Sul</v>
      </c>
      <c r="B445" s="144" t="str">
        <f>IFERROR(__xludf.DUMMYFUNCTION("""COMPUTED_VALUE"""),"4º CRBM")</f>
        <v>4º CRBM</v>
      </c>
      <c r="C445" s="1" t="str">
        <f>IFERROR(__xludf.DUMMYFUNCTION("""COMPUTED_VALUE"""),"12º BBM")</f>
        <v>12º BBM</v>
      </c>
      <c r="D445" s="1" t="str">
        <f>IFERROR(__xludf.DUMMYFUNCTION("""COMPUTED_VALUE"""),"Frederico Westphalen")</f>
        <v>Frederico Westphalen</v>
      </c>
      <c r="E445" s="1" t="str">
        <f>IFERROR(__xludf.DUMMYFUNCTION("""COMPUTED_VALUE"""),"NPBM")</f>
        <v>NPBM</v>
      </c>
      <c r="F445" s="1" t="str">
        <f>IFERROR(__xludf.DUMMYFUNCTION("""COMPUTED_VALUE"""),"NPBM")</f>
        <v>NPBM</v>
      </c>
      <c r="G445" s="1"/>
      <c r="H445" s="1" t="str">
        <f>IFERROR(__xludf.DUMMYFUNCTION("""COMPUTED_VALUE"""),"")</f>
        <v/>
      </c>
      <c r="I445" s="1" t="str">
        <f>IFERROR(__xludf.DUMMYFUNCTION("""COMPUTED_VALUE"""),"")</f>
        <v/>
      </c>
    </row>
    <row r="446" customHeight="1" spans="1:9">
      <c r="A446" s="1" t="str">
        <f>IFERROR(__xludf.DUMMYFUNCTION("""COMPUTED_VALUE"""),"Tavares")</f>
        <v>Tavares</v>
      </c>
      <c r="B446" s="144" t="str">
        <f>IFERROR(__xludf.DUMMYFUNCTION("""COMPUTED_VALUE"""),"1º CRBM")</f>
        <v>1º CRBM</v>
      </c>
      <c r="C446" s="1" t="str">
        <f>IFERROR(__xludf.DUMMYFUNCTION("""COMPUTED_VALUE"""),"9º BBM")</f>
        <v>9º BBM</v>
      </c>
      <c r="D446" s="1" t="str">
        <f>IFERROR(__xludf.DUMMYFUNCTION("""COMPUTED_VALUE"""),"São José do Norte")</f>
        <v>São José do Norte</v>
      </c>
      <c r="E446" s="1" t="str">
        <f>IFERROR(__xludf.DUMMYFUNCTION("""COMPUTED_VALUE"""),"NPBM")</f>
        <v>NPBM</v>
      </c>
      <c r="F446" s="1" t="str">
        <f>IFERROR(__xludf.DUMMYFUNCTION("""COMPUTED_VALUE"""),"NPBM")</f>
        <v>NPBM</v>
      </c>
      <c r="G446" s="1"/>
      <c r="H446" s="1" t="str">
        <f>IFERROR(__xludf.DUMMYFUNCTION("""COMPUTED_VALUE"""),"")</f>
        <v/>
      </c>
      <c r="I446" s="1" t="str">
        <f>IFERROR(__xludf.DUMMYFUNCTION("""COMPUTED_VALUE"""),"")</f>
        <v/>
      </c>
    </row>
    <row r="447" customHeight="1" spans="1:9">
      <c r="A447" s="1" t="str">
        <f>IFERROR(__xludf.DUMMYFUNCTION("""COMPUTED_VALUE"""),"Tenente Portela")</f>
        <v>Tenente Portela</v>
      </c>
      <c r="B447" s="144" t="str">
        <f>IFERROR(__xludf.DUMMYFUNCTION("""COMPUTED_VALUE"""),"4º CRBM")</f>
        <v>4º CRBM</v>
      </c>
      <c r="C447" s="1" t="str">
        <f>IFERROR(__xludf.DUMMYFUNCTION("""COMPUTED_VALUE"""),"11º BBM")</f>
        <v>11º BBM</v>
      </c>
      <c r="D447" s="1" t="str">
        <f>IFERROR(__xludf.DUMMYFUNCTION("""COMPUTED_VALUE"""),"Três Passos")</f>
        <v>Três Passos</v>
      </c>
      <c r="E447" s="1" t="str">
        <f>IFERROR(__xludf.DUMMYFUNCTION("""COMPUTED_VALUE"""),"Voluntersul")</f>
        <v>Voluntersul</v>
      </c>
      <c r="F447" s="1" t="str">
        <f>IFERROR(__xludf.DUMMYFUNCTION("""COMPUTED_VALUE"""),"Voluntersul")</f>
        <v>Voluntersul</v>
      </c>
      <c r="G447" s="234" t="str">
        <f>IFERROR(__xludf.DUMMYFUNCTION("""COMPUTED_VALUE""")," 3 - Não Regularizado")</f>
        <v> 3 - Não Regularizado</v>
      </c>
      <c r="H447" s="1" t="str">
        <f>IFERROR(__xludf.DUMMYFUNCTION("""COMPUTED_VALUE"""),"")</f>
        <v/>
      </c>
      <c r="I447" s="1" t="str">
        <f>IFERROR(__xludf.DUMMYFUNCTION("""COMPUTED_VALUE"""),"")</f>
        <v/>
      </c>
    </row>
    <row r="448" customHeight="1" spans="1:9">
      <c r="A448" s="1" t="str">
        <f>IFERROR(__xludf.DUMMYFUNCTION("""COMPUTED_VALUE"""),"Terra de Areia")</f>
        <v>Terra de Areia</v>
      </c>
      <c r="B448" s="144" t="str">
        <f>IFERROR(__xludf.DUMMYFUNCTION("""COMPUTED_VALUE"""),"1º CRBM")</f>
        <v>1º CRBM</v>
      </c>
      <c r="C448" s="1" t="str">
        <f>IFERROR(__xludf.DUMMYFUNCTION("""COMPUTED_VALUE"""),"9º BBM")</f>
        <v>9º BBM</v>
      </c>
      <c r="D448" s="1" t="str">
        <f>IFERROR(__xludf.DUMMYFUNCTION("""COMPUTED_VALUE"""),"Terra de Areia")</f>
        <v>Terra de Areia</v>
      </c>
      <c r="E448" s="1" t="str">
        <f>IFERROR(__xludf.DUMMYFUNCTION("""COMPUTED_VALUE"""),"Militar")</f>
        <v>Militar</v>
      </c>
      <c r="F448" s="1" t="str">
        <f>IFERROR(__xludf.DUMMYFUNCTION("""COMPUTED_VALUE"""),"Militar")</f>
        <v>Militar</v>
      </c>
      <c r="G448" s="1"/>
      <c r="H448" s="1">
        <f>IFERROR(__xludf.DUMMYFUNCTION("""COMPUTED_VALUE"""),1)</f>
        <v>1</v>
      </c>
      <c r="I448" s="1" t="str">
        <f>IFERROR(__xludf.DUMMYFUNCTION("""COMPUTED_VALUE"""),"")</f>
        <v/>
      </c>
    </row>
    <row r="449" customHeight="1" spans="1:9">
      <c r="A449" s="1" t="str">
        <f>IFERROR(__xludf.DUMMYFUNCTION("""COMPUTED_VALUE"""),"Teutônia")</f>
        <v>Teutônia</v>
      </c>
      <c r="B449" s="144" t="str">
        <f>IFERROR(__xludf.DUMMYFUNCTION("""COMPUTED_VALUE"""),"4º CRBM")</f>
        <v>4º CRBM</v>
      </c>
      <c r="C449" s="1" t="str">
        <f>IFERROR(__xludf.DUMMYFUNCTION("""COMPUTED_VALUE"""),"6º BBM")</f>
        <v>6º BBM</v>
      </c>
      <c r="D449" s="1" t="str">
        <f>IFERROR(__xludf.DUMMYFUNCTION("""COMPUTED_VALUE"""),"Estrela")</f>
        <v>Estrela</v>
      </c>
      <c r="E449" s="1" t="str">
        <f>IFERROR(__xludf.DUMMYFUNCTION("""COMPUTED_VALUE"""),"Voluntersul")</f>
        <v>Voluntersul</v>
      </c>
      <c r="F449" s="1" t="str">
        <f>IFERROR(__xludf.DUMMYFUNCTION("""COMPUTED_VALUE"""),"Voluntersul")</f>
        <v>Voluntersul</v>
      </c>
      <c r="G449" s="234" t="str">
        <f>IFERROR(__xludf.DUMMYFUNCTION("""COMPUTED_VALUE""")," 3 - Não Regularizado")</f>
        <v> 3 - Não Regularizado</v>
      </c>
      <c r="H449" s="1" t="str">
        <f>IFERROR(__xludf.DUMMYFUNCTION("""COMPUTED_VALUE"""),"")</f>
        <v/>
      </c>
      <c r="I449" s="1" t="str">
        <f>IFERROR(__xludf.DUMMYFUNCTION("""COMPUTED_VALUE"""),"")</f>
        <v/>
      </c>
    </row>
    <row r="450" customHeight="1" spans="1:9">
      <c r="A450" s="1" t="str">
        <f>IFERROR(__xludf.DUMMYFUNCTION("""COMPUTED_VALUE"""),"Tio Hugo")</f>
        <v>Tio Hugo</v>
      </c>
      <c r="B450" s="144" t="str">
        <f>IFERROR(__xludf.DUMMYFUNCTION("""COMPUTED_VALUE"""),"2º CRBM")</f>
        <v>2º CRBM</v>
      </c>
      <c r="C450" s="1" t="str">
        <f>IFERROR(__xludf.DUMMYFUNCTION("""COMPUTED_VALUE"""),"7º BBM")</f>
        <v>7º BBM</v>
      </c>
      <c r="D450" s="1" t="str">
        <f>IFERROR(__xludf.DUMMYFUNCTION("""COMPUTED_VALUE"""),"Tapera")</f>
        <v>Tapera</v>
      </c>
      <c r="E450" s="1" t="str">
        <f>IFERROR(__xludf.DUMMYFUNCTION("""COMPUTED_VALUE"""),"NPBM")</f>
        <v>NPBM</v>
      </c>
      <c r="F450" s="1" t="str">
        <f>IFERROR(__xludf.DUMMYFUNCTION("""COMPUTED_VALUE"""),"NPBM")</f>
        <v>NPBM</v>
      </c>
      <c r="G450" s="1"/>
      <c r="H450" s="1" t="str">
        <f>IFERROR(__xludf.DUMMYFUNCTION("""COMPUTED_VALUE"""),"")</f>
        <v/>
      </c>
      <c r="I450" s="1" t="str">
        <f>IFERROR(__xludf.DUMMYFUNCTION("""COMPUTED_VALUE"""),"")</f>
        <v/>
      </c>
    </row>
    <row r="451" customHeight="1" spans="1:9">
      <c r="A451" s="1" t="str">
        <f>IFERROR(__xludf.DUMMYFUNCTION("""COMPUTED_VALUE"""),"Tiradentes do Sul")</f>
        <v>Tiradentes do Sul</v>
      </c>
      <c r="B451" s="144" t="str">
        <f>IFERROR(__xludf.DUMMYFUNCTION("""COMPUTED_VALUE"""),"4º CRBM")</f>
        <v>4º CRBM</v>
      </c>
      <c r="C451" s="1" t="str">
        <f>IFERROR(__xludf.DUMMYFUNCTION("""COMPUTED_VALUE"""),"11º BBM")</f>
        <v>11º BBM</v>
      </c>
      <c r="D451" s="1" t="str">
        <f>IFERROR(__xludf.DUMMYFUNCTION("""COMPUTED_VALUE"""),"Três Passos")</f>
        <v>Três Passos</v>
      </c>
      <c r="E451" s="1" t="str">
        <f>IFERROR(__xludf.DUMMYFUNCTION("""COMPUTED_VALUE"""),"NPBM")</f>
        <v>NPBM</v>
      </c>
      <c r="F451" s="1" t="str">
        <f>IFERROR(__xludf.DUMMYFUNCTION("""COMPUTED_VALUE"""),"NPBM")</f>
        <v>NPBM</v>
      </c>
      <c r="G451" s="1"/>
      <c r="H451" s="1" t="str">
        <f>IFERROR(__xludf.DUMMYFUNCTION("""COMPUTED_VALUE"""),"")</f>
        <v/>
      </c>
      <c r="I451" s="1" t="str">
        <f>IFERROR(__xludf.DUMMYFUNCTION("""COMPUTED_VALUE"""),"")</f>
        <v/>
      </c>
    </row>
    <row r="452" customHeight="1" spans="1:9">
      <c r="A452" s="1" t="str">
        <f>IFERROR(__xludf.DUMMYFUNCTION("""COMPUTED_VALUE"""),"Toropi")</f>
        <v>Toropi</v>
      </c>
      <c r="B452" s="144" t="str">
        <f>IFERROR(__xludf.DUMMYFUNCTION("""COMPUTED_VALUE"""),"4º CRBM")</f>
        <v>4º CRBM</v>
      </c>
      <c r="C452" s="1" t="str">
        <f>IFERROR(__xludf.DUMMYFUNCTION("""COMPUTED_VALUE"""),"4º BBM")</f>
        <v>4º BBM</v>
      </c>
      <c r="D452" s="1" t="str">
        <f>IFERROR(__xludf.DUMMYFUNCTION("""COMPUTED_VALUE"""),"São Pedro do Sul")</f>
        <v>São Pedro do Sul</v>
      </c>
      <c r="E452" s="1" t="str">
        <f>IFERROR(__xludf.DUMMYFUNCTION("""COMPUTED_VALUE"""),"NPBM")</f>
        <v>NPBM</v>
      </c>
      <c r="F452" s="1" t="str">
        <f>IFERROR(__xludf.DUMMYFUNCTION("""COMPUTED_VALUE"""),"NPBM")</f>
        <v>NPBM</v>
      </c>
      <c r="G452" s="1"/>
      <c r="H452" s="1" t="str">
        <f>IFERROR(__xludf.DUMMYFUNCTION("""COMPUTED_VALUE"""),"")</f>
        <v/>
      </c>
      <c r="I452" s="1" t="str">
        <f>IFERROR(__xludf.DUMMYFUNCTION("""COMPUTED_VALUE"""),"")</f>
        <v/>
      </c>
    </row>
    <row r="453" customHeight="1" spans="1:9">
      <c r="A453" s="1" t="str">
        <f>IFERROR(__xludf.DUMMYFUNCTION("""COMPUTED_VALUE"""),"Torres")</f>
        <v>Torres</v>
      </c>
      <c r="B453" s="144" t="str">
        <f>IFERROR(__xludf.DUMMYFUNCTION("""COMPUTED_VALUE"""),"1º CRBM")</f>
        <v>1º CRBM</v>
      </c>
      <c r="C453" s="1" t="str">
        <f>IFERROR(__xludf.DUMMYFUNCTION("""COMPUTED_VALUE"""),"9º BBM")</f>
        <v>9º BBM</v>
      </c>
      <c r="D453" s="1" t="str">
        <f>IFERROR(__xludf.DUMMYFUNCTION("""COMPUTED_VALUE"""),"Torres")</f>
        <v>Torres</v>
      </c>
      <c r="E453" s="1" t="str">
        <f>IFERROR(__xludf.DUMMYFUNCTION("""COMPUTED_VALUE"""),"Militar")</f>
        <v>Militar</v>
      </c>
      <c r="F453" s="1" t="str">
        <f>IFERROR(__xludf.DUMMYFUNCTION("""COMPUTED_VALUE"""),"Militar")</f>
        <v>Militar</v>
      </c>
      <c r="G453" s="1"/>
      <c r="H453" s="1">
        <f>IFERROR(__xludf.DUMMYFUNCTION("""COMPUTED_VALUE"""),1)</f>
        <v>1</v>
      </c>
      <c r="I453" s="1" t="str">
        <f>IFERROR(__xludf.DUMMYFUNCTION("""COMPUTED_VALUE"""),"")</f>
        <v/>
      </c>
    </row>
    <row r="454" customHeight="1" spans="1:9">
      <c r="A454" s="1" t="str">
        <f>IFERROR(__xludf.DUMMYFUNCTION("""COMPUTED_VALUE"""),"Tramandaí")</f>
        <v>Tramandaí</v>
      </c>
      <c r="B454" s="144" t="str">
        <f>IFERROR(__xludf.DUMMYFUNCTION("""COMPUTED_VALUE"""),"1º CRBM")</f>
        <v>1º CRBM</v>
      </c>
      <c r="C454" s="1" t="str">
        <f>IFERROR(__xludf.DUMMYFUNCTION("""COMPUTED_VALUE"""),"9º BBM")</f>
        <v>9º BBM</v>
      </c>
      <c r="D454" s="1" t="str">
        <f>IFERROR(__xludf.DUMMYFUNCTION("""COMPUTED_VALUE"""),"Tramandaí")</f>
        <v>Tramandaí</v>
      </c>
      <c r="E454" s="1" t="str">
        <f>IFERROR(__xludf.DUMMYFUNCTION("""COMPUTED_VALUE"""),"Militar")</f>
        <v>Militar</v>
      </c>
      <c r="F454" s="1" t="str">
        <f>IFERROR(__xludf.DUMMYFUNCTION("""COMPUTED_VALUE"""),"Militar")</f>
        <v>Militar</v>
      </c>
      <c r="G454" s="1"/>
      <c r="H454" s="1">
        <f>IFERROR(__xludf.DUMMYFUNCTION("""COMPUTED_VALUE"""),1)</f>
        <v>1</v>
      </c>
      <c r="I454" s="1" t="str">
        <f>IFERROR(__xludf.DUMMYFUNCTION("""COMPUTED_VALUE"""),"")</f>
        <v/>
      </c>
    </row>
    <row r="455" customHeight="1" spans="1:9">
      <c r="A455" s="1" t="str">
        <f>IFERROR(__xludf.DUMMYFUNCTION("""COMPUTED_VALUE"""),"Travesseiro")</f>
        <v>Travesseiro</v>
      </c>
      <c r="B455" s="144" t="str">
        <f>IFERROR(__xludf.DUMMYFUNCTION("""COMPUTED_VALUE"""),"4º CRBM")</f>
        <v>4º CRBM</v>
      </c>
      <c r="C455" s="1" t="str">
        <f>IFERROR(__xludf.DUMMYFUNCTION("""COMPUTED_VALUE"""),"6º BBM")</f>
        <v>6º BBM</v>
      </c>
      <c r="D455" s="1" t="str">
        <f>IFERROR(__xludf.DUMMYFUNCTION("""COMPUTED_VALUE"""),"Lajeado")</f>
        <v>Lajeado</v>
      </c>
      <c r="E455" s="1" t="str">
        <f>IFERROR(__xludf.DUMMYFUNCTION("""COMPUTED_VALUE"""),"NPBM")</f>
        <v>NPBM</v>
      </c>
      <c r="F455" s="1" t="str">
        <f>IFERROR(__xludf.DUMMYFUNCTION("""COMPUTED_VALUE"""),"NPBM")</f>
        <v>NPBM</v>
      </c>
      <c r="G455" s="1"/>
      <c r="H455" s="1" t="str">
        <f>IFERROR(__xludf.DUMMYFUNCTION("""COMPUTED_VALUE"""),"")</f>
        <v/>
      </c>
      <c r="I455" s="1" t="str">
        <f>IFERROR(__xludf.DUMMYFUNCTION("""COMPUTED_VALUE"""),"")</f>
        <v/>
      </c>
    </row>
    <row r="456" customHeight="1" spans="1:9">
      <c r="A456" s="1" t="str">
        <f>IFERROR(__xludf.DUMMYFUNCTION("""COMPUTED_VALUE"""),"Três Arroios")</f>
        <v>Três Arroios</v>
      </c>
      <c r="B456" s="144" t="str">
        <f>IFERROR(__xludf.DUMMYFUNCTION("""COMPUTED_VALUE"""),"2º CRBM")</f>
        <v>2º CRBM</v>
      </c>
      <c r="C456" s="1" t="str">
        <f>IFERROR(__xludf.DUMMYFUNCTION("""COMPUTED_VALUE"""),"7º BBM")</f>
        <v>7º BBM</v>
      </c>
      <c r="D456" s="1" t="str">
        <f>IFERROR(__xludf.DUMMYFUNCTION("""COMPUTED_VALUE"""),"Erechim")</f>
        <v>Erechim</v>
      </c>
      <c r="E456" s="1" t="str">
        <f>IFERROR(__xludf.DUMMYFUNCTION("""COMPUTED_VALUE"""),"NPBM")</f>
        <v>NPBM</v>
      </c>
      <c r="F456" s="1" t="str">
        <f>IFERROR(__xludf.DUMMYFUNCTION("""COMPUTED_VALUE"""),"NPBM")</f>
        <v>NPBM</v>
      </c>
      <c r="G456" s="1"/>
      <c r="H456" s="1" t="str">
        <f>IFERROR(__xludf.DUMMYFUNCTION("""COMPUTED_VALUE"""),"")</f>
        <v/>
      </c>
      <c r="I456" s="1" t="str">
        <f>IFERROR(__xludf.DUMMYFUNCTION("""COMPUTED_VALUE"""),"")</f>
        <v/>
      </c>
    </row>
    <row r="457" customHeight="1" spans="1:9">
      <c r="A457" s="1" t="str">
        <f>IFERROR(__xludf.DUMMYFUNCTION("""COMPUTED_VALUE"""),"Três Cachoeiras")</f>
        <v>Três Cachoeiras</v>
      </c>
      <c r="B457" s="144" t="str">
        <f>IFERROR(__xludf.DUMMYFUNCTION("""COMPUTED_VALUE"""),"1º CRBM")</f>
        <v>1º CRBM</v>
      </c>
      <c r="C457" s="1" t="str">
        <f>IFERROR(__xludf.DUMMYFUNCTION("""COMPUTED_VALUE"""),"9º BBM")</f>
        <v>9º BBM</v>
      </c>
      <c r="D457" s="1" t="str">
        <f>IFERROR(__xludf.DUMMYFUNCTION("""COMPUTED_VALUE"""),"Terra de Areia")</f>
        <v>Terra de Areia</v>
      </c>
      <c r="E457" s="1" t="str">
        <f>IFERROR(__xludf.DUMMYFUNCTION("""COMPUTED_VALUE"""),"NPBM")</f>
        <v>NPBM</v>
      </c>
      <c r="F457" s="1" t="str">
        <f>IFERROR(__xludf.DUMMYFUNCTION("""COMPUTED_VALUE"""),"NPBM")</f>
        <v>NPBM</v>
      </c>
      <c r="G457" s="1"/>
      <c r="H457" s="1" t="str">
        <f>IFERROR(__xludf.DUMMYFUNCTION("""COMPUTED_VALUE"""),"")</f>
        <v/>
      </c>
      <c r="I457" s="1" t="str">
        <f>IFERROR(__xludf.DUMMYFUNCTION("""COMPUTED_VALUE"""),"")</f>
        <v/>
      </c>
    </row>
    <row r="458" customHeight="1" spans="1:9">
      <c r="A458" s="1" t="str">
        <f>IFERROR(__xludf.DUMMYFUNCTION("""COMPUTED_VALUE"""),"Três Coroas")</f>
        <v>Três Coroas</v>
      </c>
      <c r="B458" s="144" t="str">
        <f>IFERROR(__xludf.DUMMYFUNCTION("""COMPUTED_VALUE"""),"2º CRBM")</f>
        <v>2º CRBM</v>
      </c>
      <c r="C458" s="1" t="str">
        <f>IFERROR(__xludf.DUMMYFUNCTION("""COMPUTED_VALUE"""),"5º BBM")</f>
        <v>5º BBM</v>
      </c>
      <c r="D458" s="1" t="str">
        <f>IFERROR(__xludf.DUMMYFUNCTION("""COMPUTED_VALUE"""),"Taquara")</f>
        <v>Taquara</v>
      </c>
      <c r="E458" s="1" t="str">
        <f>IFERROR(__xludf.DUMMYFUNCTION("""COMPUTED_VALUE"""),"Voluntersul")</f>
        <v>Voluntersul</v>
      </c>
      <c r="F458" s="1" t="str">
        <f>IFERROR(__xludf.DUMMYFUNCTION("""COMPUTED_VALUE"""),"Voluntersul")</f>
        <v>Voluntersul</v>
      </c>
      <c r="G458" s="234" t="str">
        <f>IFERROR(__xludf.DUMMYFUNCTION("""COMPUTED_VALUE""")," 3 - Não Regularizado")</f>
        <v> 3 - Não Regularizado</v>
      </c>
      <c r="H458" s="1" t="str">
        <f>IFERROR(__xludf.DUMMYFUNCTION("""COMPUTED_VALUE"""),"")</f>
        <v/>
      </c>
      <c r="I458" s="1" t="str">
        <f>IFERROR(__xludf.DUMMYFUNCTION("""COMPUTED_VALUE"""),"")</f>
        <v/>
      </c>
    </row>
    <row r="459" customHeight="1" spans="1:9">
      <c r="A459" s="1" t="str">
        <f>IFERROR(__xludf.DUMMYFUNCTION("""COMPUTED_VALUE"""),"Três de Maio")</f>
        <v>Três de Maio</v>
      </c>
      <c r="B459" s="144" t="str">
        <f>IFERROR(__xludf.DUMMYFUNCTION("""COMPUTED_VALUE"""),"4º CRBM")</f>
        <v>4º CRBM</v>
      </c>
      <c r="C459" s="1" t="str">
        <f>IFERROR(__xludf.DUMMYFUNCTION("""COMPUTED_VALUE"""),"11º BBM")</f>
        <v>11º BBM</v>
      </c>
      <c r="D459" s="1" t="str">
        <f>IFERROR(__xludf.DUMMYFUNCTION("""COMPUTED_VALUE"""),"Três de Maio")</f>
        <v>Três de Maio</v>
      </c>
      <c r="E459" s="1" t="str">
        <f>IFERROR(__xludf.DUMMYFUNCTION("""COMPUTED_VALUE"""),"Comunitário")</f>
        <v>Comunitário</v>
      </c>
      <c r="F459" s="1" t="str">
        <f>IFERROR(__xludf.DUMMYFUNCTION("""COMPUTED_VALUE"""),"Mil + Mun + Vol")</f>
        <v>Mil + Mun + Vol</v>
      </c>
      <c r="G459" s="1"/>
      <c r="H459" s="1">
        <f>IFERROR(__xludf.DUMMYFUNCTION("""COMPUTED_VALUE"""),1)</f>
        <v>1</v>
      </c>
      <c r="I459" s="1" t="str">
        <f>IFERROR(__xludf.DUMMYFUNCTION("""COMPUTED_VALUE"""),"")</f>
        <v/>
      </c>
    </row>
    <row r="460" customHeight="1" spans="1:9">
      <c r="A460" s="1" t="str">
        <f>IFERROR(__xludf.DUMMYFUNCTION("""COMPUTED_VALUE"""),"Três Forquilhas")</f>
        <v>Três Forquilhas</v>
      </c>
      <c r="B460" s="144" t="str">
        <f>IFERROR(__xludf.DUMMYFUNCTION("""COMPUTED_VALUE"""),"1º CRBM")</f>
        <v>1º CRBM</v>
      </c>
      <c r="C460" s="1" t="str">
        <f>IFERROR(__xludf.DUMMYFUNCTION("""COMPUTED_VALUE"""),"9º BBM")</f>
        <v>9º BBM</v>
      </c>
      <c r="D460" s="1" t="str">
        <f>IFERROR(__xludf.DUMMYFUNCTION("""COMPUTED_VALUE"""),"Terra de Areia")</f>
        <v>Terra de Areia</v>
      </c>
      <c r="E460" s="1" t="str">
        <f>IFERROR(__xludf.DUMMYFUNCTION("""COMPUTED_VALUE"""),"NPBM")</f>
        <v>NPBM</v>
      </c>
      <c r="F460" s="1" t="str">
        <f>IFERROR(__xludf.DUMMYFUNCTION("""COMPUTED_VALUE"""),"NPBM")</f>
        <v>NPBM</v>
      </c>
      <c r="G460" s="1"/>
      <c r="H460" s="1" t="str">
        <f>IFERROR(__xludf.DUMMYFUNCTION("""COMPUTED_VALUE"""),"")</f>
        <v/>
      </c>
      <c r="I460" s="1" t="str">
        <f>IFERROR(__xludf.DUMMYFUNCTION("""COMPUTED_VALUE"""),"")</f>
        <v/>
      </c>
    </row>
    <row r="461" customHeight="1" spans="1:9">
      <c r="A461" s="1" t="str">
        <f>IFERROR(__xludf.DUMMYFUNCTION("""COMPUTED_VALUE"""),"Três Palmeiras")</f>
        <v>Três Palmeiras</v>
      </c>
      <c r="B461" s="144" t="str">
        <f>IFERROR(__xludf.DUMMYFUNCTION("""COMPUTED_VALUE"""),"2º CRBM")</f>
        <v>2º CRBM</v>
      </c>
      <c r="C461" s="1" t="str">
        <f>IFERROR(__xludf.DUMMYFUNCTION("""COMPUTED_VALUE"""),"7º BBM")</f>
        <v>7º BBM</v>
      </c>
      <c r="D461" s="1" t="str">
        <f>IFERROR(__xludf.DUMMYFUNCTION("""COMPUTED_VALUE"""),"Nonoai")</f>
        <v>Nonoai</v>
      </c>
      <c r="E461" s="1" t="str">
        <f>IFERROR(__xludf.DUMMYFUNCTION("""COMPUTED_VALUE"""),"NPBM")</f>
        <v>NPBM</v>
      </c>
      <c r="F461" s="1" t="str">
        <f>IFERROR(__xludf.DUMMYFUNCTION("""COMPUTED_VALUE"""),"NPBM")</f>
        <v>NPBM</v>
      </c>
      <c r="G461" s="1"/>
      <c r="H461" s="1" t="str">
        <f>IFERROR(__xludf.DUMMYFUNCTION("""COMPUTED_VALUE"""),"")</f>
        <v/>
      </c>
      <c r="I461" s="1" t="str">
        <f>IFERROR(__xludf.DUMMYFUNCTION("""COMPUTED_VALUE"""),"")</f>
        <v/>
      </c>
    </row>
    <row r="462" customHeight="1" spans="1:9">
      <c r="A462" s="1" t="str">
        <f>IFERROR(__xludf.DUMMYFUNCTION("""COMPUTED_VALUE"""),"Três Passos")</f>
        <v>Três Passos</v>
      </c>
      <c r="B462" s="144" t="str">
        <f>IFERROR(__xludf.DUMMYFUNCTION("""COMPUTED_VALUE"""),"4º CRBM")</f>
        <v>4º CRBM</v>
      </c>
      <c r="C462" s="1" t="str">
        <f>IFERROR(__xludf.DUMMYFUNCTION("""COMPUTED_VALUE"""),"11º BBM")</f>
        <v>11º BBM</v>
      </c>
      <c r="D462" s="1" t="str">
        <f>IFERROR(__xludf.DUMMYFUNCTION("""COMPUTED_VALUE"""),"Três Passos")</f>
        <v>Três Passos</v>
      </c>
      <c r="E462" s="1" t="str">
        <f>IFERROR(__xludf.DUMMYFUNCTION("""COMPUTED_VALUE"""),"Militar")</f>
        <v>Militar</v>
      </c>
      <c r="F462" s="1" t="str">
        <f>IFERROR(__xludf.DUMMYFUNCTION("""COMPUTED_VALUE"""),"Militar")</f>
        <v>Militar</v>
      </c>
      <c r="G462" s="1"/>
      <c r="H462" s="1">
        <f>IFERROR(__xludf.DUMMYFUNCTION("""COMPUTED_VALUE"""),1)</f>
        <v>1</v>
      </c>
      <c r="I462" s="1" t="str">
        <f>IFERROR(__xludf.DUMMYFUNCTION("""COMPUTED_VALUE"""),"")</f>
        <v/>
      </c>
    </row>
    <row r="463" customHeight="1" spans="1:9">
      <c r="A463" s="1" t="str">
        <f>IFERROR(__xludf.DUMMYFUNCTION("""COMPUTED_VALUE"""),"Trindade do Sul")</f>
        <v>Trindade do Sul</v>
      </c>
      <c r="B463" s="144" t="str">
        <f>IFERROR(__xludf.DUMMYFUNCTION("""COMPUTED_VALUE"""),"2º CRBM")</f>
        <v>2º CRBM</v>
      </c>
      <c r="C463" s="1" t="str">
        <f>IFERROR(__xludf.DUMMYFUNCTION("""COMPUTED_VALUE"""),"7º BBM")</f>
        <v>7º BBM</v>
      </c>
      <c r="D463" s="1" t="str">
        <f>IFERROR(__xludf.DUMMYFUNCTION("""COMPUTED_VALUE"""),"Nonoai")</f>
        <v>Nonoai</v>
      </c>
      <c r="E463" s="1" t="str">
        <f>IFERROR(__xludf.DUMMYFUNCTION("""COMPUTED_VALUE"""),"NPBM")</f>
        <v>NPBM</v>
      </c>
      <c r="F463" s="1" t="str">
        <f>IFERROR(__xludf.DUMMYFUNCTION("""COMPUTED_VALUE"""),"NPBM")</f>
        <v>NPBM</v>
      </c>
      <c r="G463" s="1"/>
      <c r="H463" s="1" t="str">
        <f>IFERROR(__xludf.DUMMYFUNCTION("""COMPUTED_VALUE"""),"")</f>
        <v/>
      </c>
      <c r="I463" s="1" t="str">
        <f>IFERROR(__xludf.DUMMYFUNCTION("""COMPUTED_VALUE"""),"")</f>
        <v/>
      </c>
    </row>
    <row r="464" customHeight="1" spans="1:9">
      <c r="A464" s="1" t="str">
        <f>IFERROR(__xludf.DUMMYFUNCTION("""COMPUTED_VALUE"""),"Triunfo")</f>
        <v>Triunfo</v>
      </c>
      <c r="B464" s="144" t="str">
        <f>IFERROR(__xludf.DUMMYFUNCTION("""COMPUTED_VALUE"""),"2º CRBM")</f>
        <v>2º CRBM</v>
      </c>
      <c r="C464" s="1" t="str">
        <f>IFERROR(__xludf.DUMMYFUNCTION("""COMPUTED_VALUE"""),"2º BBM")</f>
        <v>2º BBM</v>
      </c>
      <c r="D464" s="1" t="str">
        <f>IFERROR(__xludf.DUMMYFUNCTION("""COMPUTED_VALUE"""),"Triunfo")</f>
        <v>Triunfo</v>
      </c>
      <c r="E464" s="1" t="str">
        <f>IFERROR(__xludf.DUMMYFUNCTION("""COMPUTED_VALUE"""),"Militar")</f>
        <v>Militar</v>
      </c>
      <c r="F464" s="1" t="str">
        <f>IFERROR(__xludf.DUMMYFUNCTION("""COMPUTED_VALUE"""),"Militar")</f>
        <v>Militar</v>
      </c>
      <c r="G464" s="1"/>
      <c r="H464" s="1">
        <f>IFERROR(__xludf.DUMMYFUNCTION("""COMPUTED_VALUE"""),1)</f>
        <v>1</v>
      </c>
      <c r="I464" s="1" t="str">
        <f>IFERROR(__xludf.DUMMYFUNCTION("""COMPUTED_VALUE"""),"")</f>
        <v/>
      </c>
    </row>
    <row r="465" customHeight="1" spans="1:9">
      <c r="A465" s="1" t="str">
        <f>IFERROR(__xludf.DUMMYFUNCTION("""COMPUTED_VALUE"""),"Tucunduva")</f>
        <v>Tucunduva</v>
      </c>
      <c r="B465" s="144" t="str">
        <f>IFERROR(__xludf.DUMMYFUNCTION("""COMPUTED_VALUE"""),"4º CRBM")</f>
        <v>4º CRBM</v>
      </c>
      <c r="C465" s="1" t="str">
        <f>IFERROR(__xludf.DUMMYFUNCTION("""COMPUTED_VALUE"""),"11º BBM")</f>
        <v>11º BBM</v>
      </c>
      <c r="D465" s="1" t="str">
        <f>IFERROR(__xludf.DUMMYFUNCTION("""COMPUTED_VALUE"""),"Horizontina")</f>
        <v>Horizontina</v>
      </c>
      <c r="E465" s="1" t="str">
        <f>IFERROR(__xludf.DUMMYFUNCTION("""COMPUTED_VALUE"""),"NPBM")</f>
        <v>NPBM</v>
      </c>
      <c r="F465" s="1" t="str">
        <f>IFERROR(__xludf.DUMMYFUNCTION("""COMPUTED_VALUE"""),"NPBM")</f>
        <v>NPBM</v>
      </c>
      <c r="G465" s="1"/>
      <c r="H465" s="1" t="str">
        <f>IFERROR(__xludf.DUMMYFUNCTION("""COMPUTED_VALUE"""),"")</f>
        <v/>
      </c>
      <c r="I465" s="1" t="str">
        <f>IFERROR(__xludf.DUMMYFUNCTION("""COMPUTED_VALUE"""),"")</f>
        <v/>
      </c>
    </row>
    <row r="466" customHeight="1" spans="1:9">
      <c r="A466" s="1" t="str">
        <f>IFERROR(__xludf.DUMMYFUNCTION("""COMPUTED_VALUE"""),"Tunas")</f>
        <v>Tunas</v>
      </c>
      <c r="B466" s="144" t="str">
        <f>IFERROR(__xludf.DUMMYFUNCTION("""COMPUTED_VALUE"""),"4º CRBM")</f>
        <v>4º CRBM</v>
      </c>
      <c r="C466" s="1" t="str">
        <f>IFERROR(__xludf.DUMMYFUNCTION("""COMPUTED_VALUE"""),"6º BBM")</f>
        <v>6º BBM</v>
      </c>
      <c r="D466" s="1" t="str">
        <f>IFERROR(__xludf.DUMMYFUNCTION("""COMPUTED_VALUE"""),"Tapera")</f>
        <v>Tapera</v>
      </c>
      <c r="E466" s="1" t="str">
        <f>IFERROR(__xludf.DUMMYFUNCTION("""COMPUTED_VALUE"""),"NPBM")</f>
        <v>NPBM</v>
      </c>
      <c r="F466" s="1" t="str">
        <f>IFERROR(__xludf.DUMMYFUNCTION("""COMPUTED_VALUE"""),"NPBM")</f>
        <v>NPBM</v>
      </c>
      <c r="G466" s="1"/>
      <c r="H466" s="1" t="str">
        <f>IFERROR(__xludf.DUMMYFUNCTION("""COMPUTED_VALUE"""),"")</f>
        <v/>
      </c>
      <c r="I466" s="1" t="str">
        <f>IFERROR(__xludf.DUMMYFUNCTION("""COMPUTED_VALUE"""),"")</f>
        <v/>
      </c>
    </row>
    <row r="467" customHeight="1" spans="1:9">
      <c r="A467" s="1" t="str">
        <f>IFERROR(__xludf.DUMMYFUNCTION("""COMPUTED_VALUE"""),"Tupanci do Sul")</f>
        <v>Tupanci do Sul</v>
      </c>
      <c r="B467" s="144" t="str">
        <f>IFERROR(__xludf.DUMMYFUNCTION("""COMPUTED_VALUE"""),"2º CRBM")</f>
        <v>2º CRBM</v>
      </c>
      <c r="C467" s="1" t="str">
        <f>IFERROR(__xludf.DUMMYFUNCTION("""COMPUTED_VALUE"""),"5º BBM")</f>
        <v>5º BBM</v>
      </c>
      <c r="D467" s="1" t="str">
        <f>IFERROR(__xludf.DUMMYFUNCTION("""COMPUTED_VALUE"""),"Lagoa Vermelha")</f>
        <v>Lagoa Vermelha</v>
      </c>
      <c r="E467" s="1" t="str">
        <f>IFERROR(__xludf.DUMMYFUNCTION("""COMPUTED_VALUE"""),"NPBM")</f>
        <v>NPBM</v>
      </c>
      <c r="F467" s="1" t="str">
        <f>IFERROR(__xludf.DUMMYFUNCTION("""COMPUTED_VALUE"""),"NPBM")</f>
        <v>NPBM</v>
      </c>
      <c r="G467" s="1"/>
      <c r="H467" s="1" t="str">
        <f>IFERROR(__xludf.DUMMYFUNCTION("""COMPUTED_VALUE"""),"")</f>
        <v/>
      </c>
      <c r="I467" s="1" t="str">
        <f>IFERROR(__xludf.DUMMYFUNCTION("""COMPUTED_VALUE"""),"")</f>
        <v/>
      </c>
    </row>
    <row r="468" customHeight="1" spans="1:9">
      <c r="A468" s="1" t="str">
        <f>IFERROR(__xludf.DUMMYFUNCTION("""COMPUTED_VALUE"""),"Tupanciretã")</f>
        <v>Tupanciretã</v>
      </c>
      <c r="B468" s="144" t="str">
        <f>IFERROR(__xludf.DUMMYFUNCTION("""COMPUTED_VALUE"""),"4º CRBM")</f>
        <v>4º CRBM</v>
      </c>
      <c r="C468" s="1" t="str">
        <f>IFERROR(__xludf.DUMMYFUNCTION("""COMPUTED_VALUE"""),"4º BBM")</f>
        <v>4º BBM</v>
      </c>
      <c r="D468" s="1" t="str">
        <f>IFERROR(__xludf.DUMMYFUNCTION("""COMPUTED_VALUE"""),"Júlio de Castilhos")</f>
        <v>Júlio de Castilhos</v>
      </c>
      <c r="E468" s="1" t="str">
        <f>IFERROR(__xludf.DUMMYFUNCTION("""COMPUTED_VALUE"""),"Voluntersul")</f>
        <v>Voluntersul</v>
      </c>
      <c r="F468" s="1" t="str">
        <f>IFERROR(__xludf.DUMMYFUNCTION("""COMPUTED_VALUE"""),"Voluntersul")</f>
        <v>Voluntersul</v>
      </c>
      <c r="G468" s="234" t="str">
        <f>IFERROR(__xludf.DUMMYFUNCTION("""COMPUTED_VALUE""")," 4 - Desfavorável")</f>
        <v> 4 - Desfavorável</v>
      </c>
      <c r="H468" s="1" t="str">
        <f>IFERROR(__xludf.DUMMYFUNCTION("""COMPUTED_VALUE"""),"")</f>
        <v/>
      </c>
      <c r="I468" s="1" t="str">
        <f>IFERROR(__xludf.DUMMYFUNCTION("""COMPUTED_VALUE"""),"")</f>
        <v/>
      </c>
    </row>
    <row r="469" customHeight="1" spans="1:9">
      <c r="A469" s="1" t="str">
        <f>IFERROR(__xludf.DUMMYFUNCTION("""COMPUTED_VALUE"""),"Tupandi")</f>
        <v>Tupandi</v>
      </c>
      <c r="B469" s="144" t="str">
        <f>IFERROR(__xludf.DUMMYFUNCTION("""COMPUTED_VALUE"""),"2º CRBM")</f>
        <v>2º CRBM</v>
      </c>
      <c r="C469" s="1" t="str">
        <f>IFERROR(__xludf.DUMMYFUNCTION("""COMPUTED_VALUE"""),"2º BBM")</f>
        <v>2º BBM</v>
      </c>
      <c r="D469" s="1" t="str">
        <f>IFERROR(__xludf.DUMMYFUNCTION("""COMPUTED_VALUE"""),"Montenegro")</f>
        <v>Montenegro</v>
      </c>
      <c r="E469" s="1" t="str">
        <f>IFERROR(__xludf.DUMMYFUNCTION("""COMPUTED_VALUE"""),"NPBM")</f>
        <v>NPBM</v>
      </c>
      <c r="F469" s="1" t="str">
        <f>IFERROR(__xludf.DUMMYFUNCTION("""COMPUTED_VALUE"""),"NPBM")</f>
        <v>NPBM</v>
      </c>
      <c r="G469" s="234" t="str">
        <f>IFERROR(__xludf.DUMMYFUNCTION("""COMPUTED_VALUE""")," 2 - Em Credenciamento")</f>
        <v> 2 - Em Credenciamento</v>
      </c>
      <c r="H469" s="1" t="str">
        <f>IFERROR(__xludf.DUMMYFUNCTION("""COMPUTED_VALUE"""),"")</f>
        <v/>
      </c>
      <c r="I469" s="1" t="str">
        <f>IFERROR(__xludf.DUMMYFUNCTION("""COMPUTED_VALUE"""),"")</f>
        <v/>
      </c>
    </row>
    <row r="470" customHeight="1" spans="1:9">
      <c r="A470" s="1" t="str">
        <f>IFERROR(__xludf.DUMMYFUNCTION("""COMPUTED_VALUE"""),"Tuparendi")</f>
        <v>Tuparendi</v>
      </c>
      <c r="B470" s="144" t="str">
        <f>IFERROR(__xludf.DUMMYFUNCTION("""COMPUTED_VALUE"""),"4º CRBM")</f>
        <v>4º CRBM</v>
      </c>
      <c r="C470" s="1" t="str">
        <f>IFERROR(__xludf.DUMMYFUNCTION("""COMPUTED_VALUE"""),"11º BBM")</f>
        <v>11º BBM</v>
      </c>
      <c r="D470" s="1" t="str">
        <f>IFERROR(__xludf.DUMMYFUNCTION("""COMPUTED_VALUE"""),"Santa Rosa")</f>
        <v>Santa Rosa</v>
      </c>
      <c r="E470" s="1" t="str">
        <f>IFERROR(__xludf.DUMMYFUNCTION("""COMPUTED_VALUE"""),"NPBM")</f>
        <v>NPBM</v>
      </c>
      <c r="F470" s="1" t="str">
        <f>IFERROR(__xludf.DUMMYFUNCTION("""COMPUTED_VALUE"""),"NPBM")</f>
        <v>NPBM</v>
      </c>
      <c r="G470" s="1"/>
      <c r="H470" s="1" t="str">
        <f>IFERROR(__xludf.DUMMYFUNCTION("""COMPUTED_VALUE"""),"")</f>
        <v/>
      </c>
      <c r="I470" s="1" t="str">
        <f>IFERROR(__xludf.DUMMYFUNCTION("""COMPUTED_VALUE"""),"")</f>
        <v/>
      </c>
    </row>
    <row r="471" customHeight="1" spans="1:9">
      <c r="A471" s="1" t="str">
        <f>IFERROR(__xludf.DUMMYFUNCTION("""COMPUTED_VALUE"""),"Turuçu")</f>
        <v>Turuçu</v>
      </c>
      <c r="B471" s="144" t="str">
        <f>IFERROR(__xludf.DUMMYFUNCTION("""COMPUTED_VALUE"""),"3º CRBM")</f>
        <v>3º CRBM</v>
      </c>
      <c r="C471" s="1" t="str">
        <f>IFERROR(__xludf.DUMMYFUNCTION("""COMPUTED_VALUE"""),"3º BBM")</f>
        <v>3º BBM</v>
      </c>
      <c r="D471" s="1" t="str">
        <f>IFERROR(__xludf.DUMMYFUNCTION("""COMPUTED_VALUE"""),"São Lourenço do Sul")</f>
        <v>São Lourenço do Sul</v>
      </c>
      <c r="E471" s="1" t="str">
        <f>IFERROR(__xludf.DUMMYFUNCTION("""COMPUTED_VALUE"""),"NPBM")</f>
        <v>NPBM</v>
      </c>
      <c r="F471" s="1" t="str">
        <f>IFERROR(__xludf.DUMMYFUNCTION("""COMPUTED_VALUE"""),"NPBM")</f>
        <v>NPBM</v>
      </c>
      <c r="G471" s="1"/>
      <c r="H471" s="1" t="str">
        <f>IFERROR(__xludf.DUMMYFUNCTION("""COMPUTED_VALUE"""),"")</f>
        <v/>
      </c>
      <c r="I471" s="1" t="str">
        <f>IFERROR(__xludf.DUMMYFUNCTION("""COMPUTED_VALUE"""),"")</f>
        <v/>
      </c>
    </row>
    <row r="472" customHeight="1" spans="1:9">
      <c r="A472" s="1" t="str">
        <f>IFERROR(__xludf.DUMMYFUNCTION("""COMPUTED_VALUE"""),"Ubiretama")</f>
        <v>Ubiretama</v>
      </c>
      <c r="B472" s="144" t="str">
        <f>IFERROR(__xludf.DUMMYFUNCTION("""COMPUTED_VALUE"""),"4º CRBM")</f>
        <v>4º CRBM</v>
      </c>
      <c r="C472" s="1" t="str">
        <f>IFERROR(__xludf.DUMMYFUNCTION("""COMPUTED_VALUE"""),"11º BBM")</f>
        <v>11º BBM</v>
      </c>
      <c r="D472" s="1" t="str">
        <f>IFERROR(__xludf.DUMMYFUNCTION("""COMPUTED_VALUE"""),"Giruá")</f>
        <v>Giruá</v>
      </c>
      <c r="E472" s="1" t="str">
        <f>IFERROR(__xludf.DUMMYFUNCTION("""COMPUTED_VALUE"""),"NPBM")</f>
        <v>NPBM</v>
      </c>
      <c r="F472" s="1" t="str">
        <f>IFERROR(__xludf.DUMMYFUNCTION("""COMPUTED_VALUE"""),"NPBM")</f>
        <v>NPBM</v>
      </c>
      <c r="G472" s="1"/>
      <c r="H472" s="1" t="str">
        <f>IFERROR(__xludf.DUMMYFUNCTION("""COMPUTED_VALUE"""),"")</f>
        <v/>
      </c>
      <c r="I472" s="1" t="str">
        <f>IFERROR(__xludf.DUMMYFUNCTION("""COMPUTED_VALUE"""),"")</f>
        <v/>
      </c>
    </row>
    <row r="473" customHeight="1" spans="1:9">
      <c r="A473" s="1" t="str">
        <f>IFERROR(__xludf.DUMMYFUNCTION("""COMPUTED_VALUE"""),"União da Serra")</f>
        <v>União da Serra</v>
      </c>
      <c r="B473" s="144" t="str">
        <f>IFERROR(__xludf.DUMMYFUNCTION("""COMPUTED_VALUE"""),"2º CRBM")</f>
        <v>2º CRBM</v>
      </c>
      <c r="C473" s="1" t="str">
        <f>IFERROR(__xludf.DUMMYFUNCTION("""COMPUTED_VALUE"""),"7º BBM")</f>
        <v>7º BBM</v>
      </c>
      <c r="D473" s="1" t="str">
        <f>IFERROR(__xludf.DUMMYFUNCTION("""COMPUTED_VALUE"""),"Guaporé")</f>
        <v>Guaporé</v>
      </c>
      <c r="E473" s="1" t="str">
        <f>IFERROR(__xludf.DUMMYFUNCTION("""COMPUTED_VALUE"""),"NPBM")</f>
        <v>NPBM</v>
      </c>
      <c r="F473" s="1" t="str">
        <f>IFERROR(__xludf.DUMMYFUNCTION("""COMPUTED_VALUE"""),"NPBM")</f>
        <v>NPBM</v>
      </c>
      <c r="G473" s="1"/>
      <c r="H473" s="1" t="str">
        <f>IFERROR(__xludf.DUMMYFUNCTION("""COMPUTED_VALUE"""),"")</f>
        <v/>
      </c>
      <c r="I473" s="1" t="str">
        <f>IFERROR(__xludf.DUMMYFUNCTION("""COMPUTED_VALUE"""),"")</f>
        <v/>
      </c>
    </row>
    <row r="474" customHeight="1" spans="1:9">
      <c r="A474" s="1" t="str">
        <f>IFERROR(__xludf.DUMMYFUNCTION("""COMPUTED_VALUE"""),"Unistalda")</f>
        <v>Unistalda</v>
      </c>
      <c r="B474" s="144" t="str">
        <f>IFERROR(__xludf.DUMMYFUNCTION("""COMPUTED_VALUE"""),"3º CRBM")</f>
        <v>3º CRBM</v>
      </c>
      <c r="C474" s="1" t="str">
        <f>IFERROR(__xludf.DUMMYFUNCTION("""COMPUTED_VALUE"""),"13º BBM")</f>
        <v>13º BBM</v>
      </c>
      <c r="D474" s="1" t="str">
        <f>IFERROR(__xludf.DUMMYFUNCTION("""COMPUTED_VALUE"""),"Santiago")</f>
        <v>Santiago</v>
      </c>
      <c r="E474" s="1" t="str">
        <f>IFERROR(__xludf.DUMMYFUNCTION("""COMPUTED_VALUE"""),"NPBM")</f>
        <v>NPBM</v>
      </c>
      <c r="F474" s="1" t="str">
        <f>IFERROR(__xludf.DUMMYFUNCTION("""COMPUTED_VALUE"""),"NPBM")</f>
        <v>NPBM</v>
      </c>
      <c r="G474" s="1"/>
      <c r="H474" s="1" t="str">
        <f>IFERROR(__xludf.DUMMYFUNCTION("""COMPUTED_VALUE"""),"")</f>
        <v/>
      </c>
      <c r="I474" s="1" t="str">
        <f>IFERROR(__xludf.DUMMYFUNCTION("""COMPUTED_VALUE"""),"")</f>
        <v/>
      </c>
    </row>
    <row r="475" customHeight="1" spans="1:9">
      <c r="A475" s="1" t="str">
        <f>IFERROR(__xludf.DUMMYFUNCTION("""COMPUTED_VALUE"""),"Uruguaiana")</f>
        <v>Uruguaiana</v>
      </c>
      <c r="B475" s="144" t="str">
        <f>IFERROR(__xludf.DUMMYFUNCTION("""COMPUTED_VALUE"""),"3º CRBM")</f>
        <v>3º CRBM</v>
      </c>
      <c r="C475" s="1" t="str">
        <f>IFERROR(__xludf.DUMMYFUNCTION("""COMPUTED_VALUE"""),"13º BBM")</f>
        <v>13º BBM</v>
      </c>
      <c r="D475" s="1" t="str">
        <f>IFERROR(__xludf.DUMMYFUNCTION("""COMPUTED_VALUE"""),"Uruguaiana")</f>
        <v>Uruguaiana</v>
      </c>
      <c r="E475" s="1" t="str">
        <f>IFERROR(__xludf.DUMMYFUNCTION("""COMPUTED_VALUE"""),"Militar")</f>
        <v>Militar</v>
      </c>
      <c r="F475" s="1" t="str">
        <f>IFERROR(__xludf.DUMMYFUNCTION("""COMPUTED_VALUE"""),"Militar")</f>
        <v>Militar</v>
      </c>
      <c r="G475" s="1"/>
      <c r="H475" s="1">
        <f>IFERROR(__xludf.DUMMYFUNCTION("""COMPUTED_VALUE"""),1)</f>
        <v>1</v>
      </c>
      <c r="I475" s="1" t="str">
        <f>IFERROR(__xludf.DUMMYFUNCTION("""COMPUTED_VALUE"""),"")</f>
        <v/>
      </c>
    </row>
    <row r="476" customHeight="1" spans="1:9">
      <c r="A476" s="1" t="str">
        <f>IFERROR(__xludf.DUMMYFUNCTION("""COMPUTED_VALUE"""),"Vacaria")</f>
        <v>Vacaria</v>
      </c>
      <c r="B476" s="144" t="str">
        <f>IFERROR(__xludf.DUMMYFUNCTION("""COMPUTED_VALUE"""),"2º CRBM")</f>
        <v>2º CRBM</v>
      </c>
      <c r="C476" s="1" t="str">
        <f>IFERROR(__xludf.DUMMYFUNCTION("""COMPUTED_VALUE"""),"5º BBM")</f>
        <v>5º BBM</v>
      </c>
      <c r="D476" s="1" t="str">
        <f>IFERROR(__xludf.DUMMYFUNCTION("""COMPUTED_VALUE"""),"Vacaria")</f>
        <v>Vacaria</v>
      </c>
      <c r="E476" s="1" t="str">
        <f>IFERROR(__xludf.DUMMYFUNCTION("""COMPUTED_VALUE"""),"Militar")</f>
        <v>Militar</v>
      </c>
      <c r="F476" s="1" t="str">
        <f>IFERROR(__xludf.DUMMYFUNCTION("""COMPUTED_VALUE"""),"Militar")</f>
        <v>Militar</v>
      </c>
      <c r="G476" s="1"/>
      <c r="H476" s="1">
        <f>IFERROR(__xludf.DUMMYFUNCTION("""COMPUTED_VALUE"""),1)</f>
        <v>1</v>
      </c>
      <c r="I476" s="1" t="str">
        <f>IFERROR(__xludf.DUMMYFUNCTION("""COMPUTED_VALUE"""),"")</f>
        <v/>
      </c>
    </row>
    <row r="477" customHeight="1" spans="1:9">
      <c r="A477" s="1" t="str">
        <f>IFERROR(__xludf.DUMMYFUNCTION("""COMPUTED_VALUE"""),"Vale do Sol")</f>
        <v>Vale do Sol</v>
      </c>
      <c r="B477" s="144" t="str">
        <f>IFERROR(__xludf.DUMMYFUNCTION("""COMPUTED_VALUE"""),"4º CRBM")</f>
        <v>4º CRBM</v>
      </c>
      <c r="C477" s="1" t="str">
        <f>IFERROR(__xludf.DUMMYFUNCTION("""COMPUTED_VALUE"""),"6º BBM")</f>
        <v>6º BBM</v>
      </c>
      <c r="D477" s="1" t="str">
        <f>IFERROR(__xludf.DUMMYFUNCTION("""COMPUTED_VALUE"""),"Vera Cruz")</f>
        <v>Vera Cruz</v>
      </c>
      <c r="E477" s="1" t="str">
        <f>IFERROR(__xludf.DUMMYFUNCTION("""COMPUTED_VALUE"""),"NPBM")</f>
        <v>NPBM</v>
      </c>
      <c r="F477" s="1" t="str">
        <f>IFERROR(__xludf.DUMMYFUNCTION("""COMPUTED_VALUE"""),"NPBM")</f>
        <v>NPBM</v>
      </c>
      <c r="G477" s="1"/>
      <c r="H477" s="1" t="str">
        <f>IFERROR(__xludf.DUMMYFUNCTION("""COMPUTED_VALUE"""),"")</f>
        <v/>
      </c>
      <c r="I477" s="1" t="str">
        <f>IFERROR(__xludf.DUMMYFUNCTION("""COMPUTED_VALUE"""),"")</f>
        <v/>
      </c>
    </row>
    <row r="478" customHeight="1" spans="1:9">
      <c r="A478" s="1" t="str">
        <f>IFERROR(__xludf.DUMMYFUNCTION("""COMPUTED_VALUE"""),"Vale Real")</f>
        <v>Vale Real</v>
      </c>
      <c r="B478" s="144" t="str">
        <f>IFERROR(__xludf.DUMMYFUNCTION("""COMPUTED_VALUE"""),"2º CRBM")</f>
        <v>2º CRBM</v>
      </c>
      <c r="C478" s="1" t="str">
        <f>IFERROR(__xludf.DUMMYFUNCTION("""COMPUTED_VALUE"""),"2º BBM")</f>
        <v>2º BBM</v>
      </c>
      <c r="D478" s="1" t="str">
        <f>IFERROR(__xludf.DUMMYFUNCTION("""COMPUTED_VALUE"""),"Caxias do Sul")</f>
        <v>Caxias do Sul</v>
      </c>
      <c r="E478" s="1" t="str">
        <f>IFERROR(__xludf.DUMMYFUNCTION("""COMPUTED_VALUE"""),"NPBM")</f>
        <v>NPBM</v>
      </c>
      <c r="F478" s="1" t="str">
        <f>IFERROR(__xludf.DUMMYFUNCTION("""COMPUTED_VALUE"""),"NPBM")</f>
        <v>NPBM</v>
      </c>
      <c r="G478" s="1"/>
      <c r="H478" s="1" t="str">
        <f>IFERROR(__xludf.DUMMYFUNCTION("""COMPUTED_VALUE"""),"")</f>
        <v/>
      </c>
      <c r="I478" s="1" t="str">
        <f>IFERROR(__xludf.DUMMYFUNCTION("""COMPUTED_VALUE"""),"")</f>
        <v/>
      </c>
    </row>
    <row r="479" customHeight="1" spans="1:9">
      <c r="A479" s="1" t="str">
        <f>IFERROR(__xludf.DUMMYFUNCTION("""COMPUTED_VALUE"""),"Vale Verde")</f>
        <v>Vale Verde</v>
      </c>
      <c r="B479" s="144" t="str">
        <f>IFERROR(__xludf.DUMMYFUNCTION("""COMPUTED_VALUE"""),"4º CRBM")</f>
        <v>4º CRBM</v>
      </c>
      <c r="C479" s="1" t="str">
        <f>IFERROR(__xludf.DUMMYFUNCTION("""COMPUTED_VALUE"""),"6º BBM")</f>
        <v>6º BBM</v>
      </c>
      <c r="D479" s="1" t="str">
        <f>IFERROR(__xludf.DUMMYFUNCTION("""COMPUTED_VALUE"""),"Santa Cruz do Sul")</f>
        <v>Santa Cruz do Sul</v>
      </c>
      <c r="E479" s="1" t="str">
        <f>IFERROR(__xludf.DUMMYFUNCTION("""COMPUTED_VALUE"""),"NPBM")</f>
        <v>NPBM</v>
      </c>
      <c r="F479" s="1" t="str">
        <f>IFERROR(__xludf.DUMMYFUNCTION("""COMPUTED_VALUE"""),"NPBM")</f>
        <v>NPBM</v>
      </c>
      <c r="G479" s="1"/>
      <c r="H479" s="1" t="str">
        <f>IFERROR(__xludf.DUMMYFUNCTION("""COMPUTED_VALUE"""),"")</f>
        <v/>
      </c>
      <c r="I479" s="1" t="str">
        <f>IFERROR(__xludf.DUMMYFUNCTION("""COMPUTED_VALUE"""),"")</f>
        <v/>
      </c>
    </row>
    <row r="480" customHeight="1" spans="1:9">
      <c r="A480" s="1" t="str">
        <f>IFERROR(__xludf.DUMMYFUNCTION("""COMPUTED_VALUE"""),"Vanini")</f>
        <v>Vanini</v>
      </c>
      <c r="B480" s="144" t="str">
        <f>IFERROR(__xludf.DUMMYFUNCTION("""COMPUTED_VALUE"""),"2º CRBM")</f>
        <v>2º CRBM</v>
      </c>
      <c r="C480" s="1" t="str">
        <f>IFERROR(__xludf.DUMMYFUNCTION("""COMPUTED_VALUE"""),"7º BBM")</f>
        <v>7º BBM</v>
      </c>
      <c r="D480" s="1" t="str">
        <f>IFERROR(__xludf.DUMMYFUNCTION("""COMPUTED_VALUE"""),"Guaporé")</f>
        <v>Guaporé</v>
      </c>
      <c r="E480" s="1" t="str">
        <f>IFERROR(__xludf.DUMMYFUNCTION("""COMPUTED_VALUE"""),"NPBM")</f>
        <v>NPBM</v>
      </c>
      <c r="F480" s="1" t="str">
        <f>IFERROR(__xludf.DUMMYFUNCTION("""COMPUTED_VALUE"""),"NPBM")</f>
        <v>NPBM</v>
      </c>
      <c r="G480" s="1"/>
      <c r="H480" s="1" t="str">
        <f>IFERROR(__xludf.DUMMYFUNCTION("""COMPUTED_VALUE"""),"")</f>
        <v/>
      </c>
      <c r="I480" s="1" t="str">
        <f>IFERROR(__xludf.DUMMYFUNCTION("""COMPUTED_VALUE"""),"")</f>
        <v/>
      </c>
    </row>
    <row r="481" customHeight="1" spans="1:9">
      <c r="A481" s="1" t="str">
        <f>IFERROR(__xludf.DUMMYFUNCTION("""COMPUTED_VALUE"""),"Venâncio Aires")</f>
        <v>Venâncio Aires</v>
      </c>
      <c r="B481" s="144" t="str">
        <f>IFERROR(__xludf.DUMMYFUNCTION("""COMPUTED_VALUE"""),"4º CRBM")</f>
        <v>4º CRBM</v>
      </c>
      <c r="C481" s="1" t="str">
        <f>IFERROR(__xludf.DUMMYFUNCTION("""COMPUTED_VALUE"""),"6º BBM")</f>
        <v>6º BBM</v>
      </c>
      <c r="D481" s="1" t="str">
        <f>IFERROR(__xludf.DUMMYFUNCTION("""COMPUTED_VALUE"""),"Venâncio Aires")</f>
        <v>Venâncio Aires</v>
      </c>
      <c r="E481" s="1" t="str">
        <f>IFERROR(__xludf.DUMMYFUNCTION("""COMPUTED_VALUE"""),"Militar")</f>
        <v>Militar</v>
      </c>
      <c r="F481" s="1" t="str">
        <f>IFERROR(__xludf.DUMMYFUNCTION("""COMPUTED_VALUE"""),"Militar")</f>
        <v>Militar</v>
      </c>
      <c r="G481" s="1"/>
      <c r="H481" s="1">
        <f>IFERROR(__xludf.DUMMYFUNCTION("""COMPUTED_VALUE"""),1)</f>
        <v>1</v>
      </c>
      <c r="I481" s="1" t="str">
        <f>IFERROR(__xludf.DUMMYFUNCTION("""COMPUTED_VALUE"""),"")</f>
        <v/>
      </c>
    </row>
    <row r="482" customHeight="1" spans="1:9">
      <c r="A482" s="1" t="str">
        <f>IFERROR(__xludf.DUMMYFUNCTION("""COMPUTED_VALUE"""),"Vera Cruz")</f>
        <v>Vera Cruz</v>
      </c>
      <c r="B482" s="144" t="str">
        <f>IFERROR(__xludf.DUMMYFUNCTION("""COMPUTED_VALUE"""),"4º CRBM")</f>
        <v>4º CRBM</v>
      </c>
      <c r="C482" s="1" t="str">
        <f>IFERROR(__xludf.DUMMYFUNCTION("""COMPUTED_VALUE"""),"6º BBM")</f>
        <v>6º BBM</v>
      </c>
      <c r="D482" s="1" t="str">
        <f>IFERROR(__xludf.DUMMYFUNCTION("""COMPUTED_VALUE"""),"Vera Cruz")</f>
        <v>Vera Cruz</v>
      </c>
      <c r="E482" s="1" t="str">
        <f>IFERROR(__xludf.DUMMYFUNCTION("""COMPUTED_VALUE"""),"Comunitário")</f>
        <v>Comunitário</v>
      </c>
      <c r="F482" s="1" t="str">
        <f>IFERROR(__xludf.DUMMYFUNCTION("""COMPUTED_VALUE"""),"Mil + Mun")</f>
        <v>Mil + Mun</v>
      </c>
      <c r="G482" s="1"/>
      <c r="H482" s="1">
        <f>IFERROR(__xludf.DUMMYFUNCTION("""COMPUTED_VALUE"""),1)</f>
        <v>1</v>
      </c>
      <c r="I482" s="1" t="str">
        <f>IFERROR(__xludf.DUMMYFUNCTION("""COMPUTED_VALUE"""),"")</f>
        <v/>
      </c>
    </row>
    <row r="483" customHeight="1" spans="1:9">
      <c r="A483" s="1" t="str">
        <f>IFERROR(__xludf.DUMMYFUNCTION("""COMPUTED_VALUE"""),"Veranópolis")</f>
        <v>Veranópolis</v>
      </c>
      <c r="B483" s="144" t="str">
        <f>IFERROR(__xludf.DUMMYFUNCTION("""COMPUTED_VALUE"""),"2º CRBM")</f>
        <v>2º CRBM</v>
      </c>
      <c r="C483" s="1" t="str">
        <f>IFERROR(__xludf.DUMMYFUNCTION("""COMPUTED_VALUE"""),"5º BBM")</f>
        <v>5º BBM</v>
      </c>
      <c r="D483" s="1" t="str">
        <f>IFERROR(__xludf.DUMMYFUNCTION("""COMPUTED_VALUE"""),"Veranópolis")</f>
        <v>Veranópolis</v>
      </c>
      <c r="E483" s="1" t="str">
        <f>IFERROR(__xludf.DUMMYFUNCTION("""COMPUTED_VALUE"""),"Militar")</f>
        <v>Militar</v>
      </c>
      <c r="F483" s="1" t="str">
        <f>IFERROR(__xludf.DUMMYFUNCTION("""COMPUTED_VALUE"""),"Militar")</f>
        <v>Militar</v>
      </c>
      <c r="G483" s="1"/>
      <c r="H483" s="1">
        <f>IFERROR(__xludf.DUMMYFUNCTION("""COMPUTED_VALUE"""),1)</f>
        <v>1</v>
      </c>
      <c r="I483" s="1" t="str">
        <f>IFERROR(__xludf.DUMMYFUNCTION("""COMPUTED_VALUE"""),"")</f>
        <v/>
      </c>
    </row>
    <row r="484" customHeight="1" spans="1:9">
      <c r="A484" s="1" t="str">
        <f>IFERROR(__xludf.DUMMYFUNCTION("""COMPUTED_VALUE"""),"Vespasiano Corrêa")</f>
        <v>Vespasiano Corrêa</v>
      </c>
      <c r="B484" s="144" t="str">
        <f>IFERROR(__xludf.DUMMYFUNCTION("""COMPUTED_VALUE"""),"4º CRBM")</f>
        <v>4º CRBM</v>
      </c>
      <c r="C484" s="1" t="str">
        <f>IFERROR(__xludf.DUMMYFUNCTION("""COMPUTED_VALUE"""),"6º BBM")</f>
        <v>6º BBM</v>
      </c>
      <c r="D484" s="1" t="str">
        <f>IFERROR(__xludf.DUMMYFUNCTION("""COMPUTED_VALUE"""),"Encantado")</f>
        <v>Encantado</v>
      </c>
      <c r="E484" s="1" t="str">
        <f>IFERROR(__xludf.DUMMYFUNCTION("""COMPUTED_VALUE"""),"NPBM")</f>
        <v>NPBM</v>
      </c>
      <c r="F484" s="1" t="str">
        <f>IFERROR(__xludf.DUMMYFUNCTION("""COMPUTED_VALUE"""),"NPBM")</f>
        <v>NPBM</v>
      </c>
      <c r="G484" s="1"/>
      <c r="H484" s="1" t="str">
        <f>IFERROR(__xludf.DUMMYFUNCTION("""COMPUTED_VALUE"""),"")</f>
        <v/>
      </c>
      <c r="I484" s="1" t="str">
        <f>IFERROR(__xludf.DUMMYFUNCTION("""COMPUTED_VALUE"""),"")</f>
        <v/>
      </c>
    </row>
    <row r="485" customHeight="1" spans="1:9">
      <c r="A485" s="1" t="str">
        <f>IFERROR(__xludf.DUMMYFUNCTION("""COMPUTED_VALUE"""),"Viadutos")</f>
        <v>Viadutos</v>
      </c>
      <c r="B485" s="144" t="str">
        <f>IFERROR(__xludf.DUMMYFUNCTION("""COMPUTED_VALUE"""),"2º CRBM")</f>
        <v>2º CRBM</v>
      </c>
      <c r="C485" s="1" t="str">
        <f>IFERROR(__xludf.DUMMYFUNCTION("""COMPUTED_VALUE"""),"7º BBM")</f>
        <v>7º BBM</v>
      </c>
      <c r="D485" s="1" t="str">
        <f>IFERROR(__xludf.DUMMYFUNCTION("""COMPUTED_VALUE"""),"Erechim")</f>
        <v>Erechim</v>
      </c>
      <c r="E485" s="1" t="str">
        <f>IFERROR(__xludf.DUMMYFUNCTION("""COMPUTED_VALUE"""),"SCAB")</f>
        <v>SCAB</v>
      </c>
      <c r="F485" s="1" t="str">
        <f>IFERROR(__xludf.DUMMYFUNCTION("""COMPUTED_VALUE"""),"Municipal")</f>
        <v>Municipal</v>
      </c>
      <c r="G485" s="234" t="str">
        <f>IFERROR(__xludf.DUMMYFUNCTION("""COMPUTED_VALUE""")," 1 - Credenciado")</f>
        <v> 1 - Credenciado</v>
      </c>
      <c r="H485" s="1" t="str">
        <f>IFERROR(__xludf.DUMMYFUNCTION("""COMPUTED_VALUE"""),"")</f>
        <v/>
      </c>
      <c r="I485" s="1" t="str">
        <f>IFERROR(__xludf.DUMMYFUNCTION("""COMPUTED_VALUE"""),"")</f>
        <v/>
      </c>
    </row>
    <row r="486" customHeight="1" spans="1:9">
      <c r="A486" s="1" t="str">
        <f>IFERROR(__xludf.DUMMYFUNCTION("""COMPUTED_VALUE"""),"Viamão")</f>
        <v>Viamão</v>
      </c>
      <c r="B486" s="144" t="str">
        <f>IFERROR(__xludf.DUMMYFUNCTION("""COMPUTED_VALUE"""),"1º CRBM")</f>
        <v>1º CRBM</v>
      </c>
      <c r="C486" s="1" t="str">
        <f>IFERROR(__xludf.DUMMYFUNCTION("""COMPUTED_VALUE"""),"8º BBM")</f>
        <v>8º BBM</v>
      </c>
      <c r="D486" s="1" t="str">
        <f>IFERROR(__xludf.DUMMYFUNCTION("""COMPUTED_VALUE"""),"Viamão")</f>
        <v>Viamão</v>
      </c>
      <c r="E486" s="1" t="str">
        <f>IFERROR(__xludf.DUMMYFUNCTION("""COMPUTED_VALUE"""),"Militar")</f>
        <v>Militar</v>
      </c>
      <c r="F486" s="1" t="str">
        <f>IFERROR(__xludf.DUMMYFUNCTION("""COMPUTED_VALUE"""),"Militar")</f>
        <v>Militar</v>
      </c>
      <c r="G486" s="1"/>
      <c r="H486" s="1">
        <f>IFERROR(__xludf.DUMMYFUNCTION("""COMPUTED_VALUE"""),1)</f>
        <v>1</v>
      </c>
      <c r="I486" s="1" t="str">
        <f>IFERROR(__xludf.DUMMYFUNCTION("""COMPUTED_VALUE"""),"")</f>
        <v/>
      </c>
    </row>
    <row r="487" customHeight="1" spans="1:9">
      <c r="A487" s="1" t="str">
        <f>IFERROR(__xludf.DUMMYFUNCTION("""COMPUTED_VALUE"""),"Vicente Dutra")</f>
        <v>Vicente Dutra</v>
      </c>
      <c r="B487" s="144" t="str">
        <f>IFERROR(__xludf.DUMMYFUNCTION("""COMPUTED_VALUE"""),"4º CRBM")</f>
        <v>4º CRBM</v>
      </c>
      <c r="C487" s="1" t="str">
        <f>IFERROR(__xludf.DUMMYFUNCTION("""COMPUTED_VALUE"""),"12º BBM")</f>
        <v>12º BBM</v>
      </c>
      <c r="D487" s="1" t="str">
        <f>IFERROR(__xludf.DUMMYFUNCTION("""COMPUTED_VALUE"""),"Frederico Westphalen")</f>
        <v>Frederico Westphalen</v>
      </c>
      <c r="E487" s="1" t="str">
        <f>IFERROR(__xludf.DUMMYFUNCTION("""COMPUTED_VALUE"""),"NPBM")</f>
        <v>NPBM</v>
      </c>
      <c r="F487" s="1" t="str">
        <f>IFERROR(__xludf.DUMMYFUNCTION("""COMPUTED_VALUE"""),"NPBM")</f>
        <v>NPBM</v>
      </c>
      <c r="G487" s="1"/>
      <c r="H487" s="1" t="str">
        <f>IFERROR(__xludf.DUMMYFUNCTION("""COMPUTED_VALUE"""),"")</f>
        <v/>
      </c>
      <c r="I487" s="1" t="str">
        <f>IFERROR(__xludf.DUMMYFUNCTION("""COMPUTED_VALUE"""),"")</f>
        <v/>
      </c>
    </row>
    <row r="488" customHeight="1" spans="1:9">
      <c r="A488" s="1" t="str">
        <f>IFERROR(__xludf.DUMMYFUNCTION("""COMPUTED_VALUE"""),"Victor Graeff")</f>
        <v>Victor Graeff</v>
      </c>
      <c r="B488" s="144" t="str">
        <f>IFERROR(__xludf.DUMMYFUNCTION("""COMPUTED_VALUE"""),"2º CRBM")</f>
        <v>2º CRBM</v>
      </c>
      <c r="C488" s="1" t="str">
        <f>IFERROR(__xludf.DUMMYFUNCTION("""COMPUTED_VALUE"""),"7º BBM")</f>
        <v>7º BBM</v>
      </c>
      <c r="D488" s="1" t="str">
        <f>IFERROR(__xludf.DUMMYFUNCTION("""COMPUTED_VALUE"""),"Tapera")</f>
        <v>Tapera</v>
      </c>
      <c r="E488" s="1" t="str">
        <f>IFERROR(__xludf.DUMMYFUNCTION("""COMPUTED_VALUE"""),"NPBM")</f>
        <v>NPBM</v>
      </c>
      <c r="F488" s="1" t="str">
        <f>IFERROR(__xludf.DUMMYFUNCTION("""COMPUTED_VALUE"""),"NPBM")</f>
        <v>NPBM</v>
      </c>
      <c r="G488" s="1"/>
      <c r="H488" s="1" t="str">
        <f>IFERROR(__xludf.DUMMYFUNCTION("""COMPUTED_VALUE"""),"")</f>
        <v/>
      </c>
      <c r="I488" s="1" t="str">
        <f>IFERROR(__xludf.DUMMYFUNCTION("""COMPUTED_VALUE"""),"")</f>
        <v/>
      </c>
    </row>
    <row r="489" customHeight="1" spans="1:9">
      <c r="A489" s="1" t="str">
        <f>IFERROR(__xludf.DUMMYFUNCTION("""COMPUTED_VALUE"""),"Vila Flores")</f>
        <v>Vila Flores</v>
      </c>
      <c r="B489" s="144" t="str">
        <f>IFERROR(__xludf.DUMMYFUNCTION("""COMPUTED_VALUE"""),"2º CRBM")</f>
        <v>2º CRBM</v>
      </c>
      <c r="C489" s="1" t="str">
        <f>IFERROR(__xludf.DUMMYFUNCTION("""COMPUTED_VALUE"""),"5º BBM")</f>
        <v>5º BBM</v>
      </c>
      <c r="D489" s="1" t="str">
        <f>IFERROR(__xludf.DUMMYFUNCTION("""COMPUTED_VALUE"""),"Veranópolis")</f>
        <v>Veranópolis</v>
      </c>
      <c r="E489" s="1" t="str">
        <f>IFERROR(__xludf.DUMMYFUNCTION("""COMPUTED_VALUE"""),"NPBM")</f>
        <v>NPBM</v>
      </c>
      <c r="F489" s="1" t="str">
        <f>IFERROR(__xludf.DUMMYFUNCTION("""COMPUTED_VALUE"""),"NPBM")</f>
        <v>NPBM</v>
      </c>
      <c r="G489" s="1"/>
      <c r="H489" s="1" t="str">
        <f>IFERROR(__xludf.DUMMYFUNCTION("""COMPUTED_VALUE"""),"")</f>
        <v/>
      </c>
      <c r="I489" s="1" t="str">
        <f>IFERROR(__xludf.DUMMYFUNCTION("""COMPUTED_VALUE"""),"")</f>
        <v/>
      </c>
    </row>
    <row r="490" customHeight="1" spans="1:9">
      <c r="A490" s="1" t="str">
        <f>IFERROR(__xludf.DUMMYFUNCTION("""COMPUTED_VALUE"""),"Vila Lângaro")</f>
        <v>Vila Lângaro</v>
      </c>
      <c r="B490" s="144" t="str">
        <f>IFERROR(__xludf.DUMMYFUNCTION("""COMPUTED_VALUE"""),"2º CRBM")</f>
        <v>2º CRBM</v>
      </c>
      <c r="C490" s="1" t="str">
        <f>IFERROR(__xludf.DUMMYFUNCTION("""COMPUTED_VALUE"""),"7º BBM")</f>
        <v>7º BBM</v>
      </c>
      <c r="D490" s="1" t="str">
        <f>IFERROR(__xludf.DUMMYFUNCTION("""COMPUTED_VALUE"""),"Passo Fundo")</f>
        <v>Passo Fundo</v>
      </c>
      <c r="E490" s="1" t="str">
        <f>IFERROR(__xludf.DUMMYFUNCTION("""COMPUTED_VALUE"""),"NPBM")</f>
        <v>NPBM</v>
      </c>
      <c r="F490" s="1" t="str">
        <f>IFERROR(__xludf.DUMMYFUNCTION("""COMPUTED_VALUE"""),"NPBM")</f>
        <v>NPBM</v>
      </c>
      <c r="G490" s="1"/>
      <c r="H490" s="1" t="str">
        <f>IFERROR(__xludf.DUMMYFUNCTION("""COMPUTED_VALUE"""),"")</f>
        <v/>
      </c>
      <c r="I490" s="1" t="str">
        <f>IFERROR(__xludf.DUMMYFUNCTION("""COMPUTED_VALUE"""),"")</f>
        <v/>
      </c>
    </row>
    <row r="491" customHeight="1" spans="1:9">
      <c r="A491" s="1" t="str">
        <f>IFERROR(__xludf.DUMMYFUNCTION("""COMPUTED_VALUE"""),"Vila Maria")</f>
        <v>Vila Maria</v>
      </c>
      <c r="B491" s="144" t="str">
        <f>IFERROR(__xludf.DUMMYFUNCTION("""COMPUTED_VALUE"""),"2º CRBM")</f>
        <v>2º CRBM</v>
      </c>
      <c r="C491" s="1" t="str">
        <f>IFERROR(__xludf.DUMMYFUNCTION("""COMPUTED_VALUE"""),"7º BBM")</f>
        <v>7º BBM</v>
      </c>
      <c r="D491" s="1" t="str">
        <f>IFERROR(__xludf.DUMMYFUNCTION("""COMPUTED_VALUE"""),"Passo Fundo")</f>
        <v>Passo Fundo</v>
      </c>
      <c r="E491" s="1" t="str">
        <f>IFERROR(__xludf.DUMMYFUNCTION("""COMPUTED_VALUE"""),"NPBM")</f>
        <v>NPBM</v>
      </c>
      <c r="F491" s="1" t="str">
        <f>IFERROR(__xludf.DUMMYFUNCTION("""COMPUTED_VALUE"""),"NPBM")</f>
        <v>NPBM</v>
      </c>
      <c r="G491" s="1"/>
      <c r="H491" s="1" t="str">
        <f>IFERROR(__xludf.DUMMYFUNCTION("""COMPUTED_VALUE"""),"")</f>
        <v/>
      </c>
      <c r="I491" s="1" t="str">
        <f>IFERROR(__xludf.DUMMYFUNCTION("""COMPUTED_VALUE"""),"")</f>
        <v/>
      </c>
    </row>
    <row r="492" customHeight="1" spans="1:9">
      <c r="A492" s="1" t="str">
        <f>IFERROR(__xludf.DUMMYFUNCTION("""COMPUTED_VALUE"""),"Vila Nova do Sul")</f>
        <v>Vila Nova do Sul</v>
      </c>
      <c r="B492" s="144" t="str">
        <f>IFERROR(__xludf.DUMMYFUNCTION("""COMPUTED_VALUE"""),"3º CRBM")</f>
        <v>3º CRBM</v>
      </c>
      <c r="C492" s="1" t="str">
        <f>IFERROR(__xludf.DUMMYFUNCTION("""COMPUTED_VALUE"""),"10º BBM")</f>
        <v>10º BBM</v>
      </c>
      <c r="D492" s="1" t="str">
        <f>IFERROR(__xludf.DUMMYFUNCTION("""COMPUTED_VALUE"""),"São Gabriel")</f>
        <v>São Gabriel</v>
      </c>
      <c r="E492" s="1" t="str">
        <f>IFERROR(__xludf.DUMMYFUNCTION("""COMPUTED_VALUE"""),"NPBM")</f>
        <v>NPBM</v>
      </c>
      <c r="F492" s="1" t="str">
        <f>IFERROR(__xludf.DUMMYFUNCTION("""COMPUTED_VALUE"""),"NPBM")</f>
        <v>NPBM</v>
      </c>
      <c r="G492" s="1"/>
      <c r="H492" s="1" t="str">
        <f>IFERROR(__xludf.DUMMYFUNCTION("""COMPUTED_VALUE"""),"")</f>
        <v/>
      </c>
      <c r="I492" s="1" t="str">
        <f>IFERROR(__xludf.DUMMYFUNCTION("""COMPUTED_VALUE"""),"")</f>
        <v/>
      </c>
    </row>
    <row r="493" customHeight="1" spans="1:9">
      <c r="A493" s="1" t="str">
        <f>IFERROR(__xludf.DUMMYFUNCTION("""COMPUTED_VALUE"""),"Vista Alegre")</f>
        <v>Vista Alegre</v>
      </c>
      <c r="B493" s="144" t="str">
        <f>IFERROR(__xludf.DUMMYFUNCTION("""COMPUTED_VALUE"""),"4º CRBM")</f>
        <v>4º CRBM</v>
      </c>
      <c r="C493" s="1" t="str">
        <f>IFERROR(__xludf.DUMMYFUNCTION("""COMPUTED_VALUE"""),"12º BBM")</f>
        <v>12º BBM</v>
      </c>
      <c r="D493" s="1" t="str">
        <f>IFERROR(__xludf.DUMMYFUNCTION("""COMPUTED_VALUE"""),"Frederico Westphalen")</f>
        <v>Frederico Westphalen</v>
      </c>
      <c r="E493" s="1" t="str">
        <f>IFERROR(__xludf.DUMMYFUNCTION("""COMPUTED_VALUE"""),"NPBM")</f>
        <v>NPBM</v>
      </c>
      <c r="F493" s="1" t="str">
        <f>IFERROR(__xludf.DUMMYFUNCTION("""COMPUTED_VALUE"""),"NPBM")</f>
        <v>NPBM</v>
      </c>
      <c r="G493" s="1"/>
      <c r="H493" s="1" t="str">
        <f>IFERROR(__xludf.DUMMYFUNCTION("""COMPUTED_VALUE"""),"")</f>
        <v/>
      </c>
      <c r="I493" s="1" t="str">
        <f>IFERROR(__xludf.DUMMYFUNCTION("""COMPUTED_VALUE"""),"")</f>
        <v/>
      </c>
    </row>
    <row r="494" customHeight="1" spans="1:9">
      <c r="A494" s="1" t="str">
        <f>IFERROR(__xludf.DUMMYFUNCTION("""COMPUTED_VALUE"""),"Vista Alegre do Prata")</f>
        <v>Vista Alegre do Prata</v>
      </c>
      <c r="B494" s="144" t="str">
        <f>IFERROR(__xludf.DUMMYFUNCTION("""COMPUTED_VALUE"""),"2º CRBM")</f>
        <v>2º CRBM</v>
      </c>
      <c r="C494" s="1" t="str">
        <f>IFERROR(__xludf.DUMMYFUNCTION("""COMPUTED_VALUE"""),"5º BBM")</f>
        <v>5º BBM</v>
      </c>
      <c r="D494" s="1" t="str">
        <f>IFERROR(__xludf.DUMMYFUNCTION("""COMPUTED_VALUE"""),"Guaporé")</f>
        <v>Guaporé</v>
      </c>
      <c r="E494" s="1" t="str">
        <f>IFERROR(__xludf.DUMMYFUNCTION("""COMPUTED_VALUE"""),"NPBM")</f>
        <v>NPBM</v>
      </c>
      <c r="F494" s="1" t="str">
        <f>IFERROR(__xludf.DUMMYFUNCTION("""COMPUTED_VALUE"""),"NPBM")</f>
        <v>NPBM</v>
      </c>
      <c r="G494" s="1"/>
      <c r="H494" s="1" t="str">
        <f>IFERROR(__xludf.DUMMYFUNCTION("""COMPUTED_VALUE"""),"")</f>
        <v/>
      </c>
      <c r="I494" s="1" t="str">
        <f>IFERROR(__xludf.DUMMYFUNCTION("""COMPUTED_VALUE"""),"")</f>
        <v/>
      </c>
    </row>
    <row r="495" customHeight="1" spans="1:9">
      <c r="A495" s="1" t="str">
        <f>IFERROR(__xludf.DUMMYFUNCTION("""COMPUTED_VALUE"""),"Vista Gaúcha")</f>
        <v>Vista Gaúcha</v>
      </c>
      <c r="B495" s="144" t="str">
        <f>IFERROR(__xludf.DUMMYFUNCTION("""COMPUTED_VALUE"""),"4º CRBM")</f>
        <v>4º CRBM</v>
      </c>
      <c r="C495" s="1" t="str">
        <f>IFERROR(__xludf.DUMMYFUNCTION("""COMPUTED_VALUE"""),"11º BBM")</f>
        <v>11º BBM</v>
      </c>
      <c r="D495" s="1" t="str">
        <f>IFERROR(__xludf.DUMMYFUNCTION("""COMPUTED_VALUE"""),"Três Passos")</f>
        <v>Três Passos</v>
      </c>
      <c r="E495" s="1" t="str">
        <f>IFERROR(__xludf.DUMMYFUNCTION("""COMPUTED_VALUE"""),"NPBM")</f>
        <v>NPBM</v>
      </c>
      <c r="F495" s="1" t="str">
        <f>IFERROR(__xludf.DUMMYFUNCTION("""COMPUTED_VALUE"""),"NPBM")</f>
        <v>NPBM</v>
      </c>
      <c r="G495" s="1"/>
      <c r="H495" s="1" t="str">
        <f>IFERROR(__xludf.DUMMYFUNCTION("""COMPUTED_VALUE"""),"")</f>
        <v/>
      </c>
      <c r="I495" s="1" t="str">
        <f>IFERROR(__xludf.DUMMYFUNCTION("""COMPUTED_VALUE"""),"")</f>
        <v/>
      </c>
    </row>
    <row r="496" customHeight="1" spans="1:9">
      <c r="A496" s="1" t="str">
        <f>IFERROR(__xludf.DUMMYFUNCTION("""COMPUTED_VALUE"""),"Vitória das Missões")</f>
        <v>Vitória das Missões</v>
      </c>
      <c r="B496" s="144" t="str">
        <f>IFERROR(__xludf.DUMMYFUNCTION("""COMPUTED_VALUE"""),"4º CRBM")</f>
        <v>4º CRBM</v>
      </c>
      <c r="C496" s="1" t="str">
        <f>IFERROR(__xludf.DUMMYFUNCTION("""COMPUTED_VALUE"""),"11º BBM")</f>
        <v>11º BBM</v>
      </c>
      <c r="D496" s="1" t="str">
        <f>IFERROR(__xludf.DUMMYFUNCTION("""COMPUTED_VALUE"""),"Santo Ângelo")</f>
        <v>Santo Ângelo</v>
      </c>
      <c r="E496" s="1" t="str">
        <f>IFERROR(__xludf.DUMMYFUNCTION("""COMPUTED_VALUE"""),"NPBM")</f>
        <v>NPBM</v>
      </c>
      <c r="F496" s="1" t="str">
        <f>IFERROR(__xludf.DUMMYFUNCTION("""COMPUTED_VALUE"""),"NPBM")</f>
        <v>NPBM</v>
      </c>
      <c r="G496" s="1"/>
      <c r="H496" s="1" t="str">
        <f>IFERROR(__xludf.DUMMYFUNCTION("""COMPUTED_VALUE"""),"")</f>
        <v/>
      </c>
      <c r="I496" s="1" t="str">
        <f>IFERROR(__xludf.DUMMYFUNCTION("""COMPUTED_VALUE"""),"")</f>
        <v/>
      </c>
    </row>
    <row r="497" customHeight="1" spans="1:9">
      <c r="A497" s="1" t="str">
        <f>IFERROR(__xludf.DUMMYFUNCTION("""COMPUTED_VALUE"""),"Westfália")</f>
        <v>Westfália</v>
      </c>
      <c r="B497" s="144" t="str">
        <f>IFERROR(__xludf.DUMMYFUNCTION("""COMPUTED_VALUE"""),"4º CRBM")</f>
        <v>4º CRBM</v>
      </c>
      <c r="C497" s="1" t="str">
        <f>IFERROR(__xludf.DUMMYFUNCTION("""COMPUTED_VALUE"""),"6º BBM")</f>
        <v>6º BBM</v>
      </c>
      <c r="D497" s="1" t="str">
        <f>IFERROR(__xludf.DUMMYFUNCTION("""COMPUTED_VALUE"""),"Estrela")</f>
        <v>Estrela</v>
      </c>
      <c r="E497" s="1" t="str">
        <f>IFERROR(__xludf.DUMMYFUNCTION("""COMPUTED_VALUE"""),"NPBM")</f>
        <v>NPBM</v>
      </c>
      <c r="F497" s="1" t="str">
        <f>IFERROR(__xludf.DUMMYFUNCTION("""COMPUTED_VALUE"""),"NPBM")</f>
        <v>NPBM</v>
      </c>
      <c r="G497" s="1"/>
      <c r="H497" s="1" t="str">
        <f>IFERROR(__xludf.DUMMYFUNCTION("""COMPUTED_VALUE"""),"")</f>
        <v/>
      </c>
      <c r="I497" s="1" t="str">
        <f>IFERROR(__xludf.DUMMYFUNCTION("""COMPUTED_VALUE"""),"")</f>
        <v/>
      </c>
    </row>
    <row r="498" customHeight="1" spans="1:9">
      <c r="A498" s="1" t="str">
        <f>IFERROR(__xludf.DUMMYFUNCTION("""COMPUTED_VALUE"""),"Xangri-lá")</f>
        <v>Xangri-lá</v>
      </c>
      <c r="B498" s="144" t="str">
        <f>IFERROR(__xludf.DUMMYFUNCTION("""COMPUTED_VALUE"""),"1º CRBM")</f>
        <v>1º CRBM</v>
      </c>
      <c r="C498" s="1" t="str">
        <f>IFERROR(__xludf.DUMMYFUNCTION("""COMPUTED_VALUE"""),"9º BBM")</f>
        <v>9º BBM</v>
      </c>
      <c r="D498" s="1" t="str">
        <f>IFERROR(__xludf.DUMMYFUNCTION("""COMPUTED_VALUE"""),"Capão da Canoa")</f>
        <v>Capão da Canoa</v>
      </c>
      <c r="E498" s="1" t="str">
        <f>IFERROR(__xludf.DUMMYFUNCTION("""COMPUTED_VALUE"""),"NPBM")</f>
        <v>NPBM</v>
      </c>
      <c r="F498" s="1" t="str">
        <f>IFERROR(__xludf.DUMMYFUNCTION("""COMPUTED_VALUE"""),"NPBM")</f>
        <v>NPBM</v>
      </c>
      <c r="G498" s="1"/>
      <c r="H498" s="1" t="str">
        <f>IFERROR(__xludf.DUMMYFUNCTION("""COMPUTED_VALUE"""),"")</f>
        <v/>
      </c>
      <c r="I498" s="1" t="str">
        <f>IFERROR(__xludf.DUMMYFUNCTION("""COMPUTED_VALUE"""),"")</f>
        <v/>
      </c>
    </row>
  </sheetData>
  <autoFilter ref="A1:I1407">
    <extLst/>
  </autoFilter>
  <pageMargins left="0.511811024" right="0.511811024" top="0.787401575" bottom="0.787401575" header="0.31496062" footer="0.31496062"/>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497"/>
  <sheetViews>
    <sheetView workbookViewId="0">
      <selection activeCell="A1" sqref="A1"/>
    </sheetView>
  </sheetViews>
  <sheetFormatPr defaultColWidth="14.4380952380952" defaultRowHeight="15" customHeight="1" outlineLevelCol="7"/>
  <cols>
    <col min="1" max="1" width="30.552380952381" customWidth="1"/>
    <col min="6" max="6" width="27.3333333333333" customWidth="1"/>
    <col min="7" max="7" width="21.8857142857143" customWidth="1"/>
  </cols>
  <sheetData>
    <row r="1" customHeight="1" spans="1:8">
      <c r="A1" s="1" t="s">
        <v>5083</v>
      </c>
      <c r="B1" s="1" t="s">
        <v>941</v>
      </c>
      <c r="C1" s="1" t="s">
        <v>943</v>
      </c>
      <c r="D1" s="1" t="s">
        <v>945</v>
      </c>
      <c r="E1" s="1" t="s">
        <v>1104</v>
      </c>
      <c r="F1" s="1" t="s">
        <v>963</v>
      </c>
      <c r="G1" s="1" t="s">
        <v>3306</v>
      </c>
      <c r="H1" s="1">
        <v>32</v>
      </c>
    </row>
    <row r="2" customHeight="1" spans="1:8">
      <c r="A2" s="1" t="s">
        <v>5084</v>
      </c>
      <c r="B2" s="1" t="s">
        <v>942</v>
      </c>
      <c r="C2" s="1" t="s">
        <v>1026</v>
      </c>
      <c r="D2" s="1" t="s">
        <v>1028</v>
      </c>
      <c r="E2" s="1" t="s">
        <v>946</v>
      </c>
      <c r="F2" s="1" t="s">
        <v>947</v>
      </c>
      <c r="G2" s="1" t="s">
        <v>1208</v>
      </c>
      <c r="H2" s="1">
        <v>33</v>
      </c>
    </row>
    <row r="3" customHeight="1" spans="1:8">
      <c r="A3" s="1" t="s">
        <v>588</v>
      </c>
      <c r="B3" s="1" t="s">
        <v>5085</v>
      </c>
      <c r="C3" s="1" t="s">
        <v>1080</v>
      </c>
      <c r="D3" s="1" t="s">
        <v>5086</v>
      </c>
      <c r="E3" s="1" t="s">
        <v>1257</v>
      </c>
      <c r="F3" s="1" t="s">
        <v>1245</v>
      </c>
      <c r="G3" s="1" t="s">
        <v>1369</v>
      </c>
      <c r="H3" s="1">
        <v>34</v>
      </c>
    </row>
    <row r="4" customHeight="1" spans="1:8">
      <c r="A4" s="1" t="s">
        <v>499</v>
      </c>
      <c r="C4" s="1" t="s">
        <v>2122</v>
      </c>
      <c r="E4" s="1" t="s">
        <v>1041</v>
      </c>
      <c r="F4" s="1" t="s">
        <v>1227</v>
      </c>
      <c r="G4" s="1" t="s">
        <v>1044</v>
      </c>
      <c r="H4" s="1">
        <v>35</v>
      </c>
    </row>
    <row r="5" customHeight="1" spans="1:8">
      <c r="A5" s="1" t="s">
        <v>5087</v>
      </c>
      <c r="C5" s="1" t="s">
        <v>1102</v>
      </c>
      <c r="E5" s="1" t="s">
        <v>1351</v>
      </c>
      <c r="F5" s="1" t="s">
        <v>3646</v>
      </c>
      <c r="G5" s="1" t="s">
        <v>1030</v>
      </c>
      <c r="H5" s="1">
        <v>36</v>
      </c>
    </row>
    <row r="6" customHeight="1" spans="1:8">
      <c r="A6" s="1" t="s">
        <v>5088</v>
      </c>
      <c r="C6" s="1" t="s">
        <v>2952</v>
      </c>
      <c r="F6" s="1" t="s">
        <v>4124</v>
      </c>
      <c r="G6" s="1" t="s">
        <v>1011</v>
      </c>
      <c r="H6" s="1">
        <v>37</v>
      </c>
    </row>
    <row r="7" customHeight="1" spans="1:8">
      <c r="A7" s="1" t="s">
        <v>5089</v>
      </c>
      <c r="C7" s="1" t="s">
        <v>975</v>
      </c>
      <c r="F7" s="1" t="s">
        <v>1054</v>
      </c>
      <c r="G7" s="1" t="s">
        <v>965</v>
      </c>
      <c r="H7" s="1">
        <v>38</v>
      </c>
    </row>
    <row r="8" customHeight="1" spans="1:8">
      <c r="A8" s="1" t="s">
        <v>5090</v>
      </c>
      <c r="C8" s="1" t="s">
        <v>1068</v>
      </c>
      <c r="G8" s="1" t="s">
        <v>950</v>
      </c>
      <c r="H8" s="1">
        <v>39</v>
      </c>
    </row>
    <row r="9" customHeight="1" spans="1:8">
      <c r="A9" s="1" t="s">
        <v>5091</v>
      </c>
      <c r="G9" s="1" t="s">
        <v>1154</v>
      </c>
      <c r="H9" s="1">
        <v>40</v>
      </c>
    </row>
    <row r="10" customHeight="1" spans="1:8">
      <c r="A10" s="1" t="s">
        <v>5092</v>
      </c>
      <c r="G10" s="1" t="s">
        <v>2929</v>
      </c>
      <c r="H10" s="1">
        <v>41</v>
      </c>
    </row>
    <row r="11" customHeight="1" spans="1:8">
      <c r="A11" s="1" t="s">
        <v>590</v>
      </c>
      <c r="G11" s="1" t="s">
        <v>1503</v>
      </c>
      <c r="H11" s="1">
        <v>42</v>
      </c>
    </row>
    <row r="12" customHeight="1" spans="1:8">
      <c r="A12" s="1" t="s">
        <v>5093</v>
      </c>
      <c r="H12" s="1">
        <v>43</v>
      </c>
    </row>
    <row r="13" customHeight="1" spans="1:8">
      <c r="A13" s="1" t="s">
        <v>5094</v>
      </c>
      <c r="H13" s="1">
        <v>44</v>
      </c>
    </row>
    <row r="14" customHeight="1" spans="1:8">
      <c r="A14" s="1" t="s">
        <v>5095</v>
      </c>
      <c r="H14" s="1">
        <v>45</v>
      </c>
    </row>
    <row r="15" customHeight="1" spans="1:8">
      <c r="A15" s="1" t="s">
        <v>5096</v>
      </c>
      <c r="H15" s="1">
        <v>46</v>
      </c>
    </row>
    <row r="16" customHeight="1" spans="1:8">
      <c r="A16" s="1" t="s">
        <v>5097</v>
      </c>
      <c r="H16" s="1">
        <v>47</v>
      </c>
    </row>
    <row r="17" customHeight="1" spans="1:8">
      <c r="A17" s="1" t="s">
        <v>451</v>
      </c>
      <c r="H17" s="1">
        <v>48</v>
      </c>
    </row>
    <row r="18" customHeight="1" spans="1:8">
      <c r="A18" s="1" t="s">
        <v>503</v>
      </c>
      <c r="H18" s="1">
        <v>49</v>
      </c>
    </row>
    <row r="19" customHeight="1" spans="1:1">
      <c r="A19" s="1" t="s">
        <v>506</v>
      </c>
    </row>
    <row r="20" customHeight="1" spans="1:1">
      <c r="A20" s="1" t="s">
        <v>509</v>
      </c>
    </row>
    <row r="21" customHeight="1" spans="1:1">
      <c r="A21" s="1" t="s">
        <v>421</v>
      </c>
    </row>
    <row r="22" customHeight="1" spans="1:1">
      <c r="A22" s="1" t="s">
        <v>5098</v>
      </c>
    </row>
    <row r="23" customHeight="1" spans="1:1">
      <c r="A23" s="1" t="s">
        <v>415</v>
      </c>
    </row>
    <row r="24" customHeight="1" spans="1:1">
      <c r="A24" s="1" t="s">
        <v>636</v>
      </c>
    </row>
    <row r="25" customHeight="1" spans="1:1">
      <c r="A25" s="1" t="s">
        <v>591</v>
      </c>
    </row>
    <row r="26" customHeight="1" spans="1:1">
      <c r="A26" s="1" t="s">
        <v>516</v>
      </c>
    </row>
    <row r="27" customHeight="1" spans="1:1">
      <c r="A27" s="1" t="s">
        <v>638</v>
      </c>
    </row>
    <row r="28" customHeight="1" spans="1:1">
      <c r="A28" s="1" t="s">
        <v>5099</v>
      </c>
    </row>
    <row r="29" customHeight="1" spans="1:1">
      <c r="A29" s="1" t="s">
        <v>520</v>
      </c>
    </row>
    <row r="30" customHeight="1" spans="1:1">
      <c r="A30" s="1" t="s">
        <v>599</v>
      </c>
    </row>
    <row r="31" customHeight="1" spans="1:1">
      <c r="A31" s="1" t="s">
        <v>427</v>
      </c>
    </row>
    <row r="32" customHeight="1" spans="1:1">
      <c r="A32" s="1" t="s">
        <v>5100</v>
      </c>
    </row>
    <row r="33" customHeight="1" spans="1:1">
      <c r="A33" s="1" t="s">
        <v>523</v>
      </c>
    </row>
    <row r="34" customHeight="1" spans="1:1">
      <c r="A34" s="1" t="s">
        <v>5101</v>
      </c>
    </row>
    <row r="35" customHeight="1" spans="1:1">
      <c r="A35" s="1" t="s">
        <v>5102</v>
      </c>
    </row>
    <row r="36" customHeight="1" spans="1:1">
      <c r="A36" s="1" t="s">
        <v>486</v>
      </c>
    </row>
    <row r="37" customHeight="1" spans="1:1">
      <c r="A37" s="1" t="s">
        <v>5103</v>
      </c>
    </row>
    <row r="38" customHeight="1" spans="1:1">
      <c r="A38" s="1" t="s">
        <v>5104</v>
      </c>
    </row>
    <row r="39" customHeight="1" spans="1:1">
      <c r="A39" s="1" t="s">
        <v>5105</v>
      </c>
    </row>
    <row r="40" customHeight="1" spans="1:1">
      <c r="A40" s="1" t="s">
        <v>593</v>
      </c>
    </row>
    <row r="41" customHeight="1" spans="1:1">
      <c r="A41" s="1" t="s">
        <v>524</v>
      </c>
    </row>
    <row r="42" customHeight="1" spans="1:1">
      <c r="A42" s="1" t="s">
        <v>5106</v>
      </c>
    </row>
    <row r="43" customHeight="1" spans="1:1">
      <c r="A43" s="1" t="s">
        <v>601</v>
      </c>
    </row>
    <row r="44" customHeight="1" spans="1:1">
      <c r="A44" s="1" t="s">
        <v>5107</v>
      </c>
    </row>
    <row r="45" customHeight="1" spans="1:1">
      <c r="A45" s="1" t="s">
        <v>5108</v>
      </c>
    </row>
    <row r="46" customHeight="1" spans="1:1">
      <c r="A46" s="1" t="s">
        <v>5109</v>
      </c>
    </row>
    <row r="47" customHeight="1" spans="1:1">
      <c r="A47" s="1" t="s">
        <v>5110</v>
      </c>
    </row>
    <row r="48" customHeight="1" spans="1:1">
      <c r="A48" s="1" t="s">
        <v>5111</v>
      </c>
    </row>
    <row r="49" customHeight="1" spans="1:1">
      <c r="A49" s="1" t="s">
        <v>526</v>
      </c>
    </row>
    <row r="50" customHeight="1" spans="1:1">
      <c r="A50" s="1" t="s">
        <v>594</v>
      </c>
    </row>
    <row r="51" customHeight="1" spans="1:1">
      <c r="A51" s="1" t="s">
        <v>5112</v>
      </c>
    </row>
    <row r="52" customHeight="1" spans="1:1">
      <c r="A52" s="1" t="s">
        <v>5113</v>
      </c>
    </row>
    <row r="53" customHeight="1" spans="1:1">
      <c r="A53" s="1" t="s">
        <v>5114</v>
      </c>
    </row>
    <row r="54" customHeight="1" spans="1:1">
      <c r="A54" s="1" t="s">
        <v>5115</v>
      </c>
    </row>
    <row r="55" customHeight="1" spans="1:1">
      <c r="A55" s="1" t="s">
        <v>5116</v>
      </c>
    </row>
    <row r="56" customHeight="1" spans="1:1">
      <c r="A56" s="1" t="s">
        <v>5117</v>
      </c>
    </row>
    <row r="57" customHeight="1" spans="1:1">
      <c r="A57" s="1" t="s">
        <v>5118</v>
      </c>
    </row>
    <row r="58" customHeight="1" spans="1:1">
      <c r="A58" s="1" t="s">
        <v>596</v>
      </c>
    </row>
    <row r="59" customHeight="1" spans="1:1">
      <c r="A59" s="1" t="s">
        <v>583</v>
      </c>
    </row>
    <row r="60" customHeight="1" spans="1:1">
      <c r="A60" s="1" t="s">
        <v>529</v>
      </c>
    </row>
    <row r="61" customHeight="1" spans="1:1">
      <c r="A61" s="1" t="s">
        <v>619</v>
      </c>
    </row>
    <row r="62" customHeight="1" spans="1:1">
      <c r="A62" s="1" t="s">
        <v>1409</v>
      </c>
    </row>
    <row r="63" customHeight="1" spans="1:1">
      <c r="A63" s="1" t="s">
        <v>597</v>
      </c>
    </row>
    <row r="64" customHeight="1" spans="1:1">
      <c r="A64" s="1" t="s">
        <v>5119</v>
      </c>
    </row>
    <row r="65" customHeight="1" spans="1:1">
      <c r="A65" s="1" t="s">
        <v>5120</v>
      </c>
    </row>
    <row r="66" customHeight="1" spans="1:1">
      <c r="A66" s="1" t="s">
        <v>505</v>
      </c>
    </row>
    <row r="67" customHeight="1" spans="1:1">
      <c r="A67" s="1" t="s">
        <v>5121</v>
      </c>
    </row>
    <row r="68" customHeight="1" spans="1:1">
      <c r="A68" s="1" t="s">
        <v>532</v>
      </c>
    </row>
    <row r="69" customHeight="1" spans="1:1">
      <c r="A69" s="1" t="s">
        <v>5122</v>
      </c>
    </row>
    <row r="70" customHeight="1" spans="1:1">
      <c r="A70" s="1" t="s">
        <v>5123</v>
      </c>
    </row>
    <row r="71" customHeight="1" spans="1:1">
      <c r="A71" s="1" t="s">
        <v>639</v>
      </c>
    </row>
    <row r="72" customHeight="1" spans="1:1">
      <c r="A72" s="1" t="s">
        <v>656</v>
      </c>
    </row>
    <row r="73" customHeight="1" spans="1:1">
      <c r="A73" s="1" t="s">
        <v>5124</v>
      </c>
    </row>
    <row r="74" customHeight="1" spans="1:1">
      <c r="A74" s="1" t="s">
        <v>534</v>
      </c>
    </row>
    <row r="75" customHeight="1" spans="1:1">
      <c r="A75" s="1" t="s">
        <v>640</v>
      </c>
    </row>
    <row r="76" customHeight="1" spans="1:1">
      <c r="A76" s="1" t="s">
        <v>5125</v>
      </c>
    </row>
    <row r="77" customHeight="1" spans="1:1">
      <c r="A77" s="1" t="s">
        <v>598</v>
      </c>
    </row>
    <row r="78" customHeight="1" spans="1:1">
      <c r="A78" s="1" t="s">
        <v>533</v>
      </c>
    </row>
    <row r="79" customHeight="1" spans="1:1">
      <c r="A79" s="1" t="s">
        <v>5126</v>
      </c>
    </row>
    <row r="80" customHeight="1" spans="1:1">
      <c r="A80" s="1" t="s">
        <v>1484</v>
      </c>
    </row>
    <row r="81" customHeight="1" spans="1:1">
      <c r="A81" s="1" t="s">
        <v>5127</v>
      </c>
    </row>
    <row r="82" customHeight="1" spans="1:1">
      <c r="A82" s="1" t="s">
        <v>5128</v>
      </c>
    </row>
    <row r="83" customHeight="1" spans="1:1">
      <c r="A83" s="1" t="s">
        <v>4219</v>
      </c>
    </row>
    <row r="84" customHeight="1" spans="1:1">
      <c r="A84" s="1" t="s">
        <v>5129</v>
      </c>
    </row>
    <row r="85" customHeight="1" spans="1:1">
      <c r="A85" s="1" t="s">
        <v>464</v>
      </c>
    </row>
    <row r="86" customHeight="1" spans="1:1">
      <c r="A86" s="1" t="s">
        <v>1897</v>
      </c>
    </row>
    <row r="87" customHeight="1" spans="1:1">
      <c r="A87" s="1" t="s">
        <v>5130</v>
      </c>
    </row>
    <row r="88" customHeight="1" spans="1:1">
      <c r="A88" s="1" t="s">
        <v>5131</v>
      </c>
    </row>
    <row r="89" customHeight="1" spans="1:1">
      <c r="A89" s="1" t="s">
        <v>5132</v>
      </c>
    </row>
    <row r="90" customHeight="1" spans="1:1">
      <c r="A90" s="1" t="s">
        <v>559</v>
      </c>
    </row>
    <row r="91" customHeight="1" spans="1:1">
      <c r="A91" s="1" t="s">
        <v>600</v>
      </c>
    </row>
    <row r="92" customHeight="1" spans="1:1">
      <c r="A92" s="1" t="s">
        <v>5133</v>
      </c>
    </row>
    <row r="93" customHeight="1" spans="1:1">
      <c r="A93" s="1" t="s">
        <v>536</v>
      </c>
    </row>
    <row r="94" customHeight="1" spans="1:1">
      <c r="A94" s="1" t="s">
        <v>5134</v>
      </c>
    </row>
    <row r="95" customHeight="1" spans="1:1">
      <c r="A95" s="1" t="s">
        <v>5135</v>
      </c>
    </row>
    <row r="96" customHeight="1" spans="1:1">
      <c r="A96" s="1" t="s">
        <v>2246</v>
      </c>
    </row>
    <row r="97" customHeight="1" spans="1:1">
      <c r="A97" s="1" t="s">
        <v>5136</v>
      </c>
    </row>
    <row r="98" customHeight="1" spans="1:1">
      <c r="A98" s="1" t="s">
        <v>5137</v>
      </c>
    </row>
    <row r="99" customHeight="1" spans="1:1">
      <c r="A99" s="1" t="s">
        <v>5138</v>
      </c>
    </row>
    <row r="100" customHeight="1" spans="1:1">
      <c r="A100" s="1" t="s">
        <v>5139</v>
      </c>
    </row>
    <row r="101" customHeight="1" spans="1:1">
      <c r="A101" s="1" t="s">
        <v>5140</v>
      </c>
    </row>
    <row r="102" customHeight="1" spans="1:1">
      <c r="A102" s="1" t="s">
        <v>538</v>
      </c>
    </row>
    <row r="103" customHeight="1" spans="1:1">
      <c r="A103" s="1" t="s">
        <v>446</v>
      </c>
    </row>
    <row r="104" customHeight="1" spans="1:1">
      <c r="A104" s="1" t="s">
        <v>478</v>
      </c>
    </row>
    <row r="105" customHeight="1" spans="1:1">
      <c r="A105" s="1" t="s">
        <v>5141</v>
      </c>
    </row>
    <row r="106" customHeight="1" spans="1:1">
      <c r="A106" s="1" t="s">
        <v>541</v>
      </c>
    </row>
    <row r="107" customHeight="1" spans="1:1">
      <c r="A107" s="1" t="s">
        <v>5142</v>
      </c>
    </row>
    <row r="108" customHeight="1" spans="1:1">
      <c r="A108" s="1" t="s">
        <v>5143</v>
      </c>
    </row>
    <row r="109" customHeight="1" spans="1:1">
      <c r="A109" s="1" t="s">
        <v>522</v>
      </c>
    </row>
    <row r="110" customHeight="1" spans="1:1">
      <c r="A110" s="1" t="s">
        <v>5144</v>
      </c>
    </row>
    <row r="111" customHeight="1" spans="1:1">
      <c r="A111" s="1" t="s">
        <v>641</v>
      </c>
    </row>
    <row r="112" customHeight="1" spans="1:1">
      <c r="A112" s="1" t="s">
        <v>5145</v>
      </c>
    </row>
    <row r="113" customHeight="1" spans="1:1">
      <c r="A113" s="1" t="s">
        <v>5146</v>
      </c>
    </row>
    <row r="114" customHeight="1" spans="1:1">
      <c r="A114" s="1" t="s">
        <v>542</v>
      </c>
    </row>
    <row r="115" customHeight="1" spans="1:1">
      <c r="A115" s="1" t="s">
        <v>5147</v>
      </c>
    </row>
    <row r="116" customHeight="1" spans="1:1">
      <c r="A116" s="1" t="s">
        <v>5148</v>
      </c>
    </row>
    <row r="117" customHeight="1" spans="1:1">
      <c r="A117" s="1" t="s">
        <v>5149</v>
      </c>
    </row>
    <row r="118" customHeight="1" spans="1:1">
      <c r="A118" s="1" t="s">
        <v>5150</v>
      </c>
    </row>
    <row r="119" customHeight="1" spans="1:1">
      <c r="A119" s="1" t="s">
        <v>5151</v>
      </c>
    </row>
    <row r="120" customHeight="1" spans="1:1">
      <c r="A120" s="1" t="s">
        <v>5152</v>
      </c>
    </row>
    <row r="121" customHeight="1" spans="1:1">
      <c r="A121" s="1" t="s">
        <v>5153</v>
      </c>
    </row>
    <row r="122" customHeight="1" spans="1:1">
      <c r="A122" s="1" t="s">
        <v>544</v>
      </c>
    </row>
    <row r="123" customHeight="1" spans="1:1">
      <c r="A123" s="1" t="s">
        <v>1776</v>
      </c>
    </row>
    <row r="124" customHeight="1" spans="1:1">
      <c r="A124" s="1" t="s">
        <v>5154</v>
      </c>
    </row>
    <row r="125" customHeight="1" spans="1:1">
      <c r="A125" s="1" t="s">
        <v>563</v>
      </c>
    </row>
    <row r="126" customHeight="1" spans="1:1">
      <c r="A126" s="1" t="s">
        <v>5155</v>
      </c>
    </row>
    <row r="127" customHeight="1" spans="1:1">
      <c r="A127" s="1" t="s">
        <v>5156</v>
      </c>
    </row>
    <row r="128" customHeight="1" spans="1:1">
      <c r="A128" s="1" t="s">
        <v>5157</v>
      </c>
    </row>
    <row r="129" customHeight="1" spans="1:1">
      <c r="A129" s="1" t="s">
        <v>5158</v>
      </c>
    </row>
    <row r="130" customHeight="1" spans="1:1">
      <c r="A130" s="1" t="s">
        <v>5159</v>
      </c>
    </row>
    <row r="131" customHeight="1" spans="1:1">
      <c r="A131" s="1" t="s">
        <v>5160</v>
      </c>
    </row>
    <row r="132" customHeight="1" spans="1:1">
      <c r="A132" s="1" t="s">
        <v>647</v>
      </c>
    </row>
    <row r="133" customHeight="1" spans="1:1">
      <c r="A133" s="1" t="s">
        <v>5161</v>
      </c>
    </row>
    <row r="134" customHeight="1" spans="1:1">
      <c r="A134" s="1" t="s">
        <v>5162</v>
      </c>
    </row>
    <row r="135" customHeight="1" spans="1:1">
      <c r="A135" s="1" t="s">
        <v>5163</v>
      </c>
    </row>
    <row r="136" customHeight="1" spans="1:1">
      <c r="A136" s="1" t="s">
        <v>5164</v>
      </c>
    </row>
    <row r="137" customHeight="1" spans="1:1">
      <c r="A137" s="1" t="s">
        <v>5165</v>
      </c>
    </row>
    <row r="138" customHeight="1" spans="1:1">
      <c r="A138" s="1" t="s">
        <v>5166</v>
      </c>
    </row>
    <row r="139" customHeight="1" spans="1:1">
      <c r="A139" s="1" t="s">
        <v>5167</v>
      </c>
    </row>
    <row r="140" customHeight="1" spans="1:1">
      <c r="A140" s="1" t="s">
        <v>5168</v>
      </c>
    </row>
    <row r="141" customHeight="1" spans="1:1">
      <c r="A141" s="1" t="s">
        <v>602</v>
      </c>
    </row>
    <row r="142" customHeight="1" spans="1:1">
      <c r="A142" s="1" t="s">
        <v>657</v>
      </c>
    </row>
    <row r="143" customHeight="1" spans="1:1">
      <c r="A143" s="1" t="s">
        <v>658</v>
      </c>
    </row>
    <row r="144" customHeight="1" spans="1:1">
      <c r="A144" s="1" t="s">
        <v>5169</v>
      </c>
    </row>
    <row r="145" customHeight="1" spans="1:1">
      <c r="A145" s="1" t="s">
        <v>5170</v>
      </c>
    </row>
    <row r="146" customHeight="1" spans="1:1">
      <c r="A146" s="1" t="s">
        <v>5171</v>
      </c>
    </row>
    <row r="147" customHeight="1" spans="1:1">
      <c r="A147" s="1" t="s">
        <v>5172</v>
      </c>
    </row>
    <row r="148" customHeight="1" spans="1:1">
      <c r="A148" s="1" t="s">
        <v>511</v>
      </c>
    </row>
    <row r="149" customHeight="1" spans="1:1">
      <c r="A149" s="1" t="s">
        <v>5173</v>
      </c>
    </row>
    <row r="150" customHeight="1" spans="1:1">
      <c r="A150" s="1" t="s">
        <v>546</v>
      </c>
    </row>
    <row r="151" customHeight="1" spans="1:1">
      <c r="A151" s="1" t="s">
        <v>5174</v>
      </c>
    </row>
    <row r="152" customHeight="1" spans="1:1">
      <c r="A152" s="1" t="s">
        <v>5175</v>
      </c>
    </row>
    <row r="153" customHeight="1" spans="1:1">
      <c r="A153" s="1" t="s">
        <v>5176</v>
      </c>
    </row>
    <row r="154" customHeight="1" spans="1:1">
      <c r="A154" s="1" t="s">
        <v>5177</v>
      </c>
    </row>
    <row r="155" customHeight="1" spans="1:1">
      <c r="A155" s="1" t="s">
        <v>1861</v>
      </c>
    </row>
    <row r="156" customHeight="1" spans="1:1">
      <c r="A156" s="1" t="s">
        <v>659</v>
      </c>
    </row>
    <row r="157" customHeight="1" spans="1:1">
      <c r="A157" s="1" t="s">
        <v>3889</v>
      </c>
    </row>
    <row r="158" customHeight="1" spans="1:1">
      <c r="A158" s="1" t="s">
        <v>633</v>
      </c>
    </row>
    <row r="159" customHeight="1" spans="1:1">
      <c r="A159" s="1" t="s">
        <v>5178</v>
      </c>
    </row>
    <row r="160" customHeight="1" spans="1:1">
      <c r="A160" s="1" t="s">
        <v>5179</v>
      </c>
    </row>
    <row r="161" customHeight="1" spans="1:1">
      <c r="A161" s="1" t="s">
        <v>5180</v>
      </c>
    </row>
    <row r="162" customHeight="1" spans="1:1">
      <c r="A162" s="1" t="s">
        <v>550</v>
      </c>
    </row>
    <row r="163" customHeight="1" spans="1:1">
      <c r="A163" s="1" t="s">
        <v>604</v>
      </c>
    </row>
    <row r="164" customHeight="1" spans="1:1">
      <c r="A164" s="1" t="s">
        <v>548</v>
      </c>
    </row>
    <row r="165" customHeight="1" spans="1:1">
      <c r="A165" s="1" t="s">
        <v>5181</v>
      </c>
    </row>
    <row r="166" customHeight="1" spans="1:1">
      <c r="A166" s="1" t="s">
        <v>549</v>
      </c>
    </row>
    <row r="167" customHeight="1" spans="1:1">
      <c r="A167" s="1" t="s">
        <v>579</v>
      </c>
    </row>
    <row r="168" customHeight="1" spans="1:1">
      <c r="A168" s="1" t="s">
        <v>5182</v>
      </c>
    </row>
    <row r="169" customHeight="1" spans="1:1">
      <c r="A169" s="1" t="s">
        <v>5183</v>
      </c>
    </row>
    <row r="170" customHeight="1" spans="1:1">
      <c r="A170" s="1" t="s">
        <v>5184</v>
      </c>
    </row>
    <row r="171" customHeight="1" spans="1:1">
      <c r="A171" s="1" t="s">
        <v>5185</v>
      </c>
    </row>
    <row r="172" customHeight="1" spans="1:1">
      <c r="A172" s="1" t="s">
        <v>5186</v>
      </c>
    </row>
    <row r="173" customHeight="1" spans="1:1">
      <c r="A173" s="1" t="s">
        <v>5187</v>
      </c>
    </row>
    <row r="174" customHeight="1" spans="1:1">
      <c r="A174" s="1" t="s">
        <v>605</v>
      </c>
    </row>
    <row r="175" customHeight="1" spans="1:1">
      <c r="A175" s="1" t="s">
        <v>5188</v>
      </c>
    </row>
    <row r="176" customHeight="1" spans="1:1">
      <c r="A176" s="1" t="s">
        <v>551</v>
      </c>
    </row>
    <row r="177" customHeight="1" spans="1:1">
      <c r="A177" s="1" t="s">
        <v>606</v>
      </c>
    </row>
    <row r="178" customHeight="1" spans="1:1">
      <c r="A178" s="1" t="s">
        <v>5189</v>
      </c>
    </row>
    <row r="179" customHeight="1" spans="1:1">
      <c r="A179" s="1" t="s">
        <v>521</v>
      </c>
    </row>
    <row r="180" customHeight="1" spans="1:1">
      <c r="A180" s="1" t="s">
        <v>5190</v>
      </c>
    </row>
    <row r="181" customHeight="1" spans="1:1">
      <c r="A181" s="1" t="s">
        <v>453</v>
      </c>
    </row>
    <row r="182" customHeight="1" spans="1:1">
      <c r="A182" s="1" t="s">
        <v>617</v>
      </c>
    </row>
    <row r="183" customHeight="1" spans="1:1">
      <c r="A183" s="1" t="s">
        <v>5191</v>
      </c>
    </row>
    <row r="184" customHeight="1" spans="1:1">
      <c r="A184" s="1" t="s">
        <v>5192</v>
      </c>
    </row>
    <row r="185" customHeight="1" spans="1:1">
      <c r="A185" s="1" t="s">
        <v>582</v>
      </c>
    </row>
    <row r="186" customHeight="1" spans="1:1">
      <c r="A186" s="1" t="s">
        <v>5193</v>
      </c>
    </row>
    <row r="187" customHeight="1" spans="1:1">
      <c r="A187" s="1" t="s">
        <v>603</v>
      </c>
    </row>
    <row r="188" customHeight="1" spans="1:1">
      <c r="A188" s="1" t="s">
        <v>537</v>
      </c>
    </row>
    <row r="189" customHeight="1" spans="1:1">
      <c r="A189" s="1" t="s">
        <v>5194</v>
      </c>
    </row>
    <row r="190" customHeight="1" spans="1:1">
      <c r="A190" s="1" t="s">
        <v>607</v>
      </c>
    </row>
    <row r="191" customHeight="1" spans="1:1">
      <c r="A191" s="1" t="s">
        <v>5195</v>
      </c>
    </row>
    <row r="192" customHeight="1" spans="1:1">
      <c r="A192" s="1" t="s">
        <v>5196</v>
      </c>
    </row>
    <row r="193" customHeight="1" spans="1:1">
      <c r="A193" s="1" t="s">
        <v>5197</v>
      </c>
    </row>
    <row r="194" customHeight="1" spans="1:1">
      <c r="A194" s="1" t="s">
        <v>5198</v>
      </c>
    </row>
    <row r="195" customHeight="1" spans="1:1">
      <c r="A195" s="1" t="s">
        <v>5199</v>
      </c>
    </row>
    <row r="196" customHeight="1" spans="1:1">
      <c r="A196" s="1" t="s">
        <v>5200</v>
      </c>
    </row>
    <row r="197" customHeight="1" spans="1:1">
      <c r="A197" s="1" t="s">
        <v>5201</v>
      </c>
    </row>
    <row r="198" customHeight="1" spans="1:1">
      <c r="A198" s="1" t="s">
        <v>5202</v>
      </c>
    </row>
    <row r="199" customHeight="1" spans="1:1">
      <c r="A199" s="1" t="s">
        <v>5203</v>
      </c>
    </row>
    <row r="200" customHeight="1" spans="1:1">
      <c r="A200" s="1" t="s">
        <v>561</v>
      </c>
    </row>
    <row r="201" customHeight="1" spans="1:1">
      <c r="A201" s="1" t="s">
        <v>608</v>
      </c>
    </row>
    <row r="202" customHeight="1" spans="1:1">
      <c r="A202" s="1" t="s">
        <v>502</v>
      </c>
    </row>
    <row r="203" customHeight="1" spans="1:1">
      <c r="A203" s="1" t="s">
        <v>5204</v>
      </c>
    </row>
    <row r="204" customHeight="1" spans="1:1">
      <c r="A204" s="1" t="s">
        <v>4198</v>
      </c>
    </row>
    <row r="205" customHeight="1" spans="1:1">
      <c r="A205" s="1" t="s">
        <v>642</v>
      </c>
    </row>
    <row r="206" customHeight="1" spans="1:1">
      <c r="A206" s="1" t="s">
        <v>5205</v>
      </c>
    </row>
    <row r="207" customHeight="1" spans="1:1">
      <c r="A207" s="1" t="s">
        <v>5206</v>
      </c>
    </row>
    <row r="208" customHeight="1" spans="1:1">
      <c r="A208" s="1" t="s">
        <v>5207</v>
      </c>
    </row>
    <row r="209" customHeight="1" spans="1:1">
      <c r="A209" s="1" t="s">
        <v>5208</v>
      </c>
    </row>
    <row r="210" customHeight="1" spans="1:1">
      <c r="A210" s="1" t="s">
        <v>5209</v>
      </c>
    </row>
    <row r="211" customHeight="1" spans="1:1">
      <c r="A211" s="1" t="s">
        <v>5210</v>
      </c>
    </row>
    <row r="212" customHeight="1" spans="1:1">
      <c r="A212" s="1" t="s">
        <v>5211</v>
      </c>
    </row>
    <row r="213" customHeight="1" spans="1:1">
      <c r="A213" s="1" t="s">
        <v>5212</v>
      </c>
    </row>
    <row r="214" customHeight="1" spans="1:1">
      <c r="A214" s="1" t="s">
        <v>484</v>
      </c>
    </row>
    <row r="215" customHeight="1" spans="1:1">
      <c r="A215" s="1" t="s">
        <v>5213</v>
      </c>
    </row>
    <row r="216" customHeight="1" spans="1:1">
      <c r="A216" s="1" t="s">
        <v>5214</v>
      </c>
    </row>
    <row r="217" customHeight="1" spans="1:1">
      <c r="A217" s="1" t="s">
        <v>5215</v>
      </c>
    </row>
    <row r="218" customHeight="1" spans="1:1">
      <c r="A218" s="1" t="s">
        <v>624</v>
      </c>
    </row>
    <row r="219" customHeight="1" spans="1:1">
      <c r="A219" s="1" t="s">
        <v>5216</v>
      </c>
    </row>
    <row r="220" customHeight="1" spans="1:1">
      <c r="A220" s="1" t="s">
        <v>5217</v>
      </c>
    </row>
    <row r="221" customHeight="1" spans="1:1">
      <c r="A221" s="1" t="s">
        <v>552</v>
      </c>
    </row>
    <row r="222" customHeight="1" spans="1:1">
      <c r="A222" s="1" t="s">
        <v>519</v>
      </c>
    </row>
    <row r="223" customHeight="1" spans="1:1">
      <c r="A223" s="1" t="s">
        <v>5218</v>
      </c>
    </row>
    <row r="224" customHeight="1" spans="1:1">
      <c r="A224" s="1" t="s">
        <v>610</v>
      </c>
    </row>
    <row r="225" customHeight="1" spans="1:1">
      <c r="A225" s="1" t="s">
        <v>5219</v>
      </c>
    </row>
    <row r="226" customHeight="1" spans="1:1">
      <c r="A226" s="1" t="s">
        <v>5220</v>
      </c>
    </row>
    <row r="227" customHeight="1" spans="1:1">
      <c r="A227" s="1" t="s">
        <v>652</v>
      </c>
    </row>
    <row r="228" customHeight="1" spans="1:1">
      <c r="A228" s="1" t="s">
        <v>5221</v>
      </c>
    </row>
    <row r="229" customHeight="1" spans="1:1">
      <c r="A229" s="1" t="s">
        <v>5222</v>
      </c>
    </row>
    <row r="230" customHeight="1" spans="1:1">
      <c r="A230" s="1" t="s">
        <v>565</v>
      </c>
    </row>
    <row r="231" customHeight="1" spans="1:1">
      <c r="A231" s="1" t="s">
        <v>461</v>
      </c>
    </row>
    <row r="232" customHeight="1" spans="1:1">
      <c r="A232" s="1" t="s">
        <v>512</v>
      </c>
    </row>
    <row r="233" customHeight="1" spans="1:1">
      <c r="A233" s="1" t="s">
        <v>5223</v>
      </c>
    </row>
    <row r="234" customHeight="1" spans="1:1">
      <c r="A234" s="1" t="s">
        <v>438</v>
      </c>
    </row>
    <row r="235" customHeight="1" spans="1:1">
      <c r="A235" s="1" t="s">
        <v>5224</v>
      </c>
    </row>
    <row r="236" customHeight="1" spans="1:1">
      <c r="A236" s="1" t="s">
        <v>5225</v>
      </c>
    </row>
    <row r="237" customHeight="1" spans="1:1">
      <c r="A237" s="1" t="s">
        <v>5226</v>
      </c>
    </row>
    <row r="238" customHeight="1" spans="1:1">
      <c r="A238" s="1" t="s">
        <v>467</v>
      </c>
    </row>
    <row r="239" customHeight="1" spans="1:1">
      <c r="A239" s="1" t="s">
        <v>643</v>
      </c>
    </row>
    <row r="240" customHeight="1" spans="1:1">
      <c r="A240" s="1" t="s">
        <v>5227</v>
      </c>
    </row>
    <row r="241" customHeight="1" spans="1:1">
      <c r="A241" s="1" t="s">
        <v>5228</v>
      </c>
    </row>
    <row r="242" customHeight="1" spans="1:1">
      <c r="A242" s="1" t="s">
        <v>5229</v>
      </c>
    </row>
    <row r="243" customHeight="1" spans="1:1">
      <c r="A243" s="1" t="s">
        <v>553</v>
      </c>
    </row>
    <row r="244" customHeight="1" spans="1:1">
      <c r="A244" s="1" t="s">
        <v>611</v>
      </c>
    </row>
    <row r="245" customHeight="1" spans="1:1">
      <c r="A245" s="1" t="s">
        <v>613</v>
      </c>
    </row>
    <row r="246" customHeight="1" spans="1:1">
      <c r="A246" s="1" t="s">
        <v>614</v>
      </c>
    </row>
    <row r="247" customHeight="1" spans="1:1">
      <c r="A247" s="1" t="s">
        <v>5230</v>
      </c>
    </row>
    <row r="248" customHeight="1" spans="1:1">
      <c r="A248" s="1" t="s">
        <v>5231</v>
      </c>
    </row>
    <row r="249" customHeight="1" spans="1:1">
      <c r="A249" s="1" t="s">
        <v>435</v>
      </c>
    </row>
    <row r="250" customHeight="1" spans="1:1">
      <c r="A250" s="1" t="s">
        <v>5232</v>
      </c>
    </row>
    <row r="251" customHeight="1" spans="1:1">
      <c r="A251" s="1" t="s">
        <v>5233</v>
      </c>
    </row>
    <row r="252" customHeight="1" spans="1:1">
      <c r="A252" s="1" t="s">
        <v>5234</v>
      </c>
    </row>
    <row r="253" customHeight="1" spans="1:1">
      <c r="A253" s="1" t="s">
        <v>5235</v>
      </c>
    </row>
    <row r="254" customHeight="1" spans="1:1">
      <c r="A254" s="1" t="s">
        <v>5236</v>
      </c>
    </row>
    <row r="255" customHeight="1" spans="1:1">
      <c r="A255" s="1" t="s">
        <v>5237</v>
      </c>
    </row>
    <row r="256" customHeight="1" spans="1:1">
      <c r="A256" s="1" t="s">
        <v>555</v>
      </c>
    </row>
    <row r="257" customHeight="1" spans="1:1">
      <c r="A257" s="1" t="s">
        <v>5238</v>
      </c>
    </row>
    <row r="258" customHeight="1" spans="1:1">
      <c r="A258" s="1" t="s">
        <v>5239</v>
      </c>
    </row>
    <row r="259" customHeight="1" spans="1:1">
      <c r="A259" s="1" t="s">
        <v>554</v>
      </c>
    </row>
    <row r="260" customHeight="1" spans="1:1">
      <c r="A260" s="1" t="s">
        <v>556</v>
      </c>
    </row>
    <row r="261" customHeight="1" spans="1:1">
      <c r="A261" s="1" t="s">
        <v>5240</v>
      </c>
    </row>
    <row r="262" customHeight="1" spans="1:1">
      <c r="A262" s="1" t="s">
        <v>5241</v>
      </c>
    </row>
    <row r="263" customHeight="1" spans="1:1">
      <c r="A263" s="1" t="s">
        <v>1353</v>
      </c>
    </row>
    <row r="264" customHeight="1" spans="1:1">
      <c r="A264" s="1" t="s">
        <v>456</v>
      </c>
    </row>
    <row r="265" customHeight="1" spans="1:1">
      <c r="A265" s="1" t="s">
        <v>5242</v>
      </c>
    </row>
    <row r="266" customHeight="1" spans="1:1">
      <c r="A266" s="1" t="s">
        <v>557</v>
      </c>
    </row>
    <row r="267" customHeight="1" spans="1:1">
      <c r="A267" s="1" t="s">
        <v>5243</v>
      </c>
    </row>
    <row r="268" customHeight="1" spans="1:1">
      <c r="A268" s="1" t="s">
        <v>558</v>
      </c>
    </row>
    <row r="269" customHeight="1" spans="1:1">
      <c r="A269" s="1" t="s">
        <v>5244</v>
      </c>
    </row>
    <row r="270" customHeight="1" spans="1:1">
      <c r="A270" s="1" t="s">
        <v>547</v>
      </c>
    </row>
    <row r="271" customHeight="1" spans="1:1">
      <c r="A271" s="1" t="s">
        <v>5245</v>
      </c>
    </row>
    <row r="272" customHeight="1" spans="1:1">
      <c r="A272" s="1" t="s">
        <v>5246</v>
      </c>
    </row>
    <row r="273" customHeight="1" spans="1:1">
      <c r="A273" s="1" t="s">
        <v>5247</v>
      </c>
    </row>
    <row r="274" customHeight="1" spans="1:1">
      <c r="A274" s="1" t="s">
        <v>5248</v>
      </c>
    </row>
    <row r="275" customHeight="1" spans="1:1">
      <c r="A275" s="1" t="s">
        <v>5249</v>
      </c>
    </row>
    <row r="276" customHeight="1" spans="1:1">
      <c r="A276" s="1" t="s">
        <v>5250</v>
      </c>
    </row>
    <row r="277" customHeight="1" spans="1:1">
      <c r="A277" s="1" t="s">
        <v>5251</v>
      </c>
    </row>
    <row r="278" customHeight="1" spans="1:1">
      <c r="A278" s="1" t="s">
        <v>615</v>
      </c>
    </row>
    <row r="279" customHeight="1" spans="1:1">
      <c r="A279" s="1" t="s">
        <v>5252</v>
      </c>
    </row>
    <row r="280" customHeight="1" spans="1:1">
      <c r="A280" s="1" t="s">
        <v>5253</v>
      </c>
    </row>
    <row r="281" customHeight="1" spans="1:1">
      <c r="A281" s="1" t="s">
        <v>616</v>
      </c>
    </row>
    <row r="282" customHeight="1" spans="1:1">
      <c r="A282" s="1" t="s">
        <v>644</v>
      </c>
    </row>
    <row r="283" customHeight="1" spans="1:1">
      <c r="A283" s="1" t="s">
        <v>5254</v>
      </c>
    </row>
    <row r="284" customHeight="1" spans="1:1">
      <c r="A284" s="1" t="s">
        <v>449</v>
      </c>
    </row>
    <row r="285" customHeight="1" spans="1:1">
      <c r="A285" s="1" t="s">
        <v>3923</v>
      </c>
    </row>
    <row r="286" customHeight="1" spans="1:1">
      <c r="A286" s="1" t="s">
        <v>5255</v>
      </c>
    </row>
    <row r="287" customHeight="1" spans="1:1">
      <c r="A287" s="1" t="s">
        <v>618</v>
      </c>
    </row>
    <row r="288" customHeight="1" spans="1:1">
      <c r="A288" s="1" t="s">
        <v>966</v>
      </c>
    </row>
    <row r="289" customHeight="1" spans="1:1">
      <c r="A289" s="1" t="s">
        <v>5256</v>
      </c>
    </row>
    <row r="290" customHeight="1" spans="1:1">
      <c r="A290" s="1" t="s">
        <v>5257</v>
      </c>
    </row>
    <row r="291" customHeight="1" spans="1:1">
      <c r="A291" s="1" t="s">
        <v>5258</v>
      </c>
    </row>
    <row r="292" customHeight="1" spans="1:1">
      <c r="A292" s="1" t="s">
        <v>4581</v>
      </c>
    </row>
    <row r="293" customHeight="1" spans="1:1">
      <c r="A293" s="1" t="s">
        <v>5259</v>
      </c>
    </row>
    <row r="294" customHeight="1" spans="1:1">
      <c r="A294" s="1" t="s">
        <v>4237</v>
      </c>
    </row>
    <row r="295" customHeight="1" spans="1:1">
      <c r="A295" s="1" t="s">
        <v>5260</v>
      </c>
    </row>
    <row r="296" customHeight="1" spans="1:1">
      <c r="A296" s="1" t="s">
        <v>424</v>
      </c>
    </row>
    <row r="297" customHeight="1" spans="1:1">
      <c r="A297" s="1" t="s">
        <v>567</v>
      </c>
    </row>
    <row r="298" customHeight="1" spans="1:1">
      <c r="A298" s="1" t="s">
        <v>5261</v>
      </c>
    </row>
    <row r="299" customHeight="1" spans="1:1">
      <c r="A299" s="1" t="s">
        <v>440</v>
      </c>
    </row>
    <row r="300" customHeight="1" spans="1:1">
      <c r="A300" s="1" t="s">
        <v>620</v>
      </c>
    </row>
    <row r="301" customHeight="1" spans="1:1">
      <c r="A301" s="1" t="s">
        <v>5262</v>
      </c>
    </row>
    <row r="302" customHeight="1" spans="1:1">
      <c r="A302" s="1" t="s">
        <v>660</v>
      </c>
    </row>
    <row r="303" customHeight="1" spans="1:1">
      <c r="A303" s="1" t="s">
        <v>5263</v>
      </c>
    </row>
    <row r="304" customHeight="1" spans="1:1">
      <c r="A304" s="1" t="s">
        <v>645</v>
      </c>
    </row>
    <row r="305" customHeight="1" spans="1:1">
      <c r="A305" s="1" t="s">
        <v>612</v>
      </c>
    </row>
    <row r="306" customHeight="1" spans="1:1">
      <c r="A306" s="1" t="s">
        <v>5264</v>
      </c>
    </row>
    <row r="307" customHeight="1" spans="1:1">
      <c r="A307" s="1" t="s">
        <v>5265</v>
      </c>
    </row>
    <row r="308" customHeight="1" spans="1:1">
      <c r="A308" s="1" t="s">
        <v>5266</v>
      </c>
    </row>
    <row r="309" customHeight="1" spans="1:1">
      <c r="A309" s="1" t="s">
        <v>5267</v>
      </c>
    </row>
    <row r="310" customHeight="1" spans="1:1">
      <c r="A310" s="1" t="s">
        <v>5268</v>
      </c>
    </row>
    <row r="311" customHeight="1" spans="1:1">
      <c r="A311" s="1" t="s">
        <v>580</v>
      </c>
    </row>
    <row r="312" customHeight="1" spans="1:1">
      <c r="A312" s="1" t="s">
        <v>646</v>
      </c>
    </row>
    <row r="313" customHeight="1" spans="1:1">
      <c r="A313" s="1" t="s">
        <v>5269</v>
      </c>
    </row>
    <row r="314" customHeight="1" spans="1:1">
      <c r="A314" s="1" t="s">
        <v>5270</v>
      </c>
    </row>
    <row r="315" customHeight="1" spans="1:1">
      <c r="A315" s="1" t="s">
        <v>5271</v>
      </c>
    </row>
    <row r="316" customHeight="1" spans="1:1">
      <c r="A316" s="1" t="s">
        <v>5272</v>
      </c>
    </row>
    <row r="317" customHeight="1" spans="1:1">
      <c r="A317" s="1" t="s">
        <v>5273</v>
      </c>
    </row>
    <row r="318" customHeight="1" spans="1:1">
      <c r="A318" s="1" t="s">
        <v>5274</v>
      </c>
    </row>
    <row r="319" customHeight="1" spans="1:1">
      <c r="A319" s="1" t="s">
        <v>5275</v>
      </c>
    </row>
    <row r="320" customHeight="1" spans="1:1">
      <c r="A320" s="1" t="s">
        <v>5276</v>
      </c>
    </row>
    <row r="321" customHeight="1" spans="1:1">
      <c r="A321" s="1" t="s">
        <v>3141</v>
      </c>
    </row>
    <row r="322" customHeight="1" spans="1:1">
      <c r="A322" s="1" t="s">
        <v>5277</v>
      </c>
    </row>
    <row r="323" customHeight="1" spans="1:1">
      <c r="A323" s="1" t="s">
        <v>5278</v>
      </c>
    </row>
    <row r="324" customHeight="1" spans="1:1">
      <c r="A324" s="1" t="s">
        <v>5279</v>
      </c>
    </row>
    <row r="325" customHeight="1" spans="1:1">
      <c r="A325" s="1" t="s">
        <v>595</v>
      </c>
    </row>
    <row r="326" customHeight="1" spans="1:1">
      <c r="A326" s="1" t="s">
        <v>1773</v>
      </c>
    </row>
    <row r="327" customHeight="1" spans="1:1">
      <c r="A327" s="1" t="s">
        <v>5280</v>
      </c>
    </row>
    <row r="328" customHeight="1" spans="1:1">
      <c r="A328" s="1" t="s">
        <v>5281</v>
      </c>
    </row>
    <row r="329" customHeight="1" spans="1:1">
      <c r="A329" s="1" t="s">
        <v>5282</v>
      </c>
    </row>
    <row r="330" customHeight="1" spans="1:1">
      <c r="A330" s="1" t="s">
        <v>648</v>
      </c>
    </row>
    <row r="331" customHeight="1" spans="1:1">
      <c r="A331" s="1" t="s">
        <v>5283</v>
      </c>
    </row>
    <row r="332" customHeight="1" spans="1:1">
      <c r="A332" s="1" t="s">
        <v>5284</v>
      </c>
    </row>
    <row r="333" customHeight="1" spans="1:1">
      <c r="A333" s="1" t="s">
        <v>5285</v>
      </c>
    </row>
    <row r="334" customHeight="1" spans="1:1">
      <c r="A334" s="1" t="s">
        <v>5286</v>
      </c>
    </row>
    <row r="335" customHeight="1" spans="1:1">
      <c r="A335" s="1" t="s">
        <v>5287</v>
      </c>
    </row>
    <row r="336" customHeight="1" spans="1:1">
      <c r="A336" s="1" t="s">
        <v>5288</v>
      </c>
    </row>
    <row r="337" customHeight="1" spans="1:1">
      <c r="A337" s="1" t="s">
        <v>5289</v>
      </c>
    </row>
    <row r="338" customHeight="1" spans="1:1">
      <c r="A338" s="1" t="s">
        <v>5290</v>
      </c>
    </row>
    <row r="339" customHeight="1" spans="1:1">
      <c r="A339" s="1" t="s">
        <v>560</v>
      </c>
    </row>
    <row r="340" customHeight="1" spans="1:1">
      <c r="A340" s="1" t="s">
        <v>5291</v>
      </c>
    </row>
    <row r="341" customHeight="1" spans="1:1">
      <c r="A341" s="1" t="s">
        <v>5292</v>
      </c>
    </row>
    <row r="342" customHeight="1" spans="1:1">
      <c r="A342" s="1" t="s">
        <v>589</v>
      </c>
    </row>
    <row r="343" customHeight="1" spans="1:1">
      <c r="A343" s="1" t="s">
        <v>5293</v>
      </c>
    </row>
    <row r="344" customHeight="1" spans="1:1">
      <c r="A344" s="1" t="s">
        <v>5294</v>
      </c>
    </row>
    <row r="345" customHeight="1" spans="1:1">
      <c r="A345" s="1" t="s">
        <v>5295</v>
      </c>
    </row>
    <row r="346" customHeight="1" spans="1:1">
      <c r="A346" s="1" t="s">
        <v>5296</v>
      </c>
    </row>
    <row r="347" customHeight="1" spans="1:1">
      <c r="A347" s="1" t="s">
        <v>5297</v>
      </c>
    </row>
    <row r="348" customHeight="1" spans="1:1">
      <c r="A348" s="1" t="s">
        <v>5298</v>
      </c>
    </row>
    <row r="349" customHeight="1" spans="1:1">
      <c r="A349" s="1" t="s">
        <v>5299</v>
      </c>
    </row>
    <row r="350" customHeight="1" spans="1:1">
      <c r="A350" s="1" t="s">
        <v>621</v>
      </c>
    </row>
    <row r="351" customHeight="1" spans="1:1">
      <c r="A351" s="1" t="s">
        <v>5300</v>
      </c>
    </row>
    <row r="352" customHeight="1" spans="1:1">
      <c r="A352" s="1" t="s">
        <v>5301</v>
      </c>
    </row>
    <row r="353" customHeight="1" spans="1:1">
      <c r="A353" s="1" t="s">
        <v>5302</v>
      </c>
    </row>
    <row r="354" customHeight="1" spans="1:1">
      <c r="A354" s="1" t="s">
        <v>531</v>
      </c>
    </row>
    <row r="355" customHeight="1" spans="1:1">
      <c r="A355" s="1" t="s">
        <v>5303</v>
      </c>
    </row>
    <row r="356" customHeight="1" spans="1:1">
      <c r="A356" s="1" t="s">
        <v>5304</v>
      </c>
    </row>
    <row r="357" customHeight="1" spans="1:1">
      <c r="A357" s="1" t="s">
        <v>562</v>
      </c>
    </row>
    <row r="358" customHeight="1" spans="1:1">
      <c r="A358" s="1" t="s">
        <v>5305</v>
      </c>
    </row>
    <row r="359" customHeight="1" spans="1:1">
      <c r="A359" s="1" t="s">
        <v>622</v>
      </c>
    </row>
    <row r="360" customHeight="1" spans="1:1">
      <c r="A360" s="1" t="s">
        <v>564</v>
      </c>
    </row>
    <row r="361" customHeight="1" spans="1:1">
      <c r="A361" s="1" t="s">
        <v>566</v>
      </c>
    </row>
    <row r="362" customHeight="1" spans="1:1">
      <c r="A362" s="1" t="s">
        <v>5306</v>
      </c>
    </row>
    <row r="363" customHeight="1" spans="1:1">
      <c r="A363" s="1" t="s">
        <v>5307</v>
      </c>
    </row>
    <row r="364" customHeight="1" spans="1:1">
      <c r="A364" s="1" t="s">
        <v>637</v>
      </c>
    </row>
    <row r="365" customHeight="1" spans="1:1">
      <c r="A365" s="1" t="s">
        <v>5308</v>
      </c>
    </row>
    <row r="366" customHeight="1" spans="1:1">
      <c r="A366" s="1" t="s">
        <v>575</v>
      </c>
    </row>
    <row r="367" customHeight="1" spans="1:1">
      <c r="A367" s="1" t="s">
        <v>5309</v>
      </c>
    </row>
    <row r="368" customHeight="1" spans="1:1">
      <c r="A368" s="1" t="s">
        <v>570</v>
      </c>
    </row>
    <row r="369" customHeight="1" spans="1:1">
      <c r="A369" s="1" t="s">
        <v>5310</v>
      </c>
    </row>
    <row r="370" customHeight="1" spans="1:1">
      <c r="A370" s="1" t="s">
        <v>5311</v>
      </c>
    </row>
    <row r="371" customHeight="1" spans="1:1">
      <c r="A371" s="1" t="s">
        <v>5312</v>
      </c>
    </row>
    <row r="372" customHeight="1" spans="1:1">
      <c r="A372" s="1" t="s">
        <v>5313</v>
      </c>
    </row>
    <row r="373" customHeight="1" spans="1:1">
      <c r="A373" s="1" t="s">
        <v>5314</v>
      </c>
    </row>
    <row r="374" customHeight="1" spans="1:1">
      <c r="A374" s="1" t="s">
        <v>540</v>
      </c>
    </row>
    <row r="375" customHeight="1" spans="1:1">
      <c r="A375" s="1" t="s">
        <v>5315</v>
      </c>
    </row>
    <row r="376" customHeight="1" spans="1:1">
      <c r="A376" s="1" t="s">
        <v>5316</v>
      </c>
    </row>
    <row r="377" customHeight="1" spans="1:1">
      <c r="A377" s="1" t="s">
        <v>5317</v>
      </c>
    </row>
    <row r="378" customHeight="1" spans="1:1">
      <c r="A378" s="1" t="s">
        <v>5318</v>
      </c>
    </row>
    <row r="379" customHeight="1" spans="1:1">
      <c r="A379" s="1" t="s">
        <v>568</v>
      </c>
    </row>
    <row r="380" customHeight="1" spans="1:1">
      <c r="A380" s="1" t="s">
        <v>569</v>
      </c>
    </row>
    <row r="381" customHeight="1" spans="1:1">
      <c r="A381" s="1" t="s">
        <v>571</v>
      </c>
    </row>
    <row r="382" customHeight="1" spans="1:1">
      <c r="A382" s="1" t="s">
        <v>5319</v>
      </c>
    </row>
    <row r="383" customHeight="1" spans="1:1">
      <c r="A383" s="1" t="s">
        <v>5320</v>
      </c>
    </row>
    <row r="384" customHeight="1" spans="1:1">
      <c r="A384" s="1" t="s">
        <v>418</v>
      </c>
    </row>
    <row r="385" customHeight="1" spans="1:1">
      <c r="A385" s="1" t="s">
        <v>459</v>
      </c>
    </row>
    <row r="386" customHeight="1" spans="1:1">
      <c r="A386" s="1" t="s">
        <v>5321</v>
      </c>
    </row>
    <row r="387" customHeight="1" spans="1:1">
      <c r="A387" s="1" t="s">
        <v>592</v>
      </c>
    </row>
    <row r="388" customHeight="1" spans="1:1">
      <c r="A388" s="1" t="s">
        <v>572</v>
      </c>
    </row>
    <row r="389" customHeight="1" spans="1:1">
      <c r="A389" s="1" t="s">
        <v>5322</v>
      </c>
    </row>
    <row r="390" customHeight="1" spans="1:1">
      <c r="A390" s="1" t="s">
        <v>969</v>
      </c>
    </row>
    <row r="391" customHeight="1" spans="1:1">
      <c r="A391" s="1" t="s">
        <v>5323</v>
      </c>
    </row>
    <row r="392" customHeight="1" spans="1:1">
      <c r="A392" s="1" t="s">
        <v>5324</v>
      </c>
    </row>
    <row r="393" customHeight="1" spans="1:1">
      <c r="A393" s="1" t="s">
        <v>623</v>
      </c>
    </row>
    <row r="394" customHeight="1" spans="1:1">
      <c r="A394" s="1" t="s">
        <v>5325</v>
      </c>
    </row>
    <row r="395" customHeight="1" spans="1:1">
      <c r="A395" s="1" t="s">
        <v>5326</v>
      </c>
    </row>
    <row r="396" customHeight="1" spans="1:1">
      <c r="A396" s="1" t="s">
        <v>625</v>
      </c>
    </row>
    <row r="397" customHeight="1" spans="1:1">
      <c r="A397" s="1" t="s">
        <v>5327</v>
      </c>
    </row>
    <row r="398" customHeight="1" spans="1:1">
      <c r="A398" s="1" t="s">
        <v>626</v>
      </c>
    </row>
    <row r="399" customHeight="1" spans="1:1">
      <c r="A399" s="1" t="s">
        <v>1210</v>
      </c>
    </row>
    <row r="400" customHeight="1" spans="1:1">
      <c r="A400" s="1" t="s">
        <v>5328</v>
      </c>
    </row>
    <row r="401" customHeight="1" spans="1:1">
      <c r="A401" s="1" t="s">
        <v>649</v>
      </c>
    </row>
    <row r="402" customHeight="1" spans="1:1">
      <c r="A402" s="1" t="s">
        <v>661</v>
      </c>
    </row>
    <row r="403" customHeight="1" spans="1:1">
      <c r="A403" s="1" t="s">
        <v>5329</v>
      </c>
    </row>
    <row r="404" customHeight="1" spans="1:1">
      <c r="A404" s="1" t="s">
        <v>573</v>
      </c>
    </row>
    <row r="405" customHeight="1" spans="1:1">
      <c r="A405" s="1" t="s">
        <v>432</v>
      </c>
    </row>
    <row r="406" customHeight="1" spans="1:1">
      <c r="A406" s="1" t="s">
        <v>5330</v>
      </c>
    </row>
    <row r="407" customHeight="1" spans="1:1">
      <c r="A407" s="1" t="s">
        <v>5331</v>
      </c>
    </row>
    <row r="408" customHeight="1" spans="1:1">
      <c r="A408" s="1" t="s">
        <v>5332</v>
      </c>
    </row>
    <row r="409" customHeight="1" spans="1:1">
      <c r="A409" s="1" t="s">
        <v>5333</v>
      </c>
    </row>
    <row r="410" customHeight="1" spans="1:1">
      <c r="A410" s="1" t="s">
        <v>5334</v>
      </c>
    </row>
    <row r="411" customHeight="1" spans="1:1">
      <c r="A411" s="1" t="s">
        <v>585</v>
      </c>
    </row>
    <row r="412" customHeight="1" spans="1:1">
      <c r="A412" s="1" t="s">
        <v>627</v>
      </c>
    </row>
    <row r="413" customHeight="1" spans="1:1">
      <c r="A413" s="1" t="s">
        <v>662</v>
      </c>
    </row>
    <row r="414" customHeight="1" spans="1:1">
      <c r="A414" s="1" t="s">
        <v>469</v>
      </c>
    </row>
    <row r="415" customHeight="1" spans="1:1">
      <c r="A415" s="1" t="s">
        <v>5335</v>
      </c>
    </row>
    <row r="416" customHeight="1" spans="1:1">
      <c r="A416" s="1" t="s">
        <v>5336</v>
      </c>
    </row>
    <row r="417" customHeight="1" spans="1:1">
      <c r="A417" s="1" t="s">
        <v>628</v>
      </c>
    </row>
    <row r="418" customHeight="1" spans="1:1">
      <c r="A418" s="1" t="s">
        <v>5337</v>
      </c>
    </row>
    <row r="419" customHeight="1" spans="1:1">
      <c r="A419" s="1" t="s">
        <v>508</v>
      </c>
    </row>
    <row r="420" customHeight="1" spans="1:1">
      <c r="A420" s="1" t="s">
        <v>1686</v>
      </c>
    </row>
    <row r="421" customHeight="1" spans="1:1">
      <c r="A421" s="1" t="s">
        <v>543</v>
      </c>
    </row>
    <row r="422" customHeight="1" spans="1:1">
      <c r="A422" s="1" t="s">
        <v>5338</v>
      </c>
    </row>
    <row r="423" customHeight="1" spans="1:1">
      <c r="A423" s="1" t="s">
        <v>5339</v>
      </c>
    </row>
    <row r="424" customHeight="1" spans="1:1">
      <c r="A424" s="1" t="s">
        <v>5340</v>
      </c>
    </row>
    <row r="425" customHeight="1" spans="1:1">
      <c r="A425" s="1" t="s">
        <v>5341</v>
      </c>
    </row>
    <row r="426" customHeight="1" spans="1:1">
      <c r="A426" s="1" t="s">
        <v>5342</v>
      </c>
    </row>
    <row r="427" customHeight="1" spans="1:1">
      <c r="A427" s="1" t="s">
        <v>5343</v>
      </c>
    </row>
    <row r="428" customHeight="1" spans="1:1">
      <c r="A428" s="1" t="s">
        <v>576</v>
      </c>
    </row>
    <row r="429" customHeight="1" spans="1:1">
      <c r="A429" s="1" t="s">
        <v>5344</v>
      </c>
    </row>
    <row r="430" customHeight="1" spans="1:1">
      <c r="A430" s="1" t="s">
        <v>5345</v>
      </c>
    </row>
    <row r="431" customHeight="1" spans="1:1">
      <c r="A431" s="1" t="s">
        <v>5346</v>
      </c>
    </row>
    <row r="432" customHeight="1" spans="1:1">
      <c r="A432" s="1" t="s">
        <v>5347</v>
      </c>
    </row>
    <row r="433" customHeight="1" spans="1:1">
      <c r="A433" s="1" t="s">
        <v>5348</v>
      </c>
    </row>
    <row r="434" customHeight="1" spans="1:1">
      <c r="A434" s="1" t="s">
        <v>5349</v>
      </c>
    </row>
    <row r="435" customHeight="1" spans="1:1">
      <c r="A435" s="1" t="s">
        <v>5350</v>
      </c>
    </row>
    <row r="436" customHeight="1" spans="1:1">
      <c r="A436" s="1" t="s">
        <v>650</v>
      </c>
    </row>
    <row r="437" customHeight="1" spans="1:1">
      <c r="A437" s="1" t="s">
        <v>525</v>
      </c>
    </row>
    <row r="438" customHeight="1" spans="1:1">
      <c r="A438" s="1" t="s">
        <v>5351</v>
      </c>
    </row>
    <row r="439" customHeight="1" spans="1:1">
      <c r="A439" s="1" t="s">
        <v>629</v>
      </c>
    </row>
    <row r="440" customHeight="1" spans="1:1">
      <c r="A440" s="1" t="s">
        <v>535</v>
      </c>
    </row>
    <row r="441" customHeight="1" spans="1:1">
      <c r="A441" s="1" t="s">
        <v>630</v>
      </c>
    </row>
    <row r="442" customHeight="1" spans="1:1">
      <c r="A442" s="1" t="s">
        <v>609</v>
      </c>
    </row>
    <row r="443" customHeight="1" spans="1:1">
      <c r="A443" s="1" t="s">
        <v>1639</v>
      </c>
    </row>
    <row r="444" customHeight="1" spans="1:1">
      <c r="A444" s="1" t="s">
        <v>5352</v>
      </c>
    </row>
    <row r="445" customHeight="1" spans="1:1">
      <c r="A445" s="1" t="s">
        <v>3060</v>
      </c>
    </row>
    <row r="446" customHeight="1" spans="1:1">
      <c r="A446" s="1" t="s">
        <v>631</v>
      </c>
    </row>
    <row r="447" customHeight="1" spans="1:1">
      <c r="A447" s="1" t="s">
        <v>5353</v>
      </c>
    </row>
    <row r="448" customHeight="1" spans="1:1">
      <c r="A448" s="1" t="s">
        <v>632</v>
      </c>
    </row>
    <row r="449" customHeight="1" spans="1:1">
      <c r="A449" s="1" t="s">
        <v>5354</v>
      </c>
    </row>
    <row r="450" customHeight="1" spans="1:1">
      <c r="A450" s="1" t="s">
        <v>5355</v>
      </c>
    </row>
    <row r="451" customHeight="1" spans="1:1">
      <c r="A451" s="1" t="s">
        <v>5356</v>
      </c>
    </row>
    <row r="452" customHeight="1" spans="1:1">
      <c r="A452" s="1" t="s">
        <v>515</v>
      </c>
    </row>
    <row r="453" customHeight="1" spans="1:1">
      <c r="A453" s="1" t="s">
        <v>4246</v>
      </c>
    </row>
    <row r="454" customHeight="1" spans="1:1">
      <c r="A454" s="1" t="s">
        <v>5357</v>
      </c>
    </row>
    <row r="455" customHeight="1" spans="1:1">
      <c r="A455" s="1" t="s">
        <v>5358</v>
      </c>
    </row>
    <row r="456" customHeight="1" spans="1:1">
      <c r="A456" s="1" t="s">
        <v>4351</v>
      </c>
    </row>
    <row r="457" customHeight="1" spans="1:1">
      <c r="A457" s="1" t="s">
        <v>634</v>
      </c>
    </row>
    <row r="458" customHeight="1" spans="1:1">
      <c r="A458" s="1" t="s">
        <v>663</v>
      </c>
    </row>
    <row r="459" customHeight="1" spans="1:1">
      <c r="A459" s="1" t="s">
        <v>5359</v>
      </c>
    </row>
    <row r="460" customHeight="1" spans="1:1">
      <c r="A460" s="1" t="s">
        <v>5360</v>
      </c>
    </row>
    <row r="461" customHeight="1" spans="1:1">
      <c r="A461" s="1" t="s">
        <v>545</v>
      </c>
    </row>
    <row r="462" customHeight="1" spans="1:1">
      <c r="A462" s="1" t="s">
        <v>5361</v>
      </c>
    </row>
    <row r="463" customHeight="1" spans="1:1">
      <c r="A463" s="1" t="s">
        <v>1581</v>
      </c>
    </row>
    <row r="464" customHeight="1" spans="1:1">
      <c r="A464" s="1" t="s">
        <v>5362</v>
      </c>
    </row>
    <row r="465" customHeight="1" spans="1:1">
      <c r="A465" s="1" t="s">
        <v>5363</v>
      </c>
    </row>
    <row r="466" customHeight="1" spans="1:1">
      <c r="A466" s="1" t="s">
        <v>5364</v>
      </c>
    </row>
    <row r="467" customHeight="1" spans="1:1">
      <c r="A467" s="1" t="s">
        <v>651</v>
      </c>
    </row>
    <row r="468" customHeight="1" spans="1:1">
      <c r="A468" s="1" t="s">
        <v>443</v>
      </c>
    </row>
    <row r="469" customHeight="1" spans="1:1">
      <c r="A469" s="1" t="s">
        <v>5365</v>
      </c>
    </row>
    <row r="470" customHeight="1" spans="1:1">
      <c r="A470" s="1" t="s">
        <v>5366</v>
      </c>
    </row>
    <row r="471" customHeight="1" spans="1:1">
      <c r="A471" s="1" t="s">
        <v>5367</v>
      </c>
    </row>
    <row r="472" customHeight="1" spans="1:1">
      <c r="A472" s="1" t="s">
        <v>5368</v>
      </c>
    </row>
    <row r="473" customHeight="1" spans="1:1">
      <c r="A473" s="1" t="s">
        <v>5369</v>
      </c>
    </row>
    <row r="474" customHeight="1" spans="1:1">
      <c r="A474" s="1" t="s">
        <v>5047</v>
      </c>
    </row>
    <row r="475" customHeight="1" spans="1:1">
      <c r="A475" s="1" t="s">
        <v>528</v>
      </c>
    </row>
    <row r="476" customHeight="1" spans="1:1">
      <c r="A476" s="1" t="s">
        <v>5370</v>
      </c>
    </row>
    <row r="477" customHeight="1" spans="1:1">
      <c r="A477" s="1" t="s">
        <v>2279</v>
      </c>
    </row>
    <row r="478" customHeight="1" spans="1:1">
      <c r="A478" s="1" t="s">
        <v>5371</v>
      </c>
    </row>
    <row r="479" customHeight="1" spans="1:1">
      <c r="A479" s="1" t="s">
        <v>5372</v>
      </c>
    </row>
    <row r="480" customHeight="1" spans="1:1">
      <c r="A480" s="1" t="s">
        <v>5373</v>
      </c>
    </row>
    <row r="481" customHeight="1" spans="1:1">
      <c r="A481" s="1" t="s">
        <v>664</v>
      </c>
    </row>
    <row r="482" customHeight="1" spans="1:1">
      <c r="A482" s="1" t="s">
        <v>586</v>
      </c>
    </row>
    <row r="483" customHeight="1" spans="1:1">
      <c r="A483" s="1" t="s">
        <v>5374</v>
      </c>
    </row>
    <row r="484" customHeight="1" spans="1:1">
      <c r="A484" s="1" t="s">
        <v>577</v>
      </c>
    </row>
    <row r="485" customHeight="1" spans="1:1">
      <c r="A485" s="1" t="s">
        <v>4188</v>
      </c>
    </row>
    <row r="486" customHeight="1" spans="1:1">
      <c r="A486" s="1" t="s">
        <v>5375</v>
      </c>
    </row>
    <row r="487" customHeight="1" spans="1:1">
      <c r="A487" s="1" t="s">
        <v>5376</v>
      </c>
    </row>
    <row r="488" customHeight="1" spans="1:1">
      <c r="A488" s="1" t="s">
        <v>5377</v>
      </c>
    </row>
    <row r="489" customHeight="1" spans="1:1">
      <c r="A489" s="1" t="s">
        <v>5378</v>
      </c>
    </row>
    <row r="490" customHeight="1" spans="1:1">
      <c r="A490" s="1" t="s">
        <v>5379</v>
      </c>
    </row>
    <row r="491" customHeight="1" spans="1:1">
      <c r="A491" s="1" t="s">
        <v>5380</v>
      </c>
    </row>
    <row r="492" customHeight="1" spans="1:1">
      <c r="A492" s="1" t="s">
        <v>5381</v>
      </c>
    </row>
    <row r="493" customHeight="1" spans="1:1">
      <c r="A493" s="1" t="s">
        <v>5382</v>
      </c>
    </row>
    <row r="494" customHeight="1" spans="1:1">
      <c r="A494" s="1" t="s">
        <v>5383</v>
      </c>
    </row>
    <row r="495" customHeight="1" spans="1:1">
      <c r="A495" s="1" t="s">
        <v>5384</v>
      </c>
    </row>
    <row r="496" customHeight="1" spans="1:1">
      <c r="A496" s="1" t="s">
        <v>5385</v>
      </c>
    </row>
    <row r="497" customHeight="1" spans="1:1">
      <c r="A497" s="1" t="s">
        <v>5386</v>
      </c>
    </row>
  </sheetData>
  <pageMargins left="0.511811024" right="0.511811024" top="0.787401575" bottom="0.787401575" header="0.31496062" footer="0.31496062"/>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C78D8"/>
    <outlinePr summaryBelow="0" summaryRight="0"/>
    <pageSetUpPr fitToPage="1"/>
  </sheetPr>
  <dimension ref="A1:M108"/>
  <sheetViews>
    <sheetView showGridLines="0" workbookViewId="0">
      <selection activeCell="A1" sqref="A1"/>
    </sheetView>
  </sheetViews>
  <sheetFormatPr defaultColWidth="14.4380952380952" defaultRowHeight="15" customHeight="1"/>
  <cols>
    <col min="1" max="1" width="1" customWidth="1"/>
    <col min="2" max="2" width="8.1047619047619" customWidth="1"/>
    <col min="3" max="3" width="17.552380952381" customWidth="1"/>
    <col min="4" max="4" width="12" customWidth="1"/>
    <col min="5" max="5" width="17.552380952381" customWidth="1"/>
    <col min="6" max="6" width="12" customWidth="1"/>
    <col min="7" max="7" width="17.552380952381" customWidth="1"/>
    <col min="8" max="8" width="12" customWidth="1"/>
    <col min="9" max="9" width="17.552380952381" customWidth="1"/>
    <col min="10" max="10" width="15.3333333333333" customWidth="1"/>
    <col min="11" max="11" width="2.88571428571429" customWidth="1"/>
    <col min="12" max="12" width="8.1047619047619" customWidth="1"/>
    <col min="13" max="13" width="7.55238095238095" customWidth="1"/>
  </cols>
  <sheetData>
    <row r="1" ht="6.75" customHeight="1" spans="1:13">
      <c r="A1" s="155"/>
      <c r="B1" s="156"/>
      <c r="C1" s="157"/>
      <c r="D1" s="157"/>
      <c r="E1" s="157"/>
      <c r="F1" s="157"/>
      <c r="G1" s="157"/>
      <c r="H1" s="157"/>
      <c r="I1" s="157"/>
      <c r="J1" s="157"/>
      <c r="K1" s="157"/>
      <c r="L1" s="145"/>
      <c r="M1" s="145"/>
    </row>
    <row r="2" spans="1:13">
      <c r="A2" s="155"/>
      <c r="B2" s="209" t="s">
        <v>371</v>
      </c>
      <c r="C2" s="159"/>
      <c r="D2" s="159"/>
      <c r="E2" s="159"/>
      <c r="F2" s="159"/>
      <c r="G2" s="159"/>
      <c r="H2" s="159"/>
      <c r="I2" s="159"/>
      <c r="J2" s="160"/>
      <c r="K2" s="161"/>
      <c r="L2" s="218"/>
      <c r="M2" s="218"/>
    </row>
    <row r="3" spans="1:13">
      <c r="A3" s="155"/>
      <c r="B3" s="162"/>
      <c r="J3" s="163"/>
      <c r="K3" s="161"/>
      <c r="L3" s="218"/>
      <c r="M3" s="218"/>
    </row>
    <row r="4" spans="1:13">
      <c r="A4" s="155"/>
      <c r="B4" s="162"/>
      <c r="J4" s="163"/>
      <c r="K4" s="161"/>
      <c r="L4" s="218"/>
      <c r="M4" s="218"/>
    </row>
    <row r="5" spans="1:13">
      <c r="A5" s="155"/>
      <c r="B5" s="162"/>
      <c r="J5" s="163"/>
      <c r="K5" s="161"/>
      <c r="L5" s="218"/>
      <c r="M5" s="218"/>
    </row>
    <row r="6" spans="1:13">
      <c r="A6" s="155"/>
      <c r="B6" s="162"/>
      <c r="J6" s="163"/>
      <c r="K6" s="161"/>
      <c r="L6" s="218"/>
      <c r="M6" s="218"/>
    </row>
    <row r="7" ht="6.75" customHeight="1" spans="1:13">
      <c r="A7" s="155"/>
      <c r="B7" s="164"/>
      <c r="C7" s="165"/>
      <c r="D7" s="165"/>
      <c r="E7" s="165"/>
      <c r="F7" s="165"/>
      <c r="G7" s="165"/>
      <c r="H7" s="165"/>
      <c r="I7" s="165"/>
      <c r="J7" s="219"/>
      <c r="K7" s="166"/>
      <c r="L7" s="218"/>
      <c r="M7" s="218"/>
    </row>
    <row r="8" ht="15.75" hidden="1" spans="1:13">
      <c r="A8" s="155"/>
      <c r="B8" s="167"/>
      <c r="C8" s="168" t="s">
        <v>372</v>
      </c>
      <c r="D8" s="160"/>
      <c r="E8" s="169" t="s">
        <v>373</v>
      </c>
      <c r="F8" s="160"/>
      <c r="G8" s="210" t="s">
        <v>374</v>
      </c>
      <c r="H8" s="160"/>
      <c r="I8" s="220" t="s">
        <v>375</v>
      </c>
      <c r="J8" s="160"/>
      <c r="K8" s="155"/>
      <c r="L8" s="145"/>
      <c r="M8" s="145"/>
    </row>
    <row r="9" ht="15.75" hidden="1" spans="1:13">
      <c r="A9" s="155"/>
      <c r="B9" s="170"/>
      <c r="C9" s="171" t="s">
        <v>376</v>
      </c>
      <c r="D9" s="172">
        <f>COUNTA('2BBM'!B2:B108)</f>
        <v>96</v>
      </c>
      <c r="E9" s="171" t="s">
        <v>376</v>
      </c>
      <c r="F9" s="172" t="e">
        <f>SUM(COUNTIF(#REF!,"Aprovado EAD"))</f>
        <v>#REF!</v>
      </c>
      <c r="G9" s="171" t="s">
        <v>376</v>
      </c>
      <c r="H9" s="172" t="e">
        <f>SUM(COUNTIF(#REF!,"Reprovado EAD"))</f>
        <v>#REF!</v>
      </c>
      <c r="I9" s="171" t="s">
        <v>376</v>
      </c>
      <c r="J9" s="172" t="e">
        <f>SUM(COUNTIF(#REF!,"Não Tem"))</f>
        <v>#REF!</v>
      </c>
      <c r="K9" s="155"/>
      <c r="L9" s="145"/>
      <c r="M9" s="145"/>
    </row>
    <row r="10" ht="15.75" hidden="1" spans="1:13">
      <c r="A10" s="155"/>
      <c r="B10" s="170"/>
      <c r="C10" s="171" t="s">
        <v>377</v>
      </c>
      <c r="D10" s="172">
        <f>COUNTA('3BBM'!B2:B108)</f>
        <v>4</v>
      </c>
      <c r="E10" s="171" t="s">
        <v>377</v>
      </c>
      <c r="F10" s="172" t="e">
        <f>SUM(COUNTIF(#REF!,"Aprovado EAD"))</f>
        <v>#REF!</v>
      </c>
      <c r="G10" s="171" t="s">
        <v>377</v>
      </c>
      <c r="H10" s="172" t="e">
        <f>SUM(COUNTIF(#REF!,"Reprovado EAD"))</f>
        <v>#REF!</v>
      </c>
      <c r="I10" s="171" t="s">
        <v>377</v>
      </c>
      <c r="J10" s="172" t="e">
        <f>SUM(COUNTIF(#REF!,"Não Tem"))</f>
        <v>#REF!</v>
      </c>
      <c r="K10" s="155"/>
      <c r="L10" s="145"/>
      <c r="M10" s="145"/>
    </row>
    <row r="11" ht="15.75" hidden="1" spans="1:13">
      <c r="A11" s="155"/>
      <c r="B11" s="170"/>
      <c r="C11" s="171" t="s">
        <v>378</v>
      </c>
      <c r="D11" s="172">
        <f>COUNTA(#REF!)</f>
        <v>1</v>
      </c>
      <c r="E11" s="171" t="s">
        <v>378</v>
      </c>
      <c r="F11" s="172" t="e">
        <f>SUM(COUNTIF(#REF!,"Aprovado EAD"))</f>
        <v>#REF!</v>
      </c>
      <c r="G11" s="171" t="s">
        <v>378</v>
      </c>
      <c r="H11" s="172" t="e">
        <f>SUM(COUNTIF(#REF!,"Reprovado EAD"))</f>
        <v>#REF!</v>
      </c>
      <c r="I11" s="171" t="s">
        <v>378</v>
      </c>
      <c r="J11" s="172" t="e">
        <f>SUM(COUNTIF(#REF!,"Não Tem"))</f>
        <v>#REF!</v>
      </c>
      <c r="K11" s="155"/>
      <c r="L11" s="145"/>
      <c r="M11" s="145"/>
    </row>
    <row r="12" ht="15.75" hidden="1" spans="1:13">
      <c r="A12" s="155"/>
      <c r="B12" s="170"/>
      <c r="C12" s="171" t="s">
        <v>379</v>
      </c>
      <c r="D12" s="172">
        <f>COUNTA('5BBM'!B2:B108)</f>
        <v>50</v>
      </c>
      <c r="E12" s="171" t="s">
        <v>379</v>
      </c>
      <c r="F12" s="172" t="e">
        <f>SUM(COUNTIF(#REF!,"Aprovado EAD"))</f>
        <v>#REF!</v>
      </c>
      <c r="G12" s="171" t="s">
        <v>379</v>
      </c>
      <c r="H12" s="172" t="e">
        <f>SUM(COUNTIF(#REF!,"Reprovado EAD"))</f>
        <v>#REF!</v>
      </c>
      <c r="I12" s="171" t="s">
        <v>379</v>
      </c>
      <c r="J12" s="172" t="e">
        <f>SUM(COUNTIF(#REF!,"Não Tem"))</f>
        <v>#REF!</v>
      </c>
      <c r="K12" s="155"/>
      <c r="L12" s="145"/>
      <c r="M12" s="145"/>
    </row>
    <row r="13" ht="15.75" hidden="1" spans="1:13">
      <c r="A13" s="155"/>
      <c r="B13" s="170"/>
      <c r="C13" s="171" t="s">
        <v>380</v>
      </c>
      <c r="D13" s="172">
        <f>COUNTA(#REF!)</f>
        <v>1</v>
      </c>
      <c r="E13" s="171" t="s">
        <v>380</v>
      </c>
      <c r="F13" s="172" t="e">
        <f>SUM(COUNTIF(#REF!,"Aprovado EAD"))</f>
        <v>#REF!</v>
      </c>
      <c r="G13" s="171" t="s">
        <v>380</v>
      </c>
      <c r="H13" s="172" t="e">
        <f>SUM(COUNTIF(#REF!,"Reprovado EAD"))</f>
        <v>#REF!</v>
      </c>
      <c r="I13" s="171" t="s">
        <v>380</v>
      </c>
      <c r="J13" s="172" t="e">
        <f>SUM(COUNTIF(#REF!,"Não Tem"))</f>
        <v>#REF!</v>
      </c>
      <c r="K13" s="155"/>
      <c r="L13" s="145"/>
      <c r="M13" s="145"/>
    </row>
    <row r="14" ht="15.75" hidden="1" spans="1:13">
      <c r="A14" s="155"/>
      <c r="B14" s="170"/>
      <c r="C14" s="171" t="s">
        <v>381</v>
      </c>
      <c r="D14" s="172">
        <f>COUNTA('7BBM'!B2:B108)</f>
        <v>100</v>
      </c>
      <c r="E14" s="171" t="s">
        <v>381</v>
      </c>
      <c r="F14" s="172" t="e">
        <f>SUM(COUNTIF(#REF!,"Aprovado EAD"))</f>
        <v>#REF!</v>
      </c>
      <c r="G14" s="171" t="s">
        <v>381</v>
      </c>
      <c r="H14" s="172" t="e">
        <f>SUM(COUNTIF(#REF!,"Reprovado EAD"))</f>
        <v>#REF!</v>
      </c>
      <c r="I14" s="171" t="s">
        <v>381</v>
      </c>
      <c r="J14" s="172" t="e">
        <f>SUM(COUNTIF(#REF!,"Não Tem"))</f>
        <v>#REF!</v>
      </c>
      <c r="K14" s="155"/>
      <c r="L14" s="145"/>
      <c r="M14" s="145"/>
    </row>
    <row r="15" ht="15.75" hidden="1" spans="1:13">
      <c r="A15" s="155"/>
      <c r="B15" s="170"/>
      <c r="C15" s="171" t="s">
        <v>382</v>
      </c>
      <c r="D15" s="172">
        <f>COUNTA('8BBM'!B2:B108)</f>
        <v>25</v>
      </c>
      <c r="E15" s="171" t="s">
        <v>382</v>
      </c>
      <c r="F15" s="172" t="e">
        <f>SUM(COUNTIF(#REF!,"Aprovado EAD"))</f>
        <v>#REF!</v>
      </c>
      <c r="G15" s="171" t="s">
        <v>382</v>
      </c>
      <c r="H15" s="172" t="e">
        <f>SUM(COUNTIF(#REF!,"Reprovado EAD"))</f>
        <v>#REF!</v>
      </c>
      <c r="I15" s="171" t="s">
        <v>382</v>
      </c>
      <c r="J15" s="172" t="e">
        <f>SUM(COUNTIF(#REF!,"Não Tem"))</f>
        <v>#REF!</v>
      </c>
      <c r="K15" s="155"/>
      <c r="L15" s="145"/>
      <c r="M15" s="145"/>
    </row>
    <row r="16" ht="15.75" hidden="1" spans="1:13">
      <c r="A16" s="155"/>
      <c r="B16" s="170"/>
      <c r="C16" s="171" t="s">
        <v>383</v>
      </c>
      <c r="D16" s="172">
        <f>COUNTA('9BBM'!B2:B108)</f>
        <v>62</v>
      </c>
      <c r="E16" s="171" t="s">
        <v>383</v>
      </c>
      <c r="F16" s="172" t="e">
        <f>SUM(COUNTIF(#REF!,"Aprovado EAD"))</f>
        <v>#REF!</v>
      </c>
      <c r="G16" s="171" t="s">
        <v>383</v>
      </c>
      <c r="H16" s="172" t="e">
        <f>SUM(COUNTIF(#REF!,"Reprovado EAD"))</f>
        <v>#REF!</v>
      </c>
      <c r="I16" s="171" t="s">
        <v>383</v>
      </c>
      <c r="J16" s="172" t="e">
        <f>SUM(COUNTIF(#REF!,"Não Tem"))</f>
        <v>#REF!</v>
      </c>
      <c r="K16" s="155"/>
      <c r="L16" s="145"/>
      <c r="M16" s="145"/>
    </row>
    <row r="17" ht="15.75" hidden="1" spans="1:13">
      <c r="A17" s="155"/>
      <c r="B17" s="170"/>
      <c r="C17" s="171" t="s">
        <v>384</v>
      </c>
      <c r="D17" s="172">
        <f>COUNTA('10BBM'!B2:B108)</f>
        <v>36</v>
      </c>
      <c r="E17" s="171" t="s">
        <v>384</v>
      </c>
      <c r="F17" s="172" t="e">
        <f>SUM(COUNTIF(#REF!,"Aprovado EAD"))</f>
        <v>#REF!</v>
      </c>
      <c r="G17" s="171" t="s">
        <v>384</v>
      </c>
      <c r="H17" s="172" t="e">
        <f>SUM(COUNTIF(#REF!,"Reprovado EAD"))</f>
        <v>#REF!</v>
      </c>
      <c r="I17" s="171" t="s">
        <v>384</v>
      </c>
      <c r="J17" s="172" t="e">
        <f>SUM(COUNTIF(#REF!,"Não Tem"))</f>
        <v>#REF!</v>
      </c>
      <c r="K17" s="155"/>
      <c r="L17" s="145"/>
      <c r="M17" s="145"/>
    </row>
    <row r="18" ht="15.75" hidden="1" spans="1:13">
      <c r="A18" s="155"/>
      <c r="B18" s="170"/>
      <c r="C18" s="171" t="s">
        <v>385</v>
      </c>
      <c r="D18" s="172">
        <f>COUNTA('11BBM'!#REF!)</f>
        <v>1</v>
      </c>
      <c r="E18" s="171" t="s">
        <v>385</v>
      </c>
      <c r="F18" s="172" t="e">
        <f>SUM(COUNTIF(#REF!,"Aprovado EAD"))</f>
        <v>#REF!</v>
      </c>
      <c r="G18" s="171" t="s">
        <v>385</v>
      </c>
      <c r="H18" s="172" t="e">
        <f>SUM(COUNTIF(#REF!,"Reprovado EAD"))</f>
        <v>#REF!</v>
      </c>
      <c r="I18" s="171" t="s">
        <v>385</v>
      </c>
      <c r="J18" s="172" t="e">
        <f>SUM(COUNTIF(#REF!,"Não Tem"))</f>
        <v>#REF!</v>
      </c>
      <c r="K18" s="155"/>
      <c r="L18" s="145"/>
      <c r="M18" s="145"/>
    </row>
    <row r="19" ht="15.75" hidden="1" spans="1:13">
      <c r="A19" s="155"/>
      <c r="B19" s="170"/>
      <c r="C19" s="171" t="s">
        <v>386</v>
      </c>
      <c r="D19" s="172">
        <f>COUNTA(#REF!)</f>
        <v>1</v>
      </c>
      <c r="E19" s="171" t="s">
        <v>386</v>
      </c>
      <c r="F19" s="172" t="e">
        <f>SUM(COUNTIF(#REF!,"Aprovado EAD"))</f>
        <v>#REF!</v>
      </c>
      <c r="G19" s="171" t="s">
        <v>386</v>
      </c>
      <c r="H19" s="172" t="e">
        <f>SUM(COUNTIF(#REF!,"Reprovado EAD"))</f>
        <v>#REF!</v>
      </c>
      <c r="I19" s="171" t="s">
        <v>386</v>
      </c>
      <c r="J19" s="172" t="e">
        <f>SUM(COUNTIF(#REF!,"Não Tem"))</f>
        <v>#REF!</v>
      </c>
      <c r="K19" s="155"/>
      <c r="L19" s="145"/>
      <c r="M19" s="145"/>
    </row>
    <row r="20" ht="15.75" hidden="1" spans="1:13">
      <c r="A20" s="155"/>
      <c r="B20" s="170"/>
      <c r="C20" s="171" t="s">
        <v>387</v>
      </c>
      <c r="D20" s="172">
        <f>COUNTA('13BBM'!B2:B108)</f>
        <v>14</v>
      </c>
      <c r="E20" s="171" t="s">
        <v>387</v>
      </c>
      <c r="F20" s="172" t="e">
        <f>SUM(COUNTIF(#REF!,"Aprovado EAD"))</f>
        <v>#REF!</v>
      </c>
      <c r="G20" s="171" t="s">
        <v>387</v>
      </c>
      <c r="H20" s="172" t="e">
        <f>SUM(COUNTIF(#REF!,"Reprovado EAD"))</f>
        <v>#REF!</v>
      </c>
      <c r="I20" s="171" t="s">
        <v>387</v>
      </c>
      <c r="J20" s="172" t="e">
        <f>SUM(COUNTIF(#REF!,"Não Tem"))</f>
        <v>#REF!</v>
      </c>
      <c r="K20" s="155"/>
      <c r="L20" s="145"/>
      <c r="M20" s="145"/>
    </row>
    <row r="21" ht="23.25" hidden="1" spans="1:13">
      <c r="A21" s="155"/>
      <c r="B21" s="173" t="s">
        <v>388</v>
      </c>
      <c r="C21" s="174">
        <f>SUM(D9:D20)</f>
        <v>391</v>
      </c>
      <c r="D21" s="163"/>
      <c r="E21" s="174" t="e">
        <f>SUM(F9:F20)</f>
        <v>#REF!</v>
      </c>
      <c r="F21" s="163"/>
      <c r="G21" s="174" t="e">
        <f>SUM(H9:H20)</f>
        <v>#REF!</v>
      </c>
      <c r="H21" s="163"/>
      <c r="I21" s="174" t="e">
        <f>SUM(J9:J20)</f>
        <v>#REF!</v>
      </c>
      <c r="J21" s="163"/>
      <c r="K21" s="155"/>
      <c r="L21" s="145"/>
      <c r="M21" s="145"/>
    </row>
    <row r="22" ht="6.75" hidden="1" customHeight="1" spans="1:13">
      <c r="A22" s="155"/>
      <c r="B22" s="175"/>
      <c r="C22" s="176"/>
      <c r="D22" s="176"/>
      <c r="E22" s="176"/>
      <c r="F22" s="176"/>
      <c r="G22" s="176"/>
      <c r="H22" s="176"/>
      <c r="I22" s="176"/>
      <c r="J22" s="177"/>
      <c r="K22" s="155"/>
      <c r="L22" s="145"/>
      <c r="M22" s="145"/>
    </row>
    <row r="23" ht="15.75" hidden="1" spans="1:13">
      <c r="A23" s="155"/>
      <c r="B23" s="178"/>
      <c r="C23" s="179" t="s">
        <v>389</v>
      </c>
      <c r="D23" s="163"/>
      <c r="E23" s="180" t="s">
        <v>390</v>
      </c>
      <c r="F23" s="163"/>
      <c r="G23" s="179" t="s">
        <v>391</v>
      </c>
      <c r="H23" s="163"/>
      <c r="I23" s="180" t="s">
        <v>392</v>
      </c>
      <c r="J23" s="163"/>
      <c r="K23" s="155"/>
      <c r="L23" s="145"/>
      <c r="M23" s="145"/>
    </row>
    <row r="24" ht="15.75" hidden="1" spans="1:13">
      <c r="A24" s="155"/>
      <c r="B24" s="170"/>
      <c r="C24" s="171" t="s">
        <v>376</v>
      </c>
      <c r="D24" s="172">
        <f>COUNTIFS('2BBM'!C:C,"Voluntario",'2BBM'!K:K,"Não")</f>
        <v>0</v>
      </c>
      <c r="E24" s="171" t="s">
        <v>376</v>
      </c>
      <c r="F24" s="172">
        <f>COUNTIFS('2BBM'!C:C,"Voluntario",'2BBM'!K:K,"Sim")</f>
        <v>0</v>
      </c>
      <c r="G24" s="171" t="s">
        <v>376</v>
      </c>
      <c r="H24" s="172">
        <f>COUNTIFS('2BBM'!C:C,"Comunitario",'2BBM'!K:K,"Não")</f>
        <v>35</v>
      </c>
      <c r="I24" s="171" t="s">
        <v>376</v>
      </c>
      <c r="J24" s="172">
        <f>COUNTIFS('2BBM'!C:C,"Comunitario",'2BBM'!K:K,"Sim")</f>
        <v>38</v>
      </c>
      <c r="K24" s="155"/>
      <c r="L24" s="145"/>
      <c r="M24" s="145"/>
    </row>
    <row r="25" ht="15.75" hidden="1" spans="1:13">
      <c r="A25" s="155"/>
      <c r="B25" s="170"/>
      <c r="C25" s="171" t="s">
        <v>377</v>
      </c>
      <c r="D25" s="172">
        <f>COUNTIFS('3BBM'!C:C,"Voluntario",'3BBM'!K:K,"Não")</f>
        <v>0</v>
      </c>
      <c r="E25" s="171" t="s">
        <v>377</v>
      </c>
      <c r="F25" s="172">
        <f>COUNTIFS('3BBM'!C:C,"Voluntario",'3BBM'!K:K,"Sim")</f>
        <v>0</v>
      </c>
      <c r="G25" s="171" t="s">
        <v>377</v>
      </c>
      <c r="H25" s="172">
        <f>COUNTIFS('3BBM'!C:C,"Comunitario",'3BBM'!K:K,"Não")</f>
        <v>0</v>
      </c>
      <c r="I25" s="171" t="s">
        <v>377</v>
      </c>
      <c r="J25" s="172">
        <f>COUNTIFS('3BBM'!C:C,"Comunitario",'3BBM'!K:K,"Sim")</f>
        <v>0</v>
      </c>
      <c r="K25" s="155"/>
      <c r="L25" s="145"/>
      <c r="M25" s="145"/>
    </row>
    <row r="26" ht="15.75" hidden="1" spans="1:13">
      <c r="A26" s="155"/>
      <c r="B26" s="170"/>
      <c r="C26" s="171" t="s">
        <v>378</v>
      </c>
      <c r="D26" s="172" t="e">
        <f>COUNTIFS(#REF!,"Voluntario",#REF!,"Não")</f>
        <v>#REF!</v>
      </c>
      <c r="E26" s="171" t="s">
        <v>378</v>
      </c>
      <c r="F26" s="172" t="e">
        <f>COUNTIFS(#REF!,"Voluntario",#REF!,"Sim")</f>
        <v>#REF!</v>
      </c>
      <c r="G26" s="171" t="s">
        <v>378</v>
      </c>
      <c r="H26" s="172" t="e">
        <f>COUNTIFS(#REF!,"Comunitario",#REF!,"Não")</f>
        <v>#REF!</v>
      </c>
      <c r="I26" s="171" t="s">
        <v>378</v>
      </c>
      <c r="J26" s="172" t="e">
        <f>COUNTIFS(#REF!,"Comunitario",#REF!,"Sim")</f>
        <v>#REF!</v>
      </c>
      <c r="K26" s="155"/>
      <c r="L26" s="145"/>
      <c r="M26" s="145"/>
    </row>
    <row r="27" ht="15.75" hidden="1" spans="1:13">
      <c r="A27" s="155"/>
      <c r="B27" s="170"/>
      <c r="C27" s="171" t="s">
        <v>379</v>
      </c>
      <c r="D27" s="172">
        <f>COUNTIFS('5BBM'!C:C,"Voluntario",'5BBM'!K:K,"Não")</f>
        <v>0</v>
      </c>
      <c r="E27" s="171" t="s">
        <v>379</v>
      </c>
      <c r="F27" s="172">
        <f>COUNTIFS('5BBM'!C:C,"Voluntario",'5BBM'!K:K,"Sim")</f>
        <v>0</v>
      </c>
      <c r="G27" s="171" t="s">
        <v>379</v>
      </c>
      <c r="H27" s="172">
        <f>COUNTIFS('5BBM'!C:C,"Comunitario",'5BBM'!K:K,"Não")</f>
        <v>0</v>
      </c>
      <c r="I27" s="171" t="s">
        <v>379</v>
      </c>
      <c r="J27" s="172">
        <f>COUNTIFS('5BBM'!C:C,"Comunitario",'5BBM'!K:K,"Sim")</f>
        <v>0</v>
      </c>
      <c r="K27" s="155"/>
      <c r="L27" s="145"/>
      <c r="M27" s="145"/>
    </row>
    <row r="28" ht="15.75" hidden="1" spans="1:13">
      <c r="A28" s="155"/>
      <c r="B28" s="170"/>
      <c r="C28" s="171" t="s">
        <v>380</v>
      </c>
      <c r="D28" s="172" t="e">
        <f>COUNTIFS(#REF!,"Voluntario",#REF!,"Não")</f>
        <v>#REF!</v>
      </c>
      <c r="E28" s="171" t="s">
        <v>380</v>
      </c>
      <c r="F28" s="172" t="e">
        <f>COUNTIFS(#REF!,"Voluntario",#REF!,"Sim")</f>
        <v>#REF!</v>
      </c>
      <c r="G28" s="171" t="s">
        <v>380</v>
      </c>
      <c r="H28" s="172" t="e">
        <f>COUNTIFS(#REF!,"Comunitario",#REF!,"Não")</f>
        <v>#REF!</v>
      </c>
      <c r="I28" s="171" t="s">
        <v>380</v>
      </c>
      <c r="J28" s="172" t="e">
        <f>COUNTIFS(#REF!,"Comunitario",#REF!,"Sim")</f>
        <v>#REF!</v>
      </c>
      <c r="K28" s="155"/>
      <c r="L28" s="145"/>
      <c r="M28" s="145"/>
    </row>
    <row r="29" ht="15.75" hidden="1" spans="1:13">
      <c r="A29" s="155"/>
      <c r="B29" s="170"/>
      <c r="C29" s="171" t="s">
        <v>381</v>
      </c>
      <c r="D29" s="172">
        <f>COUNTIFS('7BBM'!C:C,"Voluntario",'7BBM'!K:K,"Não")</f>
        <v>0</v>
      </c>
      <c r="E29" s="171" t="s">
        <v>381</v>
      </c>
      <c r="F29" s="172">
        <f>COUNTIFS('7BBM'!C:C,"Voluntario",'7BBM'!K:K,"Sim")</f>
        <v>0</v>
      </c>
      <c r="G29" s="171" t="s">
        <v>381</v>
      </c>
      <c r="H29" s="172">
        <f>COUNTIFS('7BBM'!C:C,"Comunitario",'7BBM'!K:K,"Não")</f>
        <v>0</v>
      </c>
      <c r="I29" s="171" t="s">
        <v>381</v>
      </c>
      <c r="J29" s="172">
        <f>COUNTIFS('7BBM'!C:C,"Comunitario",'7BBM'!K:K,"Sim")</f>
        <v>0</v>
      </c>
      <c r="K29" s="155"/>
      <c r="L29" s="145"/>
      <c r="M29" s="145"/>
    </row>
    <row r="30" ht="15.75" hidden="1" spans="1:13">
      <c r="A30" s="155"/>
      <c r="B30" s="170"/>
      <c r="C30" s="171" t="s">
        <v>382</v>
      </c>
      <c r="D30" s="172">
        <f>COUNTIFS('8BBM'!C:C,"Voluntario",'8BBM'!K:K,"Não")</f>
        <v>0</v>
      </c>
      <c r="E30" s="171" t="s">
        <v>382</v>
      </c>
      <c r="F30" s="172">
        <f>COUNTIFS('8BBM'!C:C,"Voluntario",'8BBM'!K:K,"Sim")</f>
        <v>0</v>
      </c>
      <c r="G30" s="171" t="s">
        <v>382</v>
      </c>
      <c r="H30" s="172">
        <f>COUNTIFS('8BBM'!C:C,"Comunitario",'8BBM'!K:K,"Não")</f>
        <v>11</v>
      </c>
      <c r="I30" s="171" t="s">
        <v>382</v>
      </c>
      <c r="J30" s="172">
        <f>COUNTIFS('8BBM'!C:C,"Comunitario",'8BBM'!K:K,"Sim")</f>
        <v>6</v>
      </c>
      <c r="K30" s="155"/>
      <c r="L30" s="145"/>
      <c r="M30" s="145"/>
    </row>
    <row r="31" ht="15.75" hidden="1" spans="1:13">
      <c r="A31" s="155"/>
      <c r="B31" s="170"/>
      <c r="C31" s="171" t="s">
        <v>383</v>
      </c>
      <c r="D31" s="172">
        <f>COUNTIFS('9BBM'!C:C,"Voluntario",'9BBM'!K:K,"Não")</f>
        <v>0</v>
      </c>
      <c r="E31" s="171" t="s">
        <v>383</v>
      </c>
      <c r="F31" s="172">
        <f>COUNTIFS('9BBM'!C:C,"Voluntario",'9BBM'!K:K,"Sim")</f>
        <v>0</v>
      </c>
      <c r="G31" s="171" t="s">
        <v>383</v>
      </c>
      <c r="H31" s="172">
        <f>COUNTIFS('9BBM'!C:C,"Comunitario",'9BBM'!K:K,"Não")</f>
        <v>0</v>
      </c>
      <c r="I31" s="171" t="s">
        <v>383</v>
      </c>
      <c r="J31" s="172">
        <f>COUNTIFS('9BBM'!C:C,"Comunitario",'9BBM'!K:K,"Sim")</f>
        <v>0</v>
      </c>
      <c r="K31" s="155"/>
      <c r="L31" s="145"/>
      <c r="M31" s="145"/>
    </row>
    <row r="32" ht="15.75" hidden="1" spans="1:13">
      <c r="A32" s="155"/>
      <c r="B32" s="170"/>
      <c r="C32" s="171" t="s">
        <v>384</v>
      </c>
      <c r="D32" s="172">
        <f>COUNTIFS('10BBM'!C:C,"Voluntario",'10BBM'!K:K,"Não")</f>
        <v>0</v>
      </c>
      <c r="E32" s="171" t="s">
        <v>384</v>
      </c>
      <c r="F32" s="172">
        <f>COUNTIFS('10BBM'!C:C,"Voluntario",'10BBM'!K:K,"Sim")</f>
        <v>0</v>
      </c>
      <c r="G32" s="171" t="s">
        <v>384</v>
      </c>
      <c r="H32" s="172">
        <f>COUNTIFS('10BBM'!C:C,"Comunitario",'10BBM'!K:K,"Não")</f>
        <v>0</v>
      </c>
      <c r="I32" s="171" t="s">
        <v>384</v>
      </c>
      <c r="J32" s="172">
        <f>COUNTIFS('10BBM'!C:C,"Comunitario",'10BBM'!K:K,"Sim")</f>
        <v>0</v>
      </c>
      <c r="K32" s="155"/>
      <c r="L32" s="145"/>
      <c r="M32" s="145"/>
    </row>
    <row r="33" ht="15.75" hidden="1" spans="1:13">
      <c r="A33" s="155"/>
      <c r="B33" s="170"/>
      <c r="C33" s="171" t="s">
        <v>385</v>
      </c>
      <c r="D33" s="172" t="e">
        <f>COUNTIFS('11BBM'!#REF!,"Voluntario",'11BBM'!#REF!,"Não")</f>
        <v>#REF!</v>
      </c>
      <c r="E33" s="171" t="s">
        <v>385</v>
      </c>
      <c r="F33" s="172" t="e">
        <f>COUNTIFS('11BBM'!#REF!,"Voluntario",'11BBM'!#REF!,"Sim")</f>
        <v>#REF!</v>
      </c>
      <c r="G33" s="171" t="s">
        <v>385</v>
      </c>
      <c r="H33" s="172" t="e">
        <f>COUNTIFS('11BBM'!#REF!,"Comunitario",'11BBM'!#REF!,"Não")</f>
        <v>#REF!</v>
      </c>
      <c r="I33" s="171" t="s">
        <v>385</v>
      </c>
      <c r="J33" s="172" t="e">
        <f>COUNTIFS('11BBM'!#REF!,"Comunitario",'11BBM'!#REF!,"Sim")</f>
        <v>#REF!</v>
      </c>
      <c r="K33" s="155"/>
      <c r="L33" s="145"/>
      <c r="M33" s="145"/>
    </row>
    <row r="34" ht="15.75" hidden="1" spans="1:13">
      <c r="A34" s="155"/>
      <c r="B34" s="170"/>
      <c r="C34" s="171" t="s">
        <v>386</v>
      </c>
      <c r="D34" s="172" t="e">
        <f>COUNTIFS(#REF!,"Voluntario",#REF!,"Não")</f>
        <v>#REF!</v>
      </c>
      <c r="E34" s="171" t="s">
        <v>386</v>
      </c>
      <c r="F34" s="172" t="e">
        <f>COUNTIFS(#REF!,"Voluntario",#REF!,"Sim")</f>
        <v>#REF!</v>
      </c>
      <c r="G34" s="171" t="s">
        <v>386</v>
      </c>
      <c r="H34" s="172" t="e">
        <f>COUNTIFS(#REF!,"Comunitario",#REF!,"Não")</f>
        <v>#REF!</v>
      </c>
      <c r="I34" s="171" t="s">
        <v>386</v>
      </c>
      <c r="J34" s="172" t="e">
        <f>COUNTIFS(#REF!,"Comunitario",#REF!,"Sim")</f>
        <v>#REF!</v>
      </c>
      <c r="K34" s="155"/>
      <c r="L34" s="145"/>
      <c r="M34" s="145"/>
    </row>
    <row r="35" ht="15.75" hidden="1" spans="1:13">
      <c r="A35" s="155"/>
      <c r="B35" s="170"/>
      <c r="C35" s="171" t="s">
        <v>387</v>
      </c>
      <c r="D35" s="172">
        <f>COUNTIFS('13BBM'!C:C,"Voluntario",'13BBM'!K:K,"Não")</f>
        <v>0</v>
      </c>
      <c r="E35" s="171" t="s">
        <v>387</v>
      </c>
      <c r="F35" s="172">
        <f>COUNTIFS('13BBM'!C:C,"Voluntario",'13BBM'!K:K,"Sim")</f>
        <v>0</v>
      </c>
      <c r="G35" s="171" t="s">
        <v>387</v>
      </c>
      <c r="H35" s="172">
        <f>COUNTIFS('13BBM'!C:C,"Comunitario",'13BBM'!K:K,"Não")</f>
        <v>0</v>
      </c>
      <c r="I35" s="171" t="s">
        <v>387</v>
      </c>
      <c r="J35" s="172">
        <f>COUNTIFS('13BBM'!C:C,"Comunitario",'13BBM'!K:K,"Sim")</f>
        <v>14</v>
      </c>
      <c r="K35" s="155"/>
      <c r="L35" s="145"/>
      <c r="M35" s="145"/>
    </row>
    <row r="36" ht="23.25" hidden="1" spans="1:13">
      <c r="A36" s="155"/>
      <c r="B36" s="181" t="s">
        <v>388</v>
      </c>
      <c r="C36" s="182" t="e">
        <f>SUM(D24:D35)</f>
        <v>#REF!</v>
      </c>
      <c r="D36" s="183"/>
      <c r="E36" s="182" t="e">
        <f>SUM(F24:F35)</f>
        <v>#REF!</v>
      </c>
      <c r="F36" s="183"/>
      <c r="G36" s="182" t="e">
        <f>SUM(H24:H35)</f>
        <v>#REF!</v>
      </c>
      <c r="H36" s="183"/>
      <c r="I36" s="182" t="e">
        <f>SUM(J24:J35)</f>
        <v>#REF!</v>
      </c>
      <c r="J36" s="183"/>
      <c r="K36" s="155"/>
      <c r="L36" s="145"/>
      <c r="M36" s="145"/>
    </row>
    <row r="37" ht="6.75" customHeight="1" spans="1:13">
      <c r="A37" s="155"/>
      <c r="B37" s="155"/>
      <c r="C37" s="155"/>
      <c r="D37" s="155"/>
      <c r="E37" s="155"/>
      <c r="F37" s="155"/>
      <c r="G37" s="155"/>
      <c r="H37" s="155"/>
      <c r="I37" s="155"/>
      <c r="J37" s="155"/>
      <c r="K37" s="155"/>
      <c r="L37" s="145"/>
      <c r="M37" s="145"/>
    </row>
    <row r="38" spans="1:13">
      <c r="A38" s="155"/>
      <c r="B38" s="211" t="s">
        <v>393</v>
      </c>
      <c r="C38" s="212" t="s">
        <v>394</v>
      </c>
      <c r="D38" s="212" t="s">
        <v>395</v>
      </c>
      <c r="E38" s="212" t="s">
        <v>396</v>
      </c>
      <c r="F38" s="212" t="s">
        <v>397</v>
      </c>
      <c r="G38" s="212" t="s">
        <v>398</v>
      </c>
      <c r="H38" s="212" t="s">
        <v>399</v>
      </c>
      <c r="I38" s="212" t="s">
        <v>388</v>
      </c>
      <c r="J38" s="212" t="s">
        <v>400</v>
      </c>
      <c r="K38" s="155"/>
      <c r="L38" s="145" t="s">
        <v>401</v>
      </c>
      <c r="M38" s="145" t="s">
        <v>402</v>
      </c>
    </row>
    <row r="39" spans="1:13">
      <c r="A39" s="155"/>
      <c r="B39" s="189"/>
      <c r="C39" s="213" t="s">
        <v>376</v>
      </c>
      <c r="D39" s="214">
        <f>COUNTIFS('2BBM'!C:C,"Voluntario",'2BBM'!K:K,"Não",'2BBM'!AG:AG,"P")</f>
        <v>0</v>
      </c>
      <c r="E39" s="214">
        <f>COUNTIFS('2BBM'!C:C,"Voluntario",'2BBM'!K:K,"Não",'2BBM'!AG:AG,"M")</f>
        <v>0</v>
      </c>
      <c r="F39" s="214">
        <f>COUNTIFS('2BBM'!C:C,"Voluntario",'2BBM'!K:K,"Não",'2BBM'!AG:AG,"G")</f>
        <v>0</v>
      </c>
      <c r="G39" s="214">
        <f>COUNTIFS('2BBM'!C:C,"Voluntario",'2BBM'!K:K,"Não",'2BBM'!AG:AG,"GG")</f>
        <v>0</v>
      </c>
      <c r="H39" s="214">
        <f>COUNTIFS('2BBM'!C:C,"Voluntario",'2BBM'!K:K,"Não",'2BBM'!AG:AG,"EXG")</f>
        <v>0</v>
      </c>
      <c r="I39" s="214">
        <f t="shared" ref="I39:I50" si="0">SUM(D39:H39)</f>
        <v>0</v>
      </c>
      <c r="J39" s="214">
        <f t="shared" ref="J39:J50" si="1">D24-I39</f>
        <v>0</v>
      </c>
      <c r="K39" s="155"/>
      <c r="L39" s="221">
        <v>26</v>
      </c>
      <c r="M39" s="222" t="e">
        <f t="shared" ref="M39:M40" si="2">L39*100/I39</f>
        <v>#DIV/0!</v>
      </c>
    </row>
    <row r="40" spans="1:13">
      <c r="A40" s="155"/>
      <c r="B40" s="189"/>
      <c r="C40" s="215" t="s">
        <v>377</v>
      </c>
      <c r="D40" s="216">
        <f>COUNTIFS('3BBM'!C:C,"Voluntario",'3BBM'!K:K,"Não",'3BBM'!AG:AG,"P")</f>
        <v>0</v>
      </c>
      <c r="E40" s="216">
        <f>COUNTIFS('3BBM'!C:C,"Voluntario",'3BBM'!K:K,"Não",'3BBM'!AG:AG,"M")</f>
        <v>0</v>
      </c>
      <c r="F40" s="216">
        <f>COUNTIFS('3BBM'!C:C,"Voluntario",'3BBM'!K:K,"Não",'3BBM'!AG:AG,"G")</f>
        <v>0</v>
      </c>
      <c r="G40" s="216">
        <f>COUNTIFS('3BBM'!C:C,"Voluntario",'3BBM'!K:K,"Não",'3BBM'!AG:AG,"GG")</f>
        <v>0</v>
      </c>
      <c r="H40" s="216">
        <f>COUNTIFS('3BBM'!C:C,"Voluntario",'3BBM'!K:K,"Não",'3BBM'!AG:AG,"EXG")</f>
        <v>0</v>
      </c>
      <c r="I40" s="216">
        <f t="shared" si="0"/>
        <v>0</v>
      </c>
      <c r="J40" s="216">
        <f t="shared" si="1"/>
        <v>0</v>
      </c>
      <c r="K40" s="155"/>
      <c r="L40" s="216">
        <v>4</v>
      </c>
      <c r="M40" s="222" t="e">
        <f t="shared" si="2"/>
        <v>#DIV/0!</v>
      </c>
    </row>
    <row r="41" spans="1:13">
      <c r="A41" s="155"/>
      <c r="B41" s="189"/>
      <c r="C41" s="213" t="s">
        <v>378</v>
      </c>
      <c r="D41" s="214" t="e">
        <f>COUNTIFS(#REF!,"Voluntario",#REF!,"Não",#REF!,"P")</f>
        <v>#REF!</v>
      </c>
      <c r="E41" s="214" t="e">
        <f>COUNTIFS(#REF!,"Voluntario",#REF!,"Não",#REF!,"M")</f>
        <v>#REF!</v>
      </c>
      <c r="F41" s="214" t="e">
        <f>COUNTIFS(#REF!,"Voluntario",#REF!,"Não",#REF!,"G")</f>
        <v>#REF!</v>
      </c>
      <c r="G41" s="214" t="e">
        <f>COUNTIFS(#REF!,"Voluntario",#REF!,"Não",#REF!,"GG")</f>
        <v>#REF!</v>
      </c>
      <c r="H41" s="214" t="e">
        <f>COUNTIFS(#REF!,"Voluntario",#REF!,"Não",#REF!,"EXG")</f>
        <v>#REF!</v>
      </c>
      <c r="I41" s="214" t="e">
        <f t="shared" si="0"/>
        <v>#REF!</v>
      </c>
      <c r="J41" s="214" t="e">
        <f t="shared" si="1"/>
        <v>#REF!</v>
      </c>
      <c r="K41" s="155"/>
      <c r="L41" s="214"/>
      <c r="M41" s="222"/>
    </row>
    <row r="42" spans="1:13">
      <c r="A42" s="155"/>
      <c r="B42" s="189"/>
      <c r="C42" s="215" t="s">
        <v>379</v>
      </c>
      <c r="D42" s="216">
        <f>COUNTIFS('5BBM'!C:C,"Voluntario",'5BBM'!K:K,"Não",'5BBM'!AG:AG,"P")</f>
        <v>0</v>
      </c>
      <c r="E42" s="216">
        <f>COUNTIFS('5BBM'!C:C,"Voluntario",'5BBM'!K:K,"Não",'5BBM'!AG:AG,"M")</f>
        <v>0</v>
      </c>
      <c r="F42" s="216">
        <f>COUNTIFS('5BBM'!C:C,"Voluntario",'5BBM'!K:K,"Não",'5BBM'!AG:AG,"G")</f>
        <v>0</v>
      </c>
      <c r="G42" s="216">
        <f>COUNTIFS('5BBM'!C:C,"Voluntario",'5BBM'!K:K,"Não",'5BBM'!AG:AG,"GG")</f>
        <v>0</v>
      </c>
      <c r="H42" s="216">
        <f>COUNTIFS('5BBM'!C:C,"Voluntario",'5BBM'!K:K,"Não",'5BBM'!AG:AG,"EXG")</f>
        <v>0</v>
      </c>
      <c r="I42" s="216">
        <f t="shared" si="0"/>
        <v>0</v>
      </c>
      <c r="J42" s="216">
        <f t="shared" si="1"/>
        <v>0</v>
      </c>
      <c r="K42" s="155"/>
      <c r="L42" s="216">
        <v>9</v>
      </c>
      <c r="M42" s="222" t="e">
        <f>L42*100/I42</f>
        <v>#DIV/0!</v>
      </c>
    </row>
    <row r="43" spans="1:13">
      <c r="A43" s="155"/>
      <c r="B43" s="189"/>
      <c r="C43" s="213" t="s">
        <v>380</v>
      </c>
      <c r="D43" s="214" t="e">
        <f>COUNTIFS(#REF!,"Voluntario",#REF!,"Não",#REF!,"P")</f>
        <v>#REF!</v>
      </c>
      <c r="E43" s="214" t="e">
        <f>COUNTIFS(#REF!,"Voluntario",#REF!,"Não",#REF!,"M")</f>
        <v>#REF!</v>
      </c>
      <c r="F43" s="214" t="e">
        <f>COUNTIFS(#REF!,"Voluntario",#REF!,"Não",#REF!,"G")</f>
        <v>#REF!</v>
      </c>
      <c r="G43" s="214" t="e">
        <f>COUNTIFS(#REF!,"Voluntario",#REF!,"Não",#REF!,"GG")</f>
        <v>#REF!</v>
      </c>
      <c r="H43" s="214" t="e">
        <f>COUNTIFS(#REF!,"Voluntario",#REF!,"Não",#REF!,"EXG")</f>
        <v>#REF!</v>
      </c>
      <c r="I43" s="214" t="e">
        <f t="shared" si="0"/>
        <v>#REF!</v>
      </c>
      <c r="J43" s="214" t="e">
        <f t="shared" si="1"/>
        <v>#REF!</v>
      </c>
      <c r="K43" s="155"/>
      <c r="L43" s="214"/>
      <c r="M43" s="222"/>
    </row>
    <row r="44" spans="1:13">
      <c r="A44" s="155"/>
      <c r="B44" s="189"/>
      <c r="C44" s="215" t="s">
        <v>381</v>
      </c>
      <c r="D44" s="216">
        <f>COUNTIFS('7BBM'!C:C,"Voluntario",'7BBM'!K:K,"Não",'7BBM'!AG:AG,"P")</f>
        <v>0</v>
      </c>
      <c r="E44" s="216">
        <f>COUNTIFS('7BBM'!C:C,"Voluntario",'7BBM'!K:K,"Não",'7BBM'!AG:AG,"M")</f>
        <v>0</v>
      </c>
      <c r="F44" s="216">
        <f>COUNTIFS('7BBM'!C:C,"Voluntario",'7BBM'!K:K,"Não",'7BBM'!AG:AG,"G")</f>
        <v>0</v>
      </c>
      <c r="G44" s="216">
        <f>COUNTIFS('7BBM'!C:C,"Voluntario",'7BBM'!K:K,"Não",'7BBM'!AG:AG,"GG")</f>
        <v>0</v>
      </c>
      <c r="H44" s="216">
        <f>COUNTIFS('7BBM'!C:C,"Voluntario",'7BBM'!K:K,"Não",'7BBM'!AG:AG,"EXG")</f>
        <v>0</v>
      </c>
      <c r="I44" s="216">
        <f t="shared" si="0"/>
        <v>0</v>
      </c>
      <c r="J44" s="216">
        <f t="shared" si="1"/>
        <v>0</v>
      </c>
      <c r="K44" s="155"/>
      <c r="L44" s="216">
        <v>100</v>
      </c>
      <c r="M44" s="222" t="e">
        <f>L44*100/I44</f>
        <v>#DIV/0!</v>
      </c>
    </row>
    <row r="45" spans="1:13">
      <c r="A45" s="155"/>
      <c r="B45" s="189"/>
      <c r="C45" s="213" t="s">
        <v>382</v>
      </c>
      <c r="D45" s="214">
        <f>COUNTIFS('8BBM'!C:C,"Voluntario",'8BBM'!K:K,"Não",'8BBM'!AG:AG,"P")</f>
        <v>0</v>
      </c>
      <c r="E45" s="214">
        <f>COUNTIFS('8BBM'!C:C,"Voluntario",'8BBM'!K:K,"Não",'8BBM'!AG:AG,"M")</f>
        <v>0</v>
      </c>
      <c r="F45" s="214">
        <f>COUNTIFS('8BBM'!C:C,"Voluntario",'8BBM'!K:K,"Não",'8BBM'!AG:AG,"G")</f>
        <v>0</v>
      </c>
      <c r="G45" s="214">
        <f>COUNTIFS('8BBM'!C:C,"Voluntario",'8BBM'!K:K,"Não",'8BBM'!AG:AG,"GG")</f>
        <v>0</v>
      </c>
      <c r="H45" s="214">
        <f>COUNTIFS('8BBM'!C:C,"Voluntario",'8BBM'!K:K,"Não",'8BBM'!AG:AG,"EXG")</f>
        <v>0</v>
      </c>
      <c r="I45" s="214">
        <f t="shared" si="0"/>
        <v>0</v>
      </c>
      <c r="J45" s="214">
        <f t="shared" si="1"/>
        <v>0</v>
      </c>
      <c r="K45" s="155"/>
      <c r="L45" s="214"/>
      <c r="M45" s="222"/>
    </row>
    <row r="46" spans="1:13">
      <c r="A46" s="155"/>
      <c r="B46" s="189"/>
      <c r="C46" s="215" t="s">
        <v>383</v>
      </c>
      <c r="D46" s="216">
        <f>COUNTIFS('9BBM'!C:C,"Voluntario",'9BBM'!K:K,"Não",'9BBM'!AG:AG,"P")</f>
        <v>0</v>
      </c>
      <c r="E46" s="216">
        <f>COUNTIFS('9BBM'!C:C,"Voluntario",'9BBM'!K:K,"Não",'9BBM'!AG:AG,"M")</f>
        <v>0</v>
      </c>
      <c r="F46" s="216">
        <f>COUNTIFS('9BBM'!C:C,"Voluntario",'9BBM'!K:K,"Não",'9BBM'!AG:AG,"G")</f>
        <v>0</v>
      </c>
      <c r="G46" s="216">
        <f>COUNTIFS('9BBM'!C:C,"Voluntario",'9BBM'!K:K,"Não",'9BBM'!AG:AG,"GG")</f>
        <v>0</v>
      </c>
      <c r="H46" s="216">
        <f>COUNTIFS('9BBM'!C:C,"Voluntario",'9BBM'!K:K,"Não",'9BBM'!AG:AG,"EXG")</f>
        <v>0</v>
      </c>
      <c r="I46" s="216">
        <f t="shared" si="0"/>
        <v>0</v>
      </c>
      <c r="J46" s="216">
        <f t="shared" si="1"/>
        <v>0</v>
      </c>
      <c r="K46" s="155"/>
      <c r="L46" s="216">
        <v>43</v>
      </c>
      <c r="M46" s="222" t="e">
        <f t="shared" ref="M46:M49" si="3">L46*100/I46</f>
        <v>#DIV/0!</v>
      </c>
    </row>
    <row r="47" spans="1:13">
      <c r="A47" s="155"/>
      <c r="B47" s="189"/>
      <c r="C47" s="213" t="s">
        <v>384</v>
      </c>
      <c r="D47" s="214">
        <f>COUNTIFS('10BBM'!C:C,"Voluntario",'10BBM'!K:K,"Não",'10BBM'!AG:AG,"P")</f>
        <v>0</v>
      </c>
      <c r="E47" s="214">
        <f>COUNTIFS('10BBM'!C:C,"Voluntario",'10BBM'!K:K,"Não",'10BBM'!AG:AG,"M")</f>
        <v>0</v>
      </c>
      <c r="F47" s="214">
        <f>COUNTIFS('10BBM'!C:C,"Voluntario",'10BBM'!K:K,"Não",'10BBM'!AG:AG,"G")</f>
        <v>0</v>
      </c>
      <c r="G47" s="214">
        <f>COUNTIFS('10BBM'!C:C,"Voluntario",'10BBM'!K:K,"Não",'10BBM'!AG:AG,"GG")</f>
        <v>0</v>
      </c>
      <c r="H47" s="214">
        <f>COUNTIFS('10BBM'!C:C,"Voluntario",'10BBM'!K:K,"Não",'10BBM'!AG:AG,"EXG")</f>
        <v>0</v>
      </c>
      <c r="I47" s="214">
        <f t="shared" si="0"/>
        <v>0</v>
      </c>
      <c r="J47" s="214">
        <f t="shared" si="1"/>
        <v>0</v>
      </c>
      <c r="K47" s="155"/>
      <c r="L47" s="214">
        <v>25</v>
      </c>
      <c r="M47" s="222" t="e">
        <f t="shared" si="3"/>
        <v>#DIV/0!</v>
      </c>
    </row>
    <row r="48" spans="1:13">
      <c r="A48" s="155"/>
      <c r="B48" s="189"/>
      <c r="C48" s="215" t="s">
        <v>385</v>
      </c>
      <c r="D48" s="216" t="e">
        <f>COUNTIFS('11BBM'!#REF!,"Voluntario",'11BBM'!#REF!,"Não",'11BBM'!#REF!,"P")</f>
        <v>#REF!</v>
      </c>
      <c r="E48" s="216" t="e">
        <f>COUNTIFS('11BBM'!#REF!,"Voluntario",'11BBM'!#REF!,"Não",'11BBM'!#REF!,"M")</f>
        <v>#REF!</v>
      </c>
      <c r="F48" s="216" t="e">
        <f>COUNTIFS('11BBM'!#REF!,"Voluntario",'11BBM'!#REF!,"Não",'11BBM'!#REF!,"G")</f>
        <v>#REF!</v>
      </c>
      <c r="G48" s="216" t="e">
        <f>COUNTIFS('11BBM'!#REF!,"Voluntario",'11BBM'!#REF!,"Não",'11BBM'!#REF!,"GG")</f>
        <v>#REF!</v>
      </c>
      <c r="H48" s="216" t="e">
        <f>COUNTIFS('11BBM'!#REF!,"Voluntario",'11BBM'!#REF!,"Não",'11BBM'!#REF!,"EXG")</f>
        <v>#REF!</v>
      </c>
      <c r="I48" s="216" t="e">
        <f t="shared" si="0"/>
        <v>#REF!</v>
      </c>
      <c r="J48" s="216" t="e">
        <f t="shared" si="1"/>
        <v>#REF!</v>
      </c>
      <c r="K48" s="155"/>
      <c r="L48" s="216">
        <v>13</v>
      </c>
      <c r="M48" s="222" t="e">
        <f t="shared" si="3"/>
        <v>#REF!</v>
      </c>
    </row>
    <row r="49" spans="1:13">
      <c r="A49" s="155"/>
      <c r="B49" s="189"/>
      <c r="C49" s="213" t="s">
        <v>386</v>
      </c>
      <c r="D49" s="214" t="e">
        <f>COUNTIFS(#REF!,"Voluntario",#REF!,"Não",#REF!,"P")</f>
        <v>#REF!</v>
      </c>
      <c r="E49" s="214" t="e">
        <f>COUNTIFS(#REF!,"Voluntario",#REF!,"Não",#REF!,"M")</f>
        <v>#REF!</v>
      </c>
      <c r="F49" s="214" t="e">
        <f>COUNTIFS(#REF!,"Voluntario",#REF!,"Não",#REF!,"G")</f>
        <v>#REF!</v>
      </c>
      <c r="G49" s="214" t="e">
        <f>COUNTIFS(#REF!,"Voluntario",#REF!,"Não",#REF!,"GG")</f>
        <v>#REF!</v>
      </c>
      <c r="H49" s="214" t="e">
        <f>COUNTIFS(#REF!,"Voluntario",#REF!,"Não",#REF!,"EXG")</f>
        <v>#REF!</v>
      </c>
      <c r="I49" s="214" t="e">
        <f t="shared" si="0"/>
        <v>#REF!</v>
      </c>
      <c r="J49" s="214" t="e">
        <f t="shared" si="1"/>
        <v>#REF!</v>
      </c>
      <c r="K49" s="155"/>
      <c r="L49" s="214">
        <v>20</v>
      </c>
      <c r="M49" s="222" t="e">
        <f t="shared" si="3"/>
        <v>#REF!</v>
      </c>
    </row>
    <row r="50" spans="1:13">
      <c r="A50" s="155"/>
      <c r="B50" s="189"/>
      <c r="C50" s="215" t="s">
        <v>387</v>
      </c>
      <c r="D50" s="216">
        <f>COUNTIFS('13BBM'!C:C,"Voluntario",'13BBM'!K:K,"Não",'13BBM'!AG:AG,"P")</f>
        <v>0</v>
      </c>
      <c r="E50" s="216">
        <f>COUNTIFS('13BBM'!C:C,"Voluntario",'13BBM'!K:K,"Não",'13BBM'!AG:AG,"M")</f>
        <v>0</v>
      </c>
      <c r="F50" s="216">
        <f>COUNTIFS('13BBM'!C:C,"Voluntario",'13BBM'!K:K,"Não",'13BBM'!AG:AG,"G")</f>
        <v>0</v>
      </c>
      <c r="G50" s="216">
        <f>COUNTIFS('13BBM'!C:C,"Voluntario",'13BBM'!K:K,"Não",'13BBM'!AG:AG,"GG")</f>
        <v>0</v>
      </c>
      <c r="H50" s="216">
        <f>COUNTIFS('13BBM'!C:C,"Voluntario",'13BBM'!K:K,"Não",'13BBM'!AG:AG,"EXG")</f>
        <v>0</v>
      </c>
      <c r="I50" s="216">
        <f t="shared" si="0"/>
        <v>0</v>
      </c>
      <c r="J50" s="216">
        <f t="shared" si="1"/>
        <v>0</v>
      </c>
      <c r="K50" s="155"/>
      <c r="L50" s="216"/>
      <c r="M50" s="222"/>
    </row>
    <row r="51" ht="15.75" spans="1:13">
      <c r="A51" s="155"/>
      <c r="B51" s="192"/>
      <c r="C51" s="217" t="s">
        <v>403</v>
      </c>
      <c r="D51" s="217" t="e">
        <f t="shared" ref="D51:J51" si="4">SUM(D39:D50)</f>
        <v>#REF!</v>
      </c>
      <c r="E51" s="217" t="e">
        <f t="shared" si="4"/>
        <v>#REF!</v>
      </c>
      <c r="F51" s="217" t="e">
        <f t="shared" si="4"/>
        <v>#REF!</v>
      </c>
      <c r="G51" s="217" t="e">
        <f t="shared" si="4"/>
        <v>#REF!</v>
      </c>
      <c r="H51" s="217" t="e">
        <f t="shared" si="4"/>
        <v>#REF!</v>
      </c>
      <c r="I51" s="217" t="e">
        <f t="shared" si="4"/>
        <v>#REF!</v>
      </c>
      <c r="J51" s="223" t="e">
        <f t="shared" si="4"/>
        <v>#REF!</v>
      </c>
      <c r="K51" s="155"/>
      <c r="L51" s="217">
        <f>SUM(L39:L50)</f>
        <v>240</v>
      </c>
      <c r="M51" s="222" t="e">
        <f>L51*100/I51</f>
        <v>#REF!</v>
      </c>
    </row>
    <row r="52" ht="6.75" customHeight="1" spans="1:13">
      <c r="A52" s="155"/>
      <c r="B52" s="155"/>
      <c r="C52" s="155"/>
      <c r="D52" s="155"/>
      <c r="E52" s="155"/>
      <c r="F52" s="155"/>
      <c r="G52" s="155"/>
      <c r="H52" s="155"/>
      <c r="I52" s="155"/>
      <c r="J52" s="155"/>
      <c r="K52" s="155"/>
      <c r="L52" s="145"/>
      <c r="M52" s="145"/>
    </row>
    <row r="53" ht="6.75" customHeight="1" spans="1:13">
      <c r="A53" s="155"/>
      <c r="B53" s="155"/>
      <c r="C53" s="155"/>
      <c r="D53" s="155"/>
      <c r="E53" s="155"/>
      <c r="F53" s="155"/>
      <c r="G53" s="155"/>
      <c r="H53" s="155"/>
      <c r="I53" s="155"/>
      <c r="J53" s="155"/>
      <c r="K53" s="155"/>
      <c r="L53" s="145"/>
      <c r="M53" s="145"/>
    </row>
    <row r="54" spans="1:13">
      <c r="A54" s="155"/>
      <c r="B54" s="211" t="s">
        <v>404</v>
      </c>
      <c r="C54" s="212" t="s">
        <v>394</v>
      </c>
      <c r="D54" s="212">
        <v>34</v>
      </c>
      <c r="E54" s="212">
        <v>35</v>
      </c>
      <c r="F54" s="212">
        <v>36</v>
      </c>
      <c r="G54" s="212">
        <v>37</v>
      </c>
      <c r="H54" s="212">
        <v>38</v>
      </c>
      <c r="I54" s="212">
        <v>39</v>
      </c>
      <c r="J54" s="212" t="s">
        <v>388</v>
      </c>
      <c r="K54" s="155"/>
      <c r="L54" s="145"/>
      <c r="M54" s="145"/>
    </row>
    <row r="55" spans="1:13">
      <c r="A55" s="155"/>
      <c r="B55" s="189"/>
      <c r="C55" s="213" t="s">
        <v>376</v>
      </c>
      <c r="D55" s="214">
        <f>COUNTIFS('2BBM'!C:C,"Voluntario",'2BBM'!K:K,"Não",'2BBM'!AH:AH,"34")</f>
        <v>0</v>
      </c>
      <c r="E55" s="214">
        <f>COUNTIFS('2BBM'!C:C,"Voluntario",'2BBM'!K:K,"Não",'2BBM'!AH:AH,"35")</f>
        <v>0</v>
      </c>
      <c r="F55" s="214">
        <f>COUNTIFS('2BBM'!C:C,"Voluntario",'2BBM'!K:K,"Não",'2BBM'!AH:AH,"36")</f>
        <v>0</v>
      </c>
      <c r="G55" s="214">
        <f>COUNTIFS('2BBM'!C:C,"Voluntario",'2BBM'!K:K,"Não",'2BBM'!AH:AH,"37")</f>
        <v>0</v>
      </c>
      <c r="H55" s="214">
        <f>COUNTIFS('2BBM'!C:C,"Voluntario",'2BBM'!K:K,"Não",'2BBM'!AH:AH,"38")</f>
        <v>0</v>
      </c>
      <c r="I55" s="214">
        <f>COUNTIFS('2BBM'!C:C,"Voluntario",'2BBM'!K:K,"Não",'2BBM'!AH:AH,"39")</f>
        <v>0</v>
      </c>
      <c r="J55" s="214">
        <f t="shared" ref="J55:J66" si="5">SUM(D55:H55)</f>
        <v>0</v>
      </c>
      <c r="K55" s="155"/>
      <c r="L55" s="145"/>
      <c r="M55" s="145"/>
    </row>
    <row r="56" spans="1:13">
      <c r="A56" s="155"/>
      <c r="B56" s="189"/>
      <c r="C56" s="215" t="s">
        <v>377</v>
      </c>
      <c r="D56" s="216">
        <f>COUNTIFS('3BBM'!C:C,"Voluntario",'3BBM'!K:K,"Não",'3BBM'!AH:AH,"34")</f>
        <v>0</v>
      </c>
      <c r="E56" s="216">
        <f>COUNTIFS('3BBM'!C:C,"Voluntario",'3BBM'!K:K,"Não",'3BBM'!AH:AH,"35")</f>
        <v>0</v>
      </c>
      <c r="F56" s="216">
        <f>COUNTIFS('3BBM'!C:C,"Voluntario",'3BBM'!K:K,"Não",'3BBM'!AH:AH,"36")</f>
        <v>0</v>
      </c>
      <c r="G56" s="216">
        <f>COUNTIFS('3BBM'!C:C,"Voluntario",'3BBM'!K:K,"Não",'3BBM'!AH:AH,"37")</f>
        <v>0</v>
      </c>
      <c r="H56" s="216">
        <f>COUNTIFS('3BBM'!C:C,"Voluntario",'3BBM'!K:K,"Não",'3BBM'!AH:AH,"38")</f>
        <v>0</v>
      </c>
      <c r="I56" s="216">
        <f>COUNTIFS('3BBM'!C:C,"Voluntario",'3BBM'!K:K,"Não",'3BBM'!AH:AH,"39")</f>
        <v>0</v>
      </c>
      <c r="J56" s="216">
        <f t="shared" si="5"/>
        <v>0</v>
      </c>
      <c r="K56" s="155"/>
      <c r="L56" s="145"/>
      <c r="M56" s="145"/>
    </row>
    <row r="57" spans="1:13">
      <c r="A57" s="155"/>
      <c r="B57" s="189"/>
      <c r="C57" s="213" t="s">
        <v>378</v>
      </c>
      <c r="D57" s="214" t="e">
        <f>COUNTIFS(#REF!,"Voluntario",#REF!,"Não",#REF!,"34")</f>
        <v>#REF!</v>
      </c>
      <c r="E57" s="214" t="e">
        <f>COUNTIFS(#REF!,"Voluntario",#REF!,"Não",#REF!,"35")</f>
        <v>#REF!</v>
      </c>
      <c r="F57" s="214" t="e">
        <f>COUNTIFS(#REF!,"Voluntario",#REF!,"Não",#REF!,"36")</f>
        <v>#REF!</v>
      </c>
      <c r="G57" s="214" t="e">
        <f>COUNTIFS(#REF!,"Voluntario",#REF!,"Não",#REF!,"37")</f>
        <v>#REF!</v>
      </c>
      <c r="H57" s="214" t="e">
        <f>COUNTIFS(#REF!,"Voluntario",#REF!,"Não",#REF!,"38")</f>
        <v>#REF!</v>
      </c>
      <c r="I57" s="214" t="e">
        <f>COUNTIFS(#REF!,"Voluntario",#REF!,"Não",#REF!,"39")</f>
        <v>#REF!</v>
      </c>
      <c r="J57" s="214" t="e">
        <f t="shared" si="5"/>
        <v>#REF!</v>
      </c>
      <c r="K57" s="155"/>
      <c r="L57" s="145"/>
      <c r="M57" s="145"/>
    </row>
    <row r="58" spans="1:13">
      <c r="A58" s="155"/>
      <c r="B58" s="189"/>
      <c r="C58" s="215" t="s">
        <v>379</v>
      </c>
      <c r="D58" s="216">
        <f>COUNTIFS('5BBM'!C:C,"Voluntario",'5BBM'!K:K,"Não",'5BBM'!AH:AH,"34")</f>
        <v>0</v>
      </c>
      <c r="E58" s="216">
        <f>COUNTIFS('5BBM'!C:C,"Voluntario",'5BBM'!K:K,"Não",'5BBM'!AH:AH,"35")</f>
        <v>0</v>
      </c>
      <c r="F58" s="216">
        <f>COUNTIFS('5BBM'!C:C,"Voluntario",'5BBM'!K:K,"Não",'5BBM'!AH:AH,"36")</f>
        <v>0</v>
      </c>
      <c r="G58" s="216">
        <f>COUNTIFS('5BBM'!C:C,"Voluntario",'5BBM'!K:K,"Não",'5BBM'!AH:AH,"37")</f>
        <v>0</v>
      </c>
      <c r="H58" s="216">
        <f>COUNTIFS('5BBM'!C:C,"Voluntario",'5BBM'!K:K,"Não",'5BBM'!AH:AH,"38")</f>
        <v>0</v>
      </c>
      <c r="I58" s="216">
        <f>COUNTIFS('5BBM'!C:C,"Voluntario",'5BBM'!K:K,"Não",'5BBM'!AH:AH,"39")</f>
        <v>0</v>
      </c>
      <c r="J58" s="216">
        <f t="shared" si="5"/>
        <v>0</v>
      </c>
      <c r="K58" s="155"/>
      <c r="L58" s="145"/>
      <c r="M58" s="145"/>
    </row>
    <row r="59" spans="1:13">
      <c r="A59" s="155"/>
      <c r="B59" s="189"/>
      <c r="C59" s="213" t="s">
        <v>380</v>
      </c>
      <c r="D59" s="214" t="e">
        <f>COUNTIFS(#REF!,"Voluntario",#REF!,"Não",#REF!,"34")</f>
        <v>#REF!</v>
      </c>
      <c r="E59" s="214" t="e">
        <f>COUNTIFS(#REF!,"Voluntario",#REF!,"Não",#REF!,"35")</f>
        <v>#REF!</v>
      </c>
      <c r="F59" s="214" t="e">
        <f>COUNTIFS(#REF!,"Voluntario",#REF!,"Não",#REF!,"36")</f>
        <v>#REF!</v>
      </c>
      <c r="G59" s="214" t="e">
        <f>COUNTIFS(#REF!,"Voluntario",#REF!,"Não",#REF!,"37")</f>
        <v>#REF!</v>
      </c>
      <c r="H59" s="214" t="e">
        <f>COUNTIFS(#REF!,"Voluntario",#REF!,"Não",#REF!,"38")</f>
        <v>#REF!</v>
      </c>
      <c r="I59" s="214" t="e">
        <f>COUNTIFS(#REF!,"Voluntario",#REF!,"Não",#REF!,"39")</f>
        <v>#REF!</v>
      </c>
      <c r="J59" s="214" t="e">
        <f t="shared" si="5"/>
        <v>#REF!</v>
      </c>
      <c r="K59" s="155"/>
      <c r="L59" s="145"/>
      <c r="M59" s="145"/>
    </row>
    <row r="60" spans="1:13">
      <c r="A60" s="155"/>
      <c r="B60" s="189"/>
      <c r="C60" s="215" t="s">
        <v>381</v>
      </c>
      <c r="D60" s="216">
        <f>COUNTIFS('7BBM'!C:C,"Voluntario",'7BBM'!K:K,"Não",'7BBM'!AH:AH,"34")</f>
        <v>0</v>
      </c>
      <c r="E60" s="216">
        <f>COUNTIFS('7BBM'!C:C,"Voluntario",'7BBM'!K:K,"Não",'7BBM'!AH:AH,"35")</f>
        <v>0</v>
      </c>
      <c r="F60" s="216">
        <f>COUNTIFS('7BBM'!C:C,"Voluntario",'7BBM'!K:K,"Não",'7BBM'!AH:AH,"36")</f>
        <v>0</v>
      </c>
      <c r="G60" s="216">
        <f>COUNTIFS('7BBM'!C:C,"Voluntario",'7BBM'!K:K,"Não",'7BBM'!AH:AH,"37")</f>
        <v>0</v>
      </c>
      <c r="H60" s="216">
        <f>COUNTIFS('7BBM'!C:C,"Voluntario",'7BBM'!K:K,"Não",'7BBM'!AH:AH,"38")</f>
        <v>0</v>
      </c>
      <c r="I60" s="216">
        <f>COUNTIFS('7BBM'!C:C,"Voluntario",'7BBM'!K:K,"Não",'7BBM'!AH:AH,"39")</f>
        <v>0</v>
      </c>
      <c r="J60" s="216">
        <f t="shared" si="5"/>
        <v>0</v>
      </c>
      <c r="K60" s="155"/>
      <c r="L60" s="145"/>
      <c r="M60" s="145"/>
    </row>
    <row r="61" spans="1:13">
      <c r="A61" s="155"/>
      <c r="B61" s="189"/>
      <c r="C61" s="213" t="s">
        <v>382</v>
      </c>
      <c r="D61" s="214">
        <f>COUNTIFS('8BBM'!C:C,"Voluntario",'8BBM'!K:K,"Não",'8BBM'!AH:AH,"34")</f>
        <v>0</v>
      </c>
      <c r="E61" s="214">
        <f>COUNTIFS('8BBM'!C:C,"Voluntario",'8BBM'!K:K,"Não",'8BBM'!AH:AH,"35")</f>
        <v>0</v>
      </c>
      <c r="F61" s="214">
        <f>COUNTIFS('8BBM'!C:C,"Voluntario",'8BBM'!K:K,"Não",'8BBM'!AH:AH,"36")</f>
        <v>0</v>
      </c>
      <c r="G61" s="214">
        <f>COUNTIFS('8BBM'!C:C,"Voluntario",'8BBM'!K:K,"Não",'8BBM'!AH:AH,"37")</f>
        <v>0</v>
      </c>
      <c r="H61" s="214">
        <f>COUNTIFS('8BBM'!C:C,"Voluntario",'8BBM'!K:K,"Não",'8BBM'!AH:AH,"38")</f>
        <v>0</v>
      </c>
      <c r="I61" s="214">
        <f>COUNTIFS('8BBM'!C:C,"Voluntario",'8BBM'!K:K,"Não",'8BBM'!AH:AH,"39")</f>
        <v>0</v>
      </c>
      <c r="J61" s="214">
        <f t="shared" si="5"/>
        <v>0</v>
      </c>
      <c r="K61" s="155"/>
      <c r="L61" s="145"/>
      <c r="M61" s="145"/>
    </row>
    <row r="62" spans="1:13">
      <c r="A62" s="155"/>
      <c r="B62" s="189"/>
      <c r="C62" s="215" t="s">
        <v>383</v>
      </c>
      <c r="D62" s="216">
        <f>COUNTIFS('9BBM'!C:C,"Voluntario",'9BBM'!K:K,"Não",'9BBM'!AH:AH,"34")</f>
        <v>0</v>
      </c>
      <c r="E62" s="216">
        <f>COUNTIFS('9BBM'!C:C,"Voluntario",'9BBM'!K:K,"Não",'9BBM'!AH:AH,"35")</f>
        <v>0</v>
      </c>
      <c r="F62" s="216">
        <f>COUNTIFS('9BBM'!C:C,"Voluntario",'9BBM'!K:K,"Não",'9BBM'!AH:AH,"36")</f>
        <v>0</v>
      </c>
      <c r="G62" s="216">
        <f>COUNTIFS('9BBM'!C:C,"Voluntario",'9BBM'!K:K,"Não",'9BBM'!AH:AH,"37")</f>
        <v>0</v>
      </c>
      <c r="H62" s="216">
        <f>COUNTIFS('9BBM'!C:C,"Voluntario",'9BBM'!K:K,"Não",'9BBM'!AH:AH,"38")</f>
        <v>0</v>
      </c>
      <c r="I62" s="216">
        <f>COUNTIFS('9BBM'!C:C,"Voluntario",'9BBM'!K:K,"Não",'9BBM'!AH:AH,"39")</f>
        <v>0</v>
      </c>
      <c r="J62" s="216">
        <f t="shared" si="5"/>
        <v>0</v>
      </c>
      <c r="K62" s="155"/>
      <c r="L62" s="145"/>
      <c r="M62" s="145"/>
    </row>
    <row r="63" spans="1:13">
      <c r="A63" s="155"/>
      <c r="B63" s="189"/>
      <c r="C63" s="213" t="s">
        <v>384</v>
      </c>
      <c r="D63" s="214">
        <f>COUNTIFS('10BBM'!C:C,"Voluntario",'10BBM'!K:K,"Não",'10BBM'!AH:AH,"34")</f>
        <v>0</v>
      </c>
      <c r="E63" s="214">
        <f>COUNTIFS('10BBM'!C:C,"Voluntario",'10BBM'!K:K,"Não",'10BBM'!AH:AH,"35")</f>
        <v>0</v>
      </c>
      <c r="F63" s="214">
        <f>COUNTIFS('10BBM'!C:C,"Voluntario",'10BBM'!K:K,"Não",'10BBM'!AH:AH,"36")</f>
        <v>0</v>
      </c>
      <c r="G63" s="214">
        <f>COUNTIFS('10BBM'!C:C,"Voluntario",'10BBM'!K:K,"Não",'10BBM'!AH:AH,"37")</f>
        <v>0</v>
      </c>
      <c r="H63" s="214">
        <f>COUNTIFS('10BBM'!C:C,"Voluntario",'10BBM'!K:K,"Não",'10BBM'!AH:AH,"38")</f>
        <v>0</v>
      </c>
      <c r="I63" s="214">
        <f>COUNTIFS('10BBM'!C:C,"Voluntario",'10BBM'!K:K,"Não",'10BBM'!AH:AH,"39")</f>
        <v>0</v>
      </c>
      <c r="J63" s="214">
        <f t="shared" si="5"/>
        <v>0</v>
      </c>
      <c r="K63" s="155"/>
      <c r="L63" s="145"/>
      <c r="M63" s="145"/>
    </row>
    <row r="64" spans="1:13">
      <c r="A64" s="155"/>
      <c r="B64" s="189"/>
      <c r="C64" s="215" t="s">
        <v>385</v>
      </c>
      <c r="D64" s="216" t="e">
        <f>COUNTIFS('11BBM'!#REF!,"Voluntario",'11BBM'!#REF!,"Não",'11BBM'!#REF!,"34")</f>
        <v>#REF!</v>
      </c>
      <c r="E64" s="216" t="e">
        <f>COUNTIFS('11BBM'!#REF!,"Voluntario",'11BBM'!#REF!,"Não",'11BBM'!#REF!,"35")</f>
        <v>#REF!</v>
      </c>
      <c r="F64" s="216" t="e">
        <f>COUNTIFS('11BBM'!#REF!,"Voluntario",'11BBM'!#REF!,"Não",'11BBM'!#REF!,"36")</f>
        <v>#REF!</v>
      </c>
      <c r="G64" s="216" t="e">
        <f>COUNTIFS('11BBM'!#REF!,"Voluntario",'11BBM'!#REF!,"Não",'11BBM'!#REF!,"37")</f>
        <v>#REF!</v>
      </c>
      <c r="H64" s="216" t="e">
        <f>COUNTIFS('11BBM'!#REF!,"Voluntario",'11BBM'!#REF!,"Não",'11BBM'!#REF!,"38")</f>
        <v>#REF!</v>
      </c>
      <c r="I64" s="216" t="e">
        <f>COUNTIFS('11BBM'!#REF!,"Voluntario",'11BBM'!#REF!,"Não",'11BBM'!#REF!,"39")</f>
        <v>#REF!</v>
      </c>
      <c r="J64" s="216" t="e">
        <f t="shared" si="5"/>
        <v>#REF!</v>
      </c>
      <c r="K64" s="155"/>
      <c r="L64" s="145"/>
      <c r="M64" s="145"/>
    </row>
    <row r="65" spans="1:13">
      <c r="A65" s="155"/>
      <c r="B65" s="189"/>
      <c r="C65" s="213" t="s">
        <v>386</v>
      </c>
      <c r="D65" s="214" t="e">
        <f>COUNTIFS(#REF!,"Voluntario",#REF!,"Não",#REF!,"34")</f>
        <v>#REF!</v>
      </c>
      <c r="E65" s="214" t="e">
        <f>COUNTIFS(#REF!,"Voluntario",#REF!,"Não",#REF!,"35")</f>
        <v>#REF!</v>
      </c>
      <c r="F65" s="214" t="e">
        <f>COUNTIFS(#REF!,"Voluntario",#REF!,"Não",#REF!,"36")</f>
        <v>#REF!</v>
      </c>
      <c r="G65" s="214" t="e">
        <f>COUNTIFS(#REF!,"Voluntario",#REF!,"Não",#REF!,"37")</f>
        <v>#REF!</v>
      </c>
      <c r="H65" s="214" t="e">
        <f>COUNTIFS(#REF!,"Voluntario",#REF!,"Não",#REF!,"38")</f>
        <v>#REF!</v>
      </c>
      <c r="I65" s="214" t="e">
        <f>COUNTIFS(#REF!,"Voluntario",#REF!,"Não",#REF!,"39")</f>
        <v>#REF!</v>
      </c>
      <c r="J65" s="214" t="e">
        <f t="shared" si="5"/>
        <v>#REF!</v>
      </c>
      <c r="K65" s="155"/>
      <c r="L65" s="145"/>
      <c r="M65" s="145"/>
    </row>
    <row r="66" spans="1:13">
      <c r="A66" s="155"/>
      <c r="B66" s="189"/>
      <c r="C66" s="215" t="s">
        <v>387</v>
      </c>
      <c r="D66" s="216">
        <f>COUNTIFS('13BBM'!C:C,"Voluntario",'13BBM'!K:K,"Não",'13BBM'!AH:AH,"34")</f>
        <v>0</v>
      </c>
      <c r="E66" s="216">
        <f>COUNTIFS('13BBM'!C:C,"Voluntario",'13BBM'!K:K,"Não",'13BBM'!AH:AH,"35")</f>
        <v>0</v>
      </c>
      <c r="F66" s="216">
        <f>COUNTIFS('13BBM'!C:C,"Voluntario",'13BBM'!K:K,"Não",'13BBM'!AH:AH,"36")</f>
        <v>0</v>
      </c>
      <c r="G66" s="216">
        <f>COUNTIFS('13BBM'!C:C,"Voluntario",'13BBM'!K:K,"Não",'13BBM'!AH:AH,"37")</f>
        <v>0</v>
      </c>
      <c r="H66" s="216">
        <f>COUNTIFS('13BBM'!C:C,"Voluntario",'13BBM'!K:K,"Não",'13BBM'!AH:AH,"38")</f>
        <v>0</v>
      </c>
      <c r="I66" s="216">
        <f>COUNTIFS('13BBM'!C:C,"Voluntario",'13BBM'!K:K,"Não",'13BBM'!AH:AH,"39")</f>
        <v>0</v>
      </c>
      <c r="J66" s="216">
        <f t="shared" si="5"/>
        <v>0</v>
      </c>
      <c r="K66" s="155"/>
      <c r="L66" s="145"/>
      <c r="M66" s="145"/>
    </row>
    <row r="67" ht="15.75" spans="1:13">
      <c r="A67" s="155"/>
      <c r="B67" s="192"/>
      <c r="C67" s="217" t="s">
        <v>403</v>
      </c>
      <c r="D67" s="217" t="e">
        <f t="shared" ref="D67:J67" si="6">SUM(D55:D66)</f>
        <v>#REF!</v>
      </c>
      <c r="E67" s="217" t="e">
        <f t="shared" si="6"/>
        <v>#REF!</v>
      </c>
      <c r="F67" s="217" t="e">
        <f t="shared" si="6"/>
        <v>#REF!</v>
      </c>
      <c r="G67" s="217" t="e">
        <f t="shared" si="6"/>
        <v>#REF!</v>
      </c>
      <c r="H67" s="217" t="e">
        <f t="shared" si="6"/>
        <v>#REF!</v>
      </c>
      <c r="I67" s="217" t="e">
        <f t="shared" si="6"/>
        <v>#REF!</v>
      </c>
      <c r="J67" s="217" t="e">
        <f t="shared" si="6"/>
        <v>#REF!</v>
      </c>
      <c r="K67" s="155"/>
      <c r="L67" s="145"/>
      <c r="M67" s="145"/>
    </row>
    <row r="68" ht="6.75" customHeight="1" spans="1:13">
      <c r="A68" s="155"/>
      <c r="B68" s="155"/>
      <c r="C68" s="155"/>
      <c r="D68" s="155"/>
      <c r="E68" s="155"/>
      <c r="F68" s="155"/>
      <c r="G68" s="155"/>
      <c r="H68" s="155"/>
      <c r="I68" s="155"/>
      <c r="J68" s="155"/>
      <c r="K68" s="155"/>
      <c r="L68" s="145"/>
      <c r="M68" s="145"/>
    </row>
    <row r="69" spans="1:13">
      <c r="A69" s="155"/>
      <c r="B69" s="211" t="s">
        <v>404</v>
      </c>
      <c r="C69" s="212" t="s">
        <v>394</v>
      </c>
      <c r="D69" s="212">
        <v>40</v>
      </c>
      <c r="E69" s="212">
        <v>41</v>
      </c>
      <c r="F69" s="212">
        <v>42</v>
      </c>
      <c r="G69" s="212">
        <v>43</v>
      </c>
      <c r="H69" s="212">
        <v>44</v>
      </c>
      <c r="I69" s="212">
        <v>45</v>
      </c>
      <c r="J69" s="212" t="s">
        <v>388</v>
      </c>
      <c r="K69" s="155"/>
      <c r="L69" s="145"/>
      <c r="M69" s="145"/>
    </row>
    <row r="70" spans="1:13">
      <c r="A70" s="155"/>
      <c r="B70" s="189"/>
      <c r="C70" s="213" t="s">
        <v>376</v>
      </c>
      <c r="D70" s="214">
        <f>COUNTIFS('2BBM'!C:C,"Voluntario",'2BBM'!K:K,"Não",'2BBM'!AH:AH,"40")</f>
        <v>0</v>
      </c>
      <c r="E70" s="214">
        <f>COUNTIFS('2BBM'!C:C,"Voluntario",'2BBM'!K:K,"Não",'2BBM'!AH:AH,"41")</f>
        <v>0</v>
      </c>
      <c r="F70" s="214">
        <f>COUNTIFS('2BBM'!C:C,"Voluntario",'2BBM'!K:K,"Não",'2BBM'!AH:AH,"42")</f>
        <v>0</v>
      </c>
      <c r="G70" s="214">
        <f>COUNTIFS('2BBM'!C:C,"Voluntario",'2BBM'!K:K,"Não",'2BBM'!AH:AH,"43")</f>
        <v>0</v>
      </c>
      <c r="H70" s="214">
        <f>COUNTIFS('2BBM'!C:C,"Voluntario",'2BBM'!K:K,"Não",'2BBM'!AH:AH,"44")</f>
        <v>0</v>
      </c>
      <c r="I70" s="214">
        <f>COUNTIFS('2BBM'!C:C,"Voluntario",'2BBM'!K:K,"Não",'2BBM'!AH:AH,"45")</f>
        <v>0</v>
      </c>
      <c r="J70" s="214">
        <f t="shared" ref="J70:J81" si="7">SUM(D70:G70)</f>
        <v>0</v>
      </c>
      <c r="K70" s="155"/>
      <c r="L70" s="145"/>
      <c r="M70" s="145"/>
    </row>
    <row r="71" spans="1:13">
      <c r="A71" s="155"/>
      <c r="B71" s="189"/>
      <c r="C71" s="215" t="s">
        <v>377</v>
      </c>
      <c r="D71" s="216">
        <f>COUNTIFS('3BBM'!C:C,"Voluntario",'3BBM'!K:K,"Não",'3BBM'!AH:AH,"40")</f>
        <v>0</v>
      </c>
      <c r="E71" s="216">
        <f>COUNTIFS('3BBM'!C:C,"Voluntario",'3BBM'!K:K,"Não",'3BBM'!AH:AH,"41")</f>
        <v>0</v>
      </c>
      <c r="F71" s="216">
        <f>COUNTIFS('3BBM'!C:C,"Voluntario",'3BBM'!K:K,"Não",'3BBM'!AH:AH,"42")</f>
        <v>0</v>
      </c>
      <c r="G71" s="216">
        <f>COUNTIFS('3BBM'!C:C,"Voluntario",'3BBM'!K:K,"Não",'3BBM'!AH:AH,"43")</f>
        <v>0</v>
      </c>
      <c r="H71" s="216">
        <f>COUNTIFS('3BBM'!C:C,"Voluntario",'3BBM'!K:K,"Não",'3BBM'!AH:AH,"44")</f>
        <v>0</v>
      </c>
      <c r="I71" s="216">
        <f>COUNTIFS('3BBM'!C:C,"Voluntario",'3BBM'!K:K,"Não",'3BBM'!AH:AH,"45")</f>
        <v>0</v>
      </c>
      <c r="J71" s="216">
        <f t="shared" si="7"/>
        <v>0</v>
      </c>
      <c r="K71" s="155"/>
      <c r="L71" s="145"/>
      <c r="M71" s="145"/>
    </row>
    <row r="72" spans="1:13">
      <c r="A72" s="155"/>
      <c r="B72" s="189"/>
      <c r="C72" s="213" t="s">
        <v>378</v>
      </c>
      <c r="D72" s="214" t="e">
        <f>COUNTIFS(#REF!,"Voluntario",#REF!,"Não",#REF!,"40")</f>
        <v>#REF!</v>
      </c>
      <c r="E72" s="214" t="e">
        <f>COUNTIFS(#REF!,"Voluntario",#REF!,"Não",#REF!,"41")</f>
        <v>#REF!</v>
      </c>
      <c r="F72" s="214" t="e">
        <f>COUNTIFS(#REF!,"Voluntario",#REF!,"Não",#REF!,"42")</f>
        <v>#REF!</v>
      </c>
      <c r="G72" s="214" t="e">
        <f>COUNTIFS(#REF!,"Voluntario",#REF!,"Não",#REF!,"43")</f>
        <v>#REF!</v>
      </c>
      <c r="H72" s="214" t="e">
        <f>COUNTIFS(#REF!,"Voluntario",#REF!,"Não",#REF!,"44")</f>
        <v>#REF!</v>
      </c>
      <c r="I72" s="214" t="e">
        <f>COUNTIFS(#REF!,"Voluntario",#REF!,"Não",#REF!,"45")</f>
        <v>#REF!</v>
      </c>
      <c r="J72" s="214" t="e">
        <f t="shared" si="7"/>
        <v>#REF!</v>
      </c>
      <c r="K72" s="155"/>
      <c r="L72" s="145"/>
      <c r="M72" s="145"/>
    </row>
    <row r="73" spans="1:13">
      <c r="A73" s="155"/>
      <c r="B73" s="189"/>
      <c r="C73" s="215" t="s">
        <v>379</v>
      </c>
      <c r="D73" s="216">
        <f>COUNTIFS('5BBM'!C:C,"Voluntario",'5BBM'!K:K,"Não",'5BBM'!AH:AH,"40")</f>
        <v>0</v>
      </c>
      <c r="E73" s="216">
        <f>COUNTIFS('5BBM'!C:C,"Voluntario",'5BBM'!K:K,"Não",'5BBM'!AH:AH,"41")</f>
        <v>0</v>
      </c>
      <c r="F73" s="216">
        <f>COUNTIFS('5BBM'!C:C,"Voluntario",'5BBM'!K:K,"Não",'5BBM'!AH:AH,"42")</f>
        <v>0</v>
      </c>
      <c r="G73" s="216">
        <f>COUNTIFS('5BBM'!C:C,"Voluntario",'5BBM'!K:K,"Não",'5BBM'!AH:AH,"43")</f>
        <v>0</v>
      </c>
      <c r="H73" s="216">
        <f>COUNTIFS('5BBM'!C:C,"Voluntario",'5BBM'!K:K,"Não",'5BBM'!AH:AH,"44")</f>
        <v>0</v>
      </c>
      <c r="I73" s="216">
        <f>COUNTIFS('5BBM'!C:C,"Voluntario",'5BBM'!K:K,"Não",'5BBM'!AH:AH,"45")</f>
        <v>0</v>
      </c>
      <c r="J73" s="216">
        <f t="shared" si="7"/>
        <v>0</v>
      </c>
      <c r="K73" s="155"/>
      <c r="L73" s="145"/>
      <c r="M73" s="145"/>
    </row>
    <row r="74" spans="1:13">
      <c r="A74" s="155"/>
      <c r="B74" s="189"/>
      <c r="C74" s="213" t="s">
        <v>380</v>
      </c>
      <c r="D74" s="214" t="e">
        <f>COUNTIFS(#REF!,"Voluntario",#REF!,"Não",#REF!,"40")</f>
        <v>#REF!</v>
      </c>
      <c r="E74" s="214" t="e">
        <f>COUNTIFS(#REF!,"Voluntario",#REF!,"Não",#REF!,"41")</f>
        <v>#REF!</v>
      </c>
      <c r="F74" s="214" t="e">
        <f>COUNTIFS(#REF!,"Voluntario",#REF!,"Não",#REF!,"42")</f>
        <v>#REF!</v>
      </c>
      <c r="G74" s="214" t="e">
        <f>COUNTIFS(#REF!,"Voluntario",#REF!,"Não",#REF!,"43")</f>
        <v>#REF!</v>
      </c>
      <c r="H74" s="214" t="e">
        <f>COUNTIFS(#REF!,"Voluntario",#REF!,"Não",#REF!,"44")</f>
        <v>#REF!</v>
      </c>
      <c r="I74" s="214" t="e">
        <f>COUNTIFS(#REF!,"Voluntario",#REF!,"Não",#REF!,"45")</f>
        <v>#REF!</v>
      </c>
      <c r="J74" s="214" t="e">
        <f t="shared" si="7"/>
        <v>#REF!</v>
      </c>
      <c r="K74" s="155"/>
      <c r="L74" s="145"/>
      <c r="M74" s="145"/>
    </row>
    <row r="75" spans="1:13">
      <c r="A75" s="155"/>
      <c r="B75" s="189"/>
      <c r="C75" s="215" t="s">
        <v>381</v>
      </c>
      <c r="D75" s="216">
        <f>COUNTIFS('7BBM'!C:C,"Voluntario",'7BBM'!K:K,"Não",'7BBM'!AH:AH,"40")</f>
        <v>0</v>
      </c>
      <c r="E75" s="216">
        <f>COUNTIFS('7BBM'!C:C,"Voluntario",'7BBM'!K:K,"Não",'7BBM'!AH:AH,"41")</f>
        <v>0</v>
      </c>
      <c r="F75" s="216">
        <f>COUNTIFS('7BBM'!C:C,"Voluntario",'7BBM'!K:K,"Não",'7BBM'!AH:AH,"42")</f>
        <v>0</v>
      </c>
      <c r="G75" s="216">
        <f>COUNTIFS('7BBM'!C:C,"Voluntario",'7BBM'!K:K,"Não",'7BBM'!AH:AH,"43")</f>
        <v>0</v>
      </c>
      <c r="H75" s="216">
        <f>COUNTIFS('7BBM'!C:C,"Voluntario",'7BBM'!K:K,"Não",'7BBM'!AH:AH,"44")</f>
        <v>0</v>
      </c>
      <c r="I75" s="216">
        <f>COUNTIFS('7BBM'!C:C,"Voluntario",'7BBM'!K:K,"Não",'7BBM'!AH:AH,"45")</f>
        <v>0</v>
      </c>
      <c r="J75" s="216">
        <f t="shared" si="7"/>
        <v>0</v>
      </c>
      <c r="K75" s="155"/>
      <c r="L75" s="145"/>
      <c r="M75" s="145"/>
    </row>
    <row r="76" spans="1:13">
      <c r="A76" s="155"/>
      <c r="B76" s="189"/>
      <c r="C76" s="213" t="s">
        <v>382</v>
      </c>
      <c r="D76" s="214">
        <f>COUNTIFS('8BBM'!C:C,"Voluntario",'8BBM'!K:K,"Não",'8BBM'!AH:AH,"40")</f>
        <v>0</v>
      </c>
      <c r="E76" s="214">
        <f>COUNTIFS('8BBM'!C:C,"Voluntario",'8BBM'!K:K,"Não",'8BBM'!AH:AH,"41")</f>
        <v>0</v>
      </c>
      <c r="F76" s="214">
        <f>COUNTIFS('8BBM'!C:C,"Voluntario",'8BBM'!K:K,"Não",'8BBM'!AH:AH,"42")</f>
        <v>0</v>
      </c>
      <c r="G76" s="214">
        <f>COUNTIFS('8BBM'!C:C,"Voluntario",'8BBM'!K:K,"Não",'8BBM'!AH:AH,"43")</f>
        <v>0</v>
      </c>
      <c r="H76" s="214">
        <f>COUNTIFS('8BBM'!C:C,"Voluntario",'8BBM'!K:K,"Não",'8BBM'!AH:AH,"44")</f>
        <v>0</v>
      </c>
      <c r="I76" s="214">
        <f>COUNTIFS('8BBM'!C:C,"Voluntario",'8BBM'!K:K,"Não",'8BBM'!AH:AH,"45")</f>
        <v>0</v>
      </c>
      <c r="J76" s="214">
        <f t="shared" si="7"/>
        <v>0</v>
      </c>
      <c r="K76" s="155"/>
      <c r="L76" s="145"/>
      <c r="M76" s="145"/>
    </row>
    <row r="77" spans="1:13">
      <c r="A77" s="155"/>
      <c r="B77" s="189"/>
      <c r="C77" s="215" t="s">
        <v>383</v>
      </c>
      <c r="D77" s="216">
        <f>COUNTIFS('9BBM'!C:C,"Voluntario",'9BBM'!K:K,"Não",'9BBM'!AH:AH,"40")</f>
        <v>0</v>
      </c>
      <c r="E77" s="216">
        <f>COUNTIFS('9BBM'!C:C,"Voluntario",'9BBM'!K:K,"Não",'9BBM'!AH:AH,"41")</f>
        <v>0</v>
      </c>
      <c r="F77" s="216">
        <f>COUNTIFS('9BBM'!C:C,"Voluntario",'9BBM'!K:K,"Não",'9BBM'!AH:AH,"42")</f>
        <v>0</v>
      </c>
      <c r="G77" s="216">
        <f>COUNTIFS('9BBM'!C:C,"Voluntario",'9BBM'!K:K,"Não",'9BBM'!AH:AH,"43")</f>
        <v>0</v>
      </c>
      <c r="H77" s="216">
        <f>COUNTIFS('9BBM'!C:C,"Voluntario",'9BBM'!K:K,"Não",'9BBM'!AH:AH,"44")</f>
        <v>0</v>
      </c>
      <c r="I77" s="216">
        <f>COUNTIFS('9BBM'!C:C,"Voluntario",'9BBM'!K:K,"Não",'9BBM'!AH:AH,"45")</f>
        <v>0</v>
      </c>
      <c r="J77" s="216">
        <f t="shared" si="7"/>
        <v>0</v>
      </c>
      <c r="K77" s="155"/>
      <c r="L77" s="145"/>
      <c r="M77" s="145"/>
    </row>
    <row r="78" spans="1:13">
      <c r="A78" s="155"/>
      <c r="B78" s="189"/>
      <c r="C78" s="213" t="s">
        <v>384</v>
      </c>
      <c r="D78" s="214">
        <f>COUNTIFS('10BBM'!C:C,"Voluntario",'10BBM'!K:K,"Não",'10BBM'!AH:AH,"40")</f>
        <v>0</v>
      </c>
      <c r="E78" s="214">
        <f>COUNTIFS('10BBM'!C:C,"Voluntario",'10BBM'!K:K,"Não",'10BBM'!AH:AH,"41")</f>
        <v>0</v>
      </c>
      <c r="F78" s="214">
        <f>COUNTIFS('10BBM'!C:C,"Voluntario",'10BBM'!K:K,"Não",'10BBM'!AH:AH,"42")</f>
        <v>0</v>
      </c>
      <c r="G78" s="214">
        <f>COUNTIFS('10BBM'!C:C,"Voluntario",'10BBM'!K:K,"Não",'10BBM'!AH:AH,"43")</f>
        <v>0</v>
      </c>
      <c r="H78" s="214">
        <f>COUNTIFS('10BBM'!C:C,"Voluntario",'10BBM'!K:K,"Não",'10BBM'!AH:AH,"44")</f>
        <v>0</v>
      </c>
      <c r="I78" s="214">
        <f>COUNTIFS('10BBM'!C:C,"Voluntario",'10BBM'!K:K,"Não",'10BBM'!AH:AH,"45")</f>
        <v>0</v>
      </c>
      <c r="J78" s="214">
        <f t="shared" si="7"/>
        <v>0</v>
      </c>
      <c r="K78" s="155"/>
      <c r="L78" s="145"/>
      <c r="M78" s="145"/>
    </row>
    <row r="79" spans="1:13">
      <c r="A79" s="155"/>
      <c r="B79" s="189"/>
      <c r="C79" s="215" t="s">
        <v>385</v>
      </c>
      <c r="D79" s="216" t="e">
        <f>COUNTIFS('11BBM'!#REF!,"Voluntario",'11BBM'!#REF!,"Não",'11BBM'!#REF!,"40")</f>
        <v>#REF!</v>
      </c>
      <c r="E79" s="216" t="e">
        <f>COUNTIFS('11BBM'!#REF!,"Voluntario",'11BBM'!#REF!,"Não",'11BBM'!#REF!,"41")</f>
        <v>#REF!</v>
      </c>
      <c r="F79" s="216" t="e">
        <f>COUNTIFS('11BBM'!#REF!,"Voluntario",'11BBM'!#REF!,"Não",'11BBM'!#REF!,"42")</f>
        <v>#REF!</v>
      </c>
      <c r="G79" s="216" t="e">
        <f>COUNTIFS('11BBM'!#REF!,"Voluntario",'11BBM'!#REF!,"Não",'11BBM'!#REF!,"43")</f>
        <v>#REF!</v>
      </c>
      <c r="H79" s="216" t="e">
        <f>COUNTIFS('11BBM'!#REF!,"Voluntario",'11BBM'!#REF!,"Não",'11BBM'!#REF!,"44")</f>
        <v>#REF!</v>
      </c>
      <c r="I79" s="216" t="e">
        <f>COUNTIFS('11BBM'!#REF!,"Voluntario",'11BBM'!#REF!,"Não",'11BBM'!#REF!,"45")</f>
        <v>#REF!</v>
      </c>
      <c r="J79" s="216" t="e">
        <f t="shared" si="7"/>
        <v>#REF!</v>
      </c>
      <c r="K79" s="155"/>
      <c r="L79" s="145"/>
      <c r="M79" s="145"/>
    </row>
    <row r="80" spans="1:13">
      <c r="A80" s="155"/>
      <c r="B80" s="189"/>
      <c r="C80" s="213" t="s">
        <v>386</v>
      </c>
      <c r="D80" s="214" t="e">
        <f>COUNTIFS(#REF!,"Voluntario",#REF!,"Não",#REF!,"40")</f>
        <v>#REF!</v>
      </c>
      <c r="E80" s="214" t="e">
        <f>COUNTIFS(#REF!,"Voluntario",#REF!,"Não",#REF!,"41")</f>
        <v>#REF!</v>
      </c>
      <c r="F80" s="214" t="e">
        <f>COUNTIFS(#REF!,"Voluntario",#REF!,"Não",#REF!,"42")</f>
        <v>#REF!</v>
      </c>
      <c r="G80" s="214" t="e">
        <f>COUNTIFS(#REF!,"Voluntario",#REF!,"Não",#REF!,"43")</f>
        <v>#REF!</v>
      </c>
      <c r="H80" s="214" t="e">
        <f>COUNTIFS(#REF!,"Voluntario",#REF!,"Não",#REF!,"44")</f>
        <v>#REF!</v>
      </c>
      <c r="I80" s="214" t="e">
        <f>COUNTIFS(#REF!,"Voluntario",#REF!,"Não",#REF!,"45")</f>
        <v>#REF!</v>
      </c>
      <c r="J80" s="214" t="e">
        <f t="shared" si="7"/>
        <v>#REF!</v>
      </c>
      <c r="K80" s="155"/>
      <c r="L80" s="145"/>
      <c r="M80" s="145"/>
    </row>
    <row r="81" spans="1:13">
      <c r="A81" s="155"/>
      <c r="B81" s="189"/>
      <c r="C81" s="215" t="s">
        <v>387</v>
      </c>
      <c r="D81" s="216">
        <f>COUNTIFS('13BBM'!C:C,"Voluntario",'13BBM'!K:K,"Não",'13BBM'!AH:AH,"40")</f>
        <v>0</v>
      </c>
      <c r="E81" s="216">
        <f>COUNTIFS('13BBM'!C:C,"Voluntario",'13BBM'!K:K,"Não",'13BBM'!AH:AH,"41")</f>
        <v>0</v>
      </c>
      <c r="F81" s="216">
        <f>COUNTIFS('13BBM'!C:C,"Voluntario",'13BBM'!K:K,"Não",'13BBM'!AH:AH,"42")</f>
        <v>0</v>
      </c>
      <c r="G81" s="216">
        <f>COUNTIFS('13BBM'!C:C,"Voluntario",'13BBM'!K:K,"Não",'13BBM'!AH:AH,"43")</f>
        <v>0</v>
      </c>
      <c r="H81" s="216">
        <f>COUNTIFS('13BBM'!C:C,"Voluntario",'13BBM'!K:K,"Não",'13BBM'!AH:AH,"44")</f>
        <v>0</v>
      </c>
      <c r="I81" s="216">
        <f>COUNTIFS('13BBM'!C:C,"Voluntario",'13BBM'!K:K,"Não",'13BBM'!AH:AH,"45")</f>
        <v>0</v>
      </c>
      <c r="J81" s="216">
        <f t="shared" si="7"/>
        <v>0</v>
      </c>
      <c r="K81" s="155"/>
      <c r="L81" s="145"/>
      <c r="M81" s="145"/>
    </row>
    <row r="82" ht="15.75" spans="1:13">
      <c r="A82" s="155"/>
      <c r="B82" s="192"/>
      <c r="C82" s="217" t="s">
        <v>403</v>
      </c>
      <c r="D82" s="217" t="e">
        <f t="shared" ref="D82:J82" si="8">SUM(D70:D81)</f>
        <v>#REF!</v>
      </c>
      <c r="E82" s="217" t="e">
        <f t="shared" si="8"/>
        <v>#REF!</v>
      </c>
      <c r="F82" s="217" t="e">
        <f t="shared" si="8"/>
        <v>#REF!</v>
      </c>
      <c r="G82" s="217" t="e">
        <f t="shared" si="8"/>
        <v>#REF!</v>
      </c>
      <c r="H82" s="217" t="e">
        <f t="shared" si="8"/>
        <v>#REF!</v>
      </c>
      <c r="I82" s="217" t="e">
        <f t="shared" si="8"/>
        <v>#REF!</v>
      </c>
      <c r="J82" s="217" t="e">
        <f t="shared" si="8"/>
        <v>#REF!</v>
      </c>
      <c r="K82" s="155"/>
      <c r="L82" s="145"/>
      <c r="M82" s="145"/>
    </row>
    <row r="83" ht="6.75" customHeight="1" spans="1:13">
      <c r="A83" s="155"/>
      <c r="B83" s="155"/>
      <c r="C83" s="155"/>
      <c r="D83" s="155"/>
      <c r="E83" s="155"/>
      <c r="F83" s="155"/>
      <c r="G83" s="155"/>
      <c r="H83" s="155"/>
      <c r="I83" s="155"/>
      <c r="J83" s="155"/>
      <c r="K83" s="155"/>
      <c r="L83" s="145"/>
      <c r="M83" s="145"/>
    </row>
    <row r="84" spans="1:13">
      <c r="A84" s="155"/>
      <c r="B84" s="211" t="s">
        <v>404</v>
      </c>
      <c r="C84" s="212" t="s">
        <v>394</v>
      </c>
      <c r="D84" s="212">
        <v>46</v>
      </c>
      <c r="E84" s="212"/>
      <c r="F84" s="212"/>
      <c r="G84" s="212"/>
      <c r="H84" s="212"/>
      <c r="I84" s="212"/>
      <c r="J84" s="212" t="s">
        <v>388</v>
      </c>
      <c r="K84" s="155"/>
      <c r="L84" s="145"/>
      <c r="M84" s="145"/>
    </row>
    <row r="85" spans="1:13">
      <c r="A85" s="155"/>
      <c r="B85" s="189"/>
      <c r="C85" s="213" t="s">
        <v>376</v>
      </c>
      <c r="D85" s="214">
        <f>COUNTIFS('2BBM'!C:C,"Voluntario",'2BBM'!K:K,"Não",'2BBM'!AH:AH,"46")</f>
        <v>0</v>
      </c>
      <c r="E85" s="214"/>
      <c r="F85" s="214"/>
      <c r="G85" s="214"/>
      <c r="H85" s="214"/>
      <c r="I85" s="214"/>
      <c r="J85" s="214">
        <f t="shared" ref="J85:J96" si="9">SUM(D85:F85)</f>
        <v>0</v>
      </c>
      <c r="K85" s="155"/>
      <c r="L85" s="145"/>
      <c r="M85" s="145"/>
    </row>
    <row r="86" spans="1:13">
      <c r="A86" s="155"/>
      <c r="B86" s="189"/>
      <c r="C86" s="215" t="s">
        <v>377</v>
      </c>
      <c r="D86" s="216">
        <f>COUNTIFS('3BBM'!C:C,"Voluntario",'3BBM'!K:K,"Não",'3BBM'!AH:AH,"46")</f>
        <v>0</v>
      </c>
      <c r="E86" s="216"/>
      <c r="F86" s="216"/>
      <c r="G86" s="216"/>
      <c r="H86" s="216"/>
      <c r="I86" s="216"/>
      <c r="J86" s="216">
        <f t="shared" si="9"/>
        <v>0</v>
      </c>
      <c r="K86" s="155"/>
      <c r="L86" s="145"/>
      <c r="M86" s="145"/>
    </row>
    <row r="87" spans="1:13">
      <c r="A87" s="155"/>
      <c r="B87" s="189"/>
      <c r="C87" s="213" t="s">
        <v>378</v>
      </c>
      <c r="D87" s="214" t="e">
        <f>COUNTIFS(#REF!,"Voluntario",#REF!,"Não",#REF!,"46")</f>
        <v>#REF!</v>
      </c>
      <c r="E87" s="214"/>
      <c r="F87" s="214"/>
      <c r="G87" s="214"/>
      <c r="H87" s="214"/>
      <c r="I87" s="214"/>
      <c r="J87" s="214" t="e">
        <f t="shared" si="9"/>
        <v>#REF!</v>
      </c>
      <c r="K87" s="155"/>
      <c r="L87" s="145"/>
      <c r="M87" s="145"/>
    </row>
    <row r="88" spans="1:13">
      <c r="A88" s="155"/>
      <c r="B88" s="189"/>
      <c r="C88" s="215" t="s">
        <v>379</v>
      </c>
      <c r="D88" s="216">
        <f>COUNTIFS('5BBM'!C:C,"Voluntario",'5BBM'!K:K,"Não",'5BBM'!AH:AH,"46")</f>
        <v>0</v>
      </c>
      <c r="E88" s="216"/>
      <c r="F88" s="216"/>
      <c r="G88" s="216"/>
      <c r="H88" s="216"/>
      <c r="I88" s="216"/>
      <c r="J88" s="216">
        <f t="shared" si="9"/>
        <v>0</v>
      </c>
      <c r="K88" s="155"/>
      <c r="L88" s="145"/>
      <c r="M88" s="145"/>
    </row>
    <row r="89" spans="1:13">
      <c r="A89" s="155"/>
      <c r="B89" s="189"/>
      <c r="C89" s="213" t="s">
        <v>380</v>
      </c>
      <c r="D89" s="214" t="e">
        <f>COUNTIFS(#REF!,"Voluntario",#REF!,"Não",#REF!,"46")</f>
        <v>#REF!</v>
      </c>
      <c r="E89" s="214"/>
      <c r="F89" s="214"/>
      <c r="G89" s="214"/>
      <c r="H89" s="214"/>
      <c r="I89" s="214"/>
      <c r="J89" s="214" t="e">
        <f t="shared" si="9"/>
        <v>#REF!</v>
      </c>
      <c r="K89" s="155"/>
      <c r="L89" s="145"/>
      <c r="M89" s="145"/>
    </row>
    <row r="90" spans="1:13">
      <c r="A90" s="155"/>
      <c r="B90" s="189"/>
      <c r="C90" s="215" t="s">
        <v>381</v>
      </c>
      <c r="D90" s="216">
        <f>COUNTIFS('7BBM'!C:C,"Voluntario",'7BBM'!K:K,"Não",'7BBM'!AH:AH,"46")</f>
        <v>0</v>
      </c>
      <c r="E90" s="216"/>
      <c r="F90" s="216"/>
      <c r="G90" s="216"/>
      <c r="H90" s="216"/>
      <c r="I90" s="216"/>
      <c r="J90" s="216">
        <f t="shared" si="9"/>
        <v>0</v>
      </c>
      <c r="K90" s="155"/>
      <c r="L90" s="145"/>
      <c r="M90" s="145"/>
    </row>
    <row r="91" spans="1:13">
      <c r="A91" s="155"/>
      <c r="B91" s="189"/>
      <c r="C91" s="213" t="s">
        <v>382</v>
      </c>
      <c r="D91" s="214">
        <f>COUNTIFS('8BBM'!C:C,"Voluntario",'8BBM'!K:K,"Não",'8BBM'!AH:AH,"46")</f>
        <v>0</v>
      </c>
      <c r="E91" s="214"/>
      <c r="F91" s="214"/>
      <c r="G91" s="214"/>
      <c r="H91" s="214"/>
      <c r="I91" s="214"/>
      <c r="J91" s="214">
        <f t="shared" si="9"/>
        <v>0</v>
      </c>
      <c r="K91" s="155"/>
      <c r="L91" s="145"/>
      <c r="M91" s="145"/>
    </row>
    <row r="92" spans="1:13">
      <c r="A92" s="155"/>
      <c r="B92" s="189"/>
      <c r="C92" s="215" t="s">
        <v>383</v>
      </c>
      <c r="D92" s="216">
        <f>COUNTIFS('9BBM'!C:C,"Voluntario",'9BBM'!K:K,"Não",'9BBM'!AH:AH,"46")</f>
        <v>0</v>
      </c>
      <c r="E92" s="216"/>
      <c r="F92" s="216"/>
      <c r="G92" s="216"/>
      <c r="H92" s="216"/>
      <c r="I92" s="216"/>
      <c r="J92" s="216">
        <f t="shared" si="9"/>
        <v>0</v>
      </c>
      <c r="K92" s="155"/>
      <c r="L92" s="145"/>
      <c r="M92" s="145"/>
    </row>
    <row r="93" spans="1:13">
      <c r="A93" s="155"/>
      <c r="B93" s="189"/>
      <c r="C93" s="213" t="s">
        <v>384</v>
      </c>
      <c r="D93" s="214">
        <f>COUNTIFS('10BBM'!C:C,"Voluntario",'10BBM'!K:K,"Não",'10BBM'!AH:AH,"46")</f>
        <v>0</v>
      </c>
      <c r="E93" s="214"/>
      <c r="F93" s="214"/>
      <c r="G93" s="214"/>
      <c r="H93" s="214"/>
      <c r="I93" s="214"/>
      <c r="J93" s="214">
        <f t="shared" si="9"/>
        <v>0</v>
      </c>
      <c r="K93" s="155"/>
      <c r="L93" s="145"/>
      <c r="M93" s="145"/>
    </row>
    <row r="94" spans="1:13">
      <c r="A94" s="155"/>
      <c r="B94" s="189"/>
      <c r="C94" s="215" t="s">
        <v>385</v>
      </c>
      <c r="D94" s="216" t="e">
        <f>COUNTIFS('11BBM'!#REF!,"Voluntario",'11BBM'!#REF!,"Não",'11BBM'!#REF!,"46")</f>
        <v>#REF!</v>
      </c>
      <c r="E94" s="216"/>
      <c r="F94" s="216"/>
      <c r="G94" s="216"/>
      <c r="H94" s="216"/>
      <c r="I94" s="216"/>
      <c r="J94" s="216" t="e">
        <f t="shared" si="9"/>
        <v>#REF!</v>
      </c>
      <c r="K94" s="155"/>
      <c r="L94" s="145"/>
      <c r="M94" s="145"/>
    </row>
    <row r="95" spans="1:13">
      <c r="A95" s="155"/>
      <c r="B95" s="189"/>
      <c r="C95" s="213" t="s">
        <v>386</v>
      </c>
      <c r="D95" s="214" t="e">
        <f>COUNTIFS(#REF!,"Voluntario",#REF!,"Não",#REF!,"46")</f>
        <v>#REF!</v>
      </c>
      <c r="E95" s="214"/>
      <c r="F95" s="214"/>
      <c r="G95" s="214"/>
      <c r="H95" s="214"/>
      <c r="I95" s="214"/>
      <c r="J95" s="214" t="e">
        <f t="shared" si="9"/>
        <v>#REF!</v>
      </c>
      <c r="K95" s="155"/>
      <c r="L95" s="145"/>
      <c r="M95" s="145"/>
    </row>
    <row r="96" spans="1:13">
      <c r="A96" s="155"/>
      <c r="B96" s="189"/>
      <c r="C96" s="215" t="s">
        <v>387</v>
      </c>
      <c r="D96" s="216">
        <f>COUNTIFS('13BBM'!C:C,"Voluntario",'13BBM'!K:K,"Não",'13BBM'!AH:AH,"46")</f>
        <v>0</v>
      </c>
      <c r="E96" s="216"/>
      <c r="F96" s="216"/>
      <c r="G96" s="216"/>
      <c r="H96" s="216"/>
      <c r="I96" s="216"/>
      <c r="J96" s="216">
        <f t="shared" si="9"/>
        <v>0</v>
      </c>
      <c r="K96" s="155"/>
      <c r="L96" s="145"/>
      <c r="M96" s="145"/>
    </row>
    <row r="97" ht="15.75" spans="1:13">
      <c r="A97" s="155"/>
      <c r="B97" s="192"/>
      <c r="C97" s="217" t="s">
        <v>403</v>
      </c>
      <c r="D97" s="217" t="e">
        <f>SUM(D85:D96)</f>
        <v>#REF!</v>
      </c>
      <c r="E97" s="217"/>
      <c r="F97" s="217"/>
      <c r="G97" s="217"/>
      <c r="H97" s="217"/>
      <c r="I97" s="217"/>
      <c r="J97" s="217" t="e">
        <f>SUM(J85:J96)</f>
        <v>#REF!</v>
      </c>
      <c r="K97" s="155"/>
      <c r="L97" s="145"/>
      <c r="M97" s="145"/>
    </row>
    <row r="98" ht="6.75" customHeight="1" spans="1:13">
      <c r="A98" s="155"/>
      <c r="B98" s="155"/>
      <c r="C98" s="155"/>
      <c r="D98" s="155"/>
      <c r="E98" s="155"/>
      <c r="F98" s="155"/>
      <c r="G98" s="155"/>
      <c r="H98" s="155"/>
      <c r="I98" s="155"/>
      <c r="J98" s="155"/>
      <c r="K98" s="155"/>
      <c r="L98" s="145"/>
      <c r="M98" s="145"/>
    </row>
    <row r="99" ht="15.75" spans="1:13">
      <c r="A99" s="155"/>
      <c r="B99" s="155"/>
      <c r="C99" s="224" t="s">
        <v>405</v>
      </c>
      <c r="D99" s="225"/>
      <c r="E99" s="226"/>
      <c r="F99" s="155"/>
      <c r="G99" s="155"/>
      <c r="H99" s="155"/>
      <c r="I99" s="155"/>
      <c r="J99" s="155"/>
      <c r="K99" s="155"/>
      <c r="L99" s="145"/>
      <c r="M99" s="145"/>
    </row>
    <row r="100" ht="15.75" spans="1:13">
      <c r="A100" s="155"/>
      <c r="B100" s="155"/>
      <c r="C100" s="227" t="s">
        <v>395</v>
      </c>
      <c r="D100" s="228" t="e">
        <f>SUM(COUNTIF('2BBM'!$AL:$AL,"=P"),COUNTIF('3BBM'!$AL:$AL,"=P"),COUNTIF(#REF!,"=P"),COUNTIF('5BBM'!$AL:$AL,"=P"),COUNTIF(#REF!,"=P"),COUNTIF('7BBM'!$AL:$AL,"=P"),COUNTIF('8BBM'!$AL:$AL,"=P"),COUNTIF('9BBM'!$AL:$AL,"=P"),COUNTIF('10BBM'!$AL:$AL,"=P"),COUNTIF('11BBM'!#REF!,"=P"),COUNTIF(#REF!,"=P"),COUNTIF('13BBM'!$AL:$AL,"=P"))</f>
        <v>#REF!</v>
      </c>
      <c r="E100" s="229" t="e">
        <f>D100/(D100+D101+D102+D103+D104)</f>
        <v>#REF!</v>
      </c>
      <c r="F100" s="155"/>
      <c r="G100" s="155"/>
      <c r="H100" s="155"/>
      <c r="I100" s="155"/>
      <c r="J100" s="155"/>
      <c r="K100" s="155"/>
      <c r="L100" s="145"/>
      <c r="M100" s="145"/>
    </row>
    <row r="101" ht="15.75" spans="1:13">
      <c r="A101" s="155"/>
      <c r="B101" s="155"/>
      <c r="C101" s="227" t="s">
        <v>396</v>
      </c>
      <c r="D101" s="228" t="e">
        <f>SUM(COUNTIF('2BBM'!$AL:$AL,"=M"),COUNTIF('3BBM'!$AL:$AL,"=M"),COUNTIF(#REF!,"=M"),COUNTIF('5BBM'!$AL:$AL,"=M"),COUNTIF(#REF!,"=M"),COUNTIF('7BBM'!$AL:$AL,"=M"),COUNTIF('8BBM'!$AL:$AL,"=M"),COUNTIF('9BBM'!$AL:$AL,"=M"),COUNTIF('10BBM'!$AL:$AL,"=M"),COUNTIF('11BBM'!#REF!,"=M"),COUNTIF(#REF!,"=M"),COUNTIF('13BBM'!$AL:$AL,"=M"))</f>
        <v>#REF!</v>
      </c>
      <c r="E101" s="229" t="e">
        <f>D101/(D100+D101+D102+D103+D104)</f>
        <v>#REF!</v>
      </c>
      <c r="F101" s="155"/>
      <c r="G101" s="155"/>
      <c r="H101" s="155"/>
      <c r="I101" s="155"/>
      <c r="J101" s="155"/>
      <c r="K101" s="155"/>
      <c r="L101" s="145"/>
      <c r="M101" s="145"/>
    </row>
    <row r="102" ht="15.75" spans="1:13">
      <c r="A102" s="155"/>
      <c r="B102" s="155"/>
      <c r="C102" s="227" t="s">
        <v>406</v>
      </c>
      <c r="D102" s="228" t="e">
        <f>SUM(COUNTIF('2BBM'!$AL:$AL,"=G"),COUNTIF('3BBM'!$AL:$AL,"=G"),COUNTIF(#REF!,"=G"),COUNTIF('5BBM'!$AL:$AL,"=G"),COUNTIF(#REF!,"=G"),COUNTIF('7BBM'!$AL:$AL,"=G"),COUNTIF('8BBM'!$AL:$AL,"=G"),COUNTIF('9BBM'!$AL:$AL,"=G"),COUNTIF('10BBM'!$AL:$AL,"=G"),COUNTIF('11BBM'!#REF!,"=G"),COUNTIF(#REF!,"=G"),COUNTIF('13BBM'!$AL:$AL,"=G"))</f>
        <v>#REF!</v>
      </c>
      <c r="E102" s="229" t="e">
        <f>D102/(D100+D101+D102+D103+D104)</f>
        <v>#REF!</v>
      </c>
      <c r="F102" s="155"/>
      <c r="G102" s="155"/>
      <c r="H102" s="155"/>
      <c r="I102" s="155"/>
      <c r="J102" s="155"/>
      <c r="K102" s="155"/>
      <c r="L102" s="145"/>
      <c r="M102" s="145"/>
    </row>
    <row r="103" ht="15.75" spans="1:13">
      <c r="A103" s="155"/>
      <c r="B103" s="155"/>
      <c r="C103" s="227" t="s">
        <v>398</v>
      </c>
      <c r="D103" s="228" t="e">
        <f>SUM(COUNTIF('2BBM'!$AL:$AL,"=GG"),COUNTIF('3BBM'!$AL:$AL,"=GG"),COUNTIF(#REF!,"=GG"),COUNTIF('5BBM'!$AL:$AL,"=GG"),COUNTIF(#REF!,"=GG"),COUNTIF('7BBM'!$AL:$AL,"=GG"),COUNTIF('8BBM'!$AL:$AL,"=GG"),COUNTIF('9BBM'!$AL:$AL,"=GG"),COUNTIF('10BBM'!$AL:$AL,"=GG"),COUNTIF('11BBM'!#REF!,"=GG"),COUNTIF(#REF!,"=GG"),COUNTIF('13BBM'!$AL:$AL,"=GG"))</f>
        <v>#REF!</v>
      </c>
      <c r="E103" s="229" t="e">
        <f>D103/(D100+D101+D102+D103+D104)</f>
        <v>#REF!</v>
      </c>
      <c r="F103" s="155"/>
      <c r="G103" s="155"/>
      <c r="H103" s="155"/>
      <c r="I103" s="155"/>
      <c r="J103" s="155"/>
      <c r="K103" s="155"/>
      <c r="L103" s="145"/>
      <c r="M103" s="145"/>
    </row>
    <row r="104" ht="15.75" spans="1:13">
      <c r="A104" s="155"/>
      <c r="B104" s="155"/>
      <c r="C104" s="227" t="s">
        <v>399</v>
      </c>
      <c r="D104" s="228" t="e">
        <f>SUM(COUNTIF('2BBM'!$AL:$AL,"=EXG"),COUNTIF('3BBM'!$AL:$AL,"=EXG"),COUNTIF(#REF!,"=EXG"),COUNTIF('5BBM'!$AL:$AL,"=EXG"),COUNTIF(#REF!,"=EXG"),COUNTIF('7BBM'!$AL:$AL,"=EXG"),COUNTIF('8BBM'!$AL:$AL,"=EXG"),COUNTIF('9BBM'!$AL:$AL,"=EXG"),COUNTIF('10BBM'!$AL:$AL,"=EXG"),COUNTIF('11BBM'!#REF!,"=EXG"),COUNTIF(#REF!,"=EXG"),COUNTIF('13BBM'!$AL:$AL,"=EXG"))</f>
        <v>#REF!</v>
      </c>
      <c r="E104" s="229" t="e">
        <f>D104/(D100+D101+D102+D103+D104)</f>
        <v>#REF!</v>
      </c>
      <c r="F104" s="155"/>
      <c r="G104" s="155"/>
      <c r="H104" s="155"/>
      <c r="I104" s="155"/>
      <c r="J104" s="155"/>
      <c r="K104" s="155"/>
      <c r="L104" s="145"/>
      <c r="M104" s="145"/>
    </row>
    <row r="105" ht="15.75" spans="1:13">
      <c r="A105" s="155"/>
      <c r="B105" s="230" t="s">
        <v>407</v>
      </c>
      <c r="D105" s="231" t="e">
        <f>SUM(D100:D104)</f>
        <v>#REF!</v>
      </c>
      <c r="E105" s="232"/>
      <c r="F105" s="155"/>
      <c r="G105" s="155"/>
      <c r="H105" s="155"/>
      <c r="I105" s="155"/>
      <c r="J105" s="155"/>
      <c r="K105" s="155"/>
      <c r="L105" s="145"/>
      <c r="M105" s="145"/>
    </row>
    <row r="106" ht="6.75" customHeight="1" spans="1:13">
      <c r="A106" s="155"/>
      <c r="B106" s="155"/>
      <c r="C106" s="155"/>
      <c r="D106" s="155"/>
      <c r="E106" s="155"/>
      <c r="F106" s="155"/>
      <c r="G106" s="155"/>
      <c r="H106" s="155"/>
      <c r="I106" s="155"/>
      <c r="J106" s="155"/>
      <c r="K106" s="155"/>
      <c r="L106" s="145"/>
      <c r="M106" s="145"/>
    </row>
    <row r="107" hidden="1" spans="1:13">
      <c r="A107" s="155"/>
      <c r="B107" s="155"/>
      <c r="C107" s="155"/>
      <c r="D107" s="155"/>
      <c r="E107" s="155"/>
      <c r="F107" s="155"/>
      <c r="G107" s="155"/>
      <c r="H107" s="155"/>
      <c r="I107" s="155"/>
      <c r="J107" s="155"/>
      <c r="K107" s="155"/>
      <c r="L107" s="145"/>
      <c r="M107" s="145"/>
    </row>
    <row r="108" hidden="1" spans="1:13">
      <c r="A108" s="155"/>
      <c r="B108" s="155"/>
      <c r="C108" s="155"/>
      <c r="D108" s="155"/>
      <c r="E108" s="155"/>
      <c r="F108" s="155"/>
      <c r="G108" s="155"/>
      <c r="H108" s="155"/>
      <c r="I108" s="155"/>
      <c r="J108" s="155"/>
      <c r="K108" s="155"/>
      <c r="L108" s="145"/>
      <c r="M108" s="145"/>
    </row>
  </sheetData>
  <mergeCells count="24">
    <mergeCell ref="C8:D8"/>
    <mergeCell ref="E8:F8"/>
    <mergeCell ref="G8:H8"/>
    <mergeCell ref="I8:J8"/>
    <mergeCell ref="C21:D21"/>
    <mergeCell ref="E21:F21"/>
    <mergeCell ref="G21:H21"/>
    <mergeCell ref="I21:J21"/>
    <mergeCell ref="B22:J22"/>
    <mergeCell ref="C23:D23"/>
    <mergeCell ref="E23:F23"/>
    <mergeCell ref="G23:H23"/>
    <mergeCell ref="I23:J23"/>
    <mergeCell ref="C36:D36"/>
    <mergeCell ref="E36:F36"/>
    <mergeCell ref="G36:H36"/>
    <mergeCell ref="I36:J36"/>
    <mergeCell ref="C99:E99"/>
    <mergeCell ref="B105:C105"/>
    <mergeCell ref="B38:B51"/>
    <mergeCell ref="B54:B67"/>
    <mergeCell ref="B69:B82"/>
    <mergeCell ref="B84:B97"/>
    <mergeCell ref="B2:J6"/>
  </mergeCells>
  <conditionalFormatting sqref="D100:D104">
    <cfRule type="colorScale" priority="1">
      <colorScale>
        <cfvo type="min"/>
        <cfvo type="max"/>
        <color rgb="FFFFFFFF"/>
        <color rgb="FFE67C73"/>
      </colorScale>
    </cfRule>
  </conditionalFormatting>
  <conditionalFormatting sqref="J39:J50">
    <cfRule type="cellIs" dxfId="0" priority="2" operator="greaterThan">
      <formula>0</formula>
    </cfRule>
  </conditionalFormatting>
  <printOptions horizontalCentered="1" verticalCentered="1" gridLines="1"/>
  <pageMargins left="0.7" right="0.7" top="0.75" bottom="0.75" header="0" footer="0"/>
  <pageSetup paperSize="8" pageOrder="overThenDown" orientation="portrait" cellComments="atEnd"/>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outlinePr summaryBelow="0" summaryRight="0"/>
    <pageSetUpPr fitToPage="1"/>
  </sheetPr>
  <dimension ref="A1:F66"/>
  <sheetViews>
    <sheetView showGridLines="0" workbookViewId="0">
      <selection activeCell="A1" sqref="A1:F1"/>
    </sheetView>
  </sheetViews>
  <sheetFormatPr defaultColWidth="14.4380952380952" defaultRowHeight="15" customHeight="1" outlineLevelCol="5"/>
  <cols>
    <col min="1" max="1" width="54.552380952381" customWidth="1"/>
    <col min="2" max="6" width="41.1047619047619" customWidth="1"/>
  </cols>
  <sheetData>
    <row r="1" ht="36.75" customHeight="1" spans="1:1">
      <c r="A1" s="194" t="s">
        <v>408</v>
      </c>
    </row>
    <row r="2" ht="23.25" spans="1:6">
      <c r="A2" s="195"/>
      <c r="B2" s="196"/>
      <c r="C2" s="196"/>
      <c r="D2" s="196"/>
      <c r="E2" s="196"/>
      <c r="F2" s="195"/>
    </row>
    <row r="3" ht="23.25" spans="1:6">
      <c r="A3" s="197" t="s">
        <v>409</v>
      </c>
      <c r="B3" s="197" t="s">
        <v>410</v>
      </c>
      <c r="C3" s="197" t="s">
        <v>411</v>
      </c>
      <c r="D3" s="197" t="s">
        <v>412</v>
      </c>
      <c r="E3" s="197" t="s">
        <v>413</v>
      </c>
      <c r="F3" s="197" t="s">
        <v>414</v>
      </c>
    </row>
    <row r="4" ht="23.25" spans="1:6">
      <c r="A4" s="198" t="s">
        <v>415</v>
      </c>
      <c r="B4" s="199" t="str">
        <f t="array" ref="B4">_xlfn.XLOOKUP($A4,articul!$A:$A,articul!$C:$C)</f>
        <v>9º BBM</v>
      </c>
      <c r="C4" s="198" t="s">
        <v>416</v>
      </c>
      <c r="D4" s="200">
        <v>45628</v>
      </c>
      <c r="E4" s="200">
        <v>45953</v>
      </c>
      <c r="F4" s="199" t="s">
        <v>417</v>
      </c>
    </row>
    <row r="5" ht="23.25" spans="1:6">
      <c r="A5" s="198" t="s">
        <v>418</v>
      </c>
      <c r="B5" s="199" t="str">
        <f t="array" ref="B5">_xlfn.XLOOKUP($A5,articul!$A:$A,articul!$C:$C)</f>
        <v>13º BBM</v>
      </c>
      <c r="C5" s="198" t="s">
        <v>419</v>
      </c>
      <c r="D5" s="200">
        <v>45680</v>
      </c>
      <c r="E5" s="200">
        <v>45943</v>
      </c>
      <c r="F5" s="199" t="s">
        <v>420</v>
      </c>
    </row>
    <row r="6" ht="23.25" spans="1:6">
      <c r="A6" s="199" t="s">
        <v>421</v>
      </c>
      <c r="B6" s="199" t="str">
        <f t="array" ref="B6">_xlfn.XLOOKUP($A6,articul!$A:$A,articul!$C:$C)</f>
        <v>6º BBM</v>
      </c>
      <c r="C6" s="199" t="s">
        <v>422</v>
      </c>
      <c r="D6" s="201">
        <v>45607</v>
      </c>
      <c r="E6" s="200">
        <v>45993</v>
      </c>
      <c r="F6" s="199" t="s">
        <v>423</v>
      </c>
    </row>
    <row r="7" ht="23.25" spans="1:6">
      <c r="A7" s="199" t="s">
        <v>424</v>
      </c>
      <c r="B7" s="199" t="str">
        <f t="array" ref="B7">_xlfn.XLOOKUP($A7,articul!$A:$A,articul!$C:$C)</f>
        <v>12º BBM</v>
      </c>
      <c r="C7" s="199" t="s">
        <v>425</v>
      </c>
      <c r="D7" s="201">
        <v>45588</v>
      </c>
      <c r="E7" s="200">
        <v>45985</v>
      </c>
      <c r="F7" s="199" t="s">
        <v>426</v>
      </c>
    </row>
    <row r="8" ht="23.25" spans="1:6">
      <c r="A8" s="199" t="s">
        <v>427</v>
      </c>
      <c r="B8" s="199" t="str">
        <f t="array" ref="B8">_xlfn.XLOOKUP($A8,articul!$A:$A,articul!$C:$C)</f>
        <v>9º BBM</v>
      </c>
      <c r="C8" s="199" t="s">
        <v>428</v>
      </c>
      <c r="D8" s="200">
        <v>45350</v>
      </c>
      <c r="E8" s="200">
        <v>45979</v>
      </c>
      <c r="F8" s="199" t="s">
        <v>429</v>
      </c>
    </row>
    <row r="9" ht="23.25" spans="1:1">
      <c r="A9" s="196" t="s">
        <v>430</v>
      </c>
    </row>
    <row r="10" ht="23.25" spans="1:6">
      <c r="A10" s="195"/>
      <c r="B10" s="195"/>
      <c r="C10" s="195"/>
      <c r="D10" s="195"/>
      <c r="E10" s="195"/>
      <c r="F10" s="195"/>
    </row>
    <row r="11" ht="23.25" spans="1:6">
      <c r="A11" s="195"/>
      <c r="B11" s="195"/>
      <c r="C11" s="195"/>
      <c r="D11" s="195"/>
      <c r="E11" s="195"/>
      <c r="F11" s="195"/>
    </row>
    <row r="12" ht="23.25" spans="1:1">
      <c r="A12" s="202" t="s">
        <v>431</v>
      </c>
    </row>
    <row r="13" ht="23.25" spans="1:6">
      <c r="A13" s="195"/>
      <c r="B13" s="196"/>
      <c r="C13" s="196"/>
      <c r="D13" s="196"/>
      <c r="E13" s="196"/>
      <c r="F13" s="195"/>
    </row>
    <row r="14" ht="23.25" spans="1:6">
      <c r="A14" s="197" t="s">
        <v>409</v>
      </c>
      <c r="B14" s="197" t="s">
        <v>410</v>
      </c>
      <c r="C14" s="197" t="s">
        <v>411</v>
      </c>
      <c r="D14" s="197" t="s">
        <v>412</v>
      </c>
      <c r="E14" s="197" t="s">
        <v>413</v>
      </c>
      <c r="F14" s="197" t="s">
        <v>414</v>
      </c>
    </row>
    <row r="15" ht="23.25" spans="1:6">
      <c r="A15" s="203" t="s">
        <v>432</v>
      </c>
      <c r="B15" s="199" t="str">
        <f t="array" ref="B15">_xlfn.XLOOKUP($A15,articul!$A:$A,articul!$C:$C)</f>
        <v>11º BBM</v>
      </c>
      <c r="C15" s="199" t="s">
        <v>433</v>
      </c>
      <c r="D15" s="200">
        <v>45758</v>
      </c>
      <c r="E15" s="200">
        <v>45993</v>
      </c>
      <c r="F15" s="199" t="s">
        <v>434</v>
      </c>
    </row>
    <row r="16" ht="23.25" spans="1:6">
      <c r="A16" s="203" t="s">
        <v>435</v>
      </c>
      <c r="B16" s="199" t="str">
        <f t="array" ref="B16">_xlfn.XLOOKUP($A16,articul!$A:$A,articul!$C:$C)</f>
        <v>13º BBM</v>
      </c>
      <c r="C16" s="199" t="s">
        <v>436</v>
      </c>
      <c r="D16" s="200">
        <v>45786</v>
      </c>
      <c r="E16" s="200">
        <v>45974</v>
      </c>
      <c r="F16" s="199" t="s">
        <v>437</v>
      </c>
    </row>
    <row r="17" ht="23.25" spans="1:6">
      <c r="A17" s="199" t="s">
        <v>438</v>
      </c>
      <c r="B17" s="199" t="str">
        <f t="array" ref="B17">_xlfn.XLOOKUP($A17,articul!$A:$A,articul!$C:$C)</f>
        <v>10º BBM</v>
      </c>
      <c r="C17" s="199" t="s">
        <v>439</v>
      </c>
      <c r="D17" s="201">
        <v>45694</v>
      </c>
      <c r="E17" s="200">
        <v>45963</v>
      </c>
      <c r="F17" s="199" t="s">
        <v>437</v>
      </c>
    </row>
    <row r="18" ht="23.25" spans="1:6">
      <c r="A18" s="203" t="s">
        <v>440</v>
      </c>
      <c r="B18" s="199" t="str">
        <f t="array" ref="B18">_xlfn.XLOOKUP($A18,articul!$A:$A,articul!$C:$C)</f>
        <v>5º BBM</v>
      </c>
      <c r="C18" s="199" t="s">
        <v>441</v>
      </c>
      <c r="D18" s="201">
        <v>45749</v>
      </c>
      <c r="E18" s="200">
        <v>45932</v>
      </c>
      <c r="F18" s="199" t="s">
        <v>442</v>
      </c>
    </row>
    <row r="19" ht="23.25" spans="1:6">
      <c r="A19" s="199" t="s">
        <v>443</v>
      </c>
      <c r="B19" s="199" t="str">
        <f t="array" ref="B19">_xlfn.XLOOKUP($A19,articul!$A:$A,articul!$C:$C)</f>
        <v>2º BBM</v>
      </c>
      <c r="C19" s="199" t="s">
        <v>444</v>
      </c>
      <c r="D19" s="200">
        <v>45749</v>
      </c>
      <c r="E19" s="200">
        <v>45978</v>
      </c>
      <c r="F19" s="199" t="s">
        <v>445</v>
      </c>
    </row>
    <row r="20" ht="23.25" spans="1:6">
      <c r="A20" s="199" t="s">
        <v>446</v>
      </c>
      <c r="B20" s="199" t="str">
        <f t="array" ref="B20">_xlfn.XLOOKUP($A20,articul!$A:$A,articul!$C:$C)</f>
        <v>7º BBM</v>
      </c>
      <c r="C20" s="199" t="s">
        <v>447</v>
      </c>
      <c r="D20" s="200">
        <v>45622</v>
      </c>
      <c r="E20" s="200">
        <v>45993</v>
      </c>
      <c r="F20" s="199" t="s">
        <v>448</v>
      </c>
    </row>
    <row r="21" ht="23.25" spans="1:6">
      <c r="A21" s="199" t="s">
        <v>449</v>
      </c>
      <c r="B21" s="199" t="str">
        <f t="array" ref="B21">_xlfn.XLOOKUP($A21,articul!$A:$A,articul!$C:$C)</f>
        <v>5º BBM</v>
      </c>
      <c r="C21" s="199" t="s">
        <v>450</v>
      </c>
      <c r="D21" s="200">
        <v>45838</v>
      </c>
      <c r="E21" s="200">
        <v>45989</v>
      </c>
      <c r="F21" s="199" t="s">
        <v>442</v>
      </c>
    </row>
    <row r="22" ht="23.25" spans="1:6">
      <c r="A22" s="199" t="s">
        <v>451</v>
      </c>
      <c r="B22" s="199" t="str">
        <f t="array" ref="B22">_xlfn.XLOOKUP($A22,articul!$A:$A,articul!$C:$C)</f>
        <v>5º BBM</v>
      </c>
      <c r="C22" s="199" t="s">
        <v>452</v>
      </c>
      <c r="D22" s="200">
        <v>45680</v>
      </c>
      <c r="E22" s="200">
        <v>45992</v>
      </c>
      <c r="F22" s="199" t="s">
        <v>442</v>
      </c>
    </row>
    <row r="23" ht="23.25" spans="1:6">
      <c r="A23" s="199" t="s">
        <v>453</v>
      </c>
      <c r="B23" s="199" t="str">
        <f t="array" ref="B23">_xlfn.XLOOKUP($A23,articul!$A:$A,articul!$C:$C)</f>
        <v>8º BBM</v>
      </c>
      <c r="C23" s="199" t="s">
        <v>454</v>
      </c>
      <c r="D23" s="200">
        <v>44831</v>
      </c>
      <c r="E23" s="200">
        <v>44921</v>
      </c>
      <c r="F23" s="199" t="s">
        <v>455</v>
      </c>
    </row>
    <row r="24" ht="23.25" spans="1:6">
      <c r="A24" s="203" t="s">
        <v>456</v>
      </c>
      <c r="B24" s="199" t="str">
        <f t="array" ref="B24">_xlfn.XLOOKUP($A24,articul!$A:$A,articul!$C:$C)</f>
        <v>9º BBM</v>
      </c>
      <c r="C24" s="199" t="s">
        <v>457</v>
      </c>
      <c r="D24" s="200">
        <v>44701</v>
      </c>
      <c r="E24" s="200">
        <v>45993</v>
      </c>
      <c r="F24" s="199" t="s">
        <v>458</v>
      </c>
    </row>
    <row r="25" ht="23.25" spans="1:6">
      <c r="A25" s="199" t="s">
        <v>459</v>
      </c>
      <c r="B25" s="199" t="str">
        <f t="array" ref="B25">_xlfn.XLOOKUP($A25,articul!$A:$A,articul!$C:$C)</f>
        <v>5º BBM</v>
      </c>
      <c r="C25" s="199" t="s">
        <v>460</v>
      </c>
      <c r="D25" s="200">
        <v>45015</v>
      </c>
      <c r="E25" s="200">
        <v>45910</v>
      </c>
      <c r="F25" s="199" t="s">
        <v>442</v>
      </c>
    </row>
    <row r="26" ht="23.25" spans="1:6">
      <c r="A26" s="199" t="s">
        <v>461</v>
      </c>
      <c r="B26" s="199" t="str">
        <f t="array" ref="B26">_xlfn.XLOOKUP($A26,articul!$A:$A,articul!$C:$C)</f>
        <v>6º BBM</v>
      </c>
      <c r="C26" s="199" t="s">
        <v>462</v>
      </c>
      <c r="D26" s="200">
        <v>45327</v>
      </c>
      <c r="E26" s="200">
        <v>45989</v>
      </c>
      <c r="F26" s="199" t="s">
        <v>463</v>
      </c>
    </row>
    <row r="27" ht="23.25" spans="1:6">
      <c r="A27" s="199" t="s">
        <v>464</v>
      </c>
      <c r="B27" s="199" t="str">
        <f t="array" ref="B27">_xlfn.XLOOKUP($A27,articul!$A:$A,articul!$C:$C)</f>
        <v>3º BBM</v>
      </c>
      <c r="C27" s="199" t="s">
        <v>465</v>
      </c>
      <c r="D27" s="200">
        <v>44504</v>
      </c>
      <c r="E27" s="200">
        <v>45142</v>
      </c>
      <c r="F27" s="199" t="s">
        <v>466</v>
      </c>
    </row>
    <row r="28" ht="23.25" spans="1:6">
      <c r="A28" s="198" t="s">
        <v>467</v>
      </c>
      <c r="B28" s="199" t="str">
        <f t="array" ref="B28">_xlfn.XLOOKUP($A28,articul!$A:$A,articul!$C:$C)</f>
        <v>13º BBM</v>
      </c>
      <c r="C28" s="198" t="s">
        <v>468</v>
      </c>
      <c r="D28" s="200">
        <v>44900</v>
      </c>
      <c r="E28" s="200">
        <v>45943</v>
      </c>
      <c r="F28" s="199" t="s">
        <v>420</v>
      </c>
    </row>
    <row r="29" ht="23.25" spans="1:6">
      <c r="A29" s="199" t="s">
        <v>469</v>
      </c>
      <c r="B29" s="199" t="str">
        <f t="array" ref="B29">_xlfn.XLOOKUP($A29,articul!$A:$A,articul!$C:$C)</f>
        <v>7º BBM</v>
      </c>
      <c r="C29" s="199" t="s">
        <v>470</v>
      </c>
      <c r="D29" s="200">
        <v>45930</v>
      </c>
      <c r="E29" s="200">
        <v>45950</v>
      </c>
      <c r="F29" s="199" t="s">
        <v>471</v>
      </c>
    </row>
    <row r="30" ht="23.25" spans="1:1">
      <c r="A30" s="196" t="s">
        <v>472</v>
      </c>
    </row>
    <row r="31" ht="23.25" spans="1:6">
      <c r="A31" s="195"/>
      <c r="B31" s="195"/>
      <c r="C31" s="195"/>
      <c r="D31" s="195"/>
      <c r="E31" s="195"/>
      <c r="F31" s="195"/>
    </row>
    <row r="32" ht="23.25" spans="1:6">
      <c r="A32" s="195"/>
      <c r="B32" s="195"/>
      <c r="C32" s="195"/>
      <c r="D32" s="195"/>
      <c r="E32" s="195"/>
      <c r="F32" s="195"/>
    </row>
    <row r="33" ht="23.25" spans="1:1">
      <c r="A33" s="204" t="s">
        <v>473</v>
      </c>
    </row>
    <row r="34" ht="23.25" spans="1:6">
      <c r="A34" s="195"/>
      <c r="B34" s="196"/>
      <c r="C34" s="196"/>
      <c r="D34" s="196"/>
      <c r="E34" s="196"/>
      <c r="F34" s="195"/>
    </row>
    <row r="35" ht="23.25" spans="1:6">
      <c r="A35" s="197" t="s">
        <v>409</v>
      </c>
      <c r="B35" s="197" t="s">
        <v>410</v>
      </c>
      <c r="C35" s="197" t="s">
        <v>411</v>
      </c>
      <c r="D35" s="197" t="s">
        <v>412</v>
      </c>
      <c r="E35" s="197" t="s">
        <v>413</v>
      </c>
      <c r="F35" s="197" t="s">
        <v>414</v>
      </c>
    </row>
    <row r="36" ht="23.25" spans="1:6">
      <c r="A36" s="205" t="s">
        <v>474</v>
      </c>
      <c r="B36" s="205" t="s">
        <v>475</v>
      </c>
      <c r="C36" s="205" t="s">
        <v>476</v>
      </c>
      <c r="D36" s="206">
        <v>45754</v>
      </c>
      <c r="E36" s="200">
        <v>45854</v>
      </c>
      <c r="F36" s="199" t="s">
        <v>477</v>
      </c>
    </row>
    <row r="37" ht="23.25" spans="1:6">
      <c r="A37" s="199" t="s">
        <v>478</v>
      </c>
      <c r="B37" s="199" t="str">
        <f t="array" ref="B37">_xlfn.XLOOKUP($A37,articul!$A:$A,articul!$C:$C)</f>
        <v>6º BBM</v>
      </c>
      <c r="C37" s="199" t="s">
        <v>479</v>
      </c>
      <c r="D37" s="200">
        <v>45706</v>
      </c>
      <c r="E37" s="200">
        <v>45968</v>
      </c>
      <c r="F37" s="199" t="s">
        <v>463</v>
      </c>
    </row>
    <row r="38" ht="23.25" spans="1:6">
      <c r="A38" s="207" t="s">
        <v>480</v>
      </c>
      <c r="B38" s="205" t="s">
        <v>379</v>
      </c>
      <c r="C38" s="207" t="s">
        <v>481</v>
      </c>
      <c r="D38" s="206">
        <v>45572</v>
      </c>
      <c r="E38" s="200">
        <v>45908</v>
      </c>
      <c r="F38" s="199" t="s">
        <v>442</v>
      </c>
    </row>
    <row r="39" ht="23.25" spans="1:1">
      <c r="A39" s="196" t="s">
        <v>482</v>
      </c>
    </row>
    <row r="40" ht="23.25" spans="1:6">
      <c r="A40" s="196"/>
      <c r="B40" s="196"/>
      <c r="C40" s="196"/>
      <c r="D40" s="196"/>
      <c r="E40" s="196"/>
      <c r="F40" s="196"/>
    </row>
    <row r="41" ht="23.25" spans="1:6">
      <c r="A41" s="196"/>
      <c r="B41" s="196"/>
      <c r="C41" s="196"/>
      <c r="D41" s="196"/>
      <c r="E41" s="196"/>
      <c r="F41" s="196"/>
    </row>
    <row r="42" ht="36.75" customHeight="1" spans="1:1">
      <c r="A42" s="208" t="s">
        <v>483</v>
      </c>
    </row>
    <row r="43" ht="23.25" spans="1:6">
      <c r="A43" s="195"/>
      <c r="B43" s="196"/>
      <c r="C43" s="196"/>
      <c r="D43" s="196"/>
      <c r="E43" s="196"/>
      <c r="F43" s="195"/>
    </row>
    <row r="44" ht="23.25" spans="1:6">
      <c r="A44" s="197" t="s">
        <v>409</v>
      </c>
      <c r="B44" s="197" t="s">
        <v>410</v>
      </c>
      <c r="C44" s="197" t="s">
        <v>411</v>
      </c>
      <c r="D44" s="197" t="s">
        <v>412</v>
      </c>
      <c r="E44" s="197" t="s">
        <v>413</v>
      </c>
      <c r="F44" s="197" t="s">
        <v>414</v>
      </c>
    </row>
    <row r="45" ht="23.25" spans="1:6">
      <c r="A45" s="199" t="s">
        <v>484</v>
      </c>
      <c r="B45" s="199" t="str">
        <f t="array" ref="B45">_xlfn.XLOOKUP($A45,articul!$A:$A,articul!$C:$C)</f>
        <v>13º BBM</v>
      </c>
      <c r="C45" s="199" t="s">
        <v>485</v>
      </c>
      <c r="D45" s="200">
        <v>43257</v>
      </c>
      <c r="E45" s="200">
        <v>45985</v>
      </c>
      <c r="F45" s="199" t="s">
        <v>426</v>
      </c>
    </row>
    <row r="46" ht="23.25" spans="1:6">
      <c r="A46" s="199" t="s">
        <v>486</v>
      </c>
      <c r="B46" s="199" t="str">
        <f t="array" ref="B46">_xlfn.XLOOKUP($A46,articul!$A:$A,articul!$C:$C)</f>
        <v>13º BBM</v>
      </c>
      <c r="C46" s="199" t="s">
        <v>487</v>
      </c>
      <c r="D46" s="200">
        <v>45128</v>
      </c>
      <c r="E46" s="200">
        <v>45980</v>
      </c>
      <c r="F46" s="199" t="s">
        <v>448</v>
      </c>
    </row>
    <row r="47" ht="23.25" spans="1:1">
      <c r="A47" s="196" t="s">
        <v>430</v>
      </c>
    </row>
    <row r="48" ht="23.25" spans="1:6">
      <c r="A48" s="196"/>
      <c r="B48" s="196"/>
      <c r="C48" s="196"/>
      <c r="D48" s="196"/>
      <c r="E48" s="196"/>
      <c r="F48" s="196"/>
    </row>
    <row r="49" ht="23.25" spans="1:6">
      <c r="A49" s="196"/>
      <c r="B49" s="196"/>
      <c r="C49" s="196"/>
      <c r="D49" s="196"/>
      <c r="E49" s="196"/>
      <c r="F49" s="196"/>
    </row>
    <row r="50" ht="23.25" spans="1:6">
      <c r="A50" s="196"/>
      <c r="B50" s="196"/>
      <c r="C50" s="196"/>
      <c r="D50" s="196"/>
      <c r="E50" s="196"/>
      <c r="F50" s="196"/>
    </row>
    <row r="51" ht="23.25" spans="1:6">
      <c r="A51" s="196"/>
      <c r="B51" s="196"/>
      <c r="C51" s="196"/>
      <c r="D51" s="196"/>
      <c r="E51" s="196"/>
      <c r="F51" s="196"/>
    </row>
    <row r="52" ht="23.25" spans="1:6">
      <c r="A52" s="196"/>
      <c r="B52" s="196"/>
      <c r="C52" s="196"/>
      <c r="D52" s="196"/>
      <c r="E52" s="196"/>
      <c r="F52" s="196"/>
    </row>
    <row r="53" ht="23.25" spans="1:6">
      <c r="A53" s="196"/>
      <c r="B53" s="196"/>
      <c r="C53" s="196"/>
      <c r="D53" s="196"/>
      <c r="E53" s="196"/>
      <c r="F53" s="196"/>
    </row>
    <row r="54" ht="23.25" spans="1:6">
      <c r="A54" s="196"/>
      <c r="B54" s="196"/>
      <c r="C54" s="196"/>
      <c r="D54" s="196"/>
      <c r="E54" s="196"/>
      <c r="F54" s="196"/>
    </row>
    <row r="55" ht="23.25" spans="1:6">
      <c r="A55" s="196"/>
      <c r="B55" s="196"/>
      <c r="C55" s="196"/>
      <c r="D55" s="196"/>
      <c r="E55" s="196"/>
      <c r="F55" s="196"/>
    </row>
    <row r="56" ht="23.25" spans="1:6">
      <c r="A56" s="196"/>
      <c r="B56" s="196"/>
      <c r="C56" s="196"/>
      <c r="D56" s="196"/>
      <c r="E56" s="196"/>
      <c r="F56" s="196"/>
    </row>
    <row r="57" ht="23.25" spans="1:6">
      <c r="A57" s="196"/>
      <c r="B57" s="196"/>
      <c r="C57" s="196"/>
      <c r="D57" s="196"/>
      <c r="E57" s="196"/>
      <c r="F57" s="196"/>
    </row>
    <row r="58" ht="23.25" spans="1:6">
      <c r="A58" s="196"/>
      <c r="B58" s="196"/>
      <c r="C58" s="196"/>
      <c r="D58" s="196"/>
      <c r="E58" s="196"/>
      <c r="F58" s="196"/>
    </row>
    <row r="59" ht="23.25" spans="1:6">
      <c r="A59" s="196"/>
      <c r="B59" s="196"/>
      <c r="C59" s="196"/>
      <c r="D59" s="196"/>
      <c r="E59" s="196"/>
      <c r="F59" s="196"/>
    </row>
    <row r="60" ht="23.25" spans="1:6">
      <c r="A60" s="196"/>
      <c r="B60" s="196"/>
      <c r="C60" s="196"/>
      <c r="D60" s="196"/>
      <c r="E60" s="196"/>
      <c r="F60" s="196"/>
    </row>
    <row r="61" ht="23.25" spans="1:6">
      <c r="A61" s="196"/>
      <c r="B61" s="196"/>
      <c r="C61" s="196"/>
      <c r="D61" s="196"/>
      <c r="E61" s="196"/>
      <c r="F61" s="196"/>
    </row>
    <row r="62" ht="23.25" spans="1:6">
      <c r="A62" s="196"/>
      <c r="B62" s="196"/>
      <c r="C62" s="196"/>
      <c r="D62" s="196"/>
      <c r="E62" s="196"/>
      <c r="F62" s="196"/>
    </row>
    <row r="63" ht="23.25" spans="1:6">
      <c r="A63" s="196"/>
      <c r="B63" s="196"/>
      <c r="C63" s="196"/>
      <c r="D63" s="196"/>
      <c r="E63" s="196"/>
      <c r="F63" s="196"/>
    </row>
    <row r="64" ht="23.25" spans="1:6">
      <c r="A64" s="196"/>
      <c r="B64" s="196"/>
      <c r="C64" s="196"/>
      <c r="D64" s="196"/>
      <c r="E64" s="196"/>
      <c r="F64" s="196"/>
    </row>
    <row r="65" ht="23.25" spans="1:6">
      <c r="A65" s="196"/>
      <c r="B65" s="196"/>
      <c r="C65" s="196"/>
      <c r="D65" s="196"/>
      <c r="E65" s="196"/>
      <c r="F65" s="196"/>
    </row>
    <row r="66" ht="23.25" spans="1:6">
      <c r="A66" s="196"/>
      <c r="B66" s="196"/>
      <c r="C66" s="196"/>
      <c r="D66" s="196"/>
      <c r="E66" s="196"/>
      <c r="F66" s="196"/>
    </row>
  </sheetData>
  <mergeCells count="8">
    <mergeCell ref="A1:F1"/>
    <mergeCell ref="A9:F9"/>
    <mergeCell ref="A12:F12"/>
    <mergeCell ref="A30:F30"/>
    <mergeCell ref="A33:F33"/>
    <mergeCell ref="A39:F39"/>
    <mergeCell ref="A42:F42"/>
    <mergeCell ref="A47:F47"/>
  </mergeCells>
  <printOptions horizontalCentered="1"/>
  <pageMargins left="0.7" right="0.7" top="0.75" bottom="0.75" header="0" footer="0"/>
  <pageSetup paperSize="9" fitToHeight="0" pageOrder="overThenDown" orientation="landscape" cellComments="atEnd"/>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3C78D8"/>
    <outlinePr summaryBelow="0" summaryRight="0"/>
    <pageSetUpPr fitToPage="1"/>
  </sheetPr>
  <dimension ref="A1:G55"/>
  <sheetViews>
    <sheetView showGridLines="0" workbookViewId="0">
      <selection activeCell="A1" sqref="A1"/>
    </sheetView>
  </sheetViews>
  <sheetFormatPr defaultColWidth="14.4380952380952" defaultRowHeight="15" customHeight="1" outlineLevelCol="6"/>
  <cols>
    <col min="1" max="1" width="1" customWidth="1"/>
    <col min="2" max="2" width="15" customWidth="1"/>
    <col min="3" max="3" width="19.6666666666667" customWidth="1"/>
    <col min="4" max="4" width="37" customWidth="1"/>
    <col min="5" max="5" width="24.6666666666667" customWidth="1"/>
    <col min="6" max="6" width="28.8857142857143" customWidth="1"/>
    <col min="7" max="7" width="7.55238095238095" customWidth="1"/>
  </cols>
  <sheetData>
    <row r="1" ht="23.25" customHeight="1" spans="1:7">
      <c r="A1" s="155"/>
      <c r="B1" s="156"/>
      <c r="C1" s="157"/>
      <c r="D1" s="157"/>
      <c r="E1" s="157"/>
      <c r="F1" s="157"/>
      <c r="G1" s="157"/>
    </row>
    <row r="2" ht="23.25" customHeight="1" spans="1:7">
      <c r="A2" s="155"/>
      <c r="B2" s="158" t="s">
        <v>488</v>
      </c>
      <c r="C2" s="159"/>
      <c r="D2" s="159"/>
      <c r="E2" s="159"/>
      <c r="F2" s="160"/>
      <c r="G2" s="161"/>
    </row>
    <row r="3" ht="23.25" customHeight="1" spans="1:7">
      <c r="A3" s="155"/>
      <c r="B3" s="162"/>
      <c r="F3" s="163"/>
      <c r="G3" s="161"/>
    </row>
    <row r="4" ht="23.25" customHeight="1" spans="1:7">
      <c r="A4" s="155"/>
      <c r="B4" s="162"/>
      <c r="F4" s="163"/>
      <c r="G4" s="161"/>
    </row>
    <row r="5" ht="23.25" customHeight="1" spans="1:7">
      <c r="A5" s="155"/>
      <c r="B5" s="162"/>
      <c r="F5" s="163"/>
      <c r="G5" s="161"/>
    </row>
    <row r="6" ht="23.25" customHeight="1" spans="1:7">
      <c r="A6" s="155"/>
      <c r="B6" s="162"/>
      <c r="F6" s="163"/>
      <c r="G6" s="161"/>
    </row>
    <row r="7" ht="23.25" customHeight="1" spans="1:7">
      <c r="A7" s="155"/>
      <c r="B7" s="164"/>
      <c r="C7" s="165"/>
      <c r="D7" s="165"/>
      <c r="E7" s="165"/>
      <c r="F7" s="165"/>
      <c r="G7" s="166"/>
    </row>
    <row r="8" ht="23.25" hidden="1" customHeight="1" spans="1:7">
      <c r="A8" s="155"/>
      <c r="B8" s="167"/>
      <c r="C8" s="168" t="s">
        <v>372</v>
      </c>
      <c r="D8" s="160"/>
      <c r="E8" s="169" t="s">
        <v>373</v>
      </c>
      <c r="F8" s="160"/>
      <c r="G8" s="155"/>
    </row>
    <row r="9" ht="23.25" hidden="1" customHeight="1" spans="1:7">
      <c r="A9" s="155"/>
      <c r="B9" s="170"/>
      <c r="C9" s="171" t="s">
        <v>376</v>
      </c>
      <c r="D9" s="172">
        <f>COUNTA('2BBM'!B2:B55)</f>
        <v>47</v>
      </c>
      <c r="E9" s="171" t="s">
        <v>376</v>
      </c>
      <c r="F9" s="172" t="e">
        <f>SUM(COUNTIF(#REF!,"Aprovado EAD"))</f>
        <v>#REF!</v>
      </c>
      <c r="G9" s="155"/>
    </row>
    <row r="10" ht="23.25" hidden="1" customHeight="1" spans="1:7">
      <c r="A10" s="155"/>
      <c r="B10" s="170"/>
      <c r="C10" s="171" t="s">
        <v>377</v>
      </c>
      <c r="D10" s="172">
        <f>COUNTA('3BBM'!B2:B55)</f>
        <v>4</v>
      </c>
      <c r="E10" s="171" t="s">
        <v>377</v>
      </c>
      <c r="F10" s="172" t="e">
        <f>SUM(COUNTIF(#REF!,"Aprovado EAD"))</f>
        <v>#REF!</v>
      </c>
      <c r="G10" s="155"/>
    </row>
    <row r="11" ht="23.25" hidden="1" customHeight="1" spans="1:7">
      <c r="A11" s="155"/>
      <c r="B11" s="170"/>
      <c r="C11" s="171" t="s">
        <v>378</v>
      </c>
      <c r="D11" s="172">
        <f>COUNTA(#REF!)</f>
        <v>1</v>
      </c>
      <c r="E11" s="171" t="s">
        <v>378</v>
      </c>
      <c r="F11" s="172" t="e">
        <f>SUM(COUNTIF(#REF!,"Aprovado EAD"))</f>
        <v>#REF!</v>
      </c>
      <c r="G11" s="155"/>
    </row>
    <row r="12" ht="23.25" hidden="1" customHeight="1" spans="1:7">
      <c r="A12" s="155"/>
      <c r="B12" s="170"/>
      <c r="C12" s="171" t="s">
        <v>379</v>
      </c>
      <c r="D12" s="172">
        <f>COUNTA('5BBM'!B2:B55)</f>
        <v>26</v>
      </c>
      <c r="E12" s="171" t="s">
        <v>379</v>
      </c>
      <c r="F12" s="172" t="e">
        <f>SUM(COUNTIF(#REF!,"Aprovado EAD"))</f>
        <v>#REF!</v>
      </c>
      <c r="G12" s="155"/>
    </row>
    <row r="13" ht="23.25" hidden="1" customHeight="1" spans="1:7">
      <c r="A13" s="155"/>
      <c r="B13" s="170"/>
      <c r="C13" s="171" t="s">
        <v>380</v>
      </c>
      <c r="D13" s="172">
        <f>COUNTA(#REF!)</f>
        <v>1</v>
      </c>
      <c r="E13" s="171" t="s">
        <v>380</v>
      </c>
      <c r="F13" s="172" t="e">
        <f>SUM(COUNTIF(#REF!,"Aprovado EAD"))</f>
        <v>#REF!</v>
      </c>
      <c r="G13" s="155"/>
    </row>
    <row r="14" ht="23.25" hidden="1" customHeight="1" spans="1:7">
      <c r="A14" s="155"/>
      <c r="B14" s="170"/>
      <c r="C14" s="171" t="s">
        <v>381</v>
      </c>
      <c r="D14" s="172">
        <f>COUNTA('7BBM'!B2:B55)</f>
        <v>51</v>
      </c>
      <c r="E14" s="171" t="s">
        <v>381</v>
      </c>
      <c r="F14" s="172" t="e">
        <f>SUM(COUNTIF(#REF!,"Aprovado EAD"))</f>
        <v>#REF!</v>
      </c>
      <c r="G14" s="155"/>
    </row>
    <row r="15" ht="23.25" hidden="1" customHeight="1" spans="1:7">
      <c r="A15" s="155"/>
      <c r="B15" s="170"/>
      <c r="C15" s="171" t="s">
        <v>382</v>
      </c>
      <c r="D15" s="172">
        <f>COUNTA('8BBM'!B2:B55)</f>
        <v>25</v>
      </c>
      <c r="E15" s="171" t="s">
        <v>382</v>
      </c>
      <c r="F15" s="172" t="e">
        <f>SUM(COUNTIF(#REF!,"Aprovado EAD"))</f>
        <v>#REF!</v>
      </c>
      <c r="G15" s="155"/>
    </row>
    <row r="16" ht="23.25" hidden="1" customHeight="1" spans="1:7">
      <c r="A16" s="155"/>
      <c r="B16" s="170"/>
      <c r="C16" s="171" t="s">
        <v>383</v>
      </c>
      <c r="D16" s="172">
        <f>COUNTA('9BBM'!B2:B55)</f>
        <v>39</v>
      </c>
      <c r="E16" s="171" t="s">
        <v>383</v>
      </c>
      <c r="F16" s="172" t="e">
        <f>SUM(COUNTIF(#REF!,"Aprovado EAD"))</f>
        <v>#REF!</v>
      </c>
      <c r="G16" s="155"/>
    </row>
    <row r="17" ht="23.25" hidden="1" customHeight="1" spans="1:7">
      <c r="A17" s="155"/>
      <c r="B17" s="170"/>
      <c r="C17" s="171" t="s">
        <v>384</v>
      </c>
      <c r="D17" s="172">
        <f>COUNTA('10BBM'!B2:B55)</f>
        <v>36</v>
      </c>
      <c r="E17" s="171" t="s">
        <v>384</v>
      </c>
      <c r="F17" s="172" t="e">
        <f>SUM(COUNTIF(#REF!,"Aprovado EAD"))</f>
        <v>#REF!</v>
      </c>
      <c r="G17" s="155"/>
    </row>
    <row r="18" ht="23.25" hidden="1" customHeight="1" spans="1:7">
      <c r="A18" s="155"/>
      <c r="B18" s="170"/>
      <c r="C18" s="171" t="s">
        <v>385</v>
      </c>
      <c r="D18" s="172">
        <f>COUNTA('11BBM'!#REF!)</f>
        <v>1</v>
      </c>
      <c r="E18" s="171" t="s">
        <v>385</v>
      </c>
      <c r="F18" s="172" t="e">
        <f>SUM(COUNTIF(#REF!,"Aprovado EAD"))</f>
        <v>#REF!</v>
      </c>
      <c r="G18" s="155"/>
    </row>
    <row r="19" ht="23.25" hidden="1" customHeight="1" spans="1:7">
      <c r="A19" s="155"/>
      <c r="B19" s="170"/>
      <c r="C19" s="171" t="s">
        <v>386</v>
      </c>
      <c r="D19" s="172">
        <f>COUNTA(#REF!)</f>
        <v>1</v>
      </c>
      <c r="E19" s="171" t="s">
        <v>386</v>
      </c>
      <c r="F19" s="172" t="e">
        <f>SUM(COUNTIF(#REF!,"Aprovado EAD"))</f>
        <v>#REF!</v>
      </c>
      <c r="G19" s="155"/>
    </row>
    <row r="20" ht="23.25" hidden="1" customHeight="1" spans="1:7">
      <c r="A20" s="155"/>
      <c r="B20" s="170"/>
      <c r="C20" s="171" t="s">
        <v>387</v>
      </c>
      <c r="D20" s="172">
        <f>COUNTA('13BBM'!B2:B55)</f>
        <v>14</v>
      </c>
      <c r="E20" s="171" t="s">
        <v>387</v>
      </c>
      <c r="F20" s="172" t="e">
        <f>SUM(COUNTIF(#REF!,"Aprovado EAD"))</f>
        <v>#REF!</v>
      </c>
      <c r="G20" s="155"/>
    </row>
    <row r="21" ht="23.25" hidden="1" customHeight="1" spans="1:7">
      <c r="A21" s="155"/>
      <c r="B21" s="173" t="s">
        <v>388</v>
      </c>
      <c r="C21" s="174">
        <f>SUM(D9:D20)</f>
        <v>246</v>
      </c>
      <c r="D21" s="163"/>
      <c r="E21" s="174" t="e">
        <f>SUM(F9:F20)</f>
        <v>#REF!</v>
      </c>
      <c r="F21" s="163"/>
      <c r="G21" s="155"/>
    </row>
    <row r="22" ht="23.25" hidden="1" customHeight="1" spans="1:7">
      <c r="A22" s="155"/>
      <c r="B22" s="175"/>
      <c r="C22" s="176"/>
      <c r="D22" s="176"/>
      <c r="E22" s="176"/>
      <c r="F22" s="177"/>
      <c r="G22" s="155"/>
    </row>
    <row r="23" ht="23.25" hidden="1" customHeight="1" spans="1:7">
      <c r="A23" s="155"/>
      <c r="B23" s="178"/>
      <c r="C23" s="179" t="s">
        <v>389</v>
      </c>
      <c r="D23" s="163"/>
      <c r="E23" s="180" t="s">
        <v>390</v>
      </c>
      <c r="F23" s="163"/>
      <c r="G23" s="155"/>
    </row>
    <row r="24" ht="23.25" hidden="1" customHeight="1" spans="1:7">
      <c r="A24" s="155"/>
      <c r="B24" s="170"/>
      <c r="C24" s="171" t="s">
        <v>376</v>
      </c>
      <c r="D24" s="172">
        <f>COUNTIFS('2BBM'!C:C,"Voluntario",'2BBM'!K:K,"Não")</f>
        <v>0</v>
      </c>
      <c r="E24" s="171" t="s">
        <v>376</v>
      </c>
      <c r="F24" s="172">
        <f>COUNTIFS('2BBM'!C:C,"Voluntario",'2BBM'!K:K,"Sim")</f>
        <v>0</v>
      </c>
      <c r="G24" s="155"/>
    </row>
    <row r="25" ht="23.25" hidden="1" customHeight="1" spans="1:7">
      <c r="A25" s="155"/>
      <c r="B25" s="170"/>
      <c r="C25" s="171" t="s">
        <v>377</v>
      </c>
      <c r="D25" s="172">
        <f>COUNTIFS('3BBM'!C:C,"Voluntario",'3BBM'!K:K,"Não")</f>
        <v>0</v>
      </c>
      <c r="E25" s="171" t="s">
        <v>377</v>
      </c>
      <c r="F25" s="172">
        <f>COUNTIFS('3BBM'!C:C,"Voluntario",'3BBM'!K:K,"Sim")</f>
        <v>0</v>
      </c>
      <c r="G25" s="155"/>
    </row>
    <row r="26" ht="23.25" hidden="1" customHeight="1" spans="1:7">
      <c r="A26" s="155"/>
      <c r="B26" s="170"/>
      <c r="C26" s="171" t="s">
        <v>378</v>
      </c>
      <c r="D26" s="172" t="e">
        <f>COUNTIFS(#REF!,"Voluntario",#REF!,"Não")</f>
        <v>#REF!</v>
      </c>
      <c r="E26" s="171" t="s">
        <v>378</v>
      </c>
      <c r="F26" s="172" t="e">
        <f>COUNTIFS(#REF!,"Voluntario",#REF!,"Sim")</f>
        <v>#REF!</v>
      </c>
      <c r="G26" s="155"/>
    </row>
    <row r="27" ht="23.25" hidden="1" customHeight="1" spans="1:7">
      <c r="A27" s="155"/>
      <c r="B27" s="170"/>
      <c r="C27" s="171" t="s">
        <v>379</v>
      </c>
      <c r="D27" s="172">
        <f>COUNTIFS('5BBM'!C:C,"Voluntario",'5BBM'!K:K,"Não")</f>
        <v>0</v>
      </c>
      <c r="E27" s="171" t="s">
        <v>379</v>
      </c>
      <c r="F27" s="172">
        <f>COUNTIFS('5BBM'!C:C,"Voluntario",'5BBM'!K:K,"Sim")</f>
        <v>0</v>
      </c>
      <c r="G27" s="155"/>
    </row>
    <row r="28" ht="23.25" hidden="1" customHeight="1" spans="1:7">
      <c r="A28" s="155"/>
      <c r="B28" s="170"/>
      <c r="C28" s="171" t="s">
        <v>380</v>
      </c>
      <c r="D28" s="172" t="e">
        <f>COUNTIFS(#REF!,"Voluntario",#REF!,"Não")</f>
        <v>#REF!</v>
      </c>
      <c r="E28" s="171" t="s">
        <v>380</v>
      </c>
      <c r="F28" s="172" t="e">
        <f>COUNTIFS(#REF!,"Voluntario",#REF!,"Sim")</f>
        <v>#REF!</v>
      </c>
      <c r="G28" s="155"/>
    </row>
    <row r="29" ht="23.25" hidden="1" customHeight="1" spans="1:7">
      <c r="A29" s="155"/>
      <c r="B29" s="170"/>
      <c r="C29" s="171" t="s">
        <v>381</v>
      </c>
      <c r="D29" s="172">
        <f>COUNTIFS('7BBM'!C:C,"Voluntario",'7BBM'!K:K,"Não")</f>
        <v>0</v>
      </c>
      <c r="E29" s="171" t="s">
        <v>381</v>
      </c>
      <c r="F29" s="172">
        <f>COUNTIFS('7BBM'!C:C,"Voluntario",'7BBM'!K:K,"Sim")</f>
        <v>0</v>
      </c>
      <c r="G29" s="155"/>
    </row>
    <row r="30" ht="23.25" hidden="1" customHeight="1" spans="1:7">
      <c r="A30" s="155"/>
      <c r="B30" s="170"/>
      <c r="C30" s="171" t="s">
        <v>382</v>
      </c>
      <c r="D30" s="172">
        <f>COUNTIFS('8BBM'!C:C,"Voluntario",'8BBM'!K:K,"Não")</f>
        <v>0</v>
      </c>
      <c r="E30" s="171" t="s">
        <v>382</v>
      </c>
      <c r="F30" s="172">
        <f>COUNTIFS('8BBM'!C:C,"Voluntario",'8BBM'!K:K,"Sim")</f>
        <v>0</v>
      </c>
      <c r="G30" s="155"/>
    </row>
    <row r="31" ht="23.25" hidden="1" customHeight="1" spans="1:7">
      <c r="A31" s="155"/>
      <c r="B31" s="170"/>
      <c r="C31" s="171" t="s">
        <v>383</v>
      </c>
      <c r="D31" s="172">
        <f>COUNTIFS('9BBM'!C:C,"Voluntario",'9BBM'!K:K,"Não")</f>
        <v>0</v>
      </c>
      <c r="E31" s="171" t="s">
        <v>383</v>
      </c>
      <c r="F31" s="172">
        <f>COUNTIFS('9BBM'!C:C,"Voluntario",'9BBM'!K:K,"Sim")</f>
        <v>0</v>
      </c>
      <c r="G31" s="155"/>
    </row>
    <row r="32" ht="23.25" hidden="1" customHeight="1" spans="1:7">
      <c r="A32" s="155"/>
      <c r="B32" s="170"/>
      <c r="C32" s="171" t="s">
        <v>384</v>
      </c>
      <c r="D32" s="172">
        <f>COUNTIFS('10BBM'!C:C,"Voluntario",'10BBM'!K:K,"Não")</f>
        <v>0</v>
      </c>
      <c r="E32" s="171" t="s">
        <v>384</v>
      </c>
      <c r="F32" s="172">
        <f>COUNTIFS('10BBM'!C:C,"Voluntario",'10BBM'!K:K,"Sim")</f>
        <v>0</v>
      </c>
      <c r="G32" s="155"/>
    </row>
    <row r="33" ht="23.25" hidden="1" customHeight="1" spans="1:7">
      <c r="A33" s="155"/>
      <c r="B33" s="170"/>
      <c r="C33" s="171" t="s">
        <v>385</v>
      </c>
      <c r="D33" s="172" t="e">
        <f>COUNTIFS('11BBM'!#REF!,"Voluntario",'11BBM'!#REF!,"Não")</f>
        <v>#REF!</v>
      </c>
      <c r="E33" s="171" t="s">
        <v>385</v>
      </c>
      <c r="F33" s="172" t="e">
        <f>COUNTIFS('11BBM'!#REF!,"Voluntario",'11BBM'!#REF!,"Sim")</f>
        <v>#REF!</v>
      </c>
      <c r="G33" s="155"/>
    </row>
    <row r="34" ht="23.25" hidden="1" customHeight="1" spans="1:7">
      <c r="A34" s="155"/>
      <c r="B34" s="170"/>
      <c r="C34" s="171" t="s">
        <v>386</v>
      </c>
      <c r="D34" s="172" t="e">
        <f>COUNTIFS(#REF!,"Voluntario",#REF!,"Não")</f>
        <v>#REF!</v>
      </c>
      <c r="E34" s="171" t="s">
        <v>386</v>
      </c>
      <c r="F34" s="172" t="e">
        <f>COUNTIFS(#REF!,"Voluntario",#REF!,"Sim")</f>
        <v>#REF!</v>
      </c>
      <c r="G34" s="155"/>
    </row>
    <row r="35" ht="23.25" hidden="1" customHeight="1" spans="1:7">
      <c r="A35" s="155"/>
      <c r="B35" s="170"/>
      <c r="C35" s="171" t="s">
        <v>387</v>
      </c>
      <c r="D35" s="172">
        <f>COUNTIFS('13BBM'!C:C,"Voluntario",'13BBM'!K:K,"Não")</f>
        <v>0</v>
      </c>
      <c r="E35" s="171" t="s">
        <v>387</v>
      </c>
      <c r="F35" s="172">
        <f>COUNTIFS('13BBM'!C:C,"Voluntario",'13BBM'!K:K,"Sim")</f>
        <v>0</v>
      </c>
      <c r="G35" s="155"/>
    </row>
    <row r="36" ht="23.25" hidden="1" customHeight="1" spans="1:7">
      <c r="A36" s="155"/>
      <c r="B36" s="181" t="s">
        <v>388</v>
      </c>
      <c r="C36" s="182" t="e">
        <f>SUM(D24:D35)</f>
        <v>#REF!</v>
      </c>
      <c r="D36" s="183"/>
      <c r="E36" s="182" t="e">
        <f>SUM(F24:F35)</f>
        <v>#REF!</v>
      </c>
      <c r="F36" s="183"/>
      <c r="G36" s="155"/>
    </row>
    <row r="37" ht="23.25" customHeight="1" spans="1:7">
      <c r="A37" s="155"/>
      <c r="B37" s="155"/>
      <c r="C37" s="155"/>
      <c r="D37" s="155"/>
      <c r="E37" s="155"/>
      <c r="F37" s="155"/>
      <c r="G37" s="155"/>
    </row>
    <row r="38" ht="23.25" customHeight="1" spans="1:7">
      <c r="A38" s="155"/>
      <c r="B38" s="184" t="s">
        <v>489</v>
      </c>
      <c r="C38" s="185" t="s">
        <v>394</v>
      </c>
      <c r="D38" s="186" t="s">
        <v>490</v>
      </c>
      <c r="E38" s="187" t="s">
        <v>491</v>
      </c>
      <c r="F38" s="188" t="s">
        <v>492</v>
      </c>
      <c r="G38" s="155"/>
    </row>
    <row r="39" ht="23.25" customHeight="1" spans="1:7">
      <c r="A39" s="155"/>
      <c r="B39" s="189"/>
      <c r="C39" s="190" t="s">
        <v>376</v>
      </c>
      <c r="D39" s="191">
        <f>COUNTIF('2BBM'!E:E,"Curso CAB operador concluído")</f>
        <v>50</v>
      </c>
      <c r="E39" s="191">
        <f>COUNTIF('2BBM'!E:E,"Módulo 1 concluído")</f>
        <v>13</v>
      </c>
      <c r="F39" s="191">
        <f>COUNTIF('2BBM'!E:E,"Módulo 2 e 3 concluído")</f>
        <v>9</v>
      </c>
      <c r="G39" s="155"/>
    </row>
    <row r="40" ht="23.25" customHeight="1" spans="1:7">
      <c r="A40" s="155"/>
      <c r="B40" s="189"/>
      <c r="C40" s="190" t="s">
        <v>377</v>
      </c>
      <c r="D40" s="191">
        <f>COUNTIF('3BBM'!E:E,"Curso CAB operador concluído")</f>
        <v>4</v>
      </c>
      <c r="E40" s="191">
        <f>COUNTIF('3BBM'!E:E,"Módulo 1 concluído")</f>
        <v>0</v>
      </c>
      <c r="F40" s="191">
        <f>COUNTIF('3BBM'!E:E,"Módulo 2 e 3 concluído")</f>
        <v>0</v>
      </c>
      <c r="G40" s="155"/>
    </row>
    <row r="41" ht="23.25" customHeight="1" spans="1:7">
      <c r="A41" s="155"/>
      <c r="B41" s="189"/>
      <c r="C41" s="190" t="s">
        <v>378</v>
      </c>
      <c r="D41" s="191" t="e">
        <f>COUNTIF(#REF!,"Curso CAB operador concluído")</f>
        <v>#REF!</v>
      </c>
      <c r="E41" s="191" t="e">
        <f>COUNTIF(#REF!,"Módulo 1 concluído")</f>
        <v>#REF!</v>
      </c>
      <c r="F41" s="191" t="e">
        <f>COUNTIF(#REF!,"Módulo 2 e 3 concluído")</f>
        <v>#REF!</v>
      </c>
      <c r="G41" s="155"/>
    </row>
    <row r="42" ht="23.25" customHeight="1" spans="1:7">
      <c r="A42" s="155"/>
      <c r="B42" s="189"/>
      <c r="C42" s="190" t="s">
        <v>379</v>
      </c>
      <c r="D42" s="191">
        <f>COUNTIF('5BBM'!E:E,"Curso CAB operador concluído")</f>
        <v>23</v>
      </c>
      <c r="E42" s="191">
        <f>COUNTIF('5BBM'!E:E,"Módulo 1 concluído")</f>
        <v>91</v>
      </c>
      <c r="F42" s="191">
        <f>COUNTIF('5BBM'!E:E,"Módulo 2 e 3 concluído")</f>
        <v>0</v>
      </c>
      <c r="G42" s="155"/>
    </row>
    <row r="43" ht="23.25" customHeight="1" spans="1:7">
      <c r="A43" s="155"/>
      <c r="B43" s="189"/>
      <c r="C43" s="190" t="s">
        <v>380</v>
      </c>
      <c r="D43" s="191" t="e">
        <f>COUNTIF(#REF!,"Curso CAB operador concluído")</f>
        <v>#REF!</v>
      </c>
      <c r="E43" s="191" t="e">
        <f>COUNTIF(#REF!,"Módulo 1 concluído")</f>
        <v>#REF!</v>
      </c>
      <c r="F43" s="191" t="e">
        <f>COUNTIF(#REF!,"Módulo 2 e 3 concluído")</f>
        <v>#REF!</v>
      </c>
      <c r="G43" s="155"/>
    </row>
    <row r="44" ht="23.25" customHeight="1" spans="1:7">
      <c r="A44" s="155"/>
      <c r="B44" s="189"/>
      <c r="C44" s="190" t="s">
        <v>381</v>
      </c>
      <c r="D44" s="191">
        <f>COUNTIF('7BBM'!E:E,"Curso CAB operador concluído")</f>
        <v>6</v>
      </c>
      <c r="E44" s="191">
        <f>COUNTIF('7BBM'!E:E,"Módulo 1 concluído")</f>
        <v>102</v>
      </c>
      <c r="F44" s="191">
        <f>COUNTIF('7BBM'!E:E,"Módulo 2 e 3 concluído")</f>
        <v>1</v>
      </c>
      <c r="G44" s="155"/>
    </row>
    <row r="45" ht="23.25" customHeight="1" spans="1:7">
      <c r="A45" s="155"/>
      <c r="B45" s="189"/>
      <c r="C45" s="190" t="s">
        <v>382</v>
      </c>
      <c r="D45" s="191">
        <f>COUNTIF('8BBM'!E:E,"Curso CAB operador concluído")</f>
        <v>14</v>
      </c>
      <c r="E45" s="191">
        <f>COUNTIF('8BBM'!E:E,"Módulo 1 concluído")</f>
        <v>17</v>
      </c>
      <c r="F45" s="191">
        <f>COUNTIF('8BBM'!E:E,"Módulo 2 e 3 concluído")</f>
        <v>4</v>
      </c>
      <c r="G45" s="155"/>
    </row>
    <row r="46" ht="23.25" customHeight="1" spans="1:7">
      <c r="A46" s="155"/>
      <c r="B46" s="189"/>
      <c r="C46" s="190" t="s">
        <v>383</v>
      </c>
      <c r="D46" s="191">
        <f>COUNTIF('9BBM'!E:E,"Curso CAB operador concluído")</f>
        <v>10</v>
      </c>
      <c r="E46" s="191">
        <f>COUNTIF('9BBM'!E:E,"Módulo 1 concluído")</f>
        <v>43</v>
      </c>
      <c r="F46" s="191">
        <f>COUNTIF('9BBM'!E:E,"Módulo 2 e 3 concluído")</f>
        <v>4</v>
      </c>
      <c r="G46" s="155"/>
    </row>
    <row r="47" ht="23.25" customHeight="1" spans="1:7">
      <c r="A47" s="155"/>
      <c r="B47" s="189"/>
      <c r="C47" s="190" t="s">
        <v>384</v>
      </c>
      <c r="D47" s="191">
        <f>COUNTIF('10BBM'!E:E,"Curso CAB operador concluído")</f>
        <v>8</v>
      </c>
      <c r="E47" s="191">
        <f>COUNTIF('10BBM'!E:E,"Módulo 1 concluído")</f>
        <v>23</v>
      </c>
      <c r="F47" s="191">
        <f>COUNTIF('10BBM'!E:E,"Módulo 2 e 3 concluído")</f>
        <v>1</v>
      </c>
      <c r="G47" s="155"/>
    </row>
    <row r="48" ht="23.25" customHeight="1" spans="1:7">
      <c r="A48" s="155"/>
      <c r="B48" s="189"/>
      <c r="C48" s="190" t="s">
        <v>385</v>
      </c>
      <c r="D48" s="191" t="e">
        <f>COUNTIF('11BBM'!#REF!,"Curso CAB operador concluído")</f>
        <v>#REF!</v>
      </c>
      <c r="E48" s="191" t="e">
        <f>COUNTIF('11BBM'!#REF!,"Módulo 1 concluído")</f>
        <v>#REF!</v>
      </c>
      <c r="F48" s="191" t="e">
        <f>COUNTIF('11BBM'!#REF!,"Módulo 2 e 3 concluído")</f>
        <v>#REF!</v>
      </c>
      <c r="G48" s="155"/>
    </row>
    <row r="49" ht="23.25" customHeight="1" spans="1:7">
      <c r="A49" s="155"/>
      <c r="B49" s="189"/>
      <c r="C49" s="190" t="s">
        <v>386</v>
      </c>
      <c r="D49" s="191" t="e">
        <f>COUNTIF(#REF!,"Curso CAB operador concluído")</f>
        <v>#REF!</v>
      </c>
      <c r="E49" s="191" t="e">
        <f>COUNTIF(#REF!,"Módulo 1 concluído")</f>
        <v>#REF!</v>
      </c>
      <c r="F49" s="191" t="e">
        <f>COUNTIF(#REF!,"Módulo 2 e 3 concluído")</f>
        <v>#REF!</v>
      </c>
      <c r="G49" s="155"/>
    </row>
    <row r="50" ht="23.25" customHeight="1" spans="1:7">
      <c r="A50" s="155"/>
      <c r="B50" s="189"/>
      <c r="C50" s="190" t="s">
        <v>387</v>
      </c>
      <c r="D50" s="191">
        <f>COUNTIF('13BBM'!E:E,"Curso CAB operador concluído")</f>
        <v>9</v>
      </c>
      <c r="E50" s="191">
        <f>COUNTIF('13BBM'!E:E,"Módulo 1 concluído")</f>
        <v>9</v>
      </c>
      <c r="F50" s="191">
        <f>COUNTIF('13BBM'!E:E,"Módulo 2 e 3 concluído")</f>
        <v>3</v>
      </c>
      <c r="G50" s="155"/>
    </row>
    <row r="51" ht="23.25" customHeight="1" spans="1:7">
      <c r="A51" s="155"/>
      <c r="B51" s="192"/>
      <c r="C51" s="193" t="s">
        <v>493</v>
      </c>
      <c r="D51" s="193" t="e">
        <f t="shared" ref="D51:F51" si="0">SUM(D39:D50)</f>
        <v>#REF!</v>
      </c>
      <c r="E51" s="193" t="e">
        <f t="shared" si="0"/>
        <v>#REF!</v>
      </c>
      <c r="F51" s="193" t="e">
        <f t="shared" si="0"/>
        <v>#REF!</v>
      </c>
      <c r="G51" s="155"/>
    </row>
    <row r="52" ht="23.25" customHeight="1" spans="1:7">
      <c r="A52" s="155"/>
      <c r="B52" s="155"/>
      <c r="C52" s="155"/>
      <c r="D52" s="155"/>
      <c r="E52" s="155"/>
      <c r="F52" s="155"/>
      <c r="G52" s="155"/>
    </row>
    <row r="53" ht="17.25" customHeight="1" spans="1:7">
      <c r="A53" s="155"/>
      <c r="B53" s="155"/>
      <c r="C53" s="155"/>
      <c r="D53" s="155"/>
      <c r="E53" s="155"/>
      <c r="F53" s="155"/>
      <c r="G53" s="155"/>
    </row>
    <row r="54" ht="23.25" hidden="1" customHeight="1" spans="1:7">
      <c r="A54" s="155"/>
      <c r="B54" s="155"/>
      <c r="C54" s="155"/>
      <c r="D54" s="155"/>
      <c r="E54" s="155"/>
      <c r="F54" s="155"/>
      <c r="G54" s="155"/>
    </row>
    <row r="55" ht="23.25" hidden="1" customHeight="1" spans="1:7">
      <c r="A55" s="155"/>
      <c r="B55" s="155"/>
      <c r="C55" s="155"/>
      <c r="D55" s="155"/>
      <c r="E55" s="155"/>
      <c r="F55" s="155"/>
      <c r="G55" s="155"/>
    </row>
  </sheetData>
  <mergeCells count="11">
    <mergeCell ref="C8:D8"/>
    <mergeCell ref="E8:F8"/>
    <mergeCell ref="C21:D21"/>
    <mergeCell ref="E21:F21"/>
    <mergeCell ref="B22:F22"/>
    <mergeCell ref="C23:D23"/>
    <mergeCell ref="E23:F23"/>
    <mergeCell ref="C36:D36"/>
    <mergeCell ref="E36:F36"/>
    <mergeCell ref="B38:B51"/>
    <mergeCell ref="B2:F6"/>
  </mergeCells>
  <printOptions horizontalCentered="1" verticalCentered="1" gridLines="1"/>
  <pageMargins left="0.7" right="0.7" top="0.75" bottom="0.75" header="0" footer="0"/>
  <pageSetup paperSize="8" pageOrder="overThenDown" orientation="portrait" cellComments="atEnd"/>
  <headerFooter/>
  <drawing r:id="rId1"/>
  <tableParts count="1">
    <tablePart r:id="rId2"/>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F600"/>
  <sheetViews>
    <sheetView showGridLines="0" workbookViewId="0">
      <pane xSplit="2" ySplit="1" topLeftCell="C2" activePane="bottomRight" state="frozen"/>
      <selection/>
      <selection pane="topRight"/>
      <selection pane="bottomLeft"/>
      <selection pane="bottomRight" activeCell="C2" sqref="C2"/>
    </sheetView>
  </sheetViews>
  <sheetFormatPr defaultColWidth="14.4380952380952" defaultRowHeight="15" customHeight="1" outlineLevelCol="5"/>
  <cols>
    <col min="1" max="1" width="26.1047619047619" customWidth="1"/>
    <col min="2" max="2" width="20.1047619047619" customWidth="1"/>
    <col min="3" max="3" width="22.1047619047619" customWidth="1"/>
    <col min="4" max="4" width="14.8857142857143" customWidth="1"/>
    <col min="5" max="5" width="21.8857142857143" customWidth="1"/>
    <col min="6" max="6" width="13.3333333333333" hidden="1" customWidth="1"/>
  </cols>
  <sheetData>
    <row r="1" spans="1:5">
      <c r="A1" s="142" t="s">
        <v>494</v>
      </c>
      <c r="B1" s="142" t="s">
        <v>495</v>
      </c>
      <c r="C1" s="142" t="s">
        <v>410</v>
      </c>
      <c r="D1" s="142" t="s">
        <v>496</v>
      </c>
      <c r="E1" s="143" t="s">
        <v>497</v>
      </c>
    </row>
    <row r="2" spans="1:5">
      <c r="A2" s="142" t="s">
        <v>498</v>
      </c>
      <c r="B2" s="142" t="s">
        <v>499</v>
      </c>
      <c r="C2" s="142" t="s">
        <v>500</v>
      </c>
      <c r="D2" s="142" t="s">
        <v>501</v>
      </c>
      <c r="E2" s="143" t="s">
        <v>502</v>
      </c>
    </row>
    <row r="3" spans="1:5">
      <c r="A3" s="150"/>
      <c r="B3" s="142" t="s">
        <v>503</v>
      </c>
      <c r="C3" s="142" t="s">
        <v>504</v>
      </c>
      <c r="D3" s="142" t="s">
        <v>501</v>
      </c>
      <c r="E3" s="143" t="s">
        <v>505</v>
      </c>
    </row>
    <row r="4" spans="1:5">
      <c r="A4" s="150"/>
      <c r="B4" s="142" t="s">
        <v>506</v>
      </c>
      <c r="C4" s="142" t="s">
        <v>475</v>
      </c>
      <c r="D4" s="142" t="s">
        <v>507</v>
      </c>
      <c r="E4" s="143" t="s">
        <v>508</v>
      </c>
    </row>
    <row r="5" spans="1:5">
      <c r="A5" s="150"/>
      <c r="B5" s="142" t="s">
        <v>509</v>
      </c>
      <c r="C5" s="142" t="s">
        <v>510</v>
      </c>
      <c r="D5" s="142" t="s">
        <v>507</v>
      </c>
      <c r="E5" s="143" t="s">
        <v>511</v>
      </c>
    </row>
    <row r="6" spans="1:5">
      <c r="A6" s="150"/>
      <c r="B6" s="142" t="s">
        <v>421</v>
      </c>
      <c r="C6" s="142" t="s">
        <v>504</v>
      </c>
      <c r="D6" s="142" t="s">
        <v>501</v>
      </c>
      <c r="E6" s="143" t="s">
        <v>512</v>
      </c>
    </row>
    <row r="7" spans="1:5">
      <c r="A7" s="150"/>
      <c r="B7" s="142" t="s">
        <v>415</v>
      </c>
      <c r="C7" s="142" t="s">
        <v>513</v>
      </c>
      <c r="D7" s="142" t="s">
        <v>514</v>
      </c>
      <c r="E7" s="143" t="s">
        <v>515</v>
      </c>
    </row>
    <row r="8" spans="1:5">
      <c r="A8" s="150"/>
      <c r="B8" s="142" t="s">
        <v>516</v>
      </c>
      <c r="C8" s="142" t="s">
        <v>517</v>
      </c>
      <c r="D8" s="142" t="s">
        <v>518</v>
      </c>
      <c r="E8" s="143" t="s">
        <v>519</v>
      </c>
    </row>
    <row r="9" spans="1:5">
      <c r="A9" s="150"/>
      <c r="B9" s="142" t="s">
        <v>520</v>
      </c>
      <c r="C9" s="142" t="s">
        <v>510</v>
      </c>
      <c r="D9" s="142" t="s">
        <v>507</v>
      </c>
      <c r="E9" s="143" t="s">
        <v>521</v>
      </c>
    </row>
    <row r="10" spans="1:5">
      <c r="A10" s="150"/>
      <c r="B10" s="142" t="s">
        <v>427</v>
      </c>
      <c r="C10" s="142" t="s">
        <v>513</v>
      </c>
      <c r="D10" s="142" t="s">
        <v>514</v>
      </c>
      <c r="E10" s="143" t="s">
        <v>522</v>
      </c>
    </row>
    <row r="11" spans="1:5">
      <c r="A11" s="150"/>
      <c r="B11" s="142" t="s">
        <v>523</v>
      </c>
      <c r="C11" s="142" t="s">
        <v>510</v>
      </c>
      <c r="D11" s="142" t="s">
        <v>507</v>
      </c>
      <c r="E11" s="143" t="s">
        <v>511</v>
      </c>
    </row>
    <row r="12" spans="1:5">
      <c r="A12" s="150"/>
      <c r="B12" s="142" t="s">
        <v>524</v>
      </c>
      <c r="C12" s="142" t="s">
        <v>510</v>
      </c>
      <c r="D12" s="142" t="s">
        <v>507</v>
      </c>
      <c r="E12" s="143" t="s">
        <v>525</v>
      </c>
    </row>
    <row r="13" spans="1:5">
      <c r="A13" s="150"/>
      <c r="B13" s="142" t="s">
        <v>526</v>
      </c>
      <c r="C13" s="142" t="s">
        <v>527</v>
      </c>
      <c r="D13" s="142" t="s">
        <v>507</v>
      </c>
      <c r="E13" s="143" t="s">
        <v>528</v>
      </c>
    </row>
    <row r="14" spans="1:5">
      <c r="A14" s="150"/>
      <c r="B14" s="142" t="s">
        <v>529</v>
      </c>
      <c r="C14" s="142" t="s">
        <v>530</v>
      </c>
      <c r="D14" s="142" t="s">
        <v>518</v>
      </c>
      <c r="E14" s="143" t="s">
        <v>531</v>
      </c>
    </row>
    <row r="15" spans="1:5">
      <c r="A15" s="150"/>
      <c r="B15" s="142" t="s">
        <v>532</v>
      </c>
      <c r="C15" s="142" t="s">
        <v>527</v>
      </c>
      <c r="D15" s="142" t="s">
        <v>507</v>
      </c>
      <c r="E15" s="143" t="s">
        <v>533</v>
      </c>
    </row>
    <row r="16" spans="1:5">
      <c r="A16" s="150"/>
      <c r="B16" s="142" t="s">
        <v>534</v>
      </c>
      <c r="C16" s="142" t="s">
        <v>510</v>
      </c>
      <c r="D16" s="142" t="s">
        <v>507</v>
      </c>
      <c r="E16" s="143" t="s">
        <v>535</v>
      </c>
    </row>
    <row r="17" spans="1:5">
      <c r="A17" s="150"/>
      <c r="B17" s="142" t="s">
        <v>536</v>
      </c>
      <c r="C17" s="142" t="s">
        <v>510</v>
      </c>
      <c r="D17" s="142" t="s">
        <v>507</v>
      </c>
      <c r="E17" s="143" t="s">
        <v>537</v>
      </c>
    </row>
    <row r="18" spans="1:5">
      <c r="A18" s="150"/>
      <c r="B18" s="142" t="s">
        <v>538</v>
      </c>
      <c r="C18" s="142" t="s">
        <v>539</v>
      </c>
      <c r="D18" s="142" t="s">
        <v>501</v>
      </c>
      <c r="E18" s="143" t="s">
        <v>540</v>
      </c>
    </row>
    <row r="19" spans="1:5">
      <c r="A19" s="150"/>
      <c r="B19" s="142" t="s">
        <v>541</v>
      </c>
      <c r="C19" s="142" t="s">
        <v>500</v>
      </c>
      <c r="D19" s="142" t="s">
        <v>501</v>
      </c>
      <c r="E19" s="143" t="s">
        <v>502</v>
      </c>
    </row>
    <row r="20" ht="15.75" customHeight="1" spans="1:5">
      <c r="A20" s="150"/>
      <c r="B20" s="142" t="s">
        <v>542</v>
      </c>
      <c r="C20" s="142" t="s">
        <v>510</v>
      </c>
      <c r="D20" s="142" t="s">
        <v>507</v>
      </c>
      <c r="E20" s="143" t="s">
        <v>543</v>
      </c>
    </row>
    <row r="21" ht="15.75" customHeight="1" spans="1:5">
      <c r="A21" s="150"/>
      <c r="B21" s="142" t="s">
        <v>544</v>
      </c>
      <c r="C21" s="142" t="s">
        <v>539</v>
      </c>
      <c r="D21" s="142" t="s">
        <v>501</v>
      </c>
      <c r="E21" s="143" t="s">
        <v>545</v>
      </c>
    </row>
    <row r="22" ht="15.75" customHeight="1" spans="1:5">
      <c r="A22" s="150"/>
      <c r="B22" s="142" t="s">
        <v>546</v>
      </c>
      <c r="C22" s="142" t="s">
        <v>510</v>
      </c>
      <c r="D22" s="142" t="s">
        <v>507</v>
      </c>
      <c r="E22" s="143" t="s">
        <v>547</v>
      </c>
    </row>
    <row r="23" ht="15.75" customHeight="1" spans="1:5">
      <c r="A23" s="150"/>
      <c r="B23" s="142" t="s">
        <v>548</v>
      </c>
      <c r="C23" s="142" t="s">
        <v>510</v>
      </c>
      <c r="D23" s="142" t="s">
        <v>507</v>
      </c>
      <c r="E23" s="143" t="s">
        <v>547</v>
      </c>
    </row>
    <row r="24" ht="15.75" customHeight="1" spans="1:5">
      <c r="A24" s="150"/>
      <c r="B24" s="142" t="s">
        <v>549</v>
      </c>
      <c r="C24" s="142" t="s">
        <v>475</v>
      </c>
      <c r="D24" s="142" t="s">
        <v>507</v>
      </c>
      <c r="E24" s="143" t="s">
        <v>550</v>
      </c>
    </row>
    <row r="25" ht="15.75" customHeight="1" spans="1:5">
      <c r="A25" s="150"/>
      <c r="B25" s="142" t="s">
        <v>551</v>
      </c>
      <c r="C25" s="142" t="s">
        <v>510</v>
      </c>
      <c r="D25" s="142" t="s">
        <v>507</v>
      </c>
      <c r="E25" s="143" t="s">
        <v>511</v>
      </c>
    </row>
    <row r="26" ht="15.75" customHeight="1" spans="1:5">
      <c r="A26" s="150"/>
      <c r="B26" s="142" t="s">
        <v>552</v>
      </c>
      <c r="C26" s="142" t="s">
        <v>510</v>
      </c>
      <c r="D26" s="142" t="s">
        <v>507</v>
      </c>
      <c r="E26" s="143" t="s">
        <v>511</v>
      </c>
    </row>
    <row r="27" ht="15.75" customHeight="1" spans="1:5">
      <c r="A27" s="150"/>
      <c r="B27" s="142" t="s">
        <v>553</v>
      </c>
      <c r="C27" s="142" t="s">
        <v>475</v>
      </c>
      <c r="D27" s="142" t="s">
        <v>507</v>
      </c>
      <c r="E27" s="143" t="s">
        <v>554</v>
      </c>
    </row>
    <row r="28" ht="15.75" customHeight="1" spans="1:5">
      <c r="A28" s="150"/>
      <c r="B28" s="142" t="s">
        <v>555</v>
      </c>
      <c r="C28" s="142" t="s">
        <v>510</v>
      </c>
      <c r="D28" s="142" t="s">
        <v>507</v>
      </c>
      <c r="E28" s="143" t="s">
        <v>537</v>
      </c>
    </row>
    <row r="29" ht="15.75" customHeight="1" spans="1:5">
      <c r="A29" s="150"/>
      <c r="B29" s="142" t="s">
        <v>556</v>
      </c>
      <c r="C29" s="142" t="s">
        <v>510</v>
      </c>
      <c r="D29" s="142" t="s">
        <v>507</v>
      </c>
      <c r="E29" s="143" t="s">
        <v>525</v>
      </c>
    </row>
    <row r="30" ht="15.75" customHeight="1" spans="1:5">
      <c r="A30" s="150"/>
      <c r="B30" s="142" t="s">
        <v>557</v>
      </c>
      <c r="C30" s="142" t="s">
        <v>527</v>
      </c>
      <c r="D30" s="142" t="s">
        <v>507</v>
      </c>
      <c r="E30" s="143" t="s">
        <v>528</v>
      </c>
    </row>
    <row r="31" ht="15.75" customHeight="1" spans="1:5">
      <c r="A31" s="150"/>
      <c r="B31" s="142" t="s">
        <v>558</v>
      </c>
      <c r="C31" s="142" t="s">
        <v>510</v>
      </c>
      <c r="D31" s="142" t="s">
        <v>507</v>
      </c>
      <c r="E31" s="143" t="s">
        <v>559</v>
      </c>
    </row>
    <row r="32" ht="15.75" customHeight="1" spans="1:5">
      <c r="A32" s="150"/>
      <c r="B32" s="142" t="s">
        <v>560</v>
      </c>
      <c r="C32" s="142" t="s">
        <v>500</v>
      </c>
      <c r="D32" s="142" t="s">
        <v>501</v>
      </c>
      <c r="E32" s="143" t="s">
        <v>561</v>
      </c>
    </row>
    <row r="33" ht="15.75" customHeight="1" spans="1:5">
      <c r="A33" s="150"/>
      <c r="B33" s="142" t="s">
        <v>562</v>
      </c>
      <c r="C33" s="142" t="s">
        <v>500</v>
      </c>
      <c r="D33" s="142" t="s">
        <v>501</v>
      </c>
      <c r="E33" s="143" t="s">
        <v>563</v>
      </c>
    </row>
    <row r="34" ht="15.75" customHeight="1" spans="1:5">
      <c r="A34" s="150"/>
      <c r="B34" s="142" t="s">
        <v>564</v>
      </c>
      <c r="C34" s="142" t="s">
        <v>527</v>
      </c>
      <c r="D34" s="142" t="s">
        <v>507</v>
      </c>
      <c r="E34" s="143" t="s">
        <v>565</v>
      </c>
    </row>
    <row r="35" ht="15.75" customHeight="1" spans="1:5">
      <c r="A35" s="150"/>
      <c r="B35" s="142" t="s">
        <v>566</v>
      </c>
      <c r="C35" s="142" t="s">
        <v>500</v>
      </c>
      <c r="D35" s="142" t="s">
        <v>501</v>
      </c>
      <c r="E35" s="143" t="s">
        <v>567</v>
      </c>
    </row>
    <row r="36" ht="15.75" customHeight="1" spans="1:5">
      <c r="A36" s="150"/>
      <c r="B36" s="142" t="s">
        <v>568</v>
      </c>
      <c r="C36" s="142" t="s">
        <v>500</v>
      </c>
      <c r="D36" s="142" t="s">
        <v>501</v>
      </c>
      <c r="E36" s="143" t="s">
        <v>502</v>
      </c>
    </row>
    <row r="37" ht="15.75" customHeight="1" spans="1:5">
      <c r="A37" s="150"/>
      <c r="B37" s="142" t="s">
        <v>569</v>
      </c>
      <c r="C37" s="142" t="s">
        <v>539</v>
      </c>
      <c r="D37" s="142" t="s">
        <v>501</v>
      </c>
      <c r="E37" s="143" t="s">
        <v>570</v>
      </c>
    </row>
    <row r="38" ht="15.75" customHeight="1" spans="1:5">
      <c r="A38" s="150"/>
      <c r="B38" s="142" t="s">
        <v>571</v>
      </c>
      <c r="C38" s="142" t="s">
        <v>527</v>
      </c>
      <c r="D38" s="142" t="s">
        <v>507</v>
      </c>
      <c r="E38" s="143" t="s">
        <v>565</v>
      </c>
    </row>
    <row r="39" ht="15.75" customHeight="1" spans="1:5">
      <c r="A39" s="150"/>
      <c r="B39" s="142" t="s">
        <v>572</v>
      </c>
      <c r="C39" s="142" t="s">
        <v>527</v>
      </c>
      <c r="D39" s="142" t="s">
        <v>507</v>
      </c>
      <c r="E39" s="143" t="s">
        <v>565</v>
      </c>
    </row>
    <row r="40" ht="15.75" customHeight="1" spans="1:5">
      <c r="A40" s="150"/>
      <c r="B40" s="142" t="s">
        <v>573</v>
      </c>
      <c r="C40" s="142" t="s">
        <v>574</v>
      </c>
      <c r="D40" s="142" t="s">
        <v>501</v>
      </c>
      <c r="E40" s="143" t="s">
        <v>575</v>
      </c>
    </row>
    <row r="41" ht="15.75" customHeight="1" spans="1:5">
      <c r="A41" s="150"/>
      <c r="B41" s="142" t="s">
        <v>576</v>
      </c>
      <c r="C41" s="142" t="s">
        <v>510</v>
      </c>
      <c r="D41" s="142" t="s">
        <v>507</v>
      </c>
      <c r="E41" s="143" t="s">
        <v>537</v>
      </c>
    </row>
    <row r="42" ht="15.75" customHeight="1" spans="1:5">
      <c r="A42" s="150"/>
      <c r="B42" s="142" t="s">
        <v>577</v>
      </c>
      <c r="C42" s="142" t="s">
        <v>510</v>
      </c>
      <c r="D42" s="142" t="s">
        <v>507</v>
      </c>
      <c r="E42" s="143" t="s">
        <v>511</v>
      </c>
    </row>
    <row r="43" ht="15.75" customHeight="1" spans="1:5">
      <c r="A43" s="142" t="s">
        <v>578</v>
      </c>
      <c r="B43" s="142" t="s">
        <v>451</v>
      </c>
      <c r="C43" s="142" t="s">
        <v>527</v>
      </c>
      <c r="D43" s="142" t="s">
        <v>507</v>
      </c>
      <c r="E43" s="143" t="s">
        <v>579</v>
      </c>
    </row>
    <row r="44" ht="15.75" customHeight="1" spans="1:5">
      <c r="A44" s="150"/>
      <c r="B44" s="142" t="s">
        <v>464</v>
      </c>
      <c r="C44" s="142" t="s">
        <v>517</v>
      </c>
      <c r="D44" s="142" t="s">
        <v>518</v>
      </c>
      <c r="E44" s="143" t="s">
        <v>580</v>
      </c>
    </row>
    <row r="45" ht="15.75" customHeight="1" spans="1:5">
      <c r="A45" s="150"/>
      <c r="B45" s="142" t="s">
        <v>446</v>
      </c>
      <c r="C45" s="142" t="s">
        <v>510</v>
      </c>
      <c r="D45" s="142" t="s">
        <v>507</v>
      </c>
      <c r="E45" s="143" t="s">
        <v>559</v>
      </c>
    </row>
    <row r="46" ht="15.75" customHeight="1" spans="1:5">
      <c r="A46" s="150"/>
      <c r="B46" s="142" t="s">
        <v>453</v>
      </c>
      <c r="C46" s="142" t="s">
        <v>581</v>
      </c>
      <c r="D46" s="142" t="s">
        <v>514</v>
      </c>
      <c r="E46" s="143" t="s">
        <v>582</v>
      </c>
    </row>
    <row r="47" ht="15.75" customHeight="1" spans="1:5">
      <c r="A47" s="150"/>
      <c r="B47" s="142" t="s">
        <v>461</v>
      </c>
      <c r="C47" s="142" t="s">
        <v>504</v>
      </c>
      <c r="D47" s="142" t="s">
        <v>501</v>
      </c>
      <c r="E47" s="143" t="s">
        <v>525</v>
      </c>
    </row>
    <row r="48" ht="15.75" customHeight="1" spans="1:5">
      <c r="A48" s="150"/>
      <c r="B48" s="142" t="s">
        <v>438</v>
      </c>
      <c r="C48" s="142" t="s">
        <v>530</v>
      </c>
      <c r="D48" s="142" t="s">
        <v>518</v>
      </c>
      <c r="E48" s="143" t="s">
        <v>583</v>
      </c>
    </row>
    <row r="49" ht="15.75" customHeight="1" spans="1:5">
      <c r="A49" s="150"/>
      <c r="B49" s="142" t="s">
        <v>467</v>
      </c>
      <c r="C49" s="142" t="s">
        <v>584</v>
      </c>
      <c r="D49" s="142" t="s">
        <v>518</v>
      </c>
      <c r="E49" s="143" t="s">
        <v>484</v>
      </c>
    </row>
    <row r="50" ht="15.75" customHeight="1" spans="1:5">
      <c r="A50" s="150"/>
      <c r="B50" s="142" t="s">
        <v>435</v>
      </c>
      <c r="C50" s="142" t="s">
        <v>584</v>
      </c>
      <c r="D50" s="142" t="s">
        <v>518</v>
      </c>
      <c r="E50" s="143" t="s">
        <v>585</v>
      </c>
    </row>
    <row r="51" ht="15.75" customHeight="1" spans="1:5">
      <c r="A51" s="150"/>
      <c r="B51" s="142" t="s">
        <v>456</v>
      </c>
      <c r="C51" s="142" t="s">
        <v>513</v>
      </c>
      <c r="D51" s="142" t="s">
        <v>514</v>
      </c>
      <c r="E51" s="143" t="s">
        <v>522</v>
      </c>
    </row>
    <row r="52" ht="15.75" customHeight="1" spans="1:5">
      <c r="A52" s="150"/>
      <c r="B52" s="142" t="s">
        <v>449</v>
      </c>
      <c r="C52" s="142" t="s">
        <v>527</v>
      </c>
      <c r="D52" s="142" t="s">
        <v>507</v>
      </c>
      <c r="E52" s="143" t="s">
        <v>550</v>
      </c>
    </row>
    <row r="53" ht="15.75" customHeight="1" spans="1:5">
      <c r="A53" s="150"/>
      <c r="B53" s="142" t="s">
        <v>440</v>
      </c>
      <c r="C53" s="142" t="s">
        <v>527</v>
      </c>
      <c r="D53" s="142" t="s">
        <v>507</v>
      </c>
      <c r="E53" s="143" t="s">
        <v>586</v>
      </c>
    </row>
    <row r="54" ht="15.75" customHeight="1" spans="1:5">
      <c r="A54" s="150"/>
      <c r="B54" s="142" t="s">
        <v>459</v>
      </c>
      <c r="C54" s="142" t="s">
        <v>527</v>
      </c>
      <c r="D54" s="142" t="s">
        <v>507</v>
      </c>
      <c r="E54" s="143" t="s">
        <v>533</v>
      </c>
    </row>
    <row r="55" ht="15.75" customHeight="1" spans="1:5">
      <c r="A55" s="150"/>
      <c r="B55" s="142" t="s">
        <v>432</v>
      </c>
      <c r="C55" s="142" t="s">
        <v>539</v>
      </c>
      <c r="D55" s="142" t="s">
        <v>501</v>
      </c>
      <c r="E55" s="143" t="s">
        <v>540</v>
      </c>
    </row>
    <row r="56" ht="15.75" customHeight="1" spans="1:5">
      <c r="A56" s="150"/>
      <c r="B56" s="142" t="s">
        <v>469</v>
      </c>
      <c r="C56" s="142" t="s">
        <v>510</v>
      </c>
      <c r="D56" s="142" t="s">
        <v>507</v>
      </c>
      <c r="E56" s="143" t="s">
        <v>511</v>
      </c>
    </row>
    <row r="57" spans="1:5">
      <c r="A57" s="150"/>
      <c r="B57" s="142" t="s">
        <v>443</v>
      </c>
      <c r="C57" s="142" t="s">
        <v>475</v>
      </c>
      <c r="D57" s="142" t="s">
        <v>507</v>
      </c>
      <c r="E57" s="143" t="s">
        <v>554</v>
      </c>
    </row>
    <row r="58" ht="15.75" customHeight="1" spans="1:5">
      <c r="A58" s="142" t="s">
        <v>587</v>
      </c>
      <c r="B58" s="142" t="s">
        <v>588</v>
      </c>
      <c r="C58" s="142" t="s">
        <v>574</v>
      </c>
      <c r="D58" s="142" t="s">
        <v>501</v>
      </c>
      <c r="E58" s="143" t="s">
        <v>589</v>
      </c>
    </row>
    <row r="59" ht="15.75" customHeight="1" spans="1:5">
      <c r="A59" s="150"/>
      <c r="B59" s="142" t="s">
        <v>590</v>
      </c>
      <c r="C59" s="142" t="s">
        <v>475</v>
      </c>
      <c r="D59" s="142" t="s">
        <v>507</v>
      </c>
      <c r="E59" s="143" t="s">
        <v>550</v>
      </c>
    </row>
    <row r="60" ht="15.75" customHeight="1" spans="1:5">
      <c r="A60" s="150"/>
      <c r="B60" s="142" t="s">
        <v>591</v>
      </c>
      <c r="C60" s="142" t="s">
        <v>504</v>
      </c>
      <c r="D60" s="142" t="s">
        <v>501</v>
      </c>
      <c r="E60" s="143" t="s">
        <v>592</v>
      </c>
    </row>
    <row r="61" ht="15.75" customHeight="1" spans="1:5">
      <c r="A61" s="150"/>
      <c r="B61" s="142" t="s">
        <v>593</v>
      </c>
      <c r="C61" s="142" t="s">
        <v>527</v>
      </c>
      <c r="D61" s="142" t="s">
        <v>507</v>
      </c>
      <c r="E61" s="143" t="s">
        <v>565</v>
      </c>
    </row>
    <row r="62" ht="15.75" customHeight="1" spans="1:5">
      <c r="A62" s="150"/>
      <c r="B62" s="142" t="s">
        <v>594</v>
      </c>
      <c r="C62" s="142" t="s">
        <v>475</v>
      </c>
      <c r="D62" s="142" t="s">
        <v>507</v>
      </c>
      <c r="E62" s="143" t="s">
        <v>595</v>
      </c>
    </row>
    <row r="63" ht="15.75" customHeight="1" spans="1:5">
      <c r="A63" s="150"/>
      <c r="B63" s="142" t="s">
        <v>596</v>
      </c>
      <c r="C63" s="142" t="s">
        <v>504</v>
      </c>
      <c r="D63" s="142" t="s">
        <v>501</v>
      </c>
      <c r="E63" s="143" t="s">
        <v>592</v>
      </c>
    </row>
    <row r="64" ht="15.75" customHeight="1" spans="1:5">
      <c r="A64" s="150"/>
      <c r="B64" s="142" t="s">
        <v>597</v>
      </c>
      <c r="C64" s="142" t="s">
        <v>527</v>
      </c>
      <c r="D64" s="142" t="s">
        <v>507</v>
      </c>
      <c r="E64" s="143" t="s">
        <v>565</v>
      </c>
    </row>
    <row r="65" ht="15.75" customHeight="1" spans="1:5">
      <c r="A65" s="150"/>
      <c r="B65" s="142" t="s">
        <v>598</v>
      </c>
      <c r="C65" s="142" t="s">
        <v>530</v>
      </c>
      <c r="D65" s="142" t="s">
        <v>518</v>
      </c>
      <c r="E65" s="143" t="s">
        <v>599</v>
      </c>
    </row>
    <row r="66" ht="15.75" customHeight="1" spans="1:5">
      <c r="A66" s="150"/>
      <c r="B66" s="142" t="s">
        <v>600</v>
      </c>
      <c r="C66" s="142" t="s">
        <v>527</v>
      </c>
      <c r="D66" s="142" t="s">
        <v>507</v>
      </c>
      <c r="E66" s="143" t="s">
        <v>601</v>
      </c>
    </row>
    <row r="67" ht="15.75" customHeight="1" spans="1:5">
      <c r="A67" s="150"/>
      <c r="B67" s="142" t="s">
        <v>478</v>
      </c>
      <c r="C67" s="142" t="s">
        <v>504</v>
      </c>
      <c r="D67" s="142" t="s">
        <v>501</v>
      </c>
      <c r="E67" s="143" t="s">
        <v>592</v>
      </c>
    </row>
    <row r="68" ht="15.75" customHeight="1" spans="1:5">
      <c r="A68" s="150"/>
      <c r="B68" s="142" t="s">
        <v>602</v>
      </c>
      <c r="C68" s="142" t="s">
        <v>504</v>
      </c>
      <c r="D68" s="142" t="s">
        <v>501</v>
      </c>
      <c r="E68" s="143" t="s">
        <v>603</v>
      </c>
    </row>
    <row r="69" ht="15.75" customHeight="1" spans="1:5">
      <c r="A69" s="150"/>
      <c r="B69" s="142" t="s">
        <v>604</v>
      </c>
      <c r="C69" s="142" t="s">
        <v>574</v>
      </c>
      <c r="D69" s="142" t="s">
        <v>501</v>
      </c>
      <c r="E69" s="143" t="s">
        <v>589</v>
      </c>
    </row>
    <row r="70" ht="15.75" customHeight="1" spans="1:5">
      <c r="A70" s="150"/>
      <c r="B70" s="142" t="s">
        <v>605</v>
      </c>
      <c r="C70" s="142" t="s">
        <v>527</v>
      </c>
      <c r="D70" s="142" t="s">
        <v>507</v>
      </c>
      <c r="E70" s="143" t="s">
        <v>601</v>
      </c>
    </row>
    <row r="71" ht="15.75" customHeight="1" spans="1:5">
      <c r="A71" s="150"/>
      <c r="B71" s="142" t="s">
        <v>606</v>
      </c>
      <c r="C71" s="142" t="s">
        <v>504</v>
      </c>
      <c r="D71" s="142" t="s">
        <v>501</v>
      </c>
      <c r="E71" s="143" t="s">
        <v>592</v>
      </c>
    </row>
    <row r="72" ht="15.75" customHeight="1" spans="1:5">
      <c r="A72" s="150"/>
      <c r="B72" s="142" t="s">
        <v>607</v>
      </c>
      <c r="C72" s="142" t="s">
        <v>475</v>
      </c>
      <c r="D72" s="142" t="s">
        <v>507</v>
      </c>
      <c r="E72" s="143" t="s">
        <v>554</v>
      </c>
    </row>
    <row r="73" ht="15.75" customHeight="1" spans="1:5">
      <c r="A73" s="150"/>
      <c r="B73" s="142" t="s">
        <v>608</v>
      </c>
      <c r="C73" s="142" t="s">
        <v>527</v>
      </c>
      <c r="D73" s="142" t="s">
        <v>507</v>
      </c>
      <c r="E73" s="143" t="s">
        <v>609</v>
      </c>
    </row>
    <row r="74" ht="15.75" customHeight="1" spans="1:5">
      <c r="A74" s="150"/>
      <c r="B74" s="142" t="s">
        <v>484</v>
      </c>
      <c r="C74" s="142" t="s">
        <v>584</v>
      </c>
      <c r="D74" s="142" t="s">
        <v>518</v>
      </c>
      <c r="E74" s="143" t="s">
        <v>484</v>
      </c>
    </row>
    <row r="75" ht="15.75" customHeight="1" spans="1:5">
      <c r="A75" s="150"/>
      <c r="B75" s="142" t="s">
        <v>610</v>
      </c>
      <c r="C75" s="142" t="s">
        <v>527</v>
      </c>
      <c r="D75" s="142" t="s">
        <v>507</v>
      </c>
      <c r="E75" s="143" t="s">
        <v>528</v>
      </c>
    </row>
    <row r="76" ht="15.75" customHeight="1" spans="1:5">
      <c r="A76" s="150"/>
      <c r="B76" s="142" t="s">
        <v>611</v>
      </c>
      <c r="C76" s="142" t="s">
        <v>510</v>
      </c>
      <c r="D76" s="142" t="s">
        <v>507</v>
      </c>
      <c r="E76" s="143" t="s">
        <v>612</v>
      </c>
    </row>
    <row r="77" ht="15.75" customHeight="1" spans="1:5">
      <c r="A77" s="150"/>
      <c r="B77" s="142" t="s">
        <v>613</v>
      </c>
      <c r="C77" s="142" t="s">
        <v>510</v>
      </c>
      <c r="D77" s="142" t="s">
        <v>507</v>
      </c>
      <c r="E77" s="143" t="s">
        <v>511</v>
      </c>
    </row>
    <row r="78" ht="15.75" customHeight="1" spans="1:5">
      <c r="A78" s="150"/>
      <c r="B78" s="142" t="s">
        <v>614</v>
      </c>
      <c r="C78" s="142" t="s">
        <v>504</v>
      </c>
      <c r="D78" s="142" t="s">
        <v>501</v>
      </c>
      <c r="E78" s="143" t="s">
        <v>603</v>
      </c>
    </row>
    <row r="79" ht="15.75" customHeight="1" spans="1:5">
      <c r="A79" s="150"/>
      <c r="B79" s="142" t="s">
        <v>615</v>
      </c>
      <c r="C79" s="142" t="s">
        <v>475</v>
      </c>
      <c r="D79" s="142" t="s">
        <v>507</v>
      </c>
      <c r="E79" s="143" t="s">
        <v>508</v>
      </c>
    </row>
    <row r="80" ht="15.75" customHeight="1" spans="1:5">
      <c r="A80" s="150"/>
      <c r="B80" s="142" t="s">
        <v>616</v>
      </c>
      <c r="C80" s="142" t="s">
        <v>527</v>
      </c>
      <c r="D80" s="142" t="s">
        <v>507</v>
      </c>
      <c r="E80" s="143" t="s">
        <v>617</v>
      </c>
    </row>
    <row r="81" ht="15.75" customHeight="1" spans="1:5">
      <c r="A81" s="150"/>
      <c r="B81" s="142" t="s">
        <v>618</v>
      </c>
      <c r="C81" s="142" t="s">
        <v>574</v>
      </c>
      <c r="D81" s="142" t="s">
        <v>501</v>
      </c>
      <c r="E81" s="143" t="s">
        <v>619</v>
      </c>
    </row>
    <row r="82" ht="15.75" customHeight="1" spans="1:5">
      <c r="A82" s="150"/>
      <c r="B82" s="142" t="s">
        <v>620</v>
      </c>
      <c r="C82" s="142" t="s">
        <v>574</v>
      </c>
      <c r="D82" s="142" t="s">
        <v>501</v>
      </c>
      <c r="E82" s="143" t="s">
        <v>589</v>
      </c>
    </row>
    <row r="83" ht="15.75" customHeight="1" spans="1:5">
      <c r="A83" s="150"/>
      <c r="B83" s="142" t="s">
        <v>621</v>
      </c>
      <c r="C83" s="142" t="s">
        <v>527</v>
      </c>
      <c r="D83" s="142" t="s">
        <v>507</v>
      </c>
      <c r="E83" s="143" t="s">
        <v>609</v>
      </c>
    </row>
    <row r="84" ht="15.75" customHeight="1" spans="1:5">
      <c r="A84" s="150"/>
      <c r="B84" s="142" t="s">
        <v>622</v>
      </c>
      <c r="C84" s="142" t="s">
        <v>475</v>
      </c>
      <c r="D84" s="142" t="s">
        <v>507</v>
      </c>
      <c r="E84" s="143" t="s">
        <v>554</v>
      </c>
    </row>
    <row r="85" ht="15.75" customHeight="1" spans="1:5">
      <c r="A85" s="150"/>
      <c r="B85" s="142" t="s">
        <v>623</v>
      </c>
      <c r="C85" s="142" t="s">
        <v>475</v>
      </c>
      <c r="D85" s="142" t="s">
        <v>507</v>
      </c>
      <c r="E85" s="143" t="s">
        <v>624</v>
      </c>
    </row>
    <row r="86" ht="15.75" customHeight="1" spans="1:5">
      <c r="A86" s="150"/>
      <c r="B86" s="142" t="s">
        <v>625</v>
      </c>
      <c r="C86" s="142" t="s">
        <v>527</v>
      </c>
      <c r="D86" s="142" t="s">
        <v>507</v>
      </c>
      <c r="E86" s="143" t="s">
        <v>565</v>
      </c>
    </row>
    <row r="87" ht="15.75" customHeight="1" spans="1:5">
      <c r="A87" s="150"/>
      <c r="B87" s="142" t="s">
        <v>626</v>
      </c>
      <c r="C87" s="142" t="s">
        <v>527</v>
      </c>
      <c r="D87" s="142" t="s">
        <v>507</v>
      </c>
      <c r="E87" s="143" t="s">
        <v>528</v>
      </c>
    </row>
    <row r="88" ht="15.75" customHeight="1" spans="1:5">
      <c r="A88" s="150"/>
      <c r="B88" s="142" t="s">
        <v>627</v>
      </c>
      <c r="C88" s="142" t="s">
        <v>475</v>
      </c>
      <c r="D88" s="142" t="s">
        <v>507</v>
      </c>
      <c r="E88" s="143" t="s">
        <v>595</v>
      </c>
    </row>
    <row r="89" ht="15.75" customHeight="1" spans="1:5">
      <c r="A89" s="150"/>
      <c r="B89" s="142" t="s">
        <v>628</v>
      </c>
      <c r="C89" s="142" t="s">
        <v>475</v>
      </c>
      <c r="D89" s="142" t="s">
        <v>507</v>
      </c>
      <c r="E89" s="143" t="s">
        <v>550</v>
      </c>
    </row>
    <row r="90" ht="15.75" customHeight="1" spans="1:5">
      <c r="A90" s="150"/>
      <c r="B90" s="142" t="s">
        <v>629</v>
      </c>
      <c r="C90" s="142" t="s">
        <v>510</v>
      </c>
      <c r="D90" s="142" t="s">
        <v>507</v>
      </c>
      <c r="E90" s="143" t="s">
        <v>521</v>
      </c>
    </row>
    <row r="91" ht="15.75" customHeight="1" spans="1:5">
      <c r="A91" s="150"/>
      <c r="B91" s="142" t="s">
        <v>630</v>
      </c>
      <c r="C91" s="142" t="s">
        <v>504</v>
      </c>
      <c r="D91" s="142" t="s">
        <v>501</v>
      </c>
      <c r="E91" s="143" t="s">
        <v>505</v>
      </c>
    </row>
    <row r="92" ht="15.75" customHeight="1" spans="1:5">
      <c r="A92" s="150"/>
      <c r="B92" s="142" t="s">
        <v>631</v>
      </c>
      <c r="C92" s="142" t="s">
        <v>539</v>
      </c>
      <c r="D92" s="142" t="s">
        <v>501</v>
      </c>
      <c r="E92" s="143" t="s">
        <v>545</v>
      </c>
    </row>
    <row r="93" ht="15.75" customHeight="1" spans="1:5">
      <c r="A93" s="150"/>
      <c r="B93" s="142" t="s">
        <v>632</v>
      </c>
      <c r="C93" s="142" t="s">
        <v>504</v>
      </c>
      <c r="D93" s="142" t="s">
        <v>501</v>
      </c>
      <c r="E93" s="143" t="s">
        <v>633</v>
      </c>
    </row>
    <row r="94" ht="15.75" customHeight="1" spans="1:5">
      <c r="A94" s="150"/>
      <c r="B94" s="142" t="s">
        <v>634</v>
      </c>
      <c r="C94" s="142" t="s">
        <v>527</v>
      </c>
      <c r="D94" s="142" t="s">
        <v>507</v>
      </c>
      <c r="E94" s="143" t="s">
        <v>609</v>
      </c>
    </row>
    <row r="95" ht="15.75" customHeight="1" spans="1:5">
      <c r="A95" s="142" t="s">
        <v>635</v>
      </c>
      <c r="B95" s="142" t="s">
        <v>636</v>
      </c>
      <c r="C95" s="142" t="s">
        <v>504</v>
      </c>
      <c r="D95" s="142" t="s">
        <v>501</v>
      </c>
      <c r="E95" s="143" t="s">
        <v>637</v>
      </c>
    </row>
    <row r="96" ht="15.75" customHeight="1" spans="1:5">
      <c r="A96" s="150"/>
      <c r="B96" s="142" t="s">
        <v>638</v>
      </c>
      <c r="C96" s="142" t="s">
        <v>510</v>
      </c>
      <c r="D96" s="142" t="s">
        <v>507</v>
      </c>
      <c r="E96" s="143" t="s">
        <v>525</v>
      </c>
    </row>
    <row r="97" ht="15.75" customHeight="1" spans="1:5">
      <c r="A97" s="150"/>
      <c r="B97" s="142" t="s">
        <v>639</v>
      </c>
      <c r="C97" s="142" t="s">
        <v>510</v>
      </c>
      <c r="D97" s="142" t="s">
        <v>507</v>
      </c>
      <c r="E97" s="143" t="s">
        <v>511</v>
      </c>
    </row>
    <row r="98" ht="15.75" customHeight="1" spans="1:5">
      <c r="A98" s="150"/>
      <c r="B98" s="142" t="s">
        <v>640</v>
      </c>
      <c r="C98" s="142" t="s">
        <v>504</v>
      </c>
      <c r="D98" s="142" t="s">
        <v>501</v>
      </c>
      <c r="E98" s="143" t="s">
        <v>637</v>
      </c>
    </row>
    <row r="99" ht="15.75" customHeight="1" spans="1:5">
      <c r="A99" s="150"/>
      <c r="B99" s="142" t="s">
        <v>641</v>
      </c>
      <c r="C99" s="142" t="s">
        <v>504</v>
      </c>
      <c r="D99" s="142" t="s">
        <v>501</v>
      </c>
      <c r="E99" s="143" t="s">
        <v>633</v>
      </c>
    </row>
    <row r="100" ht="15.75" customHeight="1" spans="1:5">
      <c r="A100" s="150"/>
      <c r="B100" s="142" t="s">
        <v>642</v>
      </c>
      <c r="C100" s="142" t="s">
        <v>504</v>
      </c>
      <c r="D100" s="142" t="s">
        <v>501</v>
      </c>
      <c r="E100" s="143" t="s">
        <v>633</v>
      </c>
    </row>
    <row r="101" ht="15.75" customHeight="1" spans="1:5">
      <c r="A101" s="150"/>
      <c r="B101" s="142" t="s">
        <v>643</v>
      </c>
      <c r="C101" s="142" t="s">
        <v>510</v>
      </c>
      <c r="D101" s="142" t="s">
        <v>507</v>
      </c>
      <c r="E101" s="143" t="s">
        <v>565</v>
      </c>
    </row>
    <row r="102" ht="15.75" customHeight="1" spans="1:5">
      <c r="A102" s="150"/>
      <c r="B102" s="142" t="s">
        <v>644</v>
      </c>
      <c r="C102" s="142" t="s">
        <v>527</v>
      </c>
      <c r="D102" s="142" t="s">
        <v>507</v>
      </c>
      <c r="E102" s="143" t="s">
        <v>586</v>
      </c>
    </row>
    <row r="103" ht="15.75" customHeight="1" spans="1:5">
      <c r="A103" s="150"/>
      <c r="B103" s="142" t="s">
        <v>645</v>
      </c>
      <c r="C103" s="142" t="s">
        <v>504</v>
      </c>
      <c r="D103" s="142" t="s">
        <v>501</v>
      </c>
      <c r="E103" s="143" t="s">
        <v>637</v>
      </c>
    </row>
    <row r="104" ht="15.75" customHeight="1" spans="1:5">
      <c r="A104" s="150"/>
      <c r="B104" s="142" t="s">
        <v>646</v>
      </c>
      <c r="C104" s="142" t="s">
        <v>527</v>
      </c>
      <c r="D104" s="142" t="s">
        <v>507</v>
      </c>
      <c r="E104" s="143" t="s">
        <v>647</v>
      </c>
    </row>
    <row r="105" ht="15.75" customHeight="1" spans="1:5">
      <c r="A105" s="150"/>
      <c r="B105" s="142" t="s">
        <v>648</v>
      </c>
      <c r="C105" s="142" t="s">
        <v>539</v>
      </c>
      <c r="D105" s="142" t="s">
        <v>501</v>
      </c>
      <c r="E105" s="143" t="s">
        <v>649</v>
      </c>
    </row>
    <row r="106" ht="15.75" customHeight="1" spans="1:5">
      <c r="A106" s="150"/>
      <c r="B106" s="142" t="s">
        <v>650</v>
      </c>
      <c r="C106" s="142" t="s">
        <v>504</v>
      </c>
      <c r="D106" s="142" t="s">
        <v>501</v>
      </c>
      <c r="E106" s="143" t="s">
        <v>637</v>
      </c>
    </row>
    <row r="107" ht="15.75" customHeight="1" spans="1:5">
      <c r="A107" s="151"/>
      <c r="B107" s="148" t="s">
        <v>651</v>
      </c>
      <c r="C107" s="148" t="s">
        <v>574</v>
      </c>
      <c r="D107" s="148" t="s">
        <v>501</v>
      </c>
      <c r="E107" s="149" t="s">
        <v>652</v>
      </c>
    </row>
    <row r="108" ht="15.75" customHeight="1" spans="1:6">
      <c r="A108" s="152"/>
      <c r="B108" s="153"/>
      <c r="C108" s="152"/>
      <c r="D108" s="152"/>
      <c r="E108" s="154"/>
      <c r="F108" s="154"/>
    </row>
    <row r="109" ht="15.75" customHeight="1" spans="1:6">
      <c r="A109" s="154"/>
      <c r="B109" s="7"/>
      <c r="C109" s="154"/>
      <c r="D109" s="154"/>
      <c r="E109" s="154"/>
      <c r="F109" s="154"/>
    </row>
    <row r="110" ht="15.75" customHeight="1" spans="1:6">
      <c r="A110" s="154"/>
      <c r="B110" s="7"/>
      <c r="C110" s="154"/>
      <c r="D110" s="154"/>
      <c r="E110" s="154"/>
      <c r="F110" s="154"/>
    </row>
    <row r="111" ht="15.75" customHeight="1" spans="1:6">
      <c r="A111" s="154"/>
      <c r="B111" s="7"/>
      <c r="C111" s="154"/>
      <c r="D111" s="154"/>
      <c r="E111" s="154"/>
      <c r="F111" s="154"/>
    </row>
    <row r="112" ht="15.75" customHeight="1" spans="1:6">
      <c r="A112" s="154"/>
      <c r="B112" s="7"/>
      <c r="C112" s="154"/>
      <c r="D112" s="154"/>
      <c r="E112" s="154"/>
      <c r="F112" s="154"/>
    </row>
    <row r="113" ht="15.75" customHeight="1" spans="1:6">
      <c r="A113" s="154"/>
      <c r="B113" s="7"/>
      <c r="C113" s="154"/>
      <c r="D113" s="154"/>
      <c r="E113" s="154"/>
      <c r="F113" s="154"/>
    </row>
    <row r="114" ht="15.75" customHeight="1" spans="1:6">
      <c r="A114" s="154"/>
      <c r="B114" s="7"/>
      <c r="C114" s="154"/>
      <c r="D114" s="154"/>
      <c r="E114" s="154"/>
      <c r="F114" s="154"/>
    </row>
    <row r="115" ht="15.75" customHeight="1" spans="1:6">
      <c r="A115" s="154"/>
      <c r="B115" s="7"/>
      <c r="C115" s="154"/>
      <c r="D115" s="154"/>
      <c r="E115" s="154"/>
      <c r="F115" s="154"/>
    </row>
    <row r="116" ht="15.75" customHeight="1" spans="1:6">
      <c r="A116" s="154"/>
      <c r="B116" s="7"/>
      <c r="C116" s="154"/>
      <c r="D116" s="154"/>
      <c r="E116" s="154"/>
      <c r="F116" s="154"/>
    </row>
    <row r="117" ht="15.75" customHeight="1" spans="1:6">
      <c r="A117" s="154"/>
      <c r="B117" s="7"/>
      <c r="C117" s="154"/>
      <c r="D117" s="154"/>
      <c r="E117" s="154"/>
      <c r="F117" s="154"/>
    </row>
    <row r="118" ht="15.75" customHeight="1" spans="1:6">
      <c r="A118" s="154"/>
      <c r="B118" s="7"/>
      <c r="C118" s="154"/>
      <c r="D118" s="154"/>
      <c r="E118" s="154"/>
      <c r="F118" s="154"/>
    </row>
    <row r="119" ht="15.75" customHeight="1" spans="1:6">
      <c r="A119" s="154"/>
      <c r="B119" s="7"/>
      <c r="C119" s="154"/>
      <c r="D119" s="154"/>
      <c r="E119" s="154"/>
      <c r="F119" s="154"/>
    </row>
    <row r="120" ht="15.75" customHeight="1" spans="1:6">
      <c r="A120" s="154"/>
      <c r="B120" s="7"/>
      <c r="C120" s="154"/>
      <c r="D120" s="154"/>
      <c r="E120" s="154"/>
      <c r="F120" s="154"/>
    </row>
    <row r="121" ht="15.75" customHeight="1" spans="1:6">
      <c r="A121" s="154"/>
      <c r="B121" s="7"/>
      <c r="C121" s="154"/>
      <c r="D121" s="154"/>
      <c r="E121" s="154"/>
      <c r="F121" s="154"/>
    </row>
    <row r="122" ht="15.75" customHeight="1" spans="1:6">
      <c r="A122" s="154"/>
      <c r="B122" s="7"/>
      <c r="C122" s="154"/>
      <c r="D122" s="154"/>
      <c r="E122" s="154"/>
      <c r="F122" s="154"/>
    </row>
    <row r="123" ht="15.75" customHeight="1" spans="1:6">
      <c r="A123" s="154"/>
      <c r="B123" s="7"/>
      <c r="C123" s="154"/>
      <c r="D123" s="154"/>
      <c r="E123" s="154"/>
      <c r="F123" s="154"/>
    </row>
    <row r="124" ht="15.75" customHeight="1" spans="1:6">
      <c r="A124" s="154"/>
      <c r="B124" s="7"/>
      <c r="C124" s="154"/>
      <c r="D124" s="154"/>
      <c r="E124" s="154"/>
      <c r="F124" s="154"/>
    </row>
    <row r="125" ht="15.75" customHeight="1" spans="1:6">
      <c r="A125" s="154"/>
      <c r="B125" s="7"/>
      <c r="C125" s="154"/>
      <c r="D125" s="154"/>
      <c r="E125" s="154"/>
      <c r="F125" s="154"/>
    </row>
    <row r="126" ht="15.75" customHeight="1" spans="1:6">
      <c r="A126" s="154"/>
      <c r="B126" s="7"/>
      <c r="C126" s="154"/>
      <c r="D126" s="154"/>
      <c r="E126" s="154"/>
      <c r="F126" s="154"/>
    </row>
    <row r="127" ht="15.75" customHeight="1" spans="1:6">
      <c r="A127" s="154"/>
      <c r="B127" s="7"/>
      <c r="C127" s="154"/>
      <c r="D127" s="154"/>
      <c r="E127" s="154"/>
      <c r="F127" s="154"/>
    </row>
    <row r="128" ht="15.75" customHeight="1" spans="1:6">
      <c r="A128" s="154"/>
      <c r="B128" s="7"/>
      <c r="C128" s="154"/>
      <c r="D128" s="154"/>
      <c r="E128" s="154"/>
      <c r="F128" s="154"/>
    </row>
    <row r="129" ht="15.75" customHeight="1" spans="1:6">
      <c r="A129" s="154"/>
      <c r="B129" s="7"/>
      <c r="C129" s="154"/>
      <c r="D129" s="154"/>
      <c r="E129" s="154"/>
      <c r="F129" s="154"/>
    </row>
    <row r="130" ht="15.75" customHeight="1" spans="1:6">
      <c r="A130" s="154"/>
      <c r="B130" s="7"/>
      <c r="C130" s="154"/>
      <c r="D130" s="154"/>
      <c r="E130" s="154"/>
      <c r="F130" s="154"/>
    </row>
    <row r="131" ht="15.75" customHeight="1" spans="1:6">
      <c r="A131" s="154"/>
      <c r="B131" s="7"/>
      <c r="C131" s="154"/>
      <c r="D131" s="154"/>
      <c r="E131" s="154"/>
      <c r="F131" s="154"/>
    </row>
    <row r="132" ht="15.75" customHeight="1" spans="1:6">
      <c r="A132" s="154"/>
      <c r="B132" s="7"/>
      <c r="C132" s="154"/>
      <c r="D132" s="154"/>
      <c r="E132" s="154"/>
      <c r="F132" s="154"/>
    </row>
    <row r="133" ht="15.75" customHeight="1" spans="1:6">
      <c r="A133" s="154"/>
      <c r="B133" s="7"/>
      <c r="C133" s="154"/>
      <c r="D133" s="154"/>
      <c r="E133" s="154"/>
      <c r="F133" s="154"/>
    </row>
    <row r="134" ht="15.75" customHeight="1" spans="1:6">
      <c r="A134" s="154"/>
      <c r="B134" s="7"/>
      <c r="C134" s="154"/>
      <c r="D134" s="154"/>
      <c r="E134" s="154"/>
      <c r="F134" s="154"/>
    </row>
    <row r="135" ht="15.75" customHeight="1" spans="1:6">
      <c r="A135" s="154"/>
      <c r="B135" s="7"/>
      <c r="C135" s="154"/>
      <c r="D135" s="154"/>
      <c r="E135" s="154"/>
      <c r="F135" s="154"/>
    </row>
    <row r="136" ht="15.75" customHeight="1" spans="1:6">
      <c r="A136" s="154"/>
      <c r="B136" s="7"/>
      <c r="C136" s="154"/>
      <c r="D136" s="154"/>
      <c r="E136" s="154"/>
      <c r="F136" s="154"/>
    </row>
    <row r="137" ht="15.75" customHeight="1" spans="1:6">
      <c r="A137" s="154"/>
      <c r="B137" s="7"/>
      <c r="C137" s="154"/>
      <c r="D137" s="154"/>
      <c r="E137" s="154"/>
      <c r="F137" s="154"/>
    </row>
    <row r="138" ht="15.75" customHeight="1" spans="1:6">
      <c r="A138" s="154"/>
      <c r="B138" s="7"/>
      <c r="C138" s="154"/>
      <c r="D138" s="154"/>
      <c r="E138" s="154"/>
      <c r="F138" s="154"/>
    </row>
    <row r="139" ht="15.75" customHeight="1" spans="1:6">
      <c r="A139" s="154"/>
      <c r="B139" s="7"/>
      <c r="C139" s="154"/>
      <c r="D139" s="154"/>
      <c r="E139" s="154"/>
      <c r="F139" s="154"/>
    </row>
    <row r="140" ht="15.75" customHeight="1" spans="1:6">
      <c r="A140" s="154"/>
      <c r="B140" s="7"/>
      <c r="C140" s="154"/>
      <c r="D140" s="154"/>
      <c r="E140" s="154"/>
      <c r="F140" s="154"/>
    </row>
    <row r="141" ht="15.75" customHeight="1" spans="1:6">
      <c r="A141" s="154"/>
      <c r="B141" s="7"/>
      <c r="C141" s="154"/>
      <c r="D141" s="154"/>
      <c r="E141" s="154"/>
      <c r="F141" s="154"/>
    </row>
    <row r="142" ht="15.75" customHeight="1" spans="1:6">
      <c r="A142" s="154"/>
      <c r="B142" s="7"/>
      <c r="C142" s="154"/>
      <c r="D142" s="154"/>
      <c r="E142" s="154"/>
      <c r="F142" s="154"/>
    </row>
    <row r="143" ht="15.75" customHeight="1" spans="1:6">
      <c r="A143" s="154"/>
      <c r="B143" s="7"/>
      <c r="C143" s="154"/>
      <c r="D143" s="154"/>
      <c r="E143" s="154"/>
      <c r="F143" s="154"/>
    </row>
    <row r="144" ht="15.75" customHeight="1" spans="1:6">
      <c r="A144" s="154"/>
      <c r="B144" s="7"/>
      <c r="C144" s="154"/>
      <c r="D144" s="154"/>
      <c r="E144" s="154"/>
      <c r="F144" s="154"/>
    </row>
    <row r="145" ht="15.75" customHeight="1" spans="1:6">
      <c r="A145" s="154"/>
      <c r="B145" s="7"/>
      <c r="C145" s="154"/>
      <c r="D145" s="154"/>
      <c r="E145" s="154"/>
      <c r="F145" s="154"/>
    </row>
    <row r="146" ht="15.75" customHeight="1" spans="1:6">
      <c r="A146" s="154"/>
      <c r="B146" s="7"/>
      <c r="C146" s="154"/>
      <c r="D146" s="154"/>
      <c r="E146" s="154"/>
      <c r="F146" s="154"/>
    </row>
    <row r="147" ht="15.75" customHeight="1" spans="1:6">
      <c r="A147" s="154"/>
      <c r="B147" s="7"/>
      <c r="C147" s="154"/>
      <c r="D147" s="154"/>
      <c r="E147" s="154"/>
      <c r="F147" s="154"/>
    </row>
    <row r="148" ht="15.75" customHeight="1" spans="1:6">
      <c r="A148" s="154"/>
      <c r="B148" s="7"/>
      <c r="C148" s="154"/>
      <c r="D148" s="154"/>
      <c r="E148" s="154"/>
      <c r="F148" s="154"/>
    </row>
    <row r="149" ht="15.75" customHeight="1" spans="1:6">
      <c r="A149" s="154"/>
      <c r="B149" s="7"/>
      <c r="C149" s="154"/>
      <c r="D149" s="154"/>
      <c r="E149" s="154"/>
      <c r="F149" s="154"/>
    </row>
    <row r="150" ht="15.75" customHeight="1" spans="1:6">
      <c r="A150" s="154"/>
      <c r="B150" s="7"/>
      <c r="C150" s="154"/>
      <c r="D150" s="154"/>
      <c r="E150" s="154"/>
      <c r="F150" s="154"/>
    </row>
    <row r="151" ht="15.75" customHeight="1" spans="1:6">
      <c r="A151" s="154"/>
      <c r="B151" s="7"/>
      <c r="C151" s="154"/>
      <c r="D151" s="154"/>
      <c r="E151" s="154"/>
      <c r="F151" s="154"/>
    </row>
    <row r="152" ht="15.75" customHeight="1" spans="1:6">
      <c r="A152" s="154"/>
      <c r="B152" s="7"/>
      <c r="C152" s="154"/>
      <c r="D152" s="154"/>
      <c r="E152" s="154"/>
      <c r="F152" s="154"/>
    </row>
    <row r="153" ht="15.75" customHeight="1" spans="1:6">
      <c r="A153" s="154"/>
      <c r="B153" s="7"/>
      <c r="C153" s="154"/>
      <c r="D153" s="154"/>
      <c r="E153" s="154"/>
      <c r="F153" s="154"/>
    </row>
    <row r="154" ht="15.75" customHeight="1" spans="1:6">
      <c r="A154" s="154"/>
      <c r="B154" s="7"/>
      <c r="C154" s="154"/>
      <c r="D154" s="154"/>
      <c r="E154" s="154"/>
      <c r="F154" s="154"/>
    </row>
    <row r="155" ht="15.75" customHeight="1" spans="1:6">
      <c r="A155" s="154"/>
      <c r="B155" s="7"/>
      <c r="C155" s="154"/>
      <c r="D155" s="154"/>
      <c r="E155" s="154"/>
      <c r="F155" s="154"/>
    </row>
    <row r="156" ht="15.75" customHeight="1" spans="1:6">
      <c r="A156" s="154"/>
      <c r="B156" s="7"/>
      <c r="C156" s="154"/>
      <c r="D156" s="154"/>
      <c r="E156" s="154"/>
      <c r="F156" s="154"/>
    </row>
    <row r="157" ht="15.75" customHeight="1" spans="1:6">
      <c r="A157" s="154"/>
      <c r="B157" s="7"/>
      <c r="C157" s="154"/>
      <c r="D157" s="154"/>
      <c r="E157" s="154"/>
      <c r="F157" s="154"/>
    </row>
    <row r="158" ht="15.75" customHeight="1" spans="1:6">
      <c r="A158" s="154"/>
      <c r="B158" s="7"/>
      <c r="C158" s="154"/>
      <c r="D158" s="154"/>
      <c r="E158" s="154"/>
      <c r="F158" s="154"/>
    </row>
    <row r="159" ht="15.75" customHeight="1" spans="1:6">
      <c r="A159" s="154"/>
      <c r="B159" s="7"/>
      <c r="C159" s="154"/>
      <c r="D159" s="154"/>
      <c r="E159" s="154"/>
      <c r="F159" s="154"/>
    </row>
    <row r="160" ht="15.75" customHeight="1" spans="1:6">
      <c r="A160" s="154"/>
      <c r="B160" s="7"/>
      <c r="C160" s="154"/>
      <c r="D160" s="154"/>
      <c r="E160" s="154"/>
      <c r="F160" s="154"/>
    </row>
    <row r="161" ht="15.75" customHeight="1" spans="1:6">
      <c r="A161" s="154"/>
      <c r="B161" s="7"/>
      <c r="C161" s="154"/>
      <c r="D161" s="154"/>
      <c r="E161" s="154"/>
      <c r="F161" s="154"/>
    </row>
    <row r="162" ht="15.75" customHeight="1" spans="1:6">
      <c r="A162" s="154"/>
      <c r="B162" s="7"/>
      <c r="C162" s="154"/>
      <c r="D162" s="154"/>
      <c r="E162" s="154"/>
      <c r="F162" s="154"/>
    </row>
    <row r="163" ht="15.75" customHeight="1" spans="1:6">
      <c r="A163" s="154"/>
      <c r="B163" s="7"/>
      <c r="C163" s="154"/>
      <c r="D163" s="154"/>
      <c r="E163" s="154"/>
      <c r="F163" s="154"/>
    </row>
    <row r="164" ht="15.75" customHeight="1" spans="1:6">
      <c r="A164" s="154"/>
      <c r="B164" s="7"/>
      <c r="C164" s="154"/>
      <c r="D164" s="154"/>
      <c r="E164" s="154"/>
      <c r="F164" s="154"/>
    </row>
    <row r="165" ht="15.75" customHeight="1" spans="1:6">
      <c r="A165" s="154"/>
      <c r="B165" s="7"/>
      <c r="C165" s="154"/>
      <c r="D165" s="154"/>
      <c r="E165" s="154"/>
      <c r="F165" s="154"/>
    </row>
    <row r="166" ht="15.75" customHeight="1" spans="1:6">
      <c r="A166" s="154"/>
      <c r="B166" s="7"/>
      <c r="C166" s="154"/>
      <c r="D166" s="154"/>
      <c r="E166" s="154"/>
      <c r="F166" s="154"/>
    </row>
    <row r="167" ht="15.75" customHeight="1" spans="1:6">
      <c r="A167" s="154"/>
      <c r="B167" s="7"/>
      <c r="C167" s="154"/>
      <c r="D167" s="154"/>
      <c r="E167" s="154"/>
      <c r="F167" s="154"/>
    </row>
    <row r="168" ht="15.75" customHeight="1" spans="1:6">
      <c r="A168" s="154"/>
      <c r="B168" s="7"/>
      <c r="C168" s="154"/>
      <c r="D168" s="154"/>
      <c r="E168" s="154"/>
      <c r="F168" s="154"/>
    </row>
    <row r="169" ht="15.75" customHeight="1" spans="1:6">
      <c r="A169" s="154"/>
      <c r="B169" s="7"/>
      <c r="C169" s="154"/>
      <c r="D169" s="154"/>
      <c r="E169" s="154"/>
      <c r="F169" s="154"/>
    </row>
    <row r="170" ht="15.75" customHeight="1" spans="1:6">
      <c r="A170" s="154"/>
      <c r="B170" s="7"/>
      <c r="C170" s="154"/>
      <c r="D170" s="154"/>
      <c r="E170" s="154"/>
      <c r="F170" s="154"/>
    </row>
    <row r="171" ht="15.75" customHeight="1" spans="1:6">
      <c r="A171" s="154"/>
      <c r="B171" s="7"/>
      <c r="C171" s="154"/>
      <c r="D171" s="154"/>
      <c r="E171" s="154"/>
      <c r="F171" s="154"/>
    </row>
    <row r="172" ht="15.75" customHeight="1" spans="1:6">
      <c r="A172" s="154"/>
      <c r="B172" s="7"/>
      <c r="C172" s="154"/>
      <c r="D172" s="154"/>
      <c r="E172" s="154"/>
      <c r="F172" s="154"/>
    </row>
    <row r="173" ht="15.75" customHeight="1" spans="1:6">
      <c r="A173" s="154"/>
      <c r="B173" s="7"/>
      <c r="C173" s="154"/>
      <c r="D173" s="154"/>
      <c r="E173" s="154"/>
      <c r="F173" s="154"/>
    </row>
    <row r="174" ht="15.75" customHeight="1" spans="1:6">
      <c r="A174" s="154"/>
      <c r="B174" s="7"/>
      <c r="C174" s="154"/>
      <c r="D174" s="154"/>
      <c r="E174" s="154"/>
      <c r="F174" s="154"/>
    </row>
    <row r="175" ht="15.75" customHeight="1" spans="1:6">
      <c r="A175" s="154"/>
      <c r="B175" s="7"/>
      <c r="C175" s="154"/>
      <c r="D175" s="154"/>
      <c r="E175" s="154"/>
      <c r="F175" s="154"/>
    </row>
    <row r="176" ht="15.75" customHeight="1" spans="1:6">
      <c r="A176" s="154"/>
      <c r="B176" s="7"/>
      <c r="C176" s="154"/>
      <c r="D176" s="154"/>
      <c r="E176" s="154"/>
      <c r="F176" s="154"/>
    </row>
    <row r="177" ht="15.75" customHeight="1" spans="1:6">
      <c r="A177" s="154"/>
      <c r="B177" s="7"/>
      <c r="C177" s="154"/>
      <c r="D177" s="154"/>
      <c r="E177" s="154"/>
      <c r="F177" s="154"/>
    </row>
    <row r="178" ht="15.75" customHeight="1" spans="1:6">
      <c r="A178" s="154"/>
      <c r="B178" s="7"/>
      <c r="C178" s="154"/>
      <c r="D178" s="154"/>
      <c r="E178" s="154"/>
      <c r="F178" s="154"/>
    </row>
    <row r="179" ht="15.75" customHeight="1" spans="1:6">
      <c r="A179" s="154"/>
      <c r="B179" s="7"/>
      <c r="C179" s="154"/>
      <c r="D179" s="154"/>
      <c r="E179" s="154"/>
      <c r="F179" s="154"/>
    </row>
    <row r="180" ht="15.75" customHeight="1" spans="1:6">
      <c r="A180" s="154"/>
      <c r="B180" s="7"/>
      <c r="C180" s="154"/>
      <c r="D180" s="154"/>
      <c r="E180" s="154"/>
      <c r="F180" s="154"/>
    </row>
    <row r="181" ht="15.75" customHeight="1" spans="1:6">
      <c r="A181" s="154"/>
      <c r="B181" s="7"/>
      <c r="C181" s="154"/>
      <c r="D181" s="154"/>
      <c r="E181" s="154"/>
      <c r="F181" s="154"/>
    </row>
    <row r="182" ht="15.75" customHeight="1" spans="1:6">
      <c r="A182" s="154"/>
      <c r="B182" s="7"/>
      <c r="C182" s="154"/>
      <c r="D182" s="154"/>
      <c r="E182" s="154"/>
      <c r="F182" s="154"/>
    </row>
    <row r="183" ht="15.75" customHeight="1" spans="1:6">
      <c r="A183" s="154"/>
      <c r="B183" s="7"/>
      <c r="C183" s="154"/>
      <c r="D183" s="154"/>
      <c r="E183" s="154"/>
      <c r="F183" s="154"/>
    </row>
    <row r="184" ht="15.75" customHeight="1" spans="1:6">
      <c r="A184" s="154"/>
      <c r="B184" s="7"/>
      <c r="C184" s="154"/>
      <c r="D184" s="154"/>
      <c r="E184" s="154"/>
      <c r="F184" s="154"/>
    </row>
    <row r="185" ht="15.75" customHeight="1" spans="1:6">
      <c r="A185" s="154"/>
      <c r="B185" s="7"/>
      <c r="C185" s="154"/>
      <c r="D185" s="154"/>
      <c r="E185" s="154"/>
      <c r="F185" s="154"/>
    </row>
    <row r="186" ht="15.75" customHeight="1" spans="1:6">
      <c r="A186" s="154"/>
      <c r="B186" s="7"/>
      <c r="C186" s="154"/>
      <c r="D186" s="154"/>
      <c r="E186" s="154"/>
      <c r="F186" s="154"/>
    </row>
    <row r="187" ht="15.75" customHeight="1" spans="1:6">
      <c r="A187" s="154"/>
      <c r="B187" s="7"/>
      <c r="C187" s="154"/>
      <c r="D187" s="154"/>
      <c r="E187" s="154"/>
      <c r="F187" s="154"/>
    </row>
    <row r="188" ht="15.75" customHeight="1" spans="1:6">
      <c r="A188" s="154"/>
      <c r="B188" s="7"/>
      <c r="C188" s="154"/>
      <c r="D188" s="154"/>
      <c r="E188" s="154"/>
      <c r="F188" s="154"/>
    </row>
    <row r="189" ht="15.75" customHeight="1" spans="1:6">
      <c r="A189" s="154"/>
      <c r="B189" s="7"/>
      <c r="C189" s="154"/>
      <c r="D189" s="154"/>
      <c r="E189" s="154"/>
      <c r="F189" s="154"/>
    </row>
    <row r="190" ht="15.75" customHeight="1" spans="1:6">
      <c r="A190" s="154"/>
      <c r="B190" s="7"/>
      <c r="C190" s="154"/>
      <c r="D190" s="154"/>
      <c r="E190" s="154"/>
      <c r="F190" s="154"/>
    </row>
    <row r="191" ht="15.75" customHeight="1" spans="1:6">
      <c r="A191" s="154"/>
      <c r="B191" s="7"/>
      <c r="C191" s="154"/>
      <c r="D191" s="154"/>
      <c r="E191" s="154"/>
      <c r="F191" s="154"/>
    </row>
    <row r="192" ht="15.75" customHeight="1" spans="1:6">
      <c r="A192" s="154"/>
      <c r="B192" s="7"/>
      <c r="C192" s="154"/>
      <c r="D192" s="154"/>
      <c r="E192" s="154"/>
      <c r="F192" s="154"/>
    </row>
    <row r="193" ht="15.75" customHeight="1" spans="1:6">
      <c r="A193" s="154"/>
      <c r="B193" s="7"/>
      <c r="C193" s="154"/>
      <c r="D193" s="154"/>
      <c r="E193" s="154"/>
      <c r="F193" s="154"/>
    </row>
    <row r="194" ht="15.75" customHeight="1" spans="1:6">
      <c r="A194" s="154"/>
      <c r="B194" s="7"/>
      <c r="C194" s="154"/>
      <c r="D194" s="154"/>
      <c r="E194" s="154"/>
      <c r="F194" s="154"/>
    </row>
    <row r="195" ht="15.75" customHeight="1" spans="1:6">
      <c r="A195" s="154"/>
      <c r="B195" s="7"/>
      <c r="C195" s="154"/>
      <c r="D195" s="154"/>
      <c r="E195" s="154"/>
      <c r="F195" s="154"/>
    </row>
    <row r="196" ht="15.75" customHeight="1" spans="1:6">
      <c r="A196" s="154"/>
      <c r="B196" s="7"/>
      <c r="C196" s="154"/>
      <c r="D196" s="154"/>
      <c r="E196" s="154"/>
      <c r="F196" s="154"/>
    </row>
    <row r="197" ht="15.75" customHeight="1" spans="1:6">
      <c r="A197" s="154"/>
      <c r="B197" s="7"/>
      <c r="C197" s="154"/>
      <c r="D197" s="154"/>
      <c r="E197" s="154"/>
      <c r="F197" s="154"/>
    </row>
    <row r="198" ht="15.75" customHeight="1" spans="1:6">
      <c r="A198" s="154"/>
      <c r="B198" s="7"/>
      <c r="C198" s="154"/>
      <c r="D198" s="154"/>
      <c r="E198" s="154"/>
      <c r="F198" s="154"/>
    </row>
    <row r="199" ht="15.75" customHeight="1" spans="1:6">
      <c r="A199" s="154"/>
      <c r="B199" s="7"/>
      <c r="C199" s="154"/>
      <c r="D199" s="154"/>
      <c r="E199" s="154"/>
      <c r="F199" s="154"/>
    </row>
    <row r="200" ht="15.75" customHeight="1" spans="1:6">
      <c r="A200" s="154"/>
      <c r="B200" s="7"/>
      <c r="C200" s="154"/>
      <c r="D200" s="154"/>
      <c r="E200" s="154"/>
      <c r="F200" s="154"/>
    </row>
    <row r="201" ht="15.75" customHeight="1" spans="1:6">
      <c r="A201" s="154"/>
      <c r="B201" s="7"/>
      <c r="C201" s="154"/>
      <c r="D201" s="154"/>
      <c r="E201" s="154"/>
      <c r="F201" s="154"/>
    </row>
    <row r="202" ht="15.75" customHeight="1" spans="1:6">
      <c r="A202" s="154"/>
      <c r="B202" s="7"/>
      <c r="C202" s="154"/>
      <c r="D202" s="154"/>
      <c r="E202" s="154"/>
      <c r="F202" s="154"/>
    </row>
    <row r="203" ht="15.75" customHeight="1" spans="1:6">
      <c r="A203" s="154"/>
      <c r="B203" s="7"/>
      <c r="C203" s="154"/>
      <c r="D203" s="154"/>
      <c r="E203" s="154"/>
      <c r="F203" s="154"/>
    </row>
    <row r="204" ht="15.75" customHeight="1" spans="1:6">
      <c r="A204" s="154"/>
      <c r="B204" s="7"/>
      <c r="C204" s="154"/>
      <c r="D204" s="154"/>
      <c r="E204" s="154"/>
      <c r="F204" s="154"/>
    </row>
    <row r="205" ht="15.75" customHeight="1" spans="1:6">
      <c r="A205" s="154"/>
      <c r="B205" s="7"/>
      <c r="C205" s="154"/>
      <c r="D205" s="154"/>
      <c r="E205" s="154"/>
      <c r="F205" s="154"/>
    </row>
    <row r="206" ht="15.75" customHeight="1" spans="1:6">
      <c r="A206" s="154"/>
      <c r="B206" s="7"/>
      <c r="C206" s="154"/>
      <c r="D206" s="154"/>
      <c r="E206" s="154"/>
      <c r="F206" s="154"/>
    </row>
    <row r="207" ht="15.75" customHeight="1" spans="1:6">
      <c r="A207" s="154"/>
      <c r="B207" s="7"/>
      <c r="C207" s="154"/>
      <c r="D207" s="154"/>
      <c r="E207" s="154"/>
      <c r="F207" s="154"/>
    </row>
    <row r="208" ht="15.75" customHeight="1" spans="1:6">
      <c r="A208" s="154"/>
      <c r="B208" s="7"/>
      <c r="C208" s="154"/>
      <c r="D208" s="154"/>
      <c r="E208" s="154"/>
      <c r="F208" s="154"/>
    </row>
    <row r="209" ht="15.75" customHeight="1" spans="1:6">
      <c r="A209" s="154"/>
      <c r="B209" s="7"/>
      <c r="C209" s="154"/>
      <c r="D209" s="154"/>
      <c r="E209" s="154"/>
      <c r="F209" s="154"/>
    </row>
    <row r="210" ht="15.75" customHeight="1" spans="1:6">
      <c r="A210" s="154"/>
      <c r="B210" s="7"/>
      <c r="C210" s="154"/>
      <c r="D210" s="154"/>
      <c r="E210" s="154"/>
      <c r="F210" s="154"/>
    </row>
    <row r="211" ht="15.75" customHeight="1" spans="1:6">
      <c r="A211" s="154"/>
      <c r="B211" s="7"/>
      <c r="C211" s="154"/>
      <c r="D211" s="154"/>
      <c r="E211" s="154"/>
      <c r="F211" s="154"/>
    </row>
    <row r="212" ht="15.75" customHeight="1" spans="1:6">
      <c r="A212" s="154"/>
      <c r="B212" s="7"/>
      <c r="C212" s="154"/>
      <c r="D212" s="154"/>
      <c r="E212" s="154"/>
      <c r="F212" s="154"/>
    </row>
    <row r="213" ht="15.75" customHeight="1" spans="1:6">
      <c r="A213" s="154"/>
      <c r="B213" s="7"/>
      <c r="C213" s="154"/>
      <c r="D213" s="154"/>
      <c r="E213" s="154"/>
      <c r="F213" s="154"/>
    </row>
    <row r="214" ht="15.75" customHeight="1" spans="1:6">
      <c r="A214" s="154"/>
      <c r="B214" s="7"/>
      <c r="C214" s="154"/>
      <c r="D214" s="154"/>
      <c r="E214" s="154"/>
      <c r="F214" s="154"/>
    </row>
    <row r="215" ht="15.75" customHeight="1" spans="1:6">
      <c r="A215" s="154"/>
      <c r="B215" s="7"/>
      <c r="C215" s="154"/>
      <c r="D215" s="154"/>
      <c r="E215" s="154"/>
      <c r="F215" s="154"/>
    </row>
    <row r="216" ht="15.75" customHeight="1" spans="1:6">
      <c r="A216" s="154"/>
      <c r="B216" s="7"/>
      <c r="C216" s="154"/>
      <c r="D216" s="154"/>
      <c r="E216" s="154"/>
      <c r="F216" s="154"/>
    </row>
    <row r="217" ht="15.75" customHeight="1" spans="1:6">
      <c r="A217" s="154"/>
      <c r="B217" s="7"/>
      <c r="C217" s="154"/>
      <c r="D217" s="154"/>
      <c r="E217" s="154"/>
      <c r="F217" s="154"/>
    </row>
    <row r="218" ht="15.75" customHeight="1" spans="1:6">
      <c r="A218" s="154"/>
      <c r="B218" s="7"/>
      <c r="C218" s="154"/>
      <c r="D218" s="154"/>
      <c r="E218" s="154"/>
      <c r="F218" s="154"/>
    </row>
    <row r="219" ht="15.75" customHeight="1" spans="1:6">
      <c r="A219" s="154"/>
      <c r="B219" s="7"/>
      <c r="C219" s="154"/>
      <c r="D219" s="154"/>
      <c r="E219" s="154"/>
      <c r="F219" s="154"/>
    </row>
    <row r="220" ht="15.75" customHeight="1" spans="1:6">
      <c r="A220" s="154"/>
      <c r="B220" s="7"/>
      <c r="C220" s="154"/>
      <c r="D220" s="154"/>
      <c r="E220" s="154"/>
      <c r="F220" s="154"/>
    </row>
    <row r="221" ht="15.75" customHeight="1" spans="1:6">
      <c r="A221" s="154"/>
      <c r="B221" s="7"/>
      <c r="C221" s="154"/>
      <c r="D221" s="154"/>
      <c r="E221" s="154"/>
      <c r="F221" s="154"/>
    </row>
    <row r="222" ht="15.75" customHeight="1" spans="1:6">
      <c r="A222" s="154"/>
      <c r="B222" s="7"/>
      <c r="C222" s="154"/>
      <c r="D222" s="154"/>
      <c r="E222" s="154"/>
      <c r="F222" s="154"/>
    </row>
    <row r="223" ht="15.75" customHeight="1" spans="1:6">
      <c r="A223" s="154"/>
      <c r="B223" s="7"/>
      <c r="C223" s="154"/>
      <c r="D223" s="154"/>
      <c r="E223" s="154"/>
      <c r="F223" s="154"/>
    </row>
    <row r="224" ht="15.75" customHeight="1" spans="1:6">
      <c r="A224" s="154"/>
      <c r="B224" s="7"/>
      <c r="C224" s="154"/>
      <c r="D224" s="154"/>
      <c r="E224" s="154"/>
      <c r="F224" s="154"/>
    </row>
    <row r="225" ht="15.75" customHeight="1" spans="1:6">
      <c r="A225" s="154"/>
      <c r="B225" s="7"/>
      <c r="C225" s="154"/>
      <c r="D225" s="154"/>
      <c r="E225" s="154"/>
      <c r="F225" s="154"/>
    </row>
    <row r="226" ht="15.75" customHeight="1" spans="1:6">
      <c r="A226" s="154"/>
      <c r="B226" s="7"/>
      <c r="C226" s="154"/>
      <c r="D226" s="154"/>
      <c r="E226" s="154"/>
      <c r="F226" s="154"/>
    </row>
    <row r="227" ht="15.75" customHeight="1" spans="1:6">
      <c r="A227" s="154"/>
      <c r="B227" s="7"/>
      <c r="C227" s="154"/>
      <c r="D227" s="154"/>
      <c r="E227" s="154"/>
      <c r="F227" s="154"/>
    </row>
    <row r="228" ht="15.75" customHeight="1" spans="1:6">
      <c r="A228" s="154"/>
      <c r="B228" s="7"/>
      <c r="C228" s="154"/>
      <c r="D228" s="154"/>
      <c r="E228" s="154"/>
      <c r="F228" s="154"/>
    </row>
    <row r="229" ht="15.75" customHeight="1" spans="1:6">
      <c r="A229" s="154"/>
      <c r="B229" s="7"/>
      <c r="C229" s="154"/>
      <c r="D229" s="154"/>
      <c r="E229" s="154"/>
      <c r="F229" s="154"/>
    </row>
    <row r="230" ht="15.75" customHeight="1" spans="1:6">
      <c r="A230" s="154"/>
      <c r="B230" s="7"/>
      <c r="C230" s="154"/>
      <c r="D230" s="154"/>
      <c r="E230" s="154"/>
      <c r="F230" s="154"/>
    </row>
    <row r="231" ht="15.75" customHeight="1" spans="1:6">
      <c r="A231" s="154"/>
      <c r="B231" s="7"/>
      <c r="C231" s="154"/>
      <c r="D231" s="154"/>
      <c r="E231" s="154"/>
      <c r="F231" s="154"/>
    </row>
    <row r="232" ht="15.75" customHeight="1" spans="1:6">
      <c r="A232" s="154"/>
      <c r="B232" s="7"/>
      <c r="C232" s="154"/>
      <c r="D232" s="154"/>
      <c r="E232" s="154"/>
      <c r="F232" s="154"/>
    </row>
    <row r="233" ht="15.75" customHeight="1" spans="1:6">
      <c r="A233" s="154"/>
      <c r="B233" s="7"/>
      <c r="C233" s="154"/>
      <c r="D233" s="154"/>
      <c r="E233" s="154"/>
      <c r="F233" s="154"/>
    </row>
    <row r="234" ht="15.75" customHeight="1" spans="1:6">
      <c r="A234" s="154"/>
      <c r="B234" s="7"/>
      <c r="C234" s="154"/>
      <c r="D234" s="154"/>
      <c r="E234" s="154"/>
      <c r="F234" s="154"/>
    </row>
    <row r="235" ht="15.75" customHeight="1" spans="1:6">
      <c r="A235" s="154"/>
      <c r="B235" s="7"/>
      <c r="C235" s="154"/>
      <c r="D235" s="154"/>
      <c r="E235" s="154"/>
      <c r="F235" s="154"/>
    </row>
    <row r="236" ht="15.75" customHeight="1" spans="1:6">
      <c r="A236" s="154"/>
      <c r="B236" s="7"/>
      <c r="C236" s="154"/>
      <c r="D236" s="154"/>
      <c r="E236" s="154"/>
      <c r="F236" s="154"/>
    </row>
    <row r="237" ht="15.75" customHeight="1" spans="1:6">
      <c r="A237" s="154"/>
      <c r="B237" s="7"/>
      <c r="C237" s="154"/>
      <c r="D237" s="154"/>
      <c r="E237" s="154"/>
      <c r="F237" s="154"/>
    </row>
    <row r="238" ht="15.75" customHeight="1" spans="1:6">
      <c r="A238" s="154"/>
      <c r="B238" s="7"/>
      <c r="C238" s="154"/>
      <c r="D238" s="154"/>
      <c r="E238" s="154"/>
      <c r="F238" s="154"/>
    </row>
    <row r="239" ht="15.75" customHeight="1" spans="1:6">
      <c r="A239" s="154"/>
      <c r="B239" s="7"/>
      <c r="C239" s="154"/>
      <c r="D239" s="154"/>
      <c r="E239" s="154"/>
      <c r="F239" s="154"/>
    </row>
    <row r="240" ht="15.75" customHeight="1" spans="1:6">
      <c r="A240" s="154"/>
      <c r="B240" s="7"/>
      <c r="C240" s="154"/>
      <c r="D240" s="154"/>
      <c r="E240" s="154"/>
      <c r="F240" s="154"/>
    </row>
    <row r="241" ht="15.75" customHeight="1" spans="1:6">
      <c r="A241" s="154"/>
      <c r="B241" s="7"/>
      <c r="C241" s="154"/>
      <c r="D241" s="154"/>
      <c r="E241" s="154"/>
      <c r="F241" s="154"/>
    </row>
    <row r="242" ht="15.75" customHeight="1" spans="1:6">
      <c r="A242" s="154"/>
      <c r="B242" s="7"/>
      <c r="C242" s="154"/>
      <c r="D242" s="154"/>
      <c r="E242" s="154"/>
      <c r="F242" s="154"/>
    </row>
    <row r="243" ht="15.75" customHeight="1" spans="1:6">
      <c r="A243" s="154"/>
      <c r="B243" s="7"/>
      <c r="C243" s="154"/>
      <c r="D243" s="154"/>
      <c r="E243" s="154"/>
      <c r="F243" s="154"/>
    </row>
    <row r="244" ht="15.75" customHeight="1" spans="1:6">
      <c r="A244" s="154"/>
      <c r="B244" s="7"/>
      <c r="C244" s="154"/>
      <c r="D244" s="154"/>
      <c r="E244" s="154"/>
      <c r="F244" s="154"/>
    </row>
    <row r="245" ht="15.75" customHeight="1" spans="1:6">
      <c r="A245" s="154"/>
      <c r="B245" s="7"/>
      <c r="C245" s="154"/>
      <c r="D245" s="154"/>
      <c r="E245" s="154"/>
      <c r="F245" s="154"/>
    </row>
    <row r="246" ht="15.75" customHeight="1" spans="1:6">
      <c r="A246" s="154"/>
      <c r="B246" s="7"/>
      <c r="C246" s="154"/>
      <c r="D246" s="154"/>
      <c r="E246" s="154"/>
      <c r="F246" s="154"/>
    </row>
    <row r="247" ht="15.75" customHeight="1" spans="1:6">
      <c r="A247" s="154"/>
      <c r="B247" s="7"/>
      <c r="C247" s="154"/>
      <c r="D247" s="154"/>
      <c r="E247" s="154"/>
      <c r="F247" s="154"/>
    </row>
    <row r="248" ht="15.75" customHeight="1" spans="1:6">
      <c r="A248" s="154"/>
      <c r="B248" s="7"/>
      <c r="C248" s="154"/>
      <c r="D248" s="154"/>
      <c r="E248" s="154"/>
      <c r="F248" s="154"/>
    </row>
    <row r="249" ht="15.75" customHeight="1" spans="1:6">
      <c r="A249" s="154"/>
      <c r="B249" s="7"/>
      <c r="C249" s="154"/>
      <c r="D249" s="154"/>
      <c r="E249" s="154"/>
      <c r="F249" s="154"/>
    </row>
    <row r="250" ht="15.75" customHeight="1" spans="1:6">
      <c r="A250" s="154"/>
      <c r="B250" s="7"/>
      <c r="C250" s="154"/>
      <c r="D250" s="154"/>
      <c r="E250" s="154"/>
      <c r="F250" s="154"/>
    </row>
    <row r="251" ht="15.75" customHeight="1" spans="1:6">
      <c r="A251" s="154"/>
      <c r="B251" s="7"/>
      <c r="C251" s="154"/>
      <c r="D251" s="154"/>
      <c r="E251" s="154"/>
      <c r="F251" s="154"/>
    </row>
    <row r="252" ht="15.75" customHeight="1" spans="1:6">
      <c r="A252" s="154"/>
      <c r="B252" s="7"/>
      <c r="C252" s="154"/>
      <c r="D252" s="154"/>
      <c r="E252" s="154"/>
      <c r="F252" s="154"/>
    </row>
    <row r="253" ht="15.75" customHeight="1" spans="1:6">
      <c r="A253" s="154"/>
      <c r="B253" s="7"/>
      <c r="C253" s="154"/>
      <c r="D253" s="154"/>
      <c r="E253" s="154"/>
      <c r="F253" s="154"/>
    </row>
    <row r="254" ht="15.75" customHeight="1" spans="1:6">
      <c r="A254" s="154"/>
      <c r="B254" s="7"/>
      <c r="C254" s="154"/>
      <c r="D254" s="154"/>
      <c r="E254" s="154"/>
      <c r="F254" s="154"/>
    </row>
    <row r="255" ht="15.75" customHeight="1" spans="1:6">
      <c r="A255" s="154"/>
      <c r="B255" s="7"/>
      <c r="C255" s="154"/>
      <c r="D255" s="154"/>
      <c r="E255" s="154"/>
      <c r="F255" s="154"/>
    </row>
    <row r="256" ht="15.75" customHeight="1" spans="1:6">
      <c r="A256" s="154"/>
      <c r="B256" s="7"/>
      <c r="C256" s="154"/>
      <c r="D256" s="154"/>
      <c r="E256" s="154"/>
      <c r="F256" s="154"/>
    </row>
    <row r="257" ht="15.75" customHeight="1" spans="1:6">
      <c r="A257" s="154"/>
      <c r="B257" s="7"/>
      <c r="C257" s="154"/>
      <c r="D257" s="154"/>
      <c r="E257" s="154"/>
      <c r="F257" s="154"/>
    </row>
    <row r="258" ht="15.75" customHeight="1" spans="1:6">
      <c r="A258" s="154"/>
      <c r="B258" s="7"/>
      <c r="C258" s="154"/>
      <c r="D258" s="154"/>
      <c r="E258" s="154"/>
      <c r="F258" s="154"/>
    </row>
    <row r="259" ht="15.75" customHeight="1" spans="1:6">
      <c r="A259" s="154"/>
      <c r="B259" s="7"/>
      <c r="C259" s="154"/>
      <c r="D259" s="154"/>
      <c r="E259" s="154"/>
      <c r="F259" s="154"/>
    </row>
    <row r="260" ht="15.75" customHeight="1" spans="1:6">
      <c r="A260" s="154"/>
      <c r="B260" s="7"/>
      <c r="C260" s="154"/>
      <c r="D260" s="154"/>
      <c r="E260" s="154"/>
      <c r="F260" s="154"/>
    </row>
    <row r="261" ht="15.75" customHeight="1" spans="1:6">
      <c r="A261" s="154"/>
      <c r="B261" s="7"/>
      <c r="C261" s="154"/>
      <c r="D261" s="154"/>
      <c r="E261" s="154"/>
      <c r="F261" s="154"/>
    </row>
    <row r="262" ht="15.75" customHeight="1" spans="1:6">
      <c r="A262" s="154"/>
      <c r="B262" s="7"/>
      <c r="C262" s="154"/>
      <c r="D262" s="154"/>
      <c r="E262" s="154"/>
      <c r="F262" s="154"/>
    </row>
    <row r="263" ht="15.75" customHeight="1" spans="1:6">
      <c r="A263" s="154"/>
      <c r="B263" s="7"/>
      <c r="C263" s="154"/>
      <c r="D263" s="154"/>
      <c r="E263" s="154"/>
      <c r="F263" s="154"/>
    </row>
    <row r="264" ht="15.75" customHeight="1" spans="1:6">
      <c r="A264" s="154"/>
      <c r="B264" s="7"/>
      <c r="C264" s="154"/>
      <c r="D264" s="154"/>
      <c r="E264" s="154"/>
      <c r="F264" s="154"/>
    </row>
    <row r="265" ht="15.75" customHeight="1" spans="1:6">
      <c r="A265" s="154"/>
      <c r="B265" s="7"/>
      <c r="C265" s="154"/>
      <c r="D265" s="154"/>
      <c r="E265" s="154"/>
      <c r="F265" s="154"/>
    </row>
    <row r="266" ht="15.75" customHeight="1" spans="1:6">
      <c r="A266" s="154"/>
      <c r="B266" s="7"/>
      <c r="C266" s="154"/>
      <c r="D266" s="154"/>
      <c r="E266" s="154"/>
      <c r="F266" s="154"/>
    </row>
    <row r="267" ht="15.75" customHeight="1" spans="1:6">
      <c r="A267" s="154"/>
      <c r="B267" s="7"/>
      <c r="C267" s="154"/>
      <c r="D267" s="154"/>
      <c r="E267" s="154"/>
      <c r="F267" s="154"/>
    </row>
    <row r="268" ht="15.75" customHeight="1" spans="1:6">
      <c r="A268" s="154"/>
      <c r="B268" s="7"/>
      <c r="C268" s="154"/>
      <c r="D268" s="154"/>
      <c r="E268" s="154"/>
      <c r="F268" s="154"/>
    </row>
    <row r="269" ht="15.75" customHeight="1" spans="1:6">
      <c r="A269" s="154"/>
      <c r="B269" s="7"/>
      <c r="C269" s="154"/>
      <c r="D269" s="154"/>
      <c r="E269" s="154"/>
      <c r="F269" s="154"/>
    </row>
    <row r="270" ht="15.75" customHeight="1" spans="1:6">
      <c r="A270" s="154"/>
      <c r="B270" s="7"/>
      <c r="C270" s="154"/>
      <c r="D270" s="154"/>
      <c r="E270" s="154"/>
      <c r="F270" s="154"/>
    </row>
    <row r="271" ht="15.75" customHeight="1" spans="1:6">
      <c r="A271" s="154"/>
      <c r="B271" s="7"/>
      <c r="C271" s="154"/>
      <c r="D271" s="154"/>
      <c r="E271" s="154"/>
      <c r="F271" s="154"/>
    </row>
    <row r="272" ht="15.75" customHeight="1" spans="1:6">
      <c r="A272" s="154"/>
      <c r="B272" s="7"/>
      <c r="C272" s="154"/>
      <c r="D272" s="154"/>
      <c r="E272" s="154"/>
      <c r="F272" s="154"/>
    </row>
    <row r="273" ht="15.75" customHeight="1" spans="1:6">
      <c r="A273" s="154"/>
      <c r="B273" s="7"/>
      <c r="C273" s="154"/>
      <c r="D273" s="154"/>
      <c r="E273" s="154"/>
      <c r="F273" s="154"/>
    </row>
    <row r="274" ht="15.75" customHeight="1" spans="1:6">
      <c r="A274" s="154"/>
      <c r="B274" s="7"/>
      <c r="C274" s="154"/>
      <c r="D274" s="154"/>
      <c r="E274" s="154"/>
      <c r="F274" s="154"/>
    </row>
    <row r="275" ht="15.75" customHeight="1" spans="1:6">
      <c r="A275" s="154"/>
      <c r="B275" s="7"/>
      <c r="C275" s="154"/>
      <c r="D275" s="154"/>
      <c r="E275" s="154"/>
      <c r="F275" s="154"/>
    </row>
    <row r="276" ht="15.75" customHeight="1" spans="1:6">
      <c r="A276" s="154"/>
      <c r="B276" s="7"/>
      <c r="C276" s="154"/>
      <c r="D276" s="154"/>
      <c r="E276" s="154"/>
      <c r="F276" s="154"/>
    </row>
    <row r="277" ht="15.75" customHeight="1" spans="1:6">
      <c r="A277" s="154"/>
      <c r="B277" s="7"/>
      <c r="C277" s="154"/>
      <c r="D277" s="154"/>
      <c r="E277" s="154"/>
      <c r="F277" s="154"/>
    </row>
    <row r="278" ht="15.75" customHeight="1" spans="1:6">
      <c r="A278" s="154"/>
      <c r="B278" s="7"/>
      <c r="C278" s="154"/>
      <c r="D278" s="154"/>
      <c r="E278" s="154"/>
      <c r="F278" s="154"/>
    </row>
    <row r="279" ht="15.75" customHeight="1" spans="1:6">
      <c r="A279" s="154"/>
      <c r="B279" s="7"/>
      <c r="C279" s="154"/>
      <c r="D279" s="154"/>
      <c r="E279" s="154"/>
      <c r="F279" s="154"/>
    </row>
    <row r="280" ht="15.75" customHeight="1" spans="1:6">
      <c r="A280" s="154"/>
      <c r="B280" s="7"/>
      <c r="C280" s="154"/>
      <c r="D280" s="154"/>
      <c r="E280" s="154"/>
      <c r="F280" s="154"/>
    </row>
    <row r="281" ht="15.75" customHeight="1" spans="1:6">
      <c r="A281" s="154"/>
      <c r="B281" s="7"/>
      <c r="C281" s="154"/>
      <c r="D281" s="154"/>
      <c r="E281" s="154"/>
      <c r="F281" s="154"/>
    </row>
    <row r="282" ht="15.75" customHeight="1" spans="1:6">
      <c r="A282" s="154"/>
      <c r="B282" s="7"/>
      <c r="C282" s="154"/>
      <c r="D282" s="154"/>
      <c r="E282" s="154"/>
      <c r="F282" s="154"/>
    </row>
    <row r="283" ht="15.75" customHeight="1" spans="1:6">
      <c r="A283" s="154"/>
      <c r="B283" s="7"/>
      <c r="C283" s="154"/>
      <c r="D283" s="154"/>
      <c r="E283" s="154"/>
      <c r="F283" s="154"/>
    </row>
    <row r="284" ht="15.75" customHeight="1" spans="1:6">
      <c r="A284" s="154"/>
      <c r="B284" s="7"/>
      <c r="C284" s="154"/>
      <c r="D284" s="154"/>
      <c r="E284" s="154"/>
      <c r="F284" s="154"/>
    </row>
    <row r="285" ht="15.75" customHeight="1" spans="1:6">
      <c r="A285" s="154"/>
      <c r="B285" s="7"/>
      <c r="C285" s="154"/>
      <c r="D285" s="154"/>
      <c r="E285" s="154"/>
      <c r="F285" s="154"/>
    </row>
    <row r="286" ht="15.75" customHeight="1" spans="1:6">
      <c r="A286" s="154"/>
      <c r="B286" s="7"/>
      <c r="C286" s="154"/>
      <c r="D286" s="154"/>
      <c r="E286" s="154"/>
      <c r="F286" s="154"/>
    </row>
    <row r="287" ht="15.75" customHeight="1" spans="1:6">
      <c r="A287" s="154"/>
      <c r="B287" s="7"/>
      <c r="C287" s="154"/>
      <c r="D287" s="154"/>
      <c r="E287" s="154"/>
      <c r="F287" s="154"/>
    </row>
    <row r="288" ht="15.75" customHeight="1" spans="1:6">
      <c r="A288" s="154"/>
      <c r="B288" s="7"/>
      <c r="C288" s="154"/>
      <c r="D288" s="154"/>
      <c r="E288" s="154"/>
      <c r="F288" s="154"/>
    </row>
    <row r="289" ht="15.75" customHeight="1" spans="1:6">
      <c r="A289" s="154"/>
      <c r="B289" s="7"/>
      <c r="C289" s="154"/>
      <c r="D289" s="154"/>
      <c r="E289" s="154"/>
      <c r="F289" s="154"/>
    </row>
    <row r="290" ht="15.75" customHeight="1" spans="1:6">
      <c r="A290" s="154"/>
      <c r="B290" s="7"/>
      <c r="C290" s="154"/>
      <c r="D290" s="154"/>
      <c r="E290" s="154"/>
      <c r="F290" s="154"/>
    </row>
    <row r="291" ht="15.75" customHeight="1" spans="1:6">
      <c r="A291" s="154"/>
      <c r="B291" s="7"/>
      <c r="C291" s="154"/>
      <c r="D291" s="154"/>
      <c r="E291" s="154"/>
      <c r="F291" s="154"/>
    </row>
    <row r="292" ht="15.75" customHeight="1" spans="1:6">
      <c r="A292" s="154"/>
      <c r="B292" s="7"/>
      <c r="C292" s="154"/>
      <c r="D292" s="154"/>
      <c r="E292" s="154"/>
      <c r="F292" s="154"/>
    </row>
    <row r="293" ht="15.75" customHeight="1" spans="1:6">
      <c r="A293" s="154"/>
      <c r="B293" s="7"/>
      <c r="C293" s="154"/>
      <c r="D293" s="154"/>
      <c r="E293" s="154"/>
      <c r="F293" s="154"/>
    </row>
    <row r="294" ht="15.75" customHeight="1" spans="1:6">
      <c r="A294" s="154"/>
      <c r="B294" s="7"/>
      <c r="C294" s="154"/>
      <c r="D294" s="154"/>
      <c r="E294" s="154"/>
      <c r="F294" s="154"/>
    </row>
    <row r="295" ht="15.75" customHeight="1" spans="1:6">
      <c r="A295" s="154"/>
      <c r="B295" s="7"/>
      <c r="C295" s="154"/>
      <c r="D295" s="154"/>
      <c r="E295" s="154"/>
      <c r="F295" s="154"/>
    </row>
    <row r="296" ht="15.75" customHeight="1" spans="1:6">
      <c r="A296" s="154"/>
      <c r="B296" s="7"/>
      <c r="C296" s="154"/>
      <c r="D296" s="154"/>
      <c r="E296" s="154"/>
      <c r="F296" s="154"/>
    </row>
    <row r="297" ht="15.75" customHeight="1" spans="1:6">
      <c r="A297" s="154"/>
      <c r="B297" s="7"/>
      <c r="C297" s="154"/>
      <c r="D297" s="154"/>
      <c r="E297" s="154"/>
      <c r="F297" s="154"/>
    </row>
    <row r="298" ht="15.75" customHeight="1" spans="1:6">
      <c r="A298" s="154"/>
      <c r="B298" s="7"/>
      <c r="C298" s="154"/>
      <c r="D298" s="154"/>
      <c r="E298" s="154"/>
      <c r="F298" s="154"/>
    </row>
    <row r="299" ht="15.75" customHeight="1" spans="1:6">
      <c r="A299" s="154"/>
      <c r="B299" s="7"/>
      <c r="C299" s="154"/>
      <c r="D299" s="154"/>
      <c r="E299" s="154"/>
      <c r="F299" s="154"/>
    </row>
    <row r="300" ht="15.75" customHeight="1" spans="1:6">
      <c r="A300" s="154"/>
      <c r="B300" s="7"/>
      <c r="C300" s="154"/>
      <c r="D300" s="154"/>
      <c r="E300" s="154"/>
      <c r="F300" s="154"/>
    </row>
    <row r="301" ht="15.75" customHeight="1" spans="1:6">
      <c r="A301" s="154"/>
      <c r="B301" s="7"/>
      <c r="C301" s="154"/>
      <c r="D301" s="154"/>
      <c r="E301" s="154"/>
      <c r="F301" s="154"/>
    </row>
    <row r="302" ht="15.75" customHeight="1" spans="1:6">
      <c r="A302" s="154"/>
      <c r="B302" s="7"/>
      <c r="C302" s="154"/>
      <c r="D302" s="154"/>
      <c r="E302" s="154"/>
      <c r="F302" s="154"/>
    </row>
    <row r="303" ht="15.75" customHeight="1" spans="1:6">
      <c r="A303" s="154"/>
      <c r="B303" s="7"/>
      <c r="C303" s="154"/>
      <c r="D303" s="154"/>
      <c r="E303" s="154"/>
      <c r="F303" s="154"/>
    </row>
    <row r="304" ht="15.75" customHeight="1" spans="1:6">
      <c r="A304" s="154"/>
      <c r="B304" s="7"/>
      <c r="C304" s="154"/>
      <c r="D304" s="154"/>
      <c r="E304" s="154"/>
      <c r="F304" s="154"/>
    </row>
    <row r="305" ht="15.75" customHeight="1" spans="1:6">
      <c r="A305" s="154"/>
      <c r="B305" s="7"/>
      <c r="C305" s="154"/>
      <c r="D305" s="154"/>
      <c r="E305" s="154"/>
      <c r="F305" s="154"/>
    </row>
    <row r="306" ht="15.75" customHeight="1" spans="1:6">
      <c r="A306" s="154"/>
      <c r="B306" s="7"/>
      <c r="C306" s="154"/>
      <c r="D306" s="154"/>
      <c r="E306" s="154"/>
      <c r="F306" s="154"/>
    </row>
    <row r="307" ht="15.75" customHeight="1" spans="1:6">
      <c r="A307" s="154"/>
      <c r="B307" s="7"/>
      <c r="C307" s="154"/>
      <c r="D307" s="154"/>
      <c r="E307" s="154"/>
      <c r="F307" s="154"/>
    </row>
    <row r="308" ht="15.75" customHeight="1" spans="1:6">
      <c r="A308" s="154"/>
      <c r="B308" s="7"/>
      <c r="C308" s="154"/>
      <c r="D308" s="154"/>
      <c r="E308" s="154"/>
      <c r="F308" s="154"/>
    </row>
    <row r="309" ht="15.75" customHeight="1" spans="1:6">
      <c r="A309" s="154"/>
      <c r="B309" s="7"/>
      <c r="C309" s="154"/>
      <c r="D309" s="154"/>
      <c r="E309" s="154"/>
      <c r="F309" s="154"/>
    </row>
    <row r="310" ht="15.75" customHeight="1" spans="1:6">
      <c r="A310" s="154"/>
      <c r="B310" s="7"/>
      <c r="C310" s="154"/>
      <c r="D310" s="154"/>
      <c r="E310" s="154"/>
      <c r="F310" s="154"/>
    </row>
    <row r="311" ht="15.75" customHeight="1" spans="1:6">
      <c r="A311" s="154"/>
      <c r="B311" s="7"/>
      <c r="C311" s="154"/>
      <c r="D311" s="154"/>
      <c r="E311" s="154"/>
      <c r="F311" s="154"/>
    </row>
    <row r="312" ht="15.75" customHeight="1" spans="1:6">
      <c r="A312" s="154"/>
      <c r="B312" s="7"/>
      <c r="C312" s="154"/>
      <c r="D312" s="154"/>
      <c r="E312" s="154"/>
      <c r="F312" s="154"/>
    </row>
    <row r="313" ht="15.75" customHeight="1" spans="1:6">
      <c r="A313" s="154"/>
      <c r="B313" s="7"/>
      <c r="C313" s="154"/>
      <c r="D313" s="154"/>
      <c r="E313" s="154"/>
      <c r="F313" s="154"/>
    </row>
    <row r="314" ht="15.75" customHeight="1" spans="1:6">
      <c r="A314" s="154"/>
      <c r="B314" s="7"/>
      <c r="C314" s="154"/>
      <c r="D314" s="154"/>
      <c r="E314" s="154"/>
      <c r="F314" s="154"/>
    </row>
    <row r="315" ht="15.75" customHeight="1" spans="1:6">
      <c r="A315" s="154"/>
      <c r="B315" s="7"/>
      <c r="C315" s="154"/>
      <c r="D315" s="154"/>
      <c r="E315" s="154"/>
      <c r="F315" s="154"/>
    </row>
    <row r="316" ht="15.75" customHeight="1" spans="1:6">
      <c r="A316" s="154"/>
      <c r="B316" s="7"/>
      <c r="C316" s="154"/>
      <c r="D316" s="154"/>
      <c r="E316" s="154"/>
      <c r="F316" s="154"/>
    </row>
    <row r="317" ht="15.75" customHeight="1" spans="1:6">
      <c r="A317" s="154"/>
      <c r="B317" s="7"/>
      <c r="C317" s="154"/>
      <c r="D317" s="154"/>
      <c r="E317" s="154"/>
      <c r="F317" s="154"/>
    </row>
    <row r="318" ht="15.75" customHeight="1" spans="1:6">
      <c r="A318" s="154"/>
      <c r="B318" s="7"/>
      <c r="C318" s="154"/>
      <c r="D318" s="154"/>
      <c r="E318" s="154"/>
      <c r="F318" s="154"/>
    </row>
    <row r="319" ht="15.75" customHeight="1" spans="1:6">
      <c r="A319" s="154"/>
      <c r="B319" s="7"/>
      <c r="C319" s="154"/>
      <c r="D319" s="154"/>
      <c r="E319" s="154"/>
      <c r="F319" s="154"/>
    </row>
    <row r="320" ht="15.75" customHeight="1" spans="1:6">
      <c r="A320" s="154"/>
      <c r="B320" s="7"/>
      <c r="C320" s="154"/>
      <c r="D320" s="154"/>
      <c r="E320" s="154"/>
      <c r="F320" s="154"/>
    </row>
    <row r="321" ht="15.75" customHeight="1" spans="1:6">
      <c r="A321" s="154"/>
      <c r="B321" s="7"/>
      <c r="C321" s="154"/>
      <c r="D321" s="154"/>
      <c r="E321" s="154"/>
      <c r="F321" s="154"/>
    </row>
    <row r="322" ht="15.75" customHeight="1" spans="1:6">
      <c r="A322" s="154"/>
      <c r="B322" s="7"/>
      <c r="C322" s="154"/>
      <c r="D322" s="154"/>
      <c r="E322" s="154"/>
      <c r="F322" s="154"/>
    </row>
    <row r="323" ht="15.75" customHeight="1" spans="1:6">
      <c r="A323" s="154"/>
      <c r="B323" s="7"/>
      <c r="C323" s="154"/>
      <c r="D323" s="154"/>
      <c r="E323" s="154"/>
      <c r="F323" s="154"/>
    </row>
    <row r="324" ht="15.75" customHeight="1" spans="1:6">
      <c r="A324" s="154"/>
      <c r="B324" s="7"/>
      <c r="C324" s="154"/>
      <c r="D324" s="154"/>
      <c r="E324" s="154"/>
      <c r="F324" s="154"/>
    </row>
    <row r="325" ht="15.75" customHeight="1" spans="1:6">
      <c r="A325" s="154"/>
      <c r="B325" s="7"/>
      <c r="C325" s="154"/>
      <c r="D325" s="154"/>
      <c r="E325" s="154"/>
      <c r="F325" s="154"/>
    </row>
    <row r="326" ht="15.75" customHeight="1" spans="1:6">
      <c r="A326" s="154"/>
      <c r="B326" s="7"/>
      <c r="C326" s="154"/>
      <c r="D326" s="154"/>
      <c r="E326" s="154"/>
      <c r="F326" s="154"/>
    </row>
    <row r="327" ht="15.75" customHeight="1" spans="1:6">
      <c r="A327" s="154"/>
      <c r="B327" s="7"/>
      <c r="C327" s="154"/>
      <c r="D327" s="154"/>
      <c r="E327" s="154"/>
      <c r="F327" s="154"/>
    </row>
    <row r="328" ht="15.75" customHeight="1" spans="1:6">
      <c r="A328" s="154"/>
      <c r="B328" s="7"/>
      <c r="C328" s="154"/>
      <c r="D328" s="154"/>
      <c r="E328" s="154"/>
      <c r="F328" s="154"/>
    </row>
    <row r="329" ht="15.75" customHeight="1" spans="1:6">
      <c r="A329" s="154"/>
      <c r="B329" s="7"/>
      <c r="C329" s="154"/>
      <c r="D329" s="154"/>
      <c r="E329" s="154"/>
      <c r="F329" s="154"/>
    </row>
    <row r="330" ht="15.75" customHeight="1" spans="1:6">
      <c r="A330" s="154"/>
      <c r="B330" s="7"/>
      <c r="C330" s="154"/>
      <c r="D330" s="154"/>
      <c r="E330" s="154"/>
      <c r="F330" s="154"/>
    </row>
    <row r="331" ht="15.75" customHeight="1" spans="1:6">
      <c r="A331" s="154"/>
      <c r="B331" s="7"/>
      <c r="C331" s="154"/>
      <c r="D331" s="154"/>
      <c r="E331" s="154"/>
      <c r="F331" s="154"/>
    </row>
    <row r="332" ht="15.75" customHeight="1" spans="1:6">
      <c r="A332" s="154"/>
      <c r="B332" s="7"/>
      <c r="C332" s="154"/>
      <c r="D332" s="154"/>
      <c r="E332" s="154"/>
      <c r="F332" s="154"/>
    </row>
    <row r="333" ht="15.75" customHeight="1" spans="1:6">
      <c r="A333" s="154"/>
      <c r="B333" s="7"/>
      <c r="C333" s="154"/>
      <c r="D333" s="154"/>
      <c r="E333" s="154"/>
      <c r="F333" s="154"/>
    </row>
    <row r="334" ht="15.75" customHeight="1" spans="1:6">
      <c r="A334" s="154"/>
      <c r="B334" s="7"/>
      <c r="C334" s="154"/>
      <c r="D334" s="154"/>
      <c r="E334" s="154"/>
      <c r="F334" s="154"/>
    </row>
    <row r="335" ht="15.75" customHeight="1" spans="1:6">
      <c r="A335" s="154"/>
      <c r="B335" s="7"/>
      <c r="C335" s="154"/>
      <c r="D335" s="154"/>
      <c r="E335" s="154"/>
      <c r="F335" s="154"/>
    </row>
    <row r="336" ht="15.75" customHeight="1" spans="1:6">
      <c r="A336" s="154"/>
      <c r="B336" s="7"/>
      <c r="C336" s="154"/>
      <c r="D336" s="154"/>
      <c r="E336" s="154"/>
      <c r="F336" s="154"/>
    </row>
    <row r="337" ht="15.75" customHeight="1" spans="1:6">
      <c r="A337" s="154"/>
      <c r="B337" s="7"/>
      <c r="C337" s="154"/>
      <c r="D337" s="154"/>
      <c r="E337" s="154"/>
      <c r="F337" s="154"/>
    </row>
    <row r="338" ht="15.75" customHeight="1" spans="1:6">
      <c r="A338" s="154"/>
      <c r="B338" s="7"/>
      <c r="C338" s="154"/>
      <c r="D338" s="154"/>
      <c r="E338" s="154"/>
      <c r="F338" s="154"/>
    </row>
    <row r="339" ht="15.75" customHeight="1" spans="1:6">
      <c r="A339" s="154"/>
      <c r="B339" s="7"/>
      <c r="C339" s="154"/>
      <c r="D339" s="154"/>
      <c r="E339" s="154"/>
      <c r="F339" s="154"/>
    </row>
    <row r="340" ht="15.75" customHeight="1" spans="1:6">
      <c r="A340" s="154"/>
      <c r="B340" s="7"/>
      <c r="C340" s="154"/>
      <c r="D340" s="154"/>
      <c r="E340" s="154"/>
      <c r="F340" s="154"/>
    </row>
    <row r="341" ht="15.75" customHeight="1" spans="1:6">
      <c r="A341" s="154"/>
      <c r="B341" s="7"/>
      <c r="C341" s="154"/>
      <c r="D341" s="154"/>
      <c r="E341" s="154"/>
      <c r="F341" s="154"/>
    </row>
    <row r="342" ht="15.75" customHeight="1" spans="1:6">
      <c r="A342" s="154"/>
      <c r="B342" s="7"/>
      <c r="C342" s="154"/>
      <c r="D342" s="154"/>
      <c r="E342" s="154"/>
      <c r="F342" s="154"/>
    </row>
    <row r="343" ht="15.75" customHeight="1" spans="1:6">
      <c r="A343" s="154"/>
      <c r="B343" s="7"/>
      <c r="C343" s="154"/>
      <c r="D343" s="154"/>
      <c r="E343" s="154"/>
      <c r="F343" s="154"/>
    </row>
    <row r="344" ht="15.75" customHeight="1" spans="1:6">
      <c r="A344" s="154"/>
      <c r="B344" s="7"/>
      <c r="C344" s="154"/>
      <c r="D344" s="154"/>
      <c r="E344" s="154"/>
      <c r="F344" s="154"/>
    </row>
    <row r="345" ht="15.75" customHeight="1" spans="1:6">
      <c r="A345" s="154"/>
      <c r="B345" s="7"/>
      <c r="C345" s="154"/>
      <c r="D345" s="154"/>
      <c r="E345" s="154"/>
      <c r="F345" s="154"/>
    </row>
    <row r="346" ht="15.75" customHeight="1" spans="1:6">
      <c r="A346" s="154"/>
      <c r="B346" s="7"/>
      <c r="C346" s="154"/>
      <c r="D346" s="154"/>
      <c r="E346" s="154"/>
      <c r="F346" s="154"/>
    </row>
    <row r="347" ht="15.75" customHeight="1" spans="1:6">
      <c r="A347" s="154"/>
      <c r="B347" s="7"/>
      <c r="C347" s="154"/>
      <c r="D347" s="154"/>
      <c r="E347" s="154"/>
      <c r="F347" s="154"/>
    </row>
    <row r="348" ht="15.75" customHeight="1" spans="1:6">
      <c r="A348" s="154"/>
      <c r="B348" s="7"/>
      <c r="C348" s="154"/>
      <c r="D348" s="154"/>
      <c r="E348" s="154"/>
      <c r="F348" s="154"/>
    </row>
    <row r="349" ht="15.75" customHeight="1" spans="1:6">
      <c r="A349" s="154"/>
      <c r="B349" s="7"/>
      <c r="C349" s="154"/>
      <c r="D349" s="154"/>
      <c r="E349" s="154"/>
      <c r="F349" s="154"/>
    </row>
    <row r="350" ht="15.75" customHeight="1" spans="1:6">
      <c r="A350" s="154"/>
      <c r="B350" s="7"/>
      <c r="C350" s="154"/>
      <c r="D350" s="154"/>
      <c r="E350" s="154"/>
      <c r="F350" s="154"/>
    </row>
    <row r="351" ht="15.75" customHeight="1" spans="1:6">
      <c r="A351" s="154"/>
      <c r="B351" s="7"/>
      <c r="C351" s="154"/>
      <c r="D351" s="154"/>
      <c r="E351" s="154"/>
      <c r="F351" s="154"/>
    </row>
    <row r="352" ht="15.75" customHeight="1" spans="1:6">
      <c r="A352" s="154"/>
      <c r="B352" s="7"/>
      <c r="C352" s="154"/>
      <c r="D352" s="154"/>
      <c r="E352" s="154"/>
      <c r="F352" s="154"/>
    </row>
    <row r="353" ht="15.75" customHeight="1" spans="1:6">
      <c r="A353" s="154"/>
      <c r="B353" s="7"/>
      <c r="C353" s="154"/>
      <c r="D353" s="154"/>
      <c r="E353" s="154"/>
      <c r="F353" s="154"/>
    </row>
    <row r="354" ht="15.75" customHeight="1" spans="1:6">
      <c r="A354" s="154"/>
      <c r="B354" s="7"/>
      <c r="C354" s="154"/>
      <c r="D354" s="154"/>
      <c r="E354" s="154"/>
      <c r="F354" s="154"/>
    </row>
    <row r="355" ht="15.75" customHeight="1" spans="1:6">
      <c r="A355" s="154"/>
      <c r="B355" s="7"/>
      <c r="C355" s="154"/>
      <c r="D355" s="154"/>
      <c r="E355" s="154"/>
      <c r="F355" s="154"/>
    </row>
    <row r="356" ht="15.75" customHeight="1" spans="1:6">
      <c r="A356" s="154"/>
      <c r="B356" s="7"/>
      <c r="C356" s="154"/>
      <c r="D356" s="154"/>
      <c r="E356" s="154"/>
      <c r="F356" s="154"/>
    </row>
    <row r="357" ht="15.75" customHeight="1" spans="1:6">
      <c r="A357" s="154"/>
      <c r="B357" s="7"/>
      <c r="C357" s="154"/>
      <c r="D357" s="154"/>
      <c r="E357" s="154"/>
      <c r="F357" s="154"/>
    </row>
    <row r="358" ht="15.75" customHeight="1" spans="1:6">
      <c r="A358" s="154"/>
      <c r="B358" s="7"/>
      <c r="C358" s="154"/>
      <c r="D358" s="154"/>
      <c r="E358" s="154"/>
      <c r="F358" s="154"/>
    </row>
    <row r="359" ht="15.75" customHeight="1" spans="1:6">
      <c r="A359" s="154"/>
      <c r="B359" s="7"/>
      <c r="C359" s="154"/>
      <c r="D359" s="154"/>
      <c r="E359" s="154"/>
      <c r="F359" s="154"/>
    </row>
    <row r="360" ht="15.75" customHeight="1" spans="1:6">
      <c r="A360" s="154"/>
      <c r="B360" s="7"/>
      <c r="C360" s="154"/>
      <c r="D360" s="154"/>
      <c r="E360" s="154"/>
      <c r="F360" s="154"/>
    </row>
    <row r="361" ht="15.75" customHeight="1" spans="1:6">
      <c r="A361" s="154"/>
      <c r="B361" s="7"/>
      <c r="C361" s="154"/>
      <c r="D361" s="154"/>
      <c r="E361" s="154"/>
      <c r="F361" s="154"/>
    </row>
    <row r="362" ht="15.75" customHeight="1" spans="1:6">
      <c r="A362" s="154"/>
      <c r="B362" s="7"/>
      <c r="C362" s="154"/>
      <c r="D362" s="154"/>
      <c r="E362" s="154"/>
      <c r="F362" s="154"/>
    </row>
    <row r="363" ht="15.75" customHeight="1" spans="1:6">
      <c r="A363" s="154"/>
      <c r="B363" s="7"/>
      <c r="C363" s="154"/>
      <c r="D363" s="154"/>
      <c r="E363" s="154"/>
      <c r="F363" s="154"/>
    </row>
    <row r="364" ht="15.75" customHeight="1" spans="1:6">
      <c r="A364" s="154"/>
      <c r="B364" s="7"/>
      <c r="C364" s="154"/>
      <c r="D364" s="154"/>
      <c r="E364" s="154"/>
      <c r="F364" s="154"/>
    </row>
    <row r="365" ht="15.75" customHeight="1" spans="1:6">
      <c r="A365" s="154"/>
      <c r="B365" s="7"/>
      <c r="C365" s="154"/>
      <c r="D365" s="154"/>
      <c r="E365" s="154"/>
      <c r="F365" s="154"/>
    </row>
    <row r="366" ht="15.75" customHeight="1" spans="1:6">
      <c r="A366" s="154"/>
      <c r="B366" s="7"/>
      <c r="C366" s="154"/>
      <c r="D366" s="154"/>
      <c r="E366" s="154"/>
      <c r="F366" s="154"/>
    </row>
    <row r="367" ht="15.75" customHeight="1" spans="1:6">
      <c r="A367" s="154"/>
      <c r="B367" s="7"/>
      <c r="C367" s="154"/>
      <c r="D367" s="154"/>
      <c r="E367" s="154"/>
      <c r="F367" s="154"/>
    </row>
    <row r="368" ht="15.75" customHeight="1" spans="1:6">
      <c r="A368" s="154"/>
      <c r="B368" s="7"/>
      <c r="C368" s="154"/>
      <c r="D368" s="154"/>
      <c r="E368" s="154"/>
      <c r="F368" s="154"/>
    </row>
    <row r="369" ht="15.75" customHeight="1" spans="1:6">
      <c r="A369" s="154"/>
      <c r="B369" s="7"/>
      <c r="C369" s="154"/>
      <c r="D369" s="154"/>
      <c r="E369" s="154"/>
      <c r="F369" s="154"/>
    </row>
    <row r="370" ht="15.75" customHeight="1" spans="1:6">
      <c r="A370" s="154"/>
      <c r="B370" s="7"/>
      <c r="C370" s="154"/>
      <c r="D370" s="154"/>
      <c r="E370" s="154"/>
      <c r="F370" s="154"/>
    </row>
    <row r="371" ht="15.75" customHeight="1" spans="1:6">
      <c r="A371" s="154"/>
      <c r="B371" s="7"/>
      <c r="C371" s="154"/>
      <c r="D371" s="154"/>
      <c r="E371" s="154"/>
      <c r="F371" s="154"/>
    </row>
    <row r="372" ht="15.75" customHeight="1" spans="1:6">
      <c r="A372" s="154"/>
      <c r="B372" s="7"/>
      <c r="C372" s="154"/>
      <c r="D372" s="154"/>
      <c r="E372" s="154"/>
      <c r="F372" s="154"/>
    </row>
    <row r="373" ht="15.75" customHeight="1" spans="1:6">
      <c r="A373" s="154"/>
      <c r="B373" s="7"/>
      <c r="C373" s="154"/>
      <c r="D373" s="154"/>
      <c r="E373" s="154"/>
      <c r="F373" s="154"/>
    </row>
    <row r="374" ht="15.75" customHeight="1" spans="1:6">
      <c r="A374" s="154"/>
      <c r="B374" s="7"/>
      <c r="C374" s="154"/>
      <c r="D374" s="154"/>
      <c r="E374" s="154"/>
      <c r="F374" s="154"/>
    </row>
    <row r="375" ht="15.75" customHeight="1" spans="1:6">
      <c r="A375" s="154"/>
      <c r="B375" s="7"/>
      <c r="C375" s="154"/>
      <c r="D375" s="154"/>
      <c r="E375" s="154"/>
      <c r="F375" s="154"/>
    </row>
    <row r="376" ht="15.75" customHeight="1" spans="1:6">
      <c r="A376" s="154"/>
      <c r="B376" s="7"/>
      <c r="C376" s="154"/>
      <c r="D376" s="154"/>
      <c r="E376" s="154"/>
      <c r="F376" s="154"/>
    </row>
    <row r="377" ht="15.75" customHeight="1" spans="1:6">
      <c r="A377" s="154"/>
      <c r="B377" s="7"/>
      <c r="C377" s="154"/>
      <c r="D377" s="154"/>
      <c r="E377" s="154"/>
      <c r="F377" s="154"/>
    </row>
    <row r="378" ht="15.75" customHeight="1" spans="1:6">
      <c r="A378" s="154"/>
      <c r="B378" s="7"/>
      <c r="C378" s="154"/>
      <c r="D378" s="154"/>
      <c r="E378" s="154"/>
      <c r="F378" s="154"/>
    </row>
    <row r="379" ht="15.75" customHeight="1" spans="1:6">
      <c r="A379" s="154"/>
      <c r="B379" s="7"/>
      <c r="C379" s="154"/>
      <c r="D379" s="154"/>
      <c r="E379" s="154"/>
      <c r="F379" s="154"/>
    </row>
    <row r="380" ht="15.75" customHeight="1" spans="1:6">
      <c r="A380" s="154"/>
      <c r="B380" s="7"/>
      <c r="C380" s="154"/>
      <c r="D380" s="154"/>
      <c r="E380" s="154"/>
      <c r="F380" s="154"/>
    </row>
    <row r="381" ht="15.75" customHeight="1" spans="1:6">
      <c r="A381" s="154"/>
      <c r="B381" s="7"/>
      <c r="C381" s="154"/>
      <c r="D381" s="154"/>
      <c r="E381" s="154"/>
      <c r="F381" s="154"/>
    </row>
    <row r="382" ht="15.75" customHeight="1" spans="1:6">
      <c r="A382" s="154"/>
      <c r="B382" s="7"/>
      <c r="C382" s="154"/>
      <c r="D382" s="154"/>
      <c r="E382" s="154"/>
      <c r="F382" s="154"/>
    </row>
    <row r="383" ht="15.75" customHeight="1" spans="1:6">
      <c r="A383" s="154"/>
      <c r="B383" s="7"/>
      <c r="C383" s="154"/>
      <c r="D383" s="154"/>
      <c r="E383" s="154"/>
      <c r="F383" s="154"/>
    </row>
    <row r="384" ht="15.75" customHeight="1" spans="1:6">
      <c r="A384" s="154"/>
      <c r="B384" s="7"/>
      <c r="C384" s="154"/>
      <c r="D384" s="154"/>
      <c r="E384" s="154"/>
      <c r="F384" s="154"/>
    </row>
    <row r="385" ht="15.75" customHeight="1" spans="1:6">
      <c r="A385" s="154"/>
      <c r="B385" s="7"/>
      <c r="C385" s="154"/>
      <c r="D385" s="154"/>
      <c r="E385" s="154"/>
      <c r="F385" s="154"/>
    </row>
    <row r="386" ht="15.75" customHeight="1" spans="1:6">
      <c r="A386" s="154"/>
      <c r="B386" s="7"/>
      <c r="C386" s="154"/>
      <c r="D386" s="154"/>
      <c r="E386" s="154"/>
      <c r="F386" s="154"/>
    </row>
    <row r="387" ht="15.75" customHeight="1" spans="1:6">
      <c r="A387" s="154"/>
      <c r="B387" s="7"/>
      <c r="C387" s="154"/>
      <c r="D387" s="154"/>
      <c r="E387" s="154"/>
      <c r="F387" s="154"/>
    </row>
    <row r="388" ht="15.75" customHeight="1" spans="1:6">
      <c r="A388" s="154"/>
      <c r="B388" s="7"/>
      <c r="C388" s="154"/>
      <c r="D388" s="154"/>
      <c r="E388" s="154"/>
      <c r="F388" s="154"/>
    </row>
    <row r="389" ht="15.75" customHeight="1" spans="1:6">
      <c r="A389" s="154"/>
      <c r="B389" s="7"/>
      <c r="C389" s="154"/>
      <c r="D389" s="154"/>
      <c r="E389" s="154"/>
      <c r="F389" s="154"/>
    </row>
    <row r="390" ht="15.75" customHeight="1" spans="1:6">
      <c r="A390" s="154"/>
      <c r="B390" s="7"/>
      <c r="C390" s="154"/>
      <c r="D390" s="154"/>
      <c r="E390" s="154"/>
      <c r="F390" s="154"/>
    </row>
    <row r="391" ht="15.75" customHeight="1" spans="1:6">
      <c r="A391" s="154"/>
      <c r="B391" s="7"/>
      <c r="C391" s="154"/>
      <c r="D391" s="154"/>
      <c r="E391" s="154"/>
      <c r="F391" s="154"/>
    </row>
    <row r="392" ht="15.75" customHeight="1" spans="1:6">
      <c r="A392" s="154"/>
      <c r="B392" s="7"/>
      <c r="C392" s="154"/>
      <c r="D392" s="154"/>
      <c r="E392" s="154"/>
      <c r="F392" s="154"/>
    </row>
    <row r="393" ht="15.75" customHeight="1" spans="1:6">
      <c r="A393" s="154"/>
      <c r="B393" s="7"/>
      <c r="C393" s="154"/>
      <c r="D393" s="154"/>
      <c r="E393" s="154"/>
      <c r="F393" s="154"/>
    </row>
    <row r="394" ht="15.75" customHeight="1" spans="1:6">
      <c r="A394" s="154"/>
      <c r="B394" s="7"/>
      <c r="C394" s="154"/>
      <c r="D394" s="154"/>
      <c r="E394" s="154"/>
      <c r="F394" s="154"/>
    </row>
    <row r="395" ht="15.75" customHeight="1" spans="1:6">
      <c r="A395" s="154"/>
      <c r="B395" s="7"/>
      <c r="C395" s="154"/>
      <c r="D395" s="154"/>
      <c r="E395" s="154"/>
      <c r="F395" s="154"/>
    </row>
    <row r="396" ht="15.75" customHeight="1" spans="1:6">
      <c r="A396" s="154"/>
      <c r="B396" s="7"/>
      <c r="C396" s="154"/>
      <c r="D396" s="154"/>
      <c r="E396" s="154"/>
      <c r="F396" s="154"/>
    </row>
    <row r="397" ht="15.75" customHeight="1" spans="1:6">
      <c r="A397" s="154"/>
      <c r="B397" s="7"/>
      <c r="C397" s="154"/>
      <c r="D397" s="154"/>
      <c r="E397" s="154"/>
      <c r="F397" s="154"/>
    </row>
    <row r="398" ht="15.75" customHeight="1" spans="1:6">
      <c r="A398" s="154"/>
      <c r="B398" s="7"/>
      <c r="C398" s="154"/>
      <c r="D398" s="154"/>
      <c r="E398" s="154"/>
      <c r="F398" s="154"/>
    </row>
    <row r="399" ht="15.75" customHeight="1" spans="1:6">
      <c r="A399" s="154"/>
      <c r="B399" s="7"/>
      <c r="C399" s="154"/>
      <c r="D399" s="154"/>
      <c r="E399" s="154"/>
      <c r="F399" s="154"/>
    </row>
    <row r="400" ht="15.75" customHeight="1" spans="1:6">
      <c r="A400" s="154"/>
      <c r="B400" s="7"/>
      <c r="C400" s="154"/>
      <c r="D400" s="154"/>
      <c r="E400" s="154"/>
      <c r="F400" s="154"/>
    </row>
    <row r="401" ht="15.75" customHeight="1" spans="1:6">
      <c r="A401" s="154"/>
      <c r="B401" s="7"/>
      <c r="C401" s="154"/>
      <c r="D401" s="154"/>
      <c r="E401" s="154"/>
      <c r="F401" s="154"/>
    </row>
    <row r="402" ht="15.75" customHeight="1" spans="1:6">
      <c r="A402" s="154"/>
      <c r="B402" s="7"/>
      <c r="C402" s="154"/>
      <c r="D402" s="154"/>
      <c r="E402" s="154"/>
      <c r="F402" s="154"/>
    </row>
    <row r="403" ht="15.75" customHeight="1" spans="1:6">
      <c r="A403" s="154"/>
      <c r="B403" s="7"/>
      <c r="C403" s="154"/>
      <c r="D403" s="154"/>
      <c r="E403" s="154"/>
      <c r="F403" s="154"/>
    </row>
    <row r="404" ht="15.75" customHeight="1" spans="1:6">
      <c r="A404" s="154"/>
      <c r="B404" s="7"/>
      <c r="C404" s="154"/>
      <c r="D404" s="154"/>
      <c r="E404" s="154"/>
      <c r="F404" s="154"/>
    </row>
    <row r="405" ht="15.75" customHeight="1" spans="1:6">
      <c r="A405" s="154"/>
      <c r="B405" s="7"/>
      <c r="C405" s="154"/>
      <c r="D405" s="154"/>
      <c r="E405" s="154"/>
      <c r="F405" s="154"/>
    </row>
    <row r="406" ht="15.75" customHeight="1" spans="1:6">
      <c r="A406" s="154"/>
      <c r="B406" s="7"/>
      <c r="C406" s="154"/>
      <c r="D406" s="154"/>
      <c r="E406" s="154"/>
      <c r="F406" s="154"/>
    </row>
    <row r="407" ht="15.75" customHeight="1" spans="1:6">
      <c r="A407" s="154"/>
      <c r="B407" s="7"/>
      <c r="C407" s="154"/>
      <c r="D407" s="154"/>
      <c r="E407" s="154"/>
      <c r="F407" s="154"/>
    </row>
    <row r="408" ht="15.75" customHeight="1" spans="1:6">
      <c r="A408" s="154"/>
      <c r="B408" s="7"/>
      <c r="C408" s="154"/>
      <c r="D408" s="154"/>
      <c r="E408" s="154"/>
      <c r="F408" s="154"/>
    </row>
    <row r="409" ht="15.75" customHeight="1" spans="1:6">
      <c r="A409" s="154"/>
      <c r="B409" s="7"/>
      <c r="C409" s="154"/>
      <c r="D409" s="154"/>
      <c r="E409" s="154"/>
      <c r="F409" s="154"/>
    </row>
    <row r="410" ht="15.75" customHeight="1" spans="1:6">
      <c r="A410" s="154"/>
      <c r="B410" s="7"/>
      <c r="C410" s="154"/>
      <c r="D410" s="154"/>
      <c r="E410" s="154"/>
      <c r="F410" s="154"/>
    </row>
    <row r="411" ht="15.75" customHeight="1" spans="1:6">
      <c r="A411" s="154"/>
      <c r="B411" s="7"/>
      <c r="C411" s="154"/>
      <c r="D411" s="154"/>
      <c r="E411" s="154"/>
      <c r="F411" s="154"/>
    </row>
    <row r="412" ht="15.75" customHeight="1" spans="1:6">
      <c r="A412" s="154"/>
      <c r="B412" s="7"/>
      <c r="C412" s="154"/>
      <c r="D412" s="154"/>
      <c r="E412" s="154"/>
      <c r="F412" s="154"/>
    </row>
    <row r="413" ht="15.75" customHeight="1" spans="1:6">
      <c r="A413" s="154"/>
      <c r="B413" s="7"/>
      <c r="C413" s="154"/>
      <c r="D413" s="154"/>
      <c r="E413" s="154"/>
      <c r="F413" s="154"/>
    </row>
    <row r="414" ht="15.75" customHeight="1" spans="1:6">
      <c r="A414" s="154"/>
      <c r="B414" s="7"/>
      <c r="C414" s="154"/>
      <c r="D414" s="154"/>
      <c r="E414" s="154"/>
      <c r="F414" s="154"/>
    </row>
    <row r="415" ht="15.75" customHeight="1" spans="1:6">
      <c r="A415" s="154"/>
      <c r="B415" s="7"/>
      <c r="C415" s="154"/>
      <c r="D415" s="154"/>
      <c r="E415" s="154"/>
      <c r="F415" s="154"/>
    </row>
    <row r="416" ht="15.75" customHeight="1" spans="1:6">
      <c r="A416" s="154"/>
      <c r="B416" s="7"/>
      <c r="C416" s="154"/>
      <c r="D416" s="154"/>
      <c r="E416" s="154"/>
      <c r="F416" s="154"/>
    </row>
    <row r="417" ht="15.75" customHeight="1" spans="1:6">
      <c r="A417" s="154"/>
      <c r="B417" s="7"/>
      <c r="C417" s="154"/>
      <c r="D417" s="154"/>
      <c r="E417" s="154"/>
      <c r="F417" s="154"/>
    </row>
    <row r="418" ht="15.75" customHeight="1" spans="1:6">
      <c r="A418" s="154"/>
      <c r="B418" s="7"/>
      <c r="C418" s="154"/>
      <c r="D418" s="154"/>
      <c r="E418" s="154"/>
      <c r="F418" s="154"/>
    </row>
    <row r="419" ht="15.75" customHeight="1" spans="1:6">
      <c r="A419" s="154"/>
      <c r="B419" s="7"/>
      <c r="C419" s="154"/>
      <c r="D419" s="154"/>
      <c r="E419" s="154"/>
      <c r="F419" s="154"/>
    </row>
    <row r="420" ht="15.75" customHeight="1" spans="1:6">
      <c r="A420" s="154"/>
      <c r="B420" s="7"/>
      <c r="C420" s="154"/>
      <c r="D420" s="154"/>
      <c r="E420" s="154"/>
      <c r="F420" s="154"/>
    </row>
    <row r="421" ht="15.75" customHeight="1" spans="1:6">
      <c r="A421" s="154"/>
      <c r="B421" s="7"/>
      <c r="C421" s="154"/>
      <c r="D421" s="154"/>
      <c r="E421" s="154"/>
      <c r="F421" s="154"/>
    </row>
    <row r="422" ht="15.75" customHeight="1" spans="1:6">
      <c r="A422" s="154"/>
      <c r="B422" s="7"/>
      <c r="C422" s="154"/>
      <c r="D422" s="154"/>
      <c r="E422" s="154"/>
      <c r="F422" s="154"/>
    </row>
    <row r="423" ht="15.75" customHeight="1" spans="1:6">
      <c r="A423" s="154"/>
      <c r="B423" s="7"/>
      <c r="C423" s="154"/>
      <c r="D423" s="154"/>
      <c r="E423" s="154"/>
      <c r="F423" s="154"/>
    </row>
    <row r="424" ht="15.75" customHeight="1" spans="1:6">
      <c r="A424" s="154"/>
      <c r="B424" s="7"/>
      <c r="C424" s="154"/>
      <c r="D424" s="154"/>
      <c r="E424" s="154"/>
      <c r="F424" s="154"/>
    </row>
    <row r="425" ht="15.75" customHeight="1" spans="1:6">
      <c r="A425" s="154"/>
      <c r="B425" s="7"/>
      <c r="C425" s="154"/>
      <c r="D425" s="154"/>
      <c r="E425" s="154"/>
      <c r="F425" s="154"/>
    </row>
    <row r="426" ht="15.75" customHeight="1" spans="1:6">
      <c r="A426" s="154"/>
      <c r="B426" s="7"/>
      <c r="C426" s="154"/>
      <c r="D426" s="154"/>
      <c r="E426" s="154"/>
      <c r="F426" s="154"/>
    </row>
    <row r="427" ht="15.75" customHeight="1" spans="1:6">
      <c r="A427" s="154"/>
      <c r="B427" s="7"/>
      <c r="C427" s="154"/>
      <c r="D427" s="154"/>
      <c r="E427" s="154"/>
      <c r="F427" s="154"/>
    </row>
    <row r="428" ht="15.75" customHeight="1" spans="1:6">
      <c r="A428" s="154"/>
      <c r="B428" s="7"/>
      <c r="C428" s="154"/>
      <c r="D428" s="154"/>
      <c r="E428" s="154"/>
      <c r="F428" s="154"/>
    </row>
    <row r="429" ht="15.75" customHeight="1" spans="1:6">
      <c r="A429" s="154"/>
      <c r="B429" s="7"/>
      <c r="C429" s="154"/>
      <c r="D429" s="154"/>
      <c r="E429" s="154"/>
      <c r="F429" s="154"/>
    </row>
    <row r="430" ht="15.75" customHeight="1" spans="1:6">
      <c r="A430" s="154"/>
      <c r="B430" s="7"/>
      <c r="C430" s="154"/>
      <c r="D430" s="154"/>
      <c r="E430" s="154"/>
      <c r="F430" s="154"/>
    </row>
    <row r="431" ht="15.75" customHeight="1" spans="1:6">
      <c r="A431" s="154"/>
      <c r="B431" s="7"/>
      <c r="C431" s="154"/>
      <c r="D431" s="154"/>
      <c r="E431" s="154"/>
      <c r="F431" s="154"/>
    </row>
    <row r="432" ht="15.75" customHeight="1" spans="1:6">
      <c r="A432" s="154"/>
      <c r="B432" s="7"/>
      <c r="C432" s="154"/>
      <c r="D432" s="154"/>
      <c r="E432" s="154"/>
      <c r="F432" s="154"/>
    </row>
    <row r="433" ht="15.75" customHeight="1" spans="1:6">
      <c r="A433" s="154"/>
      <c r="B433" s="7"/>
      <c r="C433" s="154"/>
      <c r="D433" s="154"/>
      <c r="E433" s="154"/>
      <c r="F433" s="154"/>
    </row>
    <row r="434" ht="15.75" customHeight="1" spans="1:6">
      <c r="A434" s="154"/>
      <c r="B434" s="7"/>
      <c r="C434" s="154"/>
      <c r="D434" s="154"/>
      <c r="E434" s="154"/>
      <c r="F434" s="154"/>
    </row>
    <row r="435" ht="15.75" customHeight="1" spans="1:6">
      <c r="A435" s="154"/>
      <c r="B435" s="7"/>
      <c r="C435" s="154"/>
      <c r="D435" s="154"/>
      <c r="E435" s="154"/>
      <c r="F435" s="154"/>
    </row>
    <row r="436" ht="15.75" customHeight="1" spans="1:6">
      <c r="A436" s="154"/>
      <c r="B436" s="7"/>
      <c r="C436" s="154"/>
      <c r="D436" s="154"/>
      <c r="E436" s="154"/>
      <c r="F436" s="154"/>
    </row>
    <row r="437" ht="15.75" customHeight="1" spans="1:6">
      <c r="A437" s="154"/>
      <c r="B437" s="7"/>
      <c r="C437" s="154"/>
      <c r="D437" s="154"/>
      <c r="E437" s="154"/>
      <c r="F437" s="154"/>
    </row>
    <row r="438" ht="15.75" customHeight="1" spans="1:6">
      <c r="A438" s="154"/>
      <c r="B438" s="7"/>
      <c r="C438" s="154"/>
      <c r="D438" s="154"/>
      <c r="E438" s="154"/>
      <c r="F438" s="154"/>
    </row>
    <row r="439" ht="15.75" customHeight="1" spans="1:6">
      <c r="A439" s="154"/>
      <c r="B439" s="7"/>
      <c r="C439" s="154"/>
      <c r="D439" s="154"/>
      <c r="E439" s="154"/>
      <c r="F439" s="154"/>
    </row>
    <row r="440" ht="15.75" customHeight="1" spans="1:6">
      <c r="A440" s="154"/>
      <c r="B440" s="7"/>
      <c r="C440" s="154"/>
      <c r="D440" s="154"/>
      <c r="E440" s="154"/>
      <c r="F440" s="154"/>
    </row>
    <row r="441" ht="15.75" customHeight="1" spans="1:6">
      <c r="A441" s="154"/>
      <c r="B441" s="7"/>
      <c r="C441" s="154"/>
      <c r="D441" s="154"/>
      <c r="E441" s="154"/>
      <c r="F441" s="154"/>
    </row>
    <row r="442" ht="15.75" customHeight="1" spans="1:6">
      <c r="A442" s="154"/>
      <c r="B442" s="7"/>
      <c r="C442" s="154"/>
      <c r="D442" s="154"/>
      <c r="E442" s="154"/>
      <c r="F442" s="154"/>
    </row>
    <row r="443" ht="15.75" customHeight="1" spans="1:6">
      <c r="A443" s="154"/>
      <c r="B443" s="7"/>
      <c r="C443" s="154"/>
      <c r="D443" s="154"/>
      <c r="E443" s="154"/>
      <c r="F443" s="154"/>
    </row>
    <row r="444" ht="15.75" customHeight="1" spans="1:6">
      <c r="A444" s="154"/>
      <c r="B444" s="7"/>
      <c r="C444" s="154"/>
      <c r="D444" s="154"/>
      <c r="E444" s="154"/>
      <c r="F444" s="154"/>
    </row>
    <row r="445" ht="15.75" customHeight="1" spans="1:6">
      <c r="A445" s="154"/>
      <c r="B445" s="7"/>
      <c r="C445" s="154"/>
      <c r="D445" s="154"/>
      <c r="E445" s="154"/>
      <c r="F445" s="154"/>
    </row>
    <row r="446" ht="15.75" customHeight="1" spans="1:6">
      <c r="A446" s="154"/>
      <c r="B446" s="7"/>
      <c r="C446" s="154"/>
      <c r="D446" s="154"/>
      <c r="E446" s="154"/>
      <c r="F446" s="154"/>
    </row>
    <row r="447" ht="15.75" customHeight="1" spans="1:6">
      <c r="A447" s="154"/>
      <c r="B447" s="7"/>
      <c r="C447" s="154"/>
      <c r="D447" s="154"/>
      <c r="E447" s="154"/>
      <c r="F447" s="154"/>
    </row>
    <row r="448" ht="15.75" customHeight="1" spans="1:6">
      <c r="A448" s="154"/>
      <c r="B448" s="7"/>
      <c r="C448" s="154"/>
      <c r="D448" s="154"/>
      <c r="E448" s="154"/>
      <c r="F448" s="154"/>
    </row>
    <row r="449" ht="15.75" customHeight="1" spans="1:6">
      <c r="A449" s="154"/>
      <c r="B449" s="7"/>
      <c r="C449" s="154"/>
      <c r="D449" s="154"/>
      <c r="E449" s="154"/>
      <c r="F449" s="154"/>
    </row>
    <row r="450" ht="15.75" customHeight="1" spans="1:6">
      <c r="A450" s="154"/>
      <c r="B450" s="7"/>
      <c r="C450" s="154"/>
      <c r="D450" s="154"/>
      <c r="E450" s="154"/>
      <c r="F450" s="154"/>
    </row>
    <row r="451" ht="15.75" customHeight="1" spans="1:6">
      <c r="A451" s="154"/>
      <c r="B451" s="7"/>
      <c r="C451" s="154"/>
      <c r="D451" s="154"/>
      <c r="E451" s="154"/>
      <c r="F451" s="154"/>
    </row>
    <row r="452" ht="15.75" customHeight="1" spans="1:6">
      <c r="A452" s="154"/>
      <c r="B452" s="7"/>
      <c r="C452" s="154"/>
      <c r="D452" s="154"/>
      <c r="E452" s="154"/>
      <c r="F452" s="154"/>
    </row>
    <row r="453" ht="15.75" customHeight="1" spans="1:6">
      <c r="A453" s="154"/>
      <c r="B453" s="7"/>
      <c r="C453" s="154"/>
      <c r="D453" s="154"/>
      <c r="E453" s="154"/>
      <c r="F453" s="154"/>
    </row>
    <row r="454" ht="15.75" customHeight="1" spans="1:6">
      <c r="A454" s="154"/>
      <c r="B454" s="7"/>
      <c r="C454" s="154"/>
      <c r="D454" s="154"/>
      <c r="E454" s="154"/>
      <c r="F454" s="154"/>
    </row>
    <row r="455" ht="15.75" customHeight="1" spans="1:6">
      <c r="A455" s="154"/>
      <c r="B455" s="7"/>
      <c r="C455" s="154"/>
      <c r="D455" s="154"/>
      <c r="E455" s="154"/>
      <c r="F455" s="154"/>
    </row>
    <row r="456" ht="15.75" customHeight="1" spans="1:6">
      <c r="A456" s="154"/>
      <c r="B456" s="7"/>
      <c r="C456" s="154"/>
      <c r="D456" s="154"/>
      <c r="E456" s="154"/>
      <c r="F456" s="154"/>
    </row>
    <row r="457" ht="15.75" customHeight="1" spans="1:6">
      <c r="A457" s="154"/>
      <c r="B457" s="7"/>
      <c r="C457" s="154"/>
      <c r="D457" s="154"/>
      <c r="E457" s="154"/>
      <c r="F457" s="154"/>
    </row>
    <row r="458" ht="15.75" customHeight="1" spans="1:6">
      <c r="A458" s="154"/>
      <c r="B458" s="7"/>
      <c r="C458" s="154"/>
      <c r="D458" s="154"/>
      <c r="E458" s="154"/>
      <c r="F458" s="154"/>
    </row>
    <row r="459" ht="15.75" customHeight="1" spans="1:6">
      <c r="A459" s="154"/>
      <c r="B459" s="7"/>
      <c r="C459" s="154"/>
      <c r="D459" s="154"/>
      <c r="E459" s="154"/>
      <c r="F459" s="154"/>
    </row>
    <row r="460" ht="15.75" customHeight="1" spans="1:6">
      <c r="A460" s="154"/>
      <c r="B460" s="7"/>
      <c r="C460" s="154"/>
      <c r="D460" s="154"/>
      <c r="E460" s="154"/>
      <c r="F460" s="154"/>
    </row>
    <row r="461" ht="15.75" customHeight="1" spans="1:6">
      <c r="A461" s="154"/>
      <c r="B461" s="7"/>
      <c r="C461" s="154"/>
      <c r="D461" s="154"/>
      <c r="E461" s="154"/>
      <c r="F461" s="154"/>
    </row>
    <row r="462" ht="15.75" customHeight="1" spans="1:6">
      <c r="A462" s="154"/>
      <c r="B462" s="7"/>
      <c r="C462" s="154"/>
      <c r="D462" s="154"/>
      <c r="E462" s="154"/>
      <c r="F462" s="154"/>
    </row>
    <row r="463" ht="15.75" customHeight="1" spans="1:6">
      <c r="A463" s="154"/>
      <c r="B463" s="7"/>
      <c r="C463" s="154"/>
      <c r="D463" s="154"/>
      <c r="E463" s="154"/>
      <c r="F463" s="154"/>
    </row>
    <row r="464" ht="15.75" customHeight="1" spans="1:6">
      <c r="A464" s="154"/>
      <c r="B464" s="7"/>
      <c r="C464" s="154"/>
      <c r="D464" s="154"/>
      <c r="E464" s="154"/>
      <c r="F464" s="154"/>
    </row>
    <row r="465" ht="15.75" customHeight="1" spans="1:6">
      <c r="A465" s="154"/>
      <c r="B465" s="7"/>
      <c r="C465" s="154"/>
      <c r="D465" s="154"/>
      <c r="E465" s="154"/>
      <c r="F465" s="154"/>
    </row>
    <row r="466" ht="15.75" customHeight="1" spans="1:6">
      <c r="A466" s="154"/>
      <c r="B466" s="7"/>
      <c r="C466" s="154"/>
      <c r="D466" s="154"/>
      <c r="E466" s="154"/>
      <c r="F466" s="154"/>
    </row>
    <row r="467" ht="15.75" customHeight="1" spans="1:6">
      <c r="A467" s="154"/>
      <c r="B467" s="7"/>
      <c r="C467" s="154"/>
      <c r="D467" s="154"/>
      <c r="E467" s="154"/>
      <c r="F467" s="154"/>
    </row>
    <row r="468" ht="15.75" customHeight="1" spans="1:6">
      <c r="A468" s="154"/>
      <c r="B468" s="7"/>
      <c r="C468" s="154"/>
      <c r="D468" s="154"/>
      <c r="E468" s="154"/>
      <c r="F468" s="154"/>
    </row>
    <row r="469" ht="15.75" customHeight="1" spans="1:6">
      <c r="A469" s="154"/>
      <c r="B469" s="7"/>
      <c r="C469" s="154"/>
      <c r="D469" s="154"/>
      <c r="E469" s="154"/>
      <c r="F469" s="154"/>
    </row>
    <row r="470" ht="15.75" customHeight="1" spans="1:6">
      <c r="A470" s="154"/>
      <c r="B470" s="7"/>
      <c r="C470" s="154"/>
      <c r="D470" s="154"/>
      <c r="E470" s="154"/>
      <c r="F470" s="154"/>
    </row>
    <row r="471" ht="15.75" customHeight="1" spans="1:6">
      <c r="A471" s="154"/>
      <c r="B471" s="7"/>
      <c r="C471" s="154"/>
      <c r="D471" s="154"/>
      <c r="E471" s="154"/>
      <c r="F471" s="154"/>
    </row>
    <row r="472" ht="15.75" customHeight="1" spans="1:6">
      <c r="A472" s="154"/>
      <c r="B472" s="7"/>
      <c r="C472" s="154"/>
      <c r="D472" s="154"/>
      <c r="E472" s="154"/>
      <c r="F472" s="154"/>
    </row>
    <row r="473" ht="15.75" customHeight="1" spans="1:6">
      <c r="A473" s="154"/>
      <c r="B473" s="7"/>
      <c r="C473" s="154"/>
      <c r="D473" s="154"/>
      <c r="E473" s="154"/>
      <c r="F473" s="154"/>
    </row>
    <row r="474" ht="15.75" customHeight="1" spans="1:6">
      <c r="A474" s="154"/>
      <c r="B474" s="7"/>
      <c r="C474" s="154"/>
      <c r="D474" s="154"/>
      <c r="E474" s="154"/>
      <c r="F474" s="154"/>
    </row>
    <row r="475" ht="15.75" customHeight="1" spans="1:6">
      <c r="A475" s="154"/>
      <c r="B475" s="7"/>
      <c r="C475" s="154"/>
      <c r="D475" s="154"/>
      <c r="E475" s="154"/>
      <c r="F475" s="154"/>
    </row>
    <row r="476" ht="15.75" customHeight="1" spans="1:6">
      <c r="A476" s="154"/>
      <c r="B476" s="7"/>
      <c r="C476" s="154"/>
      <c r="D476" s="154"/>
      <c r="E476" s="154"/>
      <c r="F476" s="154"/>
    </row>
    <row r="477" ht="15.75" customHeight="1" spans="1:6">
      <c r="A477" s="154"/>
      <c r="B477" s="7"/>
      <c r="C477" s="154"/>
      <c r="D477" s="154"/>
      <c r="E477" s="154"/>
      <c r="F477" s="154"/>
    </row>
    <row r="478" ht="15.75" customHeight="1" spans="1:6">
      <c r="A478" s="154"/>
      <c r="B478" s="7"/>
      <c r="C478" s="154"/>
      <c r="D478" s="154"/>
      <c r="E478" s="154"/>
      <c r="F478" s="154"/>
    </row>
    <row r="479" ht="15.75" customHeight="1" spans="1:6">
      <c r="A479" s="154"/>
      <c r="B479" s="7"/>
      <c r="C479" s="154"/>
      <c r="D479" s="154"/>
      <c r="E479" s="154"/>
      <c r="F479" s="154"/>
    </row>
    <row r="480" ht="15.75" customHeight="1" spans="1:6">
      <c r="A480" s="154"/>
      <c r="B480" s="7"/>
      <c r="C480" s="154"/>
      <c r="D480" s="154"/>
      <c r="E480" s="154"/>
      <c r="F480" s="154"/>
    </row>
    <row r="481" ht="15.75" customHeight="1" spans="1:6">
      <c r="A481" s="154"/>
      <c r="B481" s="7"/>
      <c r="C481" s="154"/>
      <c r="D481" s="154"/>
      <c r="E481" s="154"/>
      <c r="F481" s="154"/>
    </row>
    <row r="482" ht="15.75" customHeight="1" spans="1:6">
      <c r="A482" s="154"/>
      <c r="B482" s="7"/>
      <c r="C482" s="154"/>
      <c r="D482" s="154"/>
      <c r="E482" s="154"/>
      <c r="F482" s="154"/>
    </row>
    <row r="483" ht="15.75" customHeight="1" spans="1:6">
      <c r="A483" s="154"/>
      <c r="B483" s="7"/>
      <c r="C483" s="154"/>
      <c r="D483" s="154"/>
      <c r="E483" s="154"/>
      <c r="F483" s="154"/>
    </row>
    <row r="484" ht="15.75" customHeight="1" spans="1:6">
      <c r="A484" s="154"/>
      <c r="B484" s="7"/>
      <c r="C484" s="154"/>
      <c r="D484" s="154"/>
      <c r="E484" s="154"/>
      <c r="F484" s="154"/>
    </row>
    <row r="485" ht="15.75" customHeight="1" spans="1:6">
      <c r="A485" s="154"/>
      <c r="B485" s="7"/>
      <c r="C485" s="154"/>
      <c r="D485" s="154"/>
      <c r="E485" s="154"/>
      <c r="F485" s="154"/>
    </row>
    <row r="486" ht="15.75" customHeight="1" spans="1:6">
      <c r="A486" s="154"/>
      <c r="B486" s="7"/>
      <c r="C486" s="154"/>
      <c r="D486" s="154"/>
      <c r="E486" s="154"/>
      <c r="F486" s="154"/>
    </row>
    <row r="487" ht="15.75" customHeight="1" spans="1:6">
      <c r="A487" s="154"/>
      <c r="B487" s="7"/>
      <c r="C487" s="154"/>
      <c r="D487" s="154"/>
      <c r="E487" s="154"/>
      <c r="F487" s="154"/>
    </row>
    <row r="488" ht="15.75" customHeight="1" spans="1:6">
      <c r="A488" s="154"/>
      <c r="B488" s="7"/>
      <c r="C488" s="154"/>
      <c r="D488" s="154"/>
      <c r="E488" s="154"/>
      <c r="F488" s="154"/>
    </row>
    <row r="489" ht="15.75" customHeight="1" spans="1:6">
      <c r="A489" s="154"/>
      <c r="B489" s="7"/>
      <c r="C489" s="154"/>
      <c r="D489" s="154"/>
      <c r="E489" s="154"/>
      <c r="F489" s="154"/>
    </row>
    <row r="490" ht="15.75" customHeight="1" spans="1:6">
      <c r="A490" s="154"/>
      <c r="B490" s="7"/>
      <c r="C490" s="154"/>
      <c r="D490" s="154"/>
      <c r="E490" s="154"/>
      <c r="F490" s="154"/>
    </row>
    <row r="491" ht="15.75" customHeight="1" spans="1:6">
      <c r="A491" s="154"/>
      <c r="B491" s="7"/>
      <c r="C491" s="154"/>
      <c r="D491" s="154"/>
      <c r="E491" s="154"/>
      <c r="F491" s="154"/>
    </row>
    <row r="492" ht="15.75" customHeight="1" spans="1:6">
      <c r="A492" s="154"/>
      <c r="B492" s="7"/>
      <c r="C492" s="154"/>
      <c r="D492" s="154"/>
      <c r="E492" s="154"/>
      <c r="F492" s="154"/>
    </row>
    <row r="493" ht="15.75" customHeight="1" spans="1:6">
      <c r="A493" s="154"/>
      <c r="B493" s="7"/>
      <c r="C493" s="154"/>
      <c r="D493" s="154"/>
      <c r="E493" s="154"/>
      <c r="F493" s="154"/>
    </row>
    <row r="494" ht="15.75" customHeight="1" spans="1:6">
      <c r="A494" s="154"/>
      <c r="B494" s="7"/>
      <c r="C494" s="154"/>
      <c r="D494" s="154"/>
      <c r="E494" s="154"/>
      <c r="F494" s="154"/>
    </row>
    <row r="495" ht="15.75" customHeight="1" spans="1:6">
      <c r="A495" s="154"/>
      <c r="B495" s="7"/>
      <c r="C495" s="154"/>
      <c r="D495" s="154"/>
      <c r="E495" s="154"/>
      <c r="F495" s="154"/>
    </row>
    <row r="496" ht="15.75" customHeight="1" spans="1:6">
      <c r="A496" s="154"/>
      <c r="B496" s="7"/>
      <c r="C496" s="154"/>
      <c r="D496" s="154"/>
      <c r="E496" s="154"/>
      <c r="F496" s="154"/>
    </row>
    <row r="497" ht="15.75" customHeight="1" spans="1:6">
      <c r="A497" s="154"/>
      <c r="B497" s="7"/>
      <c r="C497" s="154"/>
      <c r="D497" s="154"/>
      <c r="E497" s="154"/>
      <c r="F497" s="154"/>
    </row>
    <row r="498" ht="15.75" customHeight="1" spans="1:6">
      <c r="A498" s="154"/>
      <c r="B498" s="7"/>
      <c r="C498" s="154"/>
      <c r="D498" s="154"/>
      <c r="E498" s="154"/>
      <c r="F498" s="154"/>
    </row>
    <row r="499" ht="15.75" customHeight="1" spans="1:6">
      <c r="A499" s="154"/>
      <c r="B499" s="7"/>
      <c r="C499" s="154"/>
      <c r="D499" s="154"/>
      <c r="E499" s="154"/>
      <c r="F499" s="154"/>
    </row>
    <row r="500" ht="15.75" customHeight="1" spans="1:6">
      <c r="A500" s="154"/>
      <c r="B500" s="7"/>
      <c r="C500" s="154"/>
      <c r="D500" s="154"/>
      <c r="E500" s="154"/>
      <c r="F500" s="154"/>
    </row>
    <row r="501" ht="15.75" customHeight="1" spans="1:6">
      <c r="A501" s="154"/>
      <c r="B501" s="7"/>
      <c r="C501" s="154"/>
      <c r="D501" s="154"/>
      <c r="E501" s="154"/>
      <c r="F501" s="154"/>
    </row>
    <row r="502" ht="15.75" customHeight="1" spans="1:6">
      <c r="A502" s="154"/>
      <c r="B502" s="7"/>
      <c r="C502" s="154"/>
      <c r="D502" s="154"/>
      <c r="E502" s="154"/>
      <c r="F502" s="154"/>
    </row>
    <row r="503" ht="15.75" customHeight="1" spans="1:6">
      <c r="A503" s="154"/>
      <c r="B503" s="7"/>
      <c r="C503" s="154"/>
      <c r="D503" s="154"/>
      <c r="E503" s="154"/>
      <c r="F503" s="154"/>
    </row>
    <row r="504" ht="15.75" customHeight="1" spans="1:6">
      <c r="A504" s="154"/>
      <c r="B504" s="7"/>
      <c r="C504" s="154"/>
      <c r="D504" s="154"/>
      <c r="E504" s="154"/>
      <c r="F504" s="154"/>
    </row>
    <row r="505" ht="15.75" customHeight="1" spans="1:6">
      <c r="A505" s="154"/>
      <c r="B505" s="7"/>
      <c r="C505" s="154"/>
      <c r="D505" s="154"/>
      <c r="E505" s="154"/>
      <c r="F505" s="154"/>
    </row>
    <row r="506" ht="15.75" customHeight="1" spans="1:6">
      <c r="A506" s="154"/>
      <c r="B506" s="7"/>
      <c r="C506" s="154"/>
      <c r="D506" s="154"/>
      <c r="E506" s="154"/>
      <c r="F506" s="154"/>
    </row>
    <row r="507" ht="15.75" customHeight="1" spans="1:6">
      <c r="A507" s="154"/>
      <c r="B507" s="7"/>
      <c r="C507" s="154"/>
      <c r="D507" s="154"/>
      <c r="E507" s="154"/>
      <c r="F507" s="154"/>
    </row>
    <row r="508" ht="15.75" customHeight="1" spans="1:6">
      <c r="A508" s="154"/>
      <c r="B508" s="7"/>
      <c r="C508" s="154"/>
      <c r="D508" s="154"/>
      <c r="E508" s="154"/>
      <c r="F508" s="154"/>
    </row>
    <row r="509" ht="15.75" customHeight="1" spans="1:6">
      <c r="A509" s="154"/>
      <c r="B509" s="7"/>
      <c r="C509" s="154"/>
      <c r="D509" s="154"/>
      <c r="E509" s="154"/>
      <c r="F509" s="154"/>
    </row>
    <row r="510" ht="15.75" customHeight="1" spans="1:6">
      <c r="A510" s="154"/>
      <c r="B510" s="7"/>
      <c r="C510" s="154"/>
      <c r="D510" s="154"/>
      <c r="E510" s="154"/>
      <c r="F510" s="154"/>
    </row>
    <row r="511" ht="15.75" customHeight="1" spans="1:6">
      <c r="A511" s="154"/>
      <c r="B511" s="7"/>
      <c r="C511" s="154"/>
      <c r="D511" s="154"/>
      <c r="E511" s="154"/>
      <c r="F511" s="154"/>
    </row>
    <row r="512" ht="15.75" customHeight="1" spans="1:6">
      <c r="A512" s="154"/>
      <c r="B512" s="7"/>
      <c r="C512" s="154"/>
      <c r="D512" s="154"/>
      <c r="E512" s="154"/>
      <c r="F512" s="154"/>
    </row>
    <row r="513" ht="15.75" customHeight="1" spans="1:6">
      <c r="A513" s="154"/>
      <c r="B513" s="7"/>
      <c r="C513" s="154"/>
      <c r="D513" s="154"/>
      <c r="E513" s="154"/>
      <c r="F513" s="154"/>
    </row>
    <row r="514" ht="15.75" customHeight="1" spans="1:6">
      <c r="A514" s="154"/>
      <c r="B514" s="7"/>
      <c r="C514" s="154"/>
      <c r="D514" s="154"/>
      <c r="E514" s="154"/>
      <c r="F514" s="154"/>
    </row>
    <row r="515" ht="15.75" customHeight="1" spans="1:6">
      <c r="A515" s="154"/>
      <c r="B515" s="7"/>
      <c r="C515" s="154"/>
      <c r="D515" s="154"/>
      <c r="E515" s="154"/>
      <c r="F515" s="154"/>
    </row>
    <row r="516" ht="15.75" customHeight="1" spans="1:6">
      <c r="A516" s="154"/>
      <c r="B516" s="7"/>
      <c r="C516" s="154"/>
      <c r="D516" s="154"/>
      <c r="E516" s="154"/>
      <c r="F516" s="154"/>
    </row>
    <row r="517" ht="15.75" customHeight="1" spans="1:6">
      <c r="A517" s="154"/>
      <c r="B517" s="7"/>
      <c r="C517" s="154"/>
      <c r="D517" s="154"/>
      <c r="E517" s="154"/>
      <c r="F517" s="154"/>
    </row>
    <row r="518" ht="15.75" customHeight="1" spans="1:6">
      <c r="A518" s="154"/>
      <c r="B518" s="7"/>
      <c r="C518" s="154"/>
      <c r="D518" s="154"/>
      <c r="E518" s="154"/>
      <c r="F518" s="154"/>
    </row>
    <row r="519" ht="15.75" customHeight="1" spans="1:6">
      <c r="A519" s="154"/>
      <c r="B519" s="7"/>
      <c r="C519" s="154"/>
      <c r="D519" s="154"/>
      <c r="E519" s="154"/>
      <c r="F519" s="154"/>
    </row>
    <row r="520" ht="15.75" customHeight="1" spans="1:6">
      <c r="A520" s="154"/>
      <c r="B520" s="7"/>
      <c r="C520" s="154"/>
      <c r="D520" s="154"/>
      <c r="E520" s="154"/>
      <c r="F520" s="154"/>
    </row>
    <row r="521" ht="15.75" customHeight="1" spans="1:6">
      <c r="A521" s="154"/>
      <c r="B521" s="7"/>
      <c r="C521" s="154"/>
      <c r="D521" s="154"/>
      <c r="E521" s="154"/>
      <c r="F521" s="154"/>
    </row>
    <row r="522" ht="15.75" customHeight="1" spans="1:6">
      <c r="A522" s="154"/>
      <c r="B522" s="7"/>
      <c r="C522" s="154"/>
      <c r="D522" s="154"/>
      <c r="E522" s="154"/>
      <c r="F522" s="154"/>
    </row>
    <row r="523" ht="15.75" customHeight="1" spans="1:6">
      <c r="A523" s="154"/>
      <c r="B523" s="7"/>
      <c r="C523" s="154"/>
      <c r="D523" s="154"/>
      <c r="E523" s="154"/>
      <c r="F523" s="154"/>
    </row>
    <row r="524" ht="15.75" customHeight="1" spans="1:6">
      <c r="A524" s="154"/>
      <c r="B524" s="7"/>
      <c r="C524" s="154"/>
      <c r="D524" s="154"/>
      <c r="E524" s="154"/>
      <c r="F524" s="154"/>
    </row>
    <row r="525" ht="15.75" customHeight="1" spans="1:6">
      <c r="A525" s="154"/>
      <c r="B525" s="7"/>
      <c r="C525" s="154"/>
      <c r="D525" s="154"/>
      <c r="E525" s="154"/>
      <c r="F525" s="154"/>
    </row>
    <row r="526" ht="15.75" customHeight="1" spans="1:6">
      <c r="A526" s="154"/>
      <c r="B526" s="7"/>
      <c r="C526" s="154"/>
      <c r="D526" s="154"/>
      <c r="E526" s="154"/>
      <c r="F526" s="154"/>
    </row>
    <row r="527" ht="15.75" customHeight="1" spans="1:6">
      <c r="A527" s="154"/>
      <c r="B527" s="7"/>
      <c r="C527" s="154"/>
      <c r="D527" s="154"/>
      <c r="E527" s="154"/>
      <c r="F527" s="154"/>
    </row>
    <row r="528" ht="15.75" customHeight="1" spans="1:6">
      <c r="A528" s="154"/>
      <c r="B528" s="7"/>
      <c r="C528" s="154"/>
      <c r="D528" s="154"/>
      <c r="E528" s="154"/>
      <c r="F528" s="154"/>
    </row>
    <row r="529" ht="15.75" customHeight="1" spans="1:6">
      <c r="A529" s="154"/>
      <c r="B529" s="7"/>
      <c r="C529" s="154"/>
      <c r="D529" s="154"/>
      <c r="E529" s="154"/>
      <c r="F529" s="154"/>
    </row>
    <row r="530" ht="15.75" customHeight="1" spans="1:6">
      <c r="A530" s="154"/>
      <c r="B530" s="7"/>
      <c r="C530" s="154"/>
      <c r="D530" s="154"/>
      <c r="E530" s="154"/>
      <c r="F530" s="154"/>
    </row>
    <row r="531" ht="15.75" customHeight="1" spans="1:6">
      <c r="A531" s="154"/>
      <c r="B531" s="7"/>
      <c r="C531" s="154"/>
      <c r="D531" s="154"/>
      <c r="E531" s="154"/>
      <c r="F531" s="154"/>
    </row>
    <row r="532" ht="15.75" customHeight="1" spans="1:6">
      <c r="A532" s="154"/>
      <c r="B532" s="7"/>
      <c r="C532" s="154"/>
      <c r="D532" s="154"/>
      <c r="E532" s="154"/>
      <c r="F532" s="154"/>
    </row>
    <row r="533" ht="15.75" customHeight="1" spans="1:6">
      <c r="A533" s="154"/>
      <c r="B533" s="7"/>
      <c r="C533" s="154"/>
      <c r="D533" s="154"/>
      <c r="E533" s="154"/>
      <c r="F533" s="154"/>
    </row>
    <row r="534" ht="15.75" customHeight="1" spans="1:6">
      <c r="A534" s="154"/>
      <c r="B534" s="7"/>
      <c r="C534" s="154"/>
      <c r="D534" s="154"/>
      <c r="E534" s="154"/>
      <c r="F534" s="154"/>
    </row>
    <row r="535" ht="15.75" customHeight="1" spans="1:6">
      <c r="A535" s="154"/>
      <c r="B535" s="7"/>
      <c r="C535" s="154"/>
      <c r="D535" s="154"/>
      <c r="E535" s="154"/>
      <c r="F535" s="154"/>
    </row>
    <row r="536" ht="15.75" customHeight="1" spans="1:6">
      <c r="A536" s="154"/>
      <c r="B536" s="7"/>
      <c r="C536" s="154"/>
      <c r="D536" s="154"/>
      <c r="E536" s="154"/>
      <c r="F536" s="154"/>
    </row>
    <row r="537" ht="15.75" customHeight="1" spans="1:6">
      <c r="A537" s="154"/>
      <c r="B537" s="7"/>
      <c r="C537" s="154"/>
      <c r="D537" s="154"/>
      <c r="E537" s="154"/>
      <c r="F537" s="154"/>
    </row>
    <row r="538" ht="15.75" customHeight="1" spans="1:6">
      <c r="A538" s="154"/>
      <c r="B538" s="7"/>
      <c r="C538" s="154"/>
      <c r="D538" s="154"/>
      <c r="E538" s="154"/>
      <c r="F538" s="154"/>
    </row>
    <row r="539" ht="15.75" customHeight="1" spans="1:6">
      <c r="A539" s="154"/>
      <c r="B539" s="7"/>
      <c r="C539" s="154"/>
      <c r="D539" s="154"/>
      <c r="E539" s="154"/>
      <c r="F539" s="154"/>
    </row>
    <row r="540" ht="15.75" customHeight="1" spans="1:6">
      <c r="A540" s="154"/>
      <c r="B540" s="7"/>
      <c r="C540" s="154"/>
      <c r="D540" s="154"/>
      <c r="E540" s="154"/>
      <c r="F540" s="154"/>
    </row>
    <row r="541" ht="15.75" customHeight="1" spans="1:6">
      <c r="A541" s="154"/>
      <c r="B541" s="7"/>
      <c r="C541" s="154"/>
      <c r="D541" s="154"/>
      <c r="E541" s="154"/>
      <c r="F541" s="154"/>
    </row>
    <row r="542" ht="15.75" customHeight="1" spans="1:6">
      <c r="A542" s="154"/>
      <c r="B542" s="7"/>
      <c r="C542" s="154"/>
      <c r="D542" s="154"/>
      <c r="E542" s="154"/>
      <c r="F542" s="154"/>
    </row>
    <row r="543" ht="15.75" customHeight="1" spans="1:6">
      <c r="A543" s="154"/>
      <c r="B543" s="7"/>
      <c r="C543" s="154"/>
      <c r="D543" s="154"/>
      <c r="E543" s="154"/>
      <c r="F543" s="154"/>
    </row>
    <row r="544" ht="15.75" customHeight="1" spans="1:6">
      <c r="A544" s="154"/>
      <c r="B544" s="7"/>
      <c r="C544" s="154"/>
      <c r="D544" s="154"/>
      <c r="E544" s="154"/>
      <c r="F544" s="154"/>
    </row>
    <row r="545" ht="15.75" customHeight="1" spans="1:6">
      <c r="A545" s="154"/>
      <c r="B545" s="7"/>
      <c r="C545" s="154"/>
      <c r="D545" s="154"/>
      <c r="E545" s="154"/>
      <c r="F545" s="154"/>
    </row>
    <row r="546" ht="15.75" customHeight="1" spans="1:6">
      <c r="A546" s="154"/>
      <c r="B546" s="7"/>
      <c r="C546" s="154"/>
      <c r="D546" s="154"/>
      <c r="E546" s="154"/>
      <c r="F546" s="154"/>
    </row>
    <row r="547" ht="15.75" customHeight="1" spans="1:6">
      <c r="A547" s="154"/>
      <c r="B547" s="7"/>
      <c r="C547" s="154"/>
      <c r="D547" s="154"/>
      <c r="E547" s="154"/>
      <c r="F547" s="154"/>
    </row>
    <row r="548" ht="15.75" customHeight="1" spans="1:6">
      <c r="A548" s="154"/>
      <c r="B548" s="7"/>
      <c r="C548" s="154"/>
      <c r="D548" s="154"/>
      <c r="E548" s="154"/>
      <c r="F548" s="154"/>
    </row>
    <row r="549" ht="15.75" customHeight="1" spans="1:6">
      <c r="A549" s="154"/>
      <c r="B549" s="7"/>
      <c r="C549" s="154"/>
      <c r="D549" s="154"/>
      <c r="E549" s="154"/>
      <c r="F549" s="154"/>
    </row>
    <row r="550" ht="15.75" customHeight="1" spans="1:6">
      <c r="A550" s="154"/>
      <c r="B550" s="7"/>
      <c r="C550" s="154"/>
      <c r="D550" s="154"/>
      <c r="E550" s="154"/>
      <c r="F550" s="154"/>
    </row>
    <row r="551" ht="15.75" customHeight="1" spans="1:6">
      <c r="A551" s="154"/>
      <c r="B551" s="7"/>
      <c r="C551" s="154"/>
      <c r="D551" s="154"/>
      <c r="E551" s="154"/>
      <c r="F551" s="154"/>
    </row>
    <row r="552" ht="15.75" customHeight="1" spans="1:6">
      <c r="A552" s="154"/>
      <c r="B552" s="7"/>
      <c r="C552" s="154"/>
      <c r="D552" s="154"/>
      <c r="E552" s="154"/>
      <c r="F552" s="154"/>
    </row>
    <row r="553" ht="15.75" customHeight="1" spans="1:6">
      <c r="A553" s="154"/>
      <c r="B553" s="7"/>
      <c r="C553" s="154"/>
      <c r="D553" s="154"/>
      <c r="E553" s="154"/>
      <c r="F553" s="154"/>
    </row>
    <row r="554" ht="15.75" customHeight="1" spans="1:6">
      <c r="A554" s="154"/>
      <c r="B554" s="7"/>
      <c r="C554" s="154"/>
      <c r="D554" s="154"/>
      <c r="E554" s="154"/>
      <c r="F554" s="154"/>
    </row>
    <row r="555" ht="15.75" customHeight="1" spans="1:6">
      <c r="A555" s="154"/>
      <c r="B555" s="7"/>
      <c r="C555" s="154"/>
      <c r="D555" s="154"/>
      <c r="E555" s="154"/>
      <c r="F555" s="154"/>
    </row>
    <row r="556" ht="15.75" customHeight="1" spans="1:6">
      <c r="A556" s="154"/>
      <c r="B556" s="7"/>
      <c r="C556" s="154"/>
      <c r="D556" s="154"/>
      <c r="E556" s="154"/>
      <c r="F556" s="154"/>
    </row>
    <row r="557" ht="15.75" customHeight="1" spans="1:6">
      <c r="A557" s="154"/>
      <c r="B557" s="7"/>
      <c r="C557" s="154"/>
      <c r="D557" s="154"/>
      <c r="E557" s="154"/>
      <c r="F557" s="154"/>
    </row>
    <row r="558" ht="15.75" customHeight="1" spans="1:6">
      <c r="A558" s="154"/>
      <c r="B558" s="7"/>
      <c r="C558" s="154"/>
      <c r="D558" s="154"/>
      <c r="E558" s="154"/>
      <c r="F558" s="154"/>
    </row>
    <row r="559" ht="15.75" customHeight="1" spans="1:6">
      <c r="A559" s="154"/>
      <c r="B559" s="7"/>
      <c r="C559" s="154"/>
      <c r="D559" s="154"/>
      <c r="E559" s="154"/>
      <c r="F559" s="154"/>
    </row>
    <row r="560" ht="15.75" customHeight="1" spans="1:6">
      <c r="A560" s="154"/>
      <c r="B560" s="7"/>
      <c r="C560" s="154"/>
      <c r="D560" s="154"/>
      <c r="E560" s="154"/>
      <c r="F560" s="154"/>
    </row>
    <row r="561" ht="15.75" customHeight="1" spans="1:6">
      <c r="A561" s="154"/>
      <c r="B561" s="7"/>
      <c r="C561" s="154"/>
      <c r="D561" s="154"/>
      <c r="E561" s="154"/>
      <c r="F561" s="154"/>
    </row>
    <row r="562" ht="15.75" customHeight="1" spans="1:6">
      <c r="A562" s="154"/>
      <c r="B562" s="7"/>
      <c r="C562" s="154"/>
      <c r="D562" s="154"/>
      <c r="E562" s="154"/>
      <c r="F562" s="154"/>
    </row>
    <row r="563" ht="15.75" customHeight="1" spans="1:6">
      <c r="A563" s="154"/>
      <c r="B563" s="7"/>
      <c r="C563" s="154"/>
      <c r="D563" s="154"/>
      <c r="E563" s="154"/>
      <c r="F563" s="154"/>
    </row>
    <row r="564" ht="15.75" customHeight="1" spans="1:6">
      <c r="A564" s="154"/>
      <c r="B564" s="7"/>
      <c r="C564" s="154"/>
      <c r="D564" s="154"/>
      <c r="E564" s="154"/>
      <c r="F564" s="154"/>
    </row>
    <row r="565" ht="15.75" customHeight="1" spans="1:6">
      <c r="A565" s="154"/>
      <c r="B565" s="7"/>
      <c r="C565" s="154"/>
      <c r="D565" s="154"/>
      <c r="E565" s="154"/>
      <c r="F565" s="154"/>
    </row>
    <row r="566" ht="15.75" customHeight="1" spans="1:6">
      <c r="A566" s="154"/>
      <c r="B566" s="7"/>
      <c r="C566" s="154"/>
      <c r="D566" s="154"/>
      <c r="E566" s="154"/>
      <c r="F566" s="154"/>
    </row>
    <row r="567" ht="15.75" customHeight="1" spans="1:6">
      <c r="A567" s="154"/>
      <c r="B567" s="7"/>
      <c r="C567" s="154"/>
      <c r="D567" s="154"/>
      <c r="E567" s="154"/>
      <c r="F567" s="154"/>
    </row>
    <row r="568" ht="15.75" customHeight="1" spans="1:6">
      <c r="A568" s="154"/>
      <c r="B568" s="7"/>
      <c r="C568" s="154"/>
      <c r="D568" s="154"/>
      <c r="E568" s="154"/>
      <c r="F568" s="154"/>
    </row>
    <row r="569" ht="15.75" customHeight="1" spans="1:6">
      <c r="A569" s="154"/>
      <c r="B569" s="7"/>
      <c r="C569" s="154"/>
      <c r="D569" s="154"/>
      <c r="E569" s="154"/>
      <c r="F569" s="154"/>
    </row>
    <row r="570" ht="15.75" customHeight="1" spans="1:6">
      <c r="A570" s="154"/>
      <c r="B570" s="7"/>
      <c r="C570" s="154"/>
      <c r="D570" s="154"/>
      <c r="E570" s="154"/>
      <c r="F570" s="154"/>
    </row>
    <row r="571" ht="15.75" customHeight="1" spans="1:6">
      <c r="A571" s="154"/>
      <c r="B571" s="7"/>
      <c r="C571" s="154"/>
      <c r="D571" s="154"/>
      <c r="E571" s="154"/>
      <c r="F571" s="154"/>
    </row>
    <row r="572" ht="15.75" customHeight="1" spans="1:6">
      <c r="A572" s="154"/>
      <c r="B572" s="7"/>
      <c r="C572" s="154"/>
      <c r="D572" s="154"/>
      <c r="E572" s="154"/>
      <c r="F572" s="154"/>
    </row>
    <row r="573" ht="15.75" customHeight="1" spans="1:6">
      <c r="A573" s="154"/>
      <c r="B573" s="7"/>
      <c r="C573" s="154"/>
      <c r="D573" s="154"/>
      <c r="E573" s="154"/>
      <c r="F573" s="154"/>
    </row>
    <row r="574" ht="15.75" customHeight="1" spans="1:6">
      <c r="A574" s="154"/>
      <c r="B574" s="7"/>
      <c r="C574" s="154"/>
      <c r="D574" s="154"/>
      <c r="E574" s="154"/>
      <c r="F574" s="154"/>
    </row>
    <row r="575" ht="15.75" customHeight="1" spans="1:6">
      <c r="A575" s="154"/>
      <c r="B575" s="7"/>
      <c r="C575" s="154"/>
      <c r="D575" s="154"/>
      <c r="E575" s="154"/>
      <c r="F575" s="154"/>
    </row>
    <row r="576" ht="15.75" customHeight="1" spans="1:6">
      <c r="A576" s="154"/>
      <c r="B576" s="7"/>
      <c r="C576" s="154"/>
      <c r="D576" s="154"/>
      <c r="E576" s="154"/>
      <c r="F576" s="154"/>
    </row>
    <row r="577" ht="15.75" customHeight="1" spans="1:6">
      <c r="A577" s="154"/>
      <c r="B577" s="7"/>
      <c r="C577" s="154"/>
      <c r="D577" s="154"/>
      <c r="E577" s="154"/>
      <c r="F577" s="154"/>
    </row>
    <row r="578" ht="15.75" customHeight="1" spans="1:6">
      <c r="A578" s="154"/>
      <c r="B578" s="7"/>
      <c r="C578" s="154"/>
      <c r="D578" s="154"/>
      <c r="E578" s="154"/>
      <c r="F578" s="154"/>
    </row>
    <row r="579" ht="15.75" customHeight="1" spans="1:6">
      <c r="A579" s="154"/>
      <c r="B579" s="7"/>
      <c r="C579" s="154"/>
      <c r="D579" s="154"/>
      <c r="E579" s="154"/>
      <c r="F579" s="154"/>
    </row>
    <row r="580" ht="15.75" customHeight="1" spans="1:6">
      <c r="A580" s="154"/>
      <c r="B580" s="7"/>
      <c r="C580" s="154"/>
      <c r="D580" s="154"/>
      <c r="E580" s="154"/>
      <c r="F580" s="154"/>
    </row>
    <row r="581" ht="15.75" customHeight="1" spans="1:6">
      <c r="A581" s="154"/>
      <c r="B581" s="7"/>
      <c r="C581" s="154"/>
      <c r="D581" s="154"/>
      <c r="E581" s="154"/>
      <c r="F581" s="154"/>
    </row>
    <row r="582" ht="15.75" customHeight="1" spans="1:6">
      <c r="A582" s="154"/>
      <c r="B582" s="7"/>
      <c r="C582" s="154"/>
      <c r="D582" s="154"/>
      <c r="E582" s="154"/>
      <c r="F582" s="154"/>
    </row>
    <row r="583" ht="15.75" customHeight="1" spans="1:6">
      <c r="A583" s="154"/>
      <c r="B583" s="7"/>
      <c r="C583" s="154"/>
      <c r="D583" s="154"/>
      <c r="E583" s="154"/>
      <c r="F583" s="154"/>
    </row>
    <row r="584" ht="15.75" customHeight="1" spans="1:6">
      <c r="A584" s="154"/>
      <c r="B584" s="7"/>
      <c r="C584" s="154"/>
      <c r="D584" s="154"/>
      <c r="E584" s="154"/>
      <c r="F584" s="154"/>
    </row>
    <row r="585" ht="15.75" customHeight="1" spans="1:6">
      <c r="A585" s="154"/>
      <c r="B585" s="7"/>
      <c r="C585" s="154"/>
      <c r="D585" s="154"/>
      <c r="E585" s="154"/>
      <c r="F585" s="154"/>
    </row>
    <row r="586" ht="15.75" customHeight="1" spans="1:6">
      <c r="A586" s="154"/>
      <c r="B586" s="7"/>
      <c r="C586" s="154"/>
      <c r="D586" s="154"/>
      <c r="E586" s="154"/>
      <c r="F586" s="154"/>
    </row>
    <row r="587" ht="15.75" customHeight="1" spans="1:6">
      <c r="A587" s="154"/>
      <c r="B587" s="7"/>
      <c r="C587" s="154"/>
      <c r="D587" s="154"/>
      <c r="E587" s="154"/>
      <c r="F587" s="154"/>
    </row>
    <row r="588" ht="15.75" customHeight="1" spans="1:6">
      <c r="A588" s="154"/>
      <c r="B588" s="7"/>
      <c r="C588" s="154"/>
      <c r="D588" s="154"/>
      <c r="E588" s="154"/>
      <c r="F588" s="154"/>
    </row>
    <row r="589" ht="15.75" customHeight="1" spans="1:6">
      <c r="A589" s="154"/>
      <c r="B589" s="7"/>
      <c r="C589" s="154"/>
      <c r="D589" s="154"/>
      <c r="E589" s="154"/>
      <c r="F589" s="154"/>
    </row>
    <row r="590" ht="15.75" customHeight="1" spans="1:6">
      <c r="A590" s="154"/>
      <c r="B590" s="7"/>
      <c r="C590" s="154"/>
      <c r="D590" s="154"/>
      <c r="E590" s="154"/>
      <c r="F590" s="154"/>
    </row>
    <row r="591" ht="15.75" customHeight="1" spans="1:6">
      <c r="A591" s="154"/>
      <c r="B591" s="7"/>
      <c r="C591" s="154"/>
      <c r="D591" s="154"/>
      <c r="E591" s="154"/>
      <c r="F591" s="154"/>
    </row>
    <row r="592" ht="15.75" customHeight="1" spans="1:6">
      <c r="A592" s="154"/>
      <c r="B592" s="7"/>
      <c r="C592" s="154"/>
      <c r="D592" s="154"/>
      <c r="E592" s="154"/>
      <c r="F592" s="154"/>
    </row>
    <row r="593" ht="15.75" customHeight="1" spans="1:6">
      <c r="A593" s="154"/>
      <c r="B593" s="7"/>
      <c r="C593" s="154"/>
      <c r="D593" s="154"/>
      <c r="E593" s="154"/>
      <c r="F593" s="154"/>
    </row>
    <row r="594" ht="15.75" customHeight="1" spans="1:6">
      <c r="A594" s="154"/>
      <c r="B594" s="7"/>
      <c r="C594" s="154"/>
      <c r="D594" s="154"/>
      <c r="E594" s="154"/>
      <c r="F594" s="154"/>
    </row>
    <row r="595" ht="15.75" customHeight="1" spans="1:6">
      <c r="A595" s="154"/>
      <c r="B595" s="7"/>
      <c r="C595" s="154"/>
      <c r="D595" s="154"/>
      <c r="E595" s="154"/>
      <c r="F595" s="154"/>
    </row>
    <row r="596" ht="15.75" customHeight="1" spans="1:6">
      <c r="A596" s="154"/>
      <c r="B596" s="7"/>
      <c r="C596" s="154"/>
      <c r="D596" s="154"/>
      <c r="E596" s="154"/>
      <c r="F596" s="154"/>
    </row>
    <row r="597" ht="15.75" customHeight="1" spans="1:6">
      <c r="A597" s="154"/>
      <c r="B597" s="7"/>
      <c r="C597" s="154"/>
      <c r="D597" s="154"/>
      <c r="E597" s="154"/>
      <c r="F597" s="154"/>
    </row>
    <row r="598" ht="15.75" customHeight="1" spans="1:6">
      <c r="A598" s="154"/>
      <c r="B598" s="7"/>
      <c r="C598" s="154"/>
      <c r="D598" s="154"/>
      <c r="E598" s="154"/>
      <c r="F598" s="154"/>
    </row>
    <row r="599" ht="15.75" customHeight="1" spans="1:6">
      <c r="A599" s="154"/>
      <c r="B599" s="7"/>
      <c r="C599" s="154"/>
      <c r="D599" s="154"/>
      <c r="E599" s="154"/>
      <c r="F599" s="154"/>
    </row>
    <row r="600" ht="15.75" customHeight="1" spans="1:6">
      <c r="A600" s="154"/>
      <c r="B600" s="7"/>
      <c r="C600" s="154"/>
      <c r="D600" s="154"/>
      <c r="E600" s="154"/>
      <c r="F600" s="154"/>
    </row>
  </sheetData>
  <customSheetViews>
    <customSheetView guid="{F772636C-AA93-41DB-A9A9-B53D33B50D82}" filter="1" showAutoFilter="1">
      <pageMargins left="0.511811024" right="0.511811024" top="0.787401575" bottom="0.787401575" header="0.31496062" footer="0.31496062"/>
      <headerFooter/>
      <autoFilter ref="B6:E67"/>
    </customSheetView>
    <customSheetView guid="{EFECDDCA-1A3C-4C73-AC81-97BD391D73B4}" filter="1" showAutoFilter="1">
      <pageMargins left="0.511811024" right="0.511811024" top="0.787401575" bottom="0.787401575" header="0.31496062" footer="0.31496062"/>
      <headerFooter/>
      <autoFilter ref="B6:E67"/>
    </customSheetView>
  </customSheetViews>
  <conditionalFormatting sqref="A1">
    <cfRule type="cellIs" dxfId="1" priority="1" operator="equal">
      <formula>"1 - Credenciado"</formula>
    </cfRule>
    <cfRule type="cellIs" dxfId="2" priority="2" operator="equal">
      <formula>"2 - Em credenciamento"</formula>
    </cfRule>
    <cfRule type="cellIs" dxfId="3" priority="3" operator="equal">
      <formula>"4 - Informaram desfavorável"</formula>
    </cfRule>
    <cfRule type="cellIs" dxfId="4" priority="4" operator="equal">
      <formula>"3 - Não regularizado"</formula>
    </cfRule>
  </conditionalFormatting>
  <pageMargins left="0.590277777777778" right="0.39375" top="0.39375" bottom="0.39375"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FF00"/>
    <outlinePr summaryBelow="0" summaryRight="0"/>
  </sheetPr>
  <dimension ref="A1:H1000"/>
  <sheetViews>
    <sheetView showGridLines="0" workbookViewId="0">
      <pane ySplit="1" topLeftCell="A2" activePane="bottomLeft" state="frozen"/>
      <selection/>
      <selection pane="bottomLeft" activeCell="B3" sqref="B3"/>
    </sheetView>
  </sheetViews>
  <sheetFormatPr defaultColWidth="14.4380952380952" defaultRowHeight="15" customHeight="1" outlineLevelCol="7"/>
  <cols>
    <col min="1" max="1" width="25.1047619047619" hidden="1" customWidth="1"/>
    <col min="2" max="5" width="14.4380952380952" hidden="1"/>
    <col min="6" max="6" width="6.1047619047619" hidden="1" customWidth="1"/>
    <col min="7" max="7" width="20.3333333333333" customWidth="1"/>
    <col min="8" max="8" width="18.1047619047619" customWidth="1"/>
  </cols>
  <sheetData>
    <row r="1" customHeight="1" spans="1:8">
      <c r="A1" s="140" t="str">
        <f>IFERROR(__xludf.DUMMYFUNCTION("IMPORTRANGE(""https://docs.google.com/spreadsheets/d/1WshEo0eH81pnkJyEZuUyEHTpDOXOSUwqA7oROT2_1jY/edit?gid=1125080658#gid=1125080658"",""Geral Municípios!A7:E504"")"),"Município")</f>
        <v>Município</v>
      </c>
      <c r="B1" s="140" t="str">
        <f>IFERROR(__xludf.DUMMYFUNCTION("""COMPUTED_VALUE"""),"CRBM")</f>
        <v>CRBM</v>
      </c>
      <c r="C1" s="140" t="str">
        <f>IFERROR(__xludf.DUMMYFUNCTION("""COMPUTED_VALUE"""),"BBM")</f>
        <v>BBM</v>
      </c>
      <c r="D1" s="140" t="str">
        <f>IFERROR(__xludf.DUMMYFUNCTION("""COMPUTED_VALUE"""),"Pel/Gr")</f>
        <v>Pel/Gr</v>
      </c>
      <c r="E1" s="140" t="str">
        <f>IFERROR(__xludf.DUMMYFUNCTION("""COMPUTED_VALUE"""),"Tipo de 
Bombeiro")</f>
        <v>Tipo de 
Bombeiro</v>
      </c>
      <c r="F1" s="141"/>
      <c r="G1" s="142" t="s">
        <v>653</v>
      </c>
      <c r="H1" s="143" t="s">
        <v>654</v>
      </c>
    </row>
    <row r="2" customHeight="1" spans="1:8">
      <c r="A2" s="1" t="str">
        <f>IFERROR(__xludf.DUMMYFUNCTION("""COMPUTED_VALUE"""),"Aceguá")</f>
        <v>Aceguá</v>
      </c>
      <c r="B2" s="144" t="str">
        <f>IFERROR(__xludf.DUMMYFUNCTION("""COMPUTED_VALUE"""),"3º CRBM")</f>
        <v>3º CRBM</v>
      </c>
      <c r="C2" s="1" t="str">
        <f>IFERROR(__xludf.DUMMYFUNCTION("""COMPUTED_VALUE"""),"10º BBM")</f>
        <v>10º BBM</v>
      </c>
      <c r="D2" s="1" t="str">
        <f>IFERROR(__xludf.DUMMYFUNCTION("""COMPUTED_VALUE"""),"Bagé")</f>
        <v>Bagé</v>
      </c>
      <c r="E2" s="145" t="str">
        <f>IFERROR(__xludf.DUMMYFUNCTION("""COMPUTED_VALUE"""),"NPBM")</f>
        <v>NPBM</v>
      </c>
      <c r="F2" s="145"/>
      <c r="G2" s="142" t="s">
        <v>495</v>
      </c>
      <c r="H2" s="143" t="s">
        <v>655</v>
      </c>
    </row>
    <row r="3" customHeight="1" spans="1:8">
      <c r="A3" s="1" t="str">
        <f>IFERROR(__xludf.DUMMYFUNCTION("""COMPUTED_VALUE"""),"Água Santa")</f>
        <v>Água Santa</v>
      </c>
      <c r="B3" s="144" t="str">
        <f>IFERROR(__xludf.DUMMYFUNCTION("""COMPUTED_VALUE"""),"2º CRBM")</f>
        <v>2º CRBM</v>
      </c>
      <c r="C3" s="1" t="str">
        <f>IFERROR(__xludf.DUMMYFUNCTION("""COMPUTED_VALUE"""),"7º BBM")</f>
        <v>7º BBM</v>
      </c>
      <c r="D3" s="1" t="str">
        <f>IFERROR(__xludf.DUMMYFUNCTION("""COMPUTED_VALUE"""),"Passo Fundo")</f>
        <v>Passo Fundo</v>
      </c>
      <c r="E3" s="145" t="str">
        <f>IFERROR(__xludf.DUMMYFUNCTION("""COMPUTED_VALUE"""),"NPBM")</f>
        <v>NPBM</v>
      </c>
      <c r="F3" s="145"/>
      <c r="G3" s="142" t="s">
        <v>486</v>
      </c>
      <c r="H3" s="143">
        <v>1</v>
      </c>
    </row>
    <row r="4" customHeight="1" spans="1:8">
      <c r="A4" s="1" t="str">
        <f>IFERROR(__xludf.DUMMYFUNCTION("""COMPUTED_VALUE"""),"Agudo")</f>
        <v>Agudo</v>
      </c>
      <c r="B4" s="144" t="str">
        <f>IFERROR(__xludf.DUMMYFUNCTION("""COMPUTED_VALUE"""),"4º CRBM")</f>
        <v>4º CRBM</v>
      </c>
      <c r="C4" s="1" t="str">
        <f>IFERROR(__xludf.DUMMYFUNCTION("""COMPUTED_VALUE"""),"4º BBM")</f>
        <v>4º BBM</v>
      </c>
      <c r="D4" s="1" t="str">
        <f>IFERROR(__xludf.DUMMYFUNCTION("""COMPUTED_VALUE"""),"Restinga Sêca")</f>
        <v>Restinga Sêca</v>
      </c>
      <c r="E4" s="145" t="str">
        <f>IFERROR(__xludf.DUMMYFUNCTION("""COMPUTED_VALUE"""),"Voluntersul")</f>
        <v>Voluntersul</v>
      </c>
      <c r="F4" s="145"/>
      <c r="G4" s="146" t="s">
        <v>505</v>
      </c>
      <c r="H4" s="147">
        <v>1</v>
      </c>
    </row>
    <row r="5" customHeight="1" spans="1:8">
      <c r="A5" s="1" t="str">
        <f>IFERROR(__xludf.DUMMYFUNCTION("""COMPUTED_VALUE"""),"Ajuricaba")</f>
        <v>Ajuricaba</v>
      </c>
      <c r="B5" s="144" t="str">
        <f>IFERROR(__xludf.DUMMYFUNCTION("""COMPUTED_VALUE"""),"4º CRBM")</f>
        <v>4º CRBM</v>
      </c>
      <c r="C5" s="1" t="str">
        <f>IFERROR(__xludf.DUMMYFUNCTION("""COMPUTED_VALUE"""),"12º BBM")</f>
        <v>12º BBM</v>
      </c>
      <c r="D5" s="1" t="str">
        <f>IFERROR(__xludf.DUMMYFUNCTION("""COMPUTED_VALUE"""),"Ijuí")</f>
        <v>Ijuí</v>
      </c>
      <c r="E5" s="145" t="str">
        <f>IFERROR(__xludf.DUMMYFUNCTION("""COMPUTED_VALUE"""),"SCAB")</f>
        <v>SCAB</v>
      </c>
      <c r="F5" s="145"/>
      <c r="G5" s="146" t="s">
        <v>656</v>
      </c>
      <c r="H5" s="147">
        <v>1</v>
      </c>
    </row>
    <row r="6" customHeight="1" spans="1:8">
      <c r="A6" s="1" t="str">
        <f>IFERROR(__xludf.DUMMYFUNCTION("""COMPUTED_VALUE"""),"Alecrim")</f>
        <v>Alecrim</v>
      </c>
      <c r="B6" s="144" t="str">
        <f>IFERROR(__xludf.DUMMYFUNCTION("""COMPUTED_VALUE"""),"4º CRBM")</f>
        <v>4º CRBM</v>
      </c>
      <c r="C6" s="1" t="str">
        <f>IFERROR(__xludf.DUMMYFUNCTION("""COMPUTED_VALUE"""),"11º BBM")</f>
        <v>11º BBM</v>
      </c>
      <c r="D6" s="1" t="str">
        <f>IFERROR(__xludf.DUMMYFUNCTION("""COMPUTED_VALUE"""),"Santa Rosa")</f>
        <v>Santa Rosa</v>
      </c>
      <c r="E6" s="145" t="str">
        <f>IFERROR(__xludf.DUMMYFUNCTION("""COMPUTED_VALUE"""),"NPBM")</f>
        <v>NPBM</v>
      </c>
      <c r="F6" s="145"/>
      <c r="G6" s="146" t="s">
        <v>533</v>
      </c>
      <c r="H6" s="147">
        <v>1</v>
      </c>
    </row>
    <row r="7" customHeight="1" spans="1:8">
      <c r="A7" s="1" t="str">
        <f>IFERROR(__xludf.DUMMYFUNCTION("""COMPUTED_VALUE"""),"Alegrete")</f>
        <v>Alegrete</v>
      </c>
      <c r="B7" s="144" t="str">
        <f>IFERROR(__xludf.DUMMYFUNCTION("""COMPUTED_VALUE"""),"3º CRBM")</f>
        <v>3º CRBM</v>
      </c>
      <c r="C7" s="1" t="str">
        <f>IFERROR(__xludf.DUMMYFUNCTION("""COMPUTED_VALUE"""),"13º BBM")</f>
        <v>13º BBM</v>
      </c>
      <c r="D7" s="1" t="str">
        <f>IFERROR(__xludf.DUMMYFUNCTION("""COMPUTED_VALUE"""),"Alegrete")</f>
        <v>Alegrete</v>
      </c>
      <c r="E7" s="145" t="str">
        <f>IFERROR(__xludf.DUMMYFUNCTION("""COMPUTED_VALUE"""),"Militar")</f>
        <v>Militar</v>
      </c>
      <c r="F7" s="145"/>
      <c r="G7" s="146" t="s">
        <v>647</v>
      </c>
      <c r="H7" s="147">
        <v>1</v>
      </c>
    </row>
    <row r="8" customHeight="1" spans="1:8">
      <c r="A8" s="1" t="str">
        <f>IFERROR(__xludf.DUMMYFUNCTION("""COMPUTED_VALUE"""),"Alegria")</f>
        <v>Alegria</v>
      </c>
      <c r="B8" s="144" t="str">
        <f>IFERROR(__xludf.DUMMYFUNCTION("""COMPUTED_VALUE"""),"4º CRBM")</f>
        <v>4º CRBM</v>
      </c>
      <c r="C8" s="1" t="str">
        <f>IFERROR(__xludf.DUMMYFUNCTION("""COMPUTED_VALUE"""),"11º BBM")</f>
        <v>11º BBM</v>
      </c>
      <c r="D8" s="1" t="str">
        <f>IFERROR(__xludf.DUMMYFUNCTION("""COMPUTED_VALUE"""),"Três de Maio")</f>
        <v>Três de Maio</v>
      </c>
      <c r="E8" s="145" t="str">
        <f>IFERROR(__xludf.DUMMYFUNCTION("""COMPUTED_VALUE"""),"NPBM")</f>
        <v>NPBM</v>
      </c>
      <c r="F8" s="145"/>
      <c r="G8" s="146" t="s">
        <v>657</v>
      </c>
      <c r="H8" s="147">
        <v>1</v>
      </c>
    </row>
    <row r="9" customHeight="1" spans="1:8">
      <c r="A9" s="1" t="str">
        <f>IFERROR(__xludf.DUMMYFUNCTION("""COMPUTED_VALUE"""),"Almirante Tamandaré do Sul")</f>
        <v>Almirante Tamandaré do Sul</v>
      </c>
      <c r="B9" s="144" t="str">
        <f>IFERROR(__xludf.DUMMYFUNCTION("""COMPUTED_VALUE"""),"2º CRBM")</f>
        <v>2º CRBM</v>
      </c>
      <c r="C9" s="1" t="str">
        <f>IFERROR(__xludf.DUMMYFUNCTION("""COMPUTED_VALUE"""),"7º BBM")</f>
        <v>7º BBM</v>
      </c>
      <c r="D9" s="1" t="str">
        <f>IFERROR(__xludf.DUMMYFUNCTION("""COMPUTED_VALUE"""),"Carazinho")</f>
        <v>Carazinho</v>
      </c>
      <c r="E9" s="145" t="str">
        <f>IFERROR(__xludf.DUMMYFUNCTION("""COMPUTED_VALUE"""),"NPBM")</f>
        <v>NPBM</v>
      </c>
      <c r="F9" s="145"/>
      <c r="G9" s="146" t="s">
        <v>658</v>
      </c>
      <c r="H9" s="147">
        <v>1</v>
      </c>
    </row>
    <row r="10" customHeight="1" spans="1:8">
      <c r="A10" s="1" t="str">
        <f>IFERROR(__xludf.DUMMYFUNCTION("""COMPUTED_VALUE"""),"Alpestre")</f>
        <v>Alpestre</v>
      </c>
      <c r="B10" s="144" t="str">
        <f>IFERROR(__xludf.DUMMYFUNCTION("""COMPUTED_VALUE"""),"4º CRBM")</f>
        <v>4º CRBM</v>
      </c>
      <c r="C10" s="1" t="str">
        <f>IFERROR(__xludf.DUMMYFUNCTION("""COMPUTED_VALUE"""),"12º BBM")</f>
        <v>12º BBM</v>
      </c>
      <c r="D10" s="1" t="str">
        <f>IFERROR(__xludf.DUMMYFUNCTION("""COMPUTED_VALUE"""),"Nonoai")</f>
        <v>Nonoai</v>
      </c>
      <c r="E10" s="145" t="str">
        <f>IFERROR(__xludf.DUMMYFUNCTION("""COMPUTED_VALUE"""),"NPBM")</f>
        <v>NPBM</v>
      </c>
      <c r="F10" s="145"/>
      <c r="G10" s="146" t="s">
        <v>659</v>
      </c>
      <c r="H10" s="147">
        <v>1</v>
      </c>
    </row>
    <row r="11" customHeight="1" spans="1:8">
      <c r="A11" s="1" t="str">
        <f>IFERROR(__xludf.DUMMYFUNCTION("""COMPUTED_VALUE"""),"Alto Alegre")</f>
        <v>Alto Alegre</v>
      </c>
      <c r="B11" s="144" t="str">
        <f>IFERROR(__xludf.DUMMYFUNCTION("""COMPUTED_VALUE"""),"2º CRBM")</f>
        <v>2º CRBM</v>
      </c>
      <c r="C11" s="1" t="str">
        <f>IFERROR(__xludf.DUMMYFUNCTION("""COMPUTED_VALUE"""),"7º BBM")</f>
        <v>7º BBM</v>
      </c>
      <c r="D11" s="1" t="str">
        <f>IFERROR(__xludf.DUMMYFUNCTION("""COMPUTED_VALUE"""),"Tapera")</f>
        <v>Tapera</v>
      </c>
      <c r="E11" s="145" t="str">
        <f>IFERROR(__xludf.DUMMYFUNCTION("""COMPUTED_VALUE"""),"NPBM")</f>
        <v>NPBM</v>
      </c>
      <c r="F11" s="145"/>
      <c r="G11" s="146" t="s">
        <v>521</v>
      </c>
      <c r="H11" s="147">
        <v>1</v>
      </c>
    </row>
    <row r="12" customHeight="1" spans="1:8">
      <c r="A12" s="1" t="str">
        <f>IFERROR(__xludf.DUMMYFUNCTION("""COMPUTED_VALUE"""),"Alto Feliz")</f>
        <v>Alto Feliz</v>
      </c>
      <c r="B12" s="144" t="str">
        <f>IFERROR(__xludf.DUMMYFUNCTION("""COMPUTED_VALUE"""),"2º CRBM")</f>
        <v>2º CRBM</v>
      </c>
      <c r="C12" s="1" t="str">
        <f>IFERROR(__xludf.DUMMYFUNCTION("""COMPUTED_VALUE"""),"2º BBM")</f>
        <v>2º BBM</v>
      </c>
      <c r="D12" s="1" t="str">
        <f>IFERROR(__xludf.DUMMYFUNCTION("""COMPUTED_VALUE"""),"Farroupilha")</f>
        <v>Farroupilha</v>
      </c>
      <c r="E12" s="145" t="str">
        <f>IFERROR(__xludf.DUMMYFUNCTION("""COMPUTED_VALUE"""),"Voluntersul")</f>
        <v>Voluntersul</v>
      </c>
      <c r="F12" s="145"/>
      <c r="G12" s="146" t="s">
        <v>561</v>
      </c>
      <c r="H12" s="147">
        <v>1</v>
      </c>
    </row>
    <row r="13" customHeight="1" spans="1:8">
      <c r="A13" s="1" t="str">
        <f>IFERROR(__xludf.DUMMYFUNCTION("""COMPUTED_VALUE"""),"Alvorada")</f>
        <v>Alvorada</v>
      </c>
      <c r="B13" s="144" t="str">
        <f>IFERROR(__xludf.DUMMYFUNCTION("""COMPUTED_VALUE"""),"1º CRBM")</f>
        <v>1º CRBM</v>
      </c>
      <c r="C13" s="1" t="str">
        <f>IFERROR(__xludf.DUMMYFUNCTION("""COMPUTED_VALUE"""),"8º BBM")</f>
        <v>8º BBM</v>
      </c>
      <c r="D13" s="1" t="str">
        <f>IFERROR(__xludf.DUMMYFUNCTION("""COMPUTED_VALUE"""),"Alvorada")</f>
        <v>Alvorada</v>
      </c>
      <c r="E13" s="145" t="str">
        <f>IFERROR(__xludf.DUMMYFUNCTION("""COMPUTED_VALUE"""),"Militar")</f>
        <v>Militar</v>
      </c>
      <c r="F13" s="145"/>
      <c r="G13" s="146" t="s">
        <v>484</v>
      </c>
      <c r="H13" s="147">
        <v>1</v>
      </c>
    </row>
    <row r="14" customHeight="1" spans="1:8">
      <c r="A14" s="1" t="str">
        <f>IFERROR(__xludf.DUMMYFUNCTION("""COMPUTED_VALUE"""),"Amaral Ferrador")</f>
        <v>Amaral Ferrador</v>
      </c>
      <c r="B14" s="144" t="str">
        <f>IFERROR(__xludf.DUMMYFUNCTION("""COMPUTED_VALUE"""),"4º CRBM")</f>
        <v>4º CRBM</v>
      </c>
      <c r="C14" s="1" t="str">
        <f>IFERROR(__xludf.DUMMYFUNCTION("""COMPUTED_VALUE"""),"6º BBM")</f>
        <v>6º BBM</v>
      </c>
      <c r="D14" s="1" t="str">
        <f>IFERROR(__xludf.DUMMYFUNCTION("""COMPUTED_VALUE"""),"Encruzilhada do Sul")</f>
        <v>Encruzilhada do Sul</v>
      </c>
      <c r="E14" s="145" t="str">
        <f>IFERROR(__xludf.DUMMYFUNCTION("""COMPUTED_VALUE"""),"NPBM")</f>
        <v>NPBM</v>
      </c>
      <c r="F14" s="145"/>
      <c r="G14" s="146" t="s">
        <v>624</v>
      </c>
      <c r="H14" s="147">
        <v>1</v>
      </c>
    </row>
    <row r="15" customHeight="1" spans="1:8">
      <c r="A15" s="1" t="str">
        <f>IFERROR(__xludf.DUMMYFUNCTION("""COMPUTED_VALUE"""),"Ametista do Sul")</f>
        <v>Ametista do Sul</v>
      </c>
      <c r="B15" s="144" t="str">
        <f>IFERROR(__xludf.DUMMYFUNCTION("""COMPUTED_VALUE"""),"4º CRBM")</f>
        <v>4º CRBM</v>
      </c>
      <c r="C15" s="1" t="str">
        <f>IFERROR(__xludf.DUMMYFUNCTION("""COMPUTED_VALUE"""),"12º BBM")</f>
        <v>12º BBM</v>
      </c>
      <c r="D15" s="1" t="str">
        <f>IFERROR(__xludf.DUMMYFUNCTION("""COMPUTED_VALUE"""),"Frederico Westphalen")</f>
        <v>Frederico Westphalen</v>
      </c>
      <c r="E15" s="145" t="str">
        <f>IFERROR(__xludf.DUMMYFUNCTION("""COMPUTED_VALUE"""),"NPBM")</f>
        <v>NPBM</v>
      </c>
      <c r="F15" s="145"/>
      <c r="G15" s="146" t="s">
        <v>652</v>
      </c>
      <c r="H15" s="147">
        <v>1</v>
      </c>
    </row>
    <row r="16" customHeight="1" spans="1:8">
      <c r="A16" s="1" t="str">
        <f>IFERROR(__xludf.DUMMYFUNCTION("""COMPUTED_VALUE"""),"André da Rocha")</f>
        <v>André da Rocha</v>
      </c>
      <c r="B16" s="144" t="str">
        <f>IFERROR(__xludf.DUMMYFUNCTION("""COMPUTED_VALUE"""),"2º CRBM")</f>
        <v>2º CRBM</v>
      </c>
      <c r="C16" s="1" t="str">
        <f>IFERROR(__xludf.DUMMYFUNCTION("""COMPUTED_VALUE"""),"5º BBM")</f>
        <v>5º BBM</v>
      </c>
      <c r="D16" s="1" t="str">
        <f>IFERROR(__xludf.DUMMYFUNCTION("""COMPUTED_VALUE"""),"Veranópolis")</f>
        <v>Veranópolis</v>
      </c>
      <c r="E16" s="145" t="str">
        <f>IFERROR(__xludf.DUMMYFUNCTION("""COMPUTED_VALUE"""),"NPBM")</f>
        <v>NPBM</v>
      </c>
      <c r="F16" s="145"/>
      <c r="G16" s="146" t="s">
        <v>554</v>
      </c>
      <c r="H16" s="147">
        <v>1</v>
      </c>
    </row>
    <row r="17" customHeight="1" spans="1:8">
      <c r="A17" s="1" t="str">
        <f>IFERROR(__xludf.DUMMYFUNCTION("""COMPUTED_VALUE"""),"Anta Gorda")</f>
        <v>Anta Gorda</v>
      </c>
      <c r="B17" s="144" t="str">
        <f>IFERROR(__xludf.DUMMYFUNCTION("""COMPUTED_VALUE"""),"2º CRBM")</f>
        <v>2º CRBM</v>
      </c>
      <c r="C17" s="1" t="str">
        <f>IFERROR(__xludf.DUMMYFUNCTION("""COMPUTED_VALUE"""),"7º BBM")</f>
        <v>7º BBM</v>
      </c>
      <c r="D17" s="1" t="str">
        <f>IFERROR(__xludf.DUMMYFUNCTION("""COMPUTED_VALUE"""),"Encantado")</f>
        <v>Encantado</v>
      </c>
      <c r="E17" s="145" t="str">
        <f>IFERROR(__xludf.DUMMYFUNCTION("""COMPUTED_VALUE"""),"NPBM")</f>
        <v>NPBM</v>
      </c>
      <c r="F17" s="145"/>
      <c r="G17" s="146" t="s">
        <v>547</v>
      </c>
      <c r="H17" s="147">
        <v>1</v>
      </c>
    </row>
    <row r="18" customHeight="1" spans="1:8">
      <c r="A18" s="1" t="str">
        <f>IFERROR(__xludf.DUMMYFUNCTION("""COMPUTED_VALUE"""),"Antônio Prado")</f>
        <v>Antônio Prado</v>
      </c>
      <c r="B18" s="144" t="str">
        <f>IFERROR(__xludf.DUMMYFUNCTION("""COMPUTED_VALUE"""),"2º CRBM")</f>
        <v>2º CRBM</v>
      </c>
      <c r="C18" s="1" t="str">
        <f>IFERROR(__xludf.DUMMYFUNCTION("""COMPUTED_VALUE"""),"5º BBM")</f>
        <v>5º BBM</v>
      </c>
      <c r="D18" s="1" t="str">
        <f>IFERROR(__xludf.DUMMYFUNCTION("""COMPUTED_VALUE"""),"Flores da Cunha")</f>
        <v>Flores da Cunha</v>
      </c>
      <c r="E18" s="145" t="str">
        <f>IFERROR(__xludf.DUMMYFUNCTION("""COMPUTED_VALUE"""),"SCAB")</f>
        <v>SCAB</v>
      </c>
      <c r="F18" s="145"/>
      <c r="G18" s="146" t="s">
        <v>660</v>
      </c>
      <c r="H18" s="147">
        <v>1</v>
      </c>
    </row>
    <row r="19" customHeight="1" spans="1:8">
      <c r="A19" s="1" t="str">
        <f>IFERROR(__xludf.DUMMYFUNCTION("""COMPUTED_VALUE"""),"Arambaré")</f>
        <v>Arambaré</v>
      </c>
      <c r="B19" s="144" t="str">
        <f>IFERROR(__xludf.DUMMYFUNCTION("""COMPUTED_VALUE"""),"4º CRBM")</f>
        <v>4º CRBM</v>
      </c>
      <c r="C19" s="1" t="str">
        <f>IFERROR(__xludf.DUMMYFUNCTION("""COMPUTED_VALUE"""),"6º BBM")</f>
        <v>6º BBM</v>
      </c>
      <c r="D19" s="1" t="str">
        <f>IFERROR(__xludf.DUMMYFUNCTION("""COMPUTED_VALUE"""),"Camaquã")</f>
        <v>Camaquã</v>
      </c>
      <c r="E19" s="145" t="str">
        <f>IFERROR(__xludf.DUMMYFUNCTION("""COMPUTED_VALUE"""),"SCAB")</f>
        <v>SCAB</v>
      </c>
      <c r="F19" s="145"/>
      <c r="G19" s="146" t="s">
        <v>595</v>
      </c>
      <c r="H19" s="147">
        <v>1</v>
      </c>
    </row>
    <row r="20" customHeight="1" spans="1:8">
      <c r="A20" s="1" t="str">
        <f>IFERROR(__xludf.DUMMYFUNCTION("""COMPUTED_VALUE"""),"Araricá")</f>
        <v>Araricá</v>
      </c>
      <c r="B20" s="144" t="str">
        <f>IFERROR(__xludf.DUMMYFUNCTION("""COMPUTED_VALUE"""),"2º CRBM")</f>
        <v>2º CRBM</v>
      </c>
      <c r="C20" s="1" t="str">
        <f>IFERROR(__xludf.DUMMYFUNCTION("""COMPUTED_VALUE"""),"2º BBM")</f>
        <v>2º BBM</v>
      </c>
      <c r="D20" s="1" t="str">
        <f>IFERROR(__xludf.DUMMYFUNCTION("""COMPUTED_VALUE"""),"Sapiranga")</f>
        <v>Sapiranga</v>
      </c>
      <c r="E20" s="145" t="str">
        <f>IFERROR(__xludf.DUMMYFUNCTION("""COMPUTED_VALUE"""),"SCAB")</f>
        <v>SCAB</v>
      </c>
      <c r="F20" s="145"/>
      <c r="G20" s="146" t="s">
        <v>589</v>
      </c>
      <c r="H20" s="147">
        <v>1</v>
      </c>
    </row>
    <row r="21" customHeight="1" spans="1:8">
      <c r="A21" s="1" t="str">
        <f>IFERROR(__xludf.DUMMYFUNCTION("""COMPUTED_VALUE"""),"Aratiba")</f>
        <v>Aratiba</v>
      </c>
      <c r="B21" s="144" t="str">
        <f>IFERROR(__xludf.DUMMYFUNCTION("""COMPUTED_VALUE"""),"2º CRBM")</f>
        <v>2º CRBM</v>
      </c>
      <c r="C21" s="1" t="str">
        <f>IFERROR(__xludf.DUMMYFUNCTION("""COMPUTED_VALUE"""),"7º BBM")</f>
        <v>7º BBM</v>
      </c>
      <c r="D21" s="1" t="str">
        <f>IFERROR(__xludf.DUMMYFUNCTION("""COMPUTED_VALUE"""),"Erechim")</f>
        <v>Erechim</v>
      </c>
      <c r="E21" s="145" t="str">
        <f>IFERROR(__xludf.DUMMYFUNCTION("""COMPUTED_VALUE"""),"SCAB")</f>
        <v>SCAB</v>
      </c>
      <c r="F21" s="145"/>
      <c r="G21" s="146" t="s">
        <v>661</v>
      </c>
      <c r="H21" s="147">
        <v>1</v>
      </c>
    </row>
    <row r="22" customHeight="1" spans="1:8">
      <c r="A22" s="1" t="str">
        <f>IFERROR(__xludf.DUMMYFUNCTION("""COMPUTED_VALUE"""),"Arroio do Meio")</f>
        <v>Arroio do Meio</v>
      </c>
      <c r="B22" s="144" t="str">
        <f>IFERROR(__xludf.DUMMYFUNCTION("""COMPUTED_VALUE"""),"4º CRBM")</f>
        <v>4º CRBM</v>
      </c>
      <c r="C22" s="1" t="str">
        <f>IFERROR(__xludf.DUMMYFUNCTION("""COMPUTED_VALUE"""),"6º BBM")</f>
        <v>6º BBM</v>
      </c>
      <c r="D22" s="1" t="str">
        <f>IFERROR(__xludf.DUMMYFUNCTION("""COMPUTED_VALUE"""),"Lajeado")</f>
        <v>Lajeado</v>
      </c>
      <c r="E22" s="145" t="str">
        <f>IFERROR(__xludf.DUMMYFUNCTION("""COMPUTED_VALUE"""),"SCAB")</f>
        <v>SCAB</v>
      </c>
      <c r="F22" s="145"/>
      <c r="G22" s="146" t="s">
        <v>662</v>
      </c>
      <c r="H22" s="147">
        <v>1</v>
      </c>
    </row>
    <row r="23" customHeight="1" spans="1:8">
      <c r="A23" s="1" t="str">
        <f>IFERROR(__xludf.DUMMYFUNCTION("""COMPUTED_VALUE"""),"Arroio do Padre")</f>
        <v>Arroio do Padre</v>
      </c>
      <c r="B23" s="144" t="str">
        <f>IFERROR(__xludf.DUMMYFUNCTION("""COMPUTED_VALUE"""),"3º CRBM")</f>
        <v>3º CRBM</v>
      </c>
      <c r="C23" s="1" t="str">
        <f>IFERROR(__xludf.DUMMYFUNCTION("""COMPUTED_VALUE"""),"3º BBM")</f>
        <v>3º BBM</v>
      </c>
      <c r="D23" s="1" t="str">
        <f>IFERROR(__xludf.DUMMYFUNCTION("""COMPUTED_VALUE"""),"Pelotas")</f>
        <v>Pelotas</v>
      </c>
      <c r="E23" s="145" t="str">
        <f>IFERROR(__xludf.DUMMYFUNCTION("""COMPUTED_VALUE"""),"NPBM")</f>
        <v>NPBM</v>
      </c>
      <c r="F23" s="145"/>
      <c r="G23" s="146" t="s">
        <v>543</v>
      </c>
      <c r="H23" s="147">
        <v>1</v>
      </c>
    </row>
    <row r="24" customHeight="1" spans="1:8">
      <c r="A24" s="1" t="str">
        <f>IFERROR(__xludf.DUMMYFUNCTION("""COMPUTED_VALUE"""),"Arroio do Sal")</f>
        <v>Arroio do Sal</v>
      </c>
      <c r="B24" s="144" t="str">
        <f>IFERROR(__xludf.DUMMYFUNCTION("""COMPUTED_VALUE"""),"1º CRBM")</f>
        <v>1º CRBM</v>
      </c>
      <c r="C24" s="1" t="str">
        <f>IFERROR(__xludf.DUMMYFUNCTION("""COMPUTED_VALUE"""),"9º BBM")</f>
        <v>9º BBM</v>
      </c>
      <c r="D24" s="1" t="str">
        <f>IFERROR(__xludf.DUMMYFUNCTION("""COMPUTED_VALUE"""),"Torres")</f>
        <v>Torres</v>
      </c>
      <c r="E24" s="145" t="str">
        <f>IFERROR(__xludf.DUMMYFUNCTION("""COMPUTED_VALUE"""),"SCAB")</f>
        <v>SCAB</v>
      </c>
      <c r="F24" s="145"/>
      <c r="G24" s="146" t="s">
        <v>525</v>
      </c>
      <c r="H24" s="147">
        <v>1</v>
      </c>
    </row>
    <row r="25" customHeight="1" spans="1:8">
      <c r="A25" s="1" t="str">
        <f>IFERROR(__xludf.DUMMYFUNCTION("""COMPUTED_VALUE"""),"Arroio do Tigre")</f>
        <v>Arroio do Tigre</v>
      </c>
      <c r="B25" s="144" t="str">
        <f>IFERROR(__xludf.DUMMYFUNCTION("""COMPUTED_VALUE"""),"4º CRBM")</f>
        <v>4º CRBM</v>
      </c>
      <c r="C25" s="1" t="str">
        <f>IFERROR(__xludf.DUMMYFUNCTION("""COMPUTED_VALUE"""),"6º BBM")</f>
        <v>6º BBM</v>
      </c>
      <c r="D25" s="1" t="str">
        <f>IFERROR(__xludf.DUMMYFUNCTION("""COMPUTED_VALUE"""),"Santa Cruz do Sul")</f>
        <v>Santa Cruz do Sul</v>
      </c>
      <c r="E25" s="145" t="str">
        <f>IFERROR(__xludf.DUMMYFUNCTION("""COMPUTED_VALUE"""),"Voluntersul")</f>
        <v>Voluntersul</v>
      </c>
      <c r="F25" s="145"/>
      <c r="G25" s="146" t="s">
        <v>535</v>
      </c>
      <c r="H25" s="147">
        <v>1</v>
      </c>
    </row>
    <row r="26" customHeight="1" spans="1:8">
      <c r="A26" s="1" t="str">
        <f>IFERROR(__xludf.DUMMYFUNCTION("""COMPUTED_VALUE"""),"Arroio dos Ratos")</f>
        <v>Arroio dos Ratos</v>
      </c>
      <c r="B26" s="144" t="str">
        <f>IFERROR(__xludf.DUMMYFUNCTION("""COMPUTED_VALUE"""),"4º CRBM")</f>
        <v>4º CRBM</v>
      </c>
      <c r="C26" s="1" t="str">
        <f>IFERROR(__xludf.DUMMYFUNCTION("""COMPUTED_VALUE"""),"6º BBM")</f>
        <v>6º BBM</v>
      </c>
      <c r="D26" s="1" t="str">
        <f>IFERROR(__xludf.DUMMYFUNCTION("""COMPUTED_VALUE"""),"São Jerônimo")</f>
        <v>São Jerônimo</v>
      </c>
      <c r="E26" s="145" t="str">
        <f>IFERROR(__xludf.DUMMYFUNCTION("""COMPUTED_VALUE"""),"Voluntersul")</f>
        <v>Voluntersul</v>
      </c>
      <c r="F26" s="145"/>
      <c r="G26" s="146" t="s">
        <v>663</v>
      </c>
      <c r="H26" s="147">
        <v>1</v>
      </c>
    </row>
    <row r="27" customHeight="1" spans="1:8">
      <c r="A27" s="1" t="str">
        <f>IFERROR(__xludf.DUMMYFUNCTION("""COMPUTED_VALUE"""),"Arroio Grande")</f>
        <v>Arroio Grande</v>
      </c>
      <c r="B27" s="144" t="str">
        <f>IFERROR(__xludf.DUMMYFUNCTION("""COMPUTED_VALUE"""),"3º CRBM")</f>
        <v>3º CRBM</v>
      </c>
      <c r="C27" s="1" t="str">
        <f>IFERROR(__xludf.DUMMYFUNCTION("""COMPUTED_VALUE"""),"3º BBM")</f>
        <v>3º BBM</v>
      </c>
      <c r="D27" s="1" t="str">
        <f>IFERROR(__xludf.DUMMYFUNCTION("""COMPUTED_VALUE"""),"Jaguarão")</f>
        <v>Jaguarão</v>
      </c>
      <c r="E27" s="145" t="str">
        <f>IFERROR(__xludf.DUMMYFUNCTION("""COMPUTED_VALUE"""),"SCAB")</f>
        <v>SCAB</v>
      </c>
      <c r="F27" s="145"/>
      <c r="G27" s="146" t="s">
        <v>664</v>
      </c>
      <c r="H27" s="147">
        <v>1</v>
      </c>
    </row>
    <row r="28" customHeight="1" spans="1:8">
      <c r="A28" s="1" t="str">
        <f>IFERROR(__xludf.DUMMYFUNCTION("""COMPUTED_VALUE"""),"Arvorezinha")</f>
        <v>Arvorezinha</v>
      </c>
      <c r="B28" s="144" t="str">
        <f>IFERROR(__xludf.DUMMYFUNCTION("""COMPUTED_VALUE"""),"2º CRBM")</f>
        <v>2º CRBM</v>
      </c>
      <c r="C28" s="1" t="str">
        <f>IFERROR(__xludf.DUMMYFUNCTION("""COMPUTED_VALUE"""),"7º BBM")</f>
        <v>7º BBM</v>
      </c>
      <c r="D28" s="1" t="str">
        <f>IFERROR(__xludf.DUMMYFUNCTION("""COMPUTED_VALUE"""),"Soledade")</f>
        <v>Soledade</v>
      </c>
      <c r="E28" s="145" t="str">
        <f>IFERROR(__xludf.DUMMYFUNCTION("""COMPUTED_VALUE"""),"Voluntersul")</f>
        <v>Voluntersul</v>
      </c>
      <c r="F28" s="145"/>
      <c r="G28" s="148" t="s">
        <v>665</v>
      </c>
      <c r="H28" s="149">
        <v>25</v>
      </c>
    </row>
    <row r="29" customHeight="1" spans="1:8">
      <c r="A29" s="1" t="str">
        <f>IFERROR(__xludf.DUMMYFUNCTION("""COMPUTED_VALUE"""),"Augusto Pestana")</f>
        <v>Augusto Pestana</v>
      </c>
      <c r="B29" s="144" t="str">
        <f>IFERROR(__xludf.DUMMYFUNCTION("""COMPUTED_VALUE"""),"4º CRBM")</f>
        <v>4º CRBM</v>
      </c>
      <c r="C29" s="1" t="str">
        <f>IFERROR(__xludf.DUMMYFUNCTION("""COMPUTED_VALUE"""),"12º BBM")</f>
        <v>12º BBM</v>
      </c>
      <c r="D29" s="1" t="str">
        <f>IFERROR(__xludf.DUMMYFUNCTION("""COMPUTED_VALUE"""),"Ijuí")</f>
        <v>Ijuí</v>
      </c>
      <c r="E29" s="145" t="str">
        <f>IFERROR(__xludf.DUMMYFUNCTION("""COMPUTED_VALUE"""),"NPBM")</f>
        <v>NPBM</v>
      </c>
      <c r="F29" s="145"/>
      <c r="G29" s="145"/>
      <c r="H29" s="145"/>
    </row>
    <row r="30" customHeight="1" spans="1:8">
      <c r="A30" s="1" t="str">
        <f>IFERROR(__xludf.DUMMYFUNCTION("""COMPUTED_VALUE"""),"Áurea")</f>
        <v>Áurea</v>
      </c>
      <c r="B30" s="144" t="str">
        <f>IFERROR(__xludf.DUMMYFUNCTION("""COMPUTED_VALUE"""),"2º CRBM")</f>
        <v>2º CRBM</v>
      </c>
      <c r="C30" s="1" t="str">
        <f>IFERROR(__xludf.DUMMYFUNCTION("""COMPUTED_VALUE"""),"7º BBM")</f>
        <v>7º BBM</v>
      </c>
      <c r="D30" s="1" t="str">
        <f>IFERROR(__xludf.DUMMYFUNCTION("""COMPUTED_VALUE"""),"Getúlio Vargas")</f>
        <v>Getúlio Vargas</v>
      </c>
      <c r="E30" s="145" t="str">
        <f>IFERROR(__xludf.DUMMYFUNCTION("""COMPUTED_VALUE"""),"SCAB")</f>
        <v>SCAB</v>
      </c>
      <c r="F30" s="145"/>
      <c r="G30" s="145"/>
      <c r="H30" s="145"/>
    </row>
    <row r="31" customHeight="1" spans="1:8">
      <c r="A31" s="1" t="str">
        <f>IFERROR(__xludf.DUMMYFUNCTION("""COMPUTED_VALUE"""),"Bagé")</f>
        <v>Bagé</v>
      </c>
      <c r="B31" s="144" t="str">
        <f>IFERROR(__xludf.DUMMYFUNCTION("""COMPUTED_VALUE"""),"3º CRBM")</f>
        <v>3º CRBM</v>
      </c>
      <c r="C31" s="1" t="str">
        <f>IFERROR(__xludf.DUMMYFUNCTION("""COMPUTED_VALUE"""),"10º BBM")</f>
        <v>10º BBM</v>
      </c>
      <c r="D31" s="1" t="str">
        <f>IFERROR(__xludf.DUMMYFUNCTION("""COMPUTED_VALUE"""),"Bagé")</f>
        <v>Bagé</v>
      </c>
      <c r="E31" s="145" t="str">
        <f>IFERROR(__xludf.DUMMYFUNCTION("""COMPUTED_VALUE"""),"Militar")</f>
        <v>Militar</v>
      </c>
      <c r="F31" s="145"/>
      <c r="G31" s="145"/>
      <c r="H31" s="145"/>
    </row>
    <row r="32" customHeight="1" spans="1:8">
      <c r="A32" s="1" t="str">
        <f>IFERROR(__xludf.DUMMYFUNCTION("""COMPUTED_VALUE"""),"Balneário Pinhal")</f>
        <v>Balneário Pinhal</v>
      </c>
      <c r="B32" s="144" t="str">
        <f>IFERROR(__xludf.DUMMYFUNCTION("""COMPUTED_VALUE"""),"1º CRBM")</f>
        <v>1º CRBM</v>
      </c>
      <c r="C32" s="1" t="str">
        <f>IFERROR(__xludf.DUMMYFUNCTION("""COMPUTED_VALUE"""),"9º BBM")</f>
        <v>9º BBM</v>
      </c>
      <c r="D32" s="1" t="str">
        <f>IFERROR(__xludf.DUMMYFUNCTION("""COMPUTED_VALUE"""),"Cidreira")</f>
        <v>Cidreira</v>
      </c>
      <c r="E32" s="145" t="str">
        <f>IFERROR(__xludf.DUMMYFUNCTION("""COMPUTED_VALUE"""),"SCAB")</f>
        <v>SCAB</v>
      </c>
      <c r="F32" s="145"/>
      <c r="G32" s="145"/>
      <c r="H32" s="145"/>
    </row>
    <row r="33" customHeight="1" spans="1:8">
      <c r="A33" s="1" t="str">
        <f>IFERROR(__xludf.DUMMYFUNCTION("""COMPUTED_VALUE"""),"Barão")</f>
        <v>Barão</v>
      </c>
      <c r="B33" s="144" t="str">
        <f>IFERROR(__xludf.DUMMYFUNCTION("""COMPUTED_VALUE"""),"2º CRBM")</f>
        <v>2º CRBM</v>
      </c>
      <c r="C33" s="1" t="str">
        <f>IFERROR(__xludf.DUMMYFUNCTION("""COMPUTED_VALUE"""),"2º BBM")</f>
        <v>2º BBM</v>
      </c>
      <c r="D33" s="1" t="str">
        <f>IFERROR(__xludf.DUMMYFUNCTION("""COMPUTED_VALUE"""),"Bento Gonçalves")</f>
        <v>Bento Gonçalves</v>
      </c>
      <c r="E33" s="145" t="str">
        <f>IFERROR(__xludf.DUMMYFUNCTION("""COMPUTED_VALUE"""),"NPBM")</f>
        <v>NPBM</v>
      </c>
      <c r="F33" s="145"/>
      <c r="G33" s="145"/>
      <c r="H33" s="145"/>
    </row>
    <row r="34" customHeight="1" spans="1:8">
      <c r="A34" s="1" t="str">
        <f>IFERROR(__xludf.DUMMYFUNCTION("""COMPUTED_VALUE"""),"Barão de Cotegipe")</f>
        <v>Barão de Cotegipe</v>
      </c>
      <c r="B34" s="144" t="str">
        <f>IFERROR(__xludf.DUMMYFUNCTION("""COMPUTED_VALUE"""),"2º CRBM")</f>
        <v>2º CRBM</v>
      </c>
      <c r="C34" s="1" t="str">
        <f>IFERROR(__xludf.DUMMYFUNCTION("""COMPUTED_VALUE"""),"7º BBM")</f>
        <v>7º BBM</v>
      </c>
      <c r="D34" s="1" t="str">
        <f>IFERROR(__xludf.DUMMYFUNCTION("""COMPUTED_VALUE"""),"Erechim")</f>
        <v>Erechim</v>
      </c>
      <c r="E34" s="145" t="str">
        <f>IFERROR(__xludf.DUMMYFUNCTION("""COMPUTED_VALUE"""),"SCAB")</f>
        <v>SCAB</v>
      </c>
      <c r="F34" s="145"/>
      <c r="G34" s="145"/>
      <c r="H34" s="145"/>
    </row>
    <row r="35" customHeight="1" spans="1:8">
      <c r="A35" s="1" t="str">
        <f>IFERROR(__xludf.DUMMYFUNCTION("""COMPUTED_VALUE"""),"Barão do Triunfo")</f>
        <v>Barão do Triunfo</v>
      </c>
      <c r="B35" s="144" t="str">
        <f>IFERROR(__xludf.DUMMYFUNCTION("""COMPUTED_VALUE"""),"4º CRBM")</f>
        <v>4º CRBM</v>
      </c>
      <c r="C35" s="1" t="str">
        <f>IFERROR(__xludf.DUMMYFUNCTION("""COMPUTED_VALUE"""),"6º BBM")</f>
        <v>6º BBM</v>
      </c>
      <c r="D35" s="1" t="str">
        <f>IFERROR(__xludf.DUMMYFUNCTION("""COMPUTED_VALUE"""),"Guaíba")</f>
        <v>Guaíba</v>
      </c>
      <c r="E35" s="145" t="str">
        <f>IFERROR(__xludf.DUMMYFUNCTION("""COMPUTED_VALUE"""),"NPBM")</f>
        <v>NPBM</v>
      </c>
      <c r="F35" s="145"/>
      <c r="G35" s="145"/>
      <c r="H35" s="145"/>
    </row>
    <row r="36" customHeight="1" spans="1:8">
      <c r="A36" s="1" t="str">
        <f>IFERROR(__xludf.DUMMYFUNCTION("""COMPUTED_VALUE"""),"Barra do Guarita")</f>
        <v>Barra do Guarita</v>
      </c>
      <c r="B36" s="144" t="str">
        <f>IFERROR(__xludf.DUMMYFUNCTION("""COMPUTED_VALUE"""),"4º CRBM")</f>
        <v>4º CRBM</v>
      </c>
      <c r="C36" s="1" t="str">
        <f>IFERROR(__xludf.DUMMYFUNCTION("""COMPUTED_VALUE"""),"11º BBM")</f>
        <v>11º BBM</v>
      </c>
      <c r="D36" s="1" t="str">
        <f>IFERROR(__xludf.DUMMYFUNCTION("""COMPUTED_VALUE"""),"Três Passos")</f>
        <v>Três Passos</v>
      </c>
      <c r="E36" s="145" t="str">
        <f>IFERROR(__xludf.DUMMYFUNCTION("""COMPUTED_VALUE"""),"NPBM")</f>
        <v>NPBM</v>
      </c>
      <c r="F36" s="145"/>
      <c r="G36" s="145"/>
      <c r="H36" s="145"/>
    </row>
    <row r="37" customHeight="1" spans="1:8">
      <c r="A37" s="1" t="str">
        <f>IFERROR(__xludf.DUMMYFUNCTION("""COMPUTED_VALUE"""),"Barra do Quaraí")</f>
        <v>Barra do Quaraí</v>
      </c>
      <c r="B37" s="144" t="str">
        <f>IFERROR(__xludf.DUMMYFUNCTION("""COMPUTED_VALUE"""),"3º CRBM")</f>
        <v>3º CRBM</v>
      </c>
      <c r="C37" s="1" t="str">
        <f>IFERROR(__xludf.DUMMYFUNCTION("""COMPUTED_VALUE"""),"13º BBM")</f>
        <v>13º BBM</v>
      </c>
      <c r="D37" s="1" t="str">
        <f>IFERROR(__xludf.DUMMYFUNCTION("""COMPUTED_VALUE"""),"Barra do Quaraí")</f>
        <v>Barra do Quaraí</v>
      </c>
      <c r="E37" s="145" t="str">
        <f>IFERROR(__xludf.DUMMYFUNCTION("""COMPUTED_VALUE"""),"Comunitário")</f>
        <v>Comunitário</v>
      </c>
      <c r="F37" s="145"/>
      <c r="G37" s="145"/>
      <c r="H37" s="145"/>
    </row>
    <row r="38" customHeight="1" spans="1:8">
      <c r="A38" s="1" t="str">
        <f>IFERROR(__xludf.DUMMYFUNCTION("""COMPUTED_VALUE"""),"Barra do Ribeiro")</f>
        <v>Barra do Ribeiro</v>
      </c>
      <c r="B38" s="144" t="str">
        <f>IFERROR(__xludf.DUMMYFUNCTION("""COMPUTED_VALUE"""),"4º CRBM")</f>
        <v>4º CRBM</v>
      </c>
      <c r="C38" s="1" t="str">
        <f>IFERROR(__xludf.DUMMYFUNCTION("""COMPUTED_VALUE"""),"6º BBM")</f>
        <v>6º BBM</v>
      </c>
      <c r="D38" s="1" t="str">
        <f>IFERROR(__xludf.DUMMYFUNCTION("""COMPUTED_VALUE"""),"Guaíba")</f>
        <v>Guaíba</v>
      </c>
      <c r="E38" s="145" t="str">
        <f>IFERROR(__xludf.DUMMYFUNCTION("""COMPUTED_VALUE"""),"NPBM")</f>
        <v>NPBM</v>
      </c>
      <c r="F38" s="145"/>
      <c r="G38" s="145"/>
      <c r="H38" s="145"/>
    </row>
    <row r="39" customHeight="1" spans="1:8">
      <c r="A39" s="1" t="str">
        <f>IFERROR(__xludf.DUMMYFUNCTION("""COMPUTED_VALUE"""),"Barra do Rio Azul")</f>
        <v>Barra do Rio Azul</v>
      </c>
      <c r="B39" s="144" t="str">
        <f>IFERROR(__xludf.DUMMYFUNCTION("""COMPUTED_VALUE"""),"2º CRBM")</f>
        <v>2º CRBM</v>
      </c>
      <c r="C39" s="1" t="str">
        <f>IFERROR(__xludf.DUMMYFUNCTION("""COMPUTED_VALUE"""),"7º BBM")</f>
        <v>7º BBM</v>
      </c>
      <c r="D39" s="1" t="str">
        <f>IFERROR(__xludf.DUMMYFUNCTION("""COMPUTED_VALUE"""),"Erechim")</f>
        <v>Erechim</v>
      </c>
      <c r="E39" s="145" t="str">
        <f>IFERROR(__xludf.DUMMYFUNCTION("""COMPUTED_VALUE"""),"NPBM")</f>
        <v>NPBM</v>
      </c>
      <c r="F39" s="145"/>
      <c r="G39" s="145"/>
      <c r="H39" s="145"/>
    </row>
    <row r="40" customHeight="1" spans="1:8">
      <c r="A40" s="1" t="str">
        <f>IFERROR(__xludf.DUMMYFUNCTION("""COMPUTED_VALUE"""),"Barra Funda")</f>
        <v>Barra Funda</v>
      </c>
      <c r="B40" s="144" t="str">
        <f>IFERROR(__xludf.DUMMYFUNCTION("""COMPUTED_VALUE"""),"2º CRBM")</f>
        <v>2º CRBM</v>
      </c>
      <c r="C40" s="1" t="str">
        <f>IFERROR(__xludf.DUMMYFUNCTION("""COMPUTED_VALUE"""),"7º BBM")</f>
        <v>7º BBM</v>
      </c>
      <c r="D40" s="1" t="str">
        <f>IFERROR(__xludf.DUMMYFUNCTION("""COMPUTED_VALUE"""),"Sarandi")</f>
        <v>Sarandi</v>
      </c>
      <c r="E40" s="145" t="str">
        <f>IFERROR(__xludf.DUMMYFUNCTION("""COMPUTED_VALUE"""),"NPBM")</f>
        <v>NPBM</v>
      </c>
      <c r="F40" s="145"/>
      <c r="G40" s="145"/>
      <c r="H40" s="145"/>
    </row>
    <row r="41" customHeight="1" spans="1:8">
      <c r="A41" s="1" t="str">
        <f>IFERROR(__xludf.DUMMYFUNCTION("""COMPUTED_VALUE"""),"Barracão")</f>
        <v>Barracão</v>
      </c>
      <c r="B41" s="144" t="str">
        <f>IFERROR(__xludf.DUMMYFUNCTION("""COMPUTED_VALUE"""),"2º CRBM")</f>
        <v>2º CRBM</v>
      </c>
      <c r="C41" s="1" t="str">
        <f>IFERROR(__xludf.DUMMYFUNCTION("""COMPUTED_VALUE"""),"5º BBM")</f>
        <v>5º BBM</v>
      </c>
      <c r="D41" s="1" t="str">
        <f>IFERROR(__xludf.DUMMYFUNCTION("""COMPUTED_VALUE"""),"Lagoa Vermelha")</f>
        <v>Lagoa Vermelha</v>
      </c>
      <c r="E41" s="145" t="str">
        <f>IFERROR(__xludf.DUMMYFUNCTION("""COMPUTED_VALUE"""),"Voluntersul")</f>
        <v>Voluntersul</v>
      </c>
      <c r="F41" s="145"/>
      <c r="G41" s="145"/>
      <c r="H41" s="145"/>
    </row>
    <row r="42" customHeight="1" spans="1:8">
      <c r="A42" s="1" t="str">
        <f>IFERROR(__xludf.DUMMYFUNCTION("""COMPUTED_VALUE"""),"Barros Cassal")</f>
        <v>Barros Cassal</v>
      </c>
      <c r="B42" s="144" t="str">
        <f>IFERROR(__xludf.DUMMYFUNCTION("""COMPUTED_VALUE"""),"2º CRBM")</f>
        <v>2º CRBM</v>
      </c>
      <c r="C42" s="1" t="str">
        <f>IFERROR(__xludf.DUMMYFUNCTION("""COMPUTED_VALUE"""),"7º BBM")</f>
        <v>7º BBM</v>
      </c>
      <c r="D42" s="1" t="str">
        <f>IFERROR(__xludf.DUMMYFUNCTION("""COMPUTED_VALUE"""),"Soledade")</f>
        <v>Soledade</v>
      </c>
      <c r="E42" s="145" t="str">
        <f>IFERROR(__xludf.DUMMYFUNCTION("""COMPUTED_VALUE"""),"SCAB")</f>
        <v>SCAB</v>
      </c>
      <c r="F42" s="145"/>
      <c r="G42" s="145"/>
      <c r="H42" s="145"/>
    </row>
    <row r="43" customHeight="1" spans="1:8">
      <c r="A43" s="1" t="str">
        <f>IFERROR(__xludf.DUMMYFUNCTION("""COMPUTED_VALUE"""),"Benjamin Constant do Sul")</f>
        <v>Benjamin Constant do Sul</v>
      </c>
      <c r="B43" s="144" t="str">
        <f>IFERROR(__xludf.DUMMYFUNCTION("""COMPUTED_VALUE"""),"2º CRBM")</f>
        <v>2º CRBM</v>
      </c>
      <c r="C43" s="1" t="str">
        <f>IFERROR(__xludf.DUMMYFUNCTION("""COMPUTED_VALUE"""),"7º BBM")</f>
        <v>7º BBM</v>
      </c>
      <c r="D43" s="1" t="str">
        <f>IFERROR(__xludf.DUMMYFUNCTION("""COMPUTED_VALUE"""),"Erechim")</f>
        <v>Erechim</v>
      </c>
      <c r="E43" s="145" t="str">
        <f>IFERROR(__xludf.DUMMYFUNCTION("""COMPUTED_VALUE"""),"NPBM")</f>
        <v>NPBM</v>
      </c>
      <c r="F43" s="145"/>
      <c r="G43" s="145"/>
      <c r="H43" s="145"/>
    </row>
    <row r="44" customHeight="1" spans="1:8">
      <c r="A44" s="1" t="str">
        <f>IFERROR(__xludf.DUMMYFUNCTION("""COMPUTED_VALUE"""),"Bento Gonçalves")</f>
        <v>Bento Gonçalves</v>
      </c>
      <c r="B44" s="144" t="str">
        <f>IFERROR(__xludf.DUMMYFUNCTION("""COMPUTED_VALUE"""),"2º CRBM")</f>
        <v>2º CRBM</v>
      </c>
      <c r="C44" s="1" t="str">
        <f>IFERROR(__xludf.DUMMYFUNCTION("""COMPUTED_VALUE"""),"5º BBM")</f>
        <v>5º BBM</v>
      </c>
      <c r="D44" s="1" t="str">
        <f>IFERROR(__xludf.DUMMYFUNCTION("""COMPUTED_VALUE"""),"Bento Gonçalves")</f>
        <v>Bento Gonçalves</v>
      </c>
      <c r="E44" s="145" t="str">
        <f>IFERROR(__xludf.DUMMYFUNCTION("""COMPUTED_VALUE"""),"Militar")</f>
        <v>Militar</v>
      </c>
      <c r="F44" s="145"/>
      <c r="G44" s="145"/>
      <c r="H44" s="145"/>
    </row>
    <row r="45" customHeight="1" spans="1:8">
      <c r="A45" s="1" t="str">
        <f>IFERROR(__xludf.DUMMYFUNCTION("""COMPUTED_VALUE"""),"Boa Vista das Missões")</f>
        <v>Boa Vista das Missões</v>
      </c>
      <c r="B45" s="144" t="str">
        <f>IFERROR(__xludf.DUMMYFUNCTION("""COMPUTED_VALUE"""),"4º CRBM")</f>
        <v>4º CRBM</v>
      </c>
      <c r="C45" s="1" t="str">
        <f>IFERROR(__xludf.DUMMYFUNCTION("""COMPUTED_VALUE"""),"12º BBM")</f>
        <v>12º BBM</v>
      </c>
      <c r="D45" s="1" t="str">
        <f>IFERROR(__xludf.DUMMYFUNCTION("""COMPUTED_VALUE"""),"Palmeira das Missões")</f>
        <v>Palmeira das Missões</v>
      </c>
      <c r="E45" s="145" t="str">
        <f>IFERROR(__xludf.DUMMYFUNCTION("""COMPUTED_VALUE"""),"NPBM")</f>
        <v>NPBM</v>
      </c>
      <c r="F45" s="145"/>
      <c r="G45" s="145"/>
      <c r="H45" s="145"/>
    </row>
    <row r="46" customHeight="1" spans="1:8">
      <c r="A46" s="1" t="str">
        <f>IFERROR(__xludf.DUMMYFUNCTION("""COMPUTED_VALUE"""),"Boa Vista do Buricá")</f>
        <v>Boa Vista do Buricá</v>
      </c>
      <c r="B46" s="144" t="str">
        <f>IFERROR(__xludf.DUMMYFUNCTION("""COMPUTED_VALUE"""),"4º CRBM")</f>
        <v>4º CRBM</v>
      </c>
      <c r="C46" s="1" t="str">
        <f>IFERROR(__xludf.DUMMYFUNCTION("""COMPUTED_VALUE"""),"11º BBM")</f>
        <v>11º BBM</v>
      </c>
      <c r="D46" s="1" t="str">
        <f>IFERROR(__xludf.DUMMYFUNCTION("""COMPUTED_VALUE"""),"Três de Maio")</f>
        <v>Três de Maio</v>
      </c>
      <c r="E46" s="145" t="str">
        <f>IFERROR(__xludf.DUMMYFUNCTION("""COMPUTED_VALUE"""),"NPBM")</f>
        <v>NPBM</v>
      </c>
      <c r="F46" s="145"/>
      <c r="G46" s="145"/>
      <c r="H46" s="145"/>
    </row>
    <row r="47" customHeight="1" spans="1:8">
      <c r="A47" s="1" t="str">
        <f>IFERROR(__xludf.DUMMYFUNCTION("""COMPUTED_VALUE"""),"Boa Vista do Cadeado")</f>
        <v>Boa Vista do Cadeado</v>
      </c>
      <c r="B47" s="144" t="str">
        <f>IFERROR(__xludf.DUMMYFUNCTION("""COMPUTED_VALUE"""),"4º CRBM")</f>
        <v>4º CRBM</v>
      </c>
      <c r="C47" s="1" t="str">
        <f>IFERROR(__xludf.DUMMYFUNCTION("""COMPUTED_VALUE"""),"12º BBM")</f>
        <v>12º BBM</v>
      </c>
      <c r="D47" s="1" t="str">
        <f>IFERROR(__xludf.DUMMYFUNCTION("""COMPUTED_VALUE"""),"Cruz Alta")</f>
        <v>Cruz Alta</v>
      </c>
      <c r="E47" s="145" t="str">
        <f>IFERROR(__xludf.DUMMYFUNCTION("""COMPUTED_VALUE"""),"NPBM")</f>
        <v>NPBM</v>
      </c>
      <c r="F47" s="145"/>
      <c r="G47" s="145"/>
      <c r="H47" s="145"/>
    </row>
    <row r="48" customHeight="1" spans="1:8">
      <c r="A48" s="1" t="str">
        <f>IFERROR(__xludf.DUMMYFUNCTION("""COMPUTED_VALUE"""),"Boa Vista do Incra")</f>
        <v>Boa Vista do Incra</v>
      </c>
      <c r="B48" s="144" t="str">
        <f>IFERROR(__xludf.DUMMYFUNCTION("""COMPUTED_VALUE"""),"4º CRBM")</f>
        <v>4º CRBM</v>
      </c>
      <c r="C48" s="1" t="str">
        <f>IFERROR(__xludf.DUMMYFUNCTION("""COMPUTED_VALUE"""),"12º BBM")</f>
        <v>12º BBM</v>
      </c>
      <c r="D48" s="1" t="str">
        <f>IFERROR(__xludf.DUMMYFUNCTION("""COMPUTED_VALUE"""),"Cruz Alta")</f>
        <v>Cruz Alta</v>
      </c>
      <c r="E48" s="145" t="str">
        <f>IFERROR(__xludf.DUMMYFUNCTION("""COMPUTED_VALUE"""),"NPBM")</f>
        <v>NPBM</v>
      </c>
      <c r="F48" s="145"/>
      <c r="G48" s="145"/>
      <c r="H48" s="145"/>
    </row>
    <row r="49" customHeight="1" spans="1:8">
      <c r="A49" s="1" t="str">
        <f>IFERROR(__xludf.DUMMYFUNCTION("""COMPUTED_VALUE"""),"Boa Vista do Sul")</f>
        <v>Boa Vista do Sul</v>
      </c>
      <c r="B49" s="144" t="str">
        <f>IFERROR(__xludf.DUMMYFUNCTION("""COMPUTED_VALUE"""),"2º CRBM")</f>
        <v>2º CRBM</v>
      </c>
      <c r="C49" s="1" t="str">
        <f>IFERROR(__xludf.DUMMYFUNCTION("""COMPUTED_VALUE"""),"5º BBM")</f>
        <v>5º BBM</v>
      </c>
      <c r="D49" s="1" t="str">
        <f>IFERROR(__xludf.DUMMYFUNCTION("""COMPUTED_VALUE"""),"Bento Gonçalves")</f>
        <v>Bento Gonçalves</v>
      </c>
      <c r="E49" s="145" t="str">
        <f>IFERROR(__xludf.DUMMYFUNCTION("""COMPUTED_VALUE"""),"NPBM")</f>
        <v>NPBM</v>
      </c>
      <c r="F49" s="145"/>
      <c r="G49" s="145"/>
      <c r="H49" s="145"/>
    </row>
    <row r="50" customHeight="1" spans="1:8">
      <c r="A50" s="1" t="str">
        <f>IFERROR(__xludf.DUMMYFUNCTION("""COMPUTED_VALUE"""),"Bom Jesus")</f>
        <v>Bom Jesus</v>
      </c>
      <c r="B50" s="144" t="str">
        <f>IFERROR(__xludf.DUMMYFUNCTION("""COMPUTED_VALUE"""),"2º CRBM")</f>
        <v>2º CRBM</v>
      </c>
      <c r="C50" s="1" t="str">
        <f>IFERROR(__xludf.DUMMYFUNCTION("""COMPUTED_VALUE"""),"5º BBM")</f>
        <v>5º BBM</v>
      </c>
      <c r="D50" s="1" t="str">
        <f>IFERROR(__xludf.DUMMYFUNCTION("""COMPUTED_VALUE"""),"Vacaria")</f>
        <v>Vacaria</v>
      </c>
      <c r="E50" s="145" t="str">
        <f>IFERROR(__xludf.DUMMYFUNCTION("""COMPUTED_VALUE"""),"SCAB")</f>
        <v>SCAB</v>
      </c>
      <c r="F50" s="145"/>
      <c r="G50" s="145"/>
      <c r="H50" s="145"/>
    </row>
    <row r="51" customHeight="1" spans="1:8">
      <c r="A51" s="1" t="str">
        <f>IFERROR(__xludf.DUMMYFUNCTION("""COMPUTED_VALUE"""),"Bom Princípio")</f>
        <v>Bom Princípio</v>
      </c>
      <c r="B51" s="144" t="str">
        <f>IFERROR(__xludf.DUMMYFUNCTION("""COMPUTED_VALUE"""),"2º CRBM")</f>
        <v>2º CRBM</v>
      </c>
      <c r="C51" s="1" t="str">
        <f>IFERROR(__xludf.DUMMYFUNCTION("""COMPUTED_VALUE"""),"2º BBM")</f>
        <v>2º BBM</v>
      </c>
      <c r="D51" s="1" t="str">
        <f>IFERROR(__xludf.DUMMYFUNCTION("""COMPUTED_VALUE"""),"Portão")</f>
        <v>Portão</v>
      </c>
      <c r="E51" s="145" t="str">
        <f>IFERROR(__xludf.DUMMYFUNCTION("""COMPUTED_VALUE"""),"Voluntersul")</f>
        <v>Voluntersul</v>
      </c>
      <c r="F51" s="145"/>
      <c r="G51" s="145"/>
      <c r="H51" s="145"/>
    </row>
    <row r="52" customHeight="1" spans="1:8">
      <c r="A52" s="1" t="str">
        <f>IFERROR(__xludf.DUMMYFUNCTION("""COMPUTED_VALUE"""),"Bom Progresso")</f>
        <v>Bom Progresso</v>
      </c>
      <c r="B52" s="144" t="str">
        <f>IFERROR(__xludf.DUMMYFUNCTION("""COMPUTED_VALUE"""),"4º CRBM")</f>
        <v>4º CRBM</v>
      </c>
      <c r="C52" s="1" t="str">
        <f>IFERROR(__xludf.DUMMYFUNCTION("""COMPUTED_VALUE"""),"11º BBM")</f>
        <v>11º BBM</v>
      </c>
      <c r="D52" s="1" t="str">
        <f>IFERROR(__xludf.DUMMYFUNCTION("""COMPUTED_VALUE"""),"Três Passos")</f>
        <v>Três Passos</v>
      </c>
      <c r="E52" s="145" t="str">
        <f>IFERROR(__xludf.DUMMYFUNCTION("""COMPUTED_VALUE"""),"NPBM")</f>
        <v>NPBM</v>
      </c>
      <c r="F52" s="145"/>
      <c r="G52" s="145"/>
      <c r="H52" s="145"/>
    </row>
    <row r="53" customHeight="1" spans="1:8">
      <c r="A53" s="1" t="str">
        <f>IFERROR(__xludf.DUMMYFUNCTION("""COMPUTED_VALUE"""),"Bom Retiro do Sul")</f>
        <v>Bom Retiro do Sul</v>
      </c>
      <c r="B53" s="144" t="str">
        <f>IFERROR(__xludf.DUMMYFUNCTION("""COMPUTED_VALUE"""),"4º CRBM")</f>
        <v>4º CRBM</v>
      </c>
      <c r="C53" s="1" t="str">
        <f>IFERROR(__xludf.DUMMYFUNCTION("""COMPUTED_VALUE"""),"6º BBM")</f>
        <v>6º BBM</v>
      </c>
      <c r="D53" s="1" t="str">
        <f>IFERROR(__xludf.DUMMYFUNCTION("""COMPUTED_VALUE"""),"Estrela")</f>
        <v>Estrela</v>
      </c>
      <c r="E53" s="145" t="str">
        <f>IFERROR(__xludf.DUMMYFUNCTION("""COMPUTED_VALUE"""),"NPBM")</f>
        <v>NPBM</v>
      </c>
      <c r="F53" s="145"/>
      <c r="G53" s="145"/>
      <c r="H53" s="145"/>
    </row>
    <row r="54" customHeight="1" spans="1:8">
      <c r="A54" s="1" t="str">
        <f>IFERROR(__xludf.DUMMYFUNCTION("""COMPUTED_VALUE"""),"Boqueirão do Leão")</f>
        <v>Boqueirão do Leão</v>
      </c>
      <c r="B54" s="144" t="str">
        <f>IFERROR(__xludf.DUMMYFUNCTION("""COMPUTED_VALUE"""),"4º CRBM")</f>
        <v>4º CRBM</v>
      </c>
      <c r="C54" s="1" t="str">
        <f>IFERROR(__xludf.DUMMYFUNCTION("""COMPUTED_VALUE"""),"6º BBM")</f>
        <v>6º BBM</v>
      </c>
      <c r="D54" s="1" t="str">
        <f>IFERROR(__xludf.DUMMYFUNCTION("""COMPUTED_VALUE"""),"Lajeado")</f>
        <v>Lajeado</v>
      </c>
      <c r="E54" s="145" t="str">
        <f>IFERROR(__xludf.DUMMYFUNCTION("""COMPUTED_VALUE"""),"NPBM")</f>
        <v>NPBM</v>
      </c>
      <c r="F54" s="145"/>
      <c r="G54" s="145"/>
      <c r="H54" s="145"/>
    </row>
    <row r="55" customHeight="1" spans="1:8">
      <c r="A55" s="1" t="str">
        <f>IFERROR(__xludf.DUMMYFUNCTION("""COMPUTED_VALUE"""),"Bossoroca")</f>
        <v>Bossoroca</v>
      </c>
      <c r="B55" s="144" t="str">
        <f>IFERROR(__xludf.DUMMYFUNCTION("""COMPUTED_VALUE"""),"4º CRBM")</f>
        <v>4º CRBM</v>
      </c>
      <c r="C55" s="1" t="str">
        <f>IFERROR(__xludf.DUMMYFUNCTION("""COMPUTED_VALUE"""),"11º BBM")</f>
        <v>11º BBM</v>
      </c>
      <c r="D55" s="1" t="str">
        <f>IFERROR(__xludf.DUMMYFUNCTION("""COMPUTED_VALUE"""),"São Luiz Gonzaga")</f>
        <v>São Luiz Gonzaga</v>
      </c>
      <c r="E55" s="145" t="str">
        <f>IFERROR(__xludf.DUMMYFUNCTION("""COMPUTED_VALUE"""),"NPBM")</f>
        <v>NPBM</v>
      </c>
      <c r="F55" s="145"/>
      <c r="G55" s="145"/>
      <c r="H55" s="145"/>
    </row>
    <row r="56" customHeight="1" spans="1:8">
      <c r="A56" s="1" t="str">
        <f>IFERROR(__xludf.DUMMYFUNCTION("""COMPUTED_VALUE"""),"Bozano")</f>
        <v>Bozano</v>
      </c>
      <c r="B56" s="144" t="str">
        <f>IFERROR(__xludf.DUMMYFUNCTION("""COMPUTED_VALUE"""),"4º CRBM")</f>
        <v>4º CRBM</v>
      </c>
      <c r="C56" s="1" t="str">
        <f>IFERROR(__xludf.DUMMYFUNCTION("""COMPUTED_VALUE"""),"12º BBM")</f>
        <v>12º BBM</v>
      </c>
      <c r="D56" s="1" t="str">
        <f>IFERROR(__xludf.DUMMYFUNCTION("""COMPUTED_VALUE"""),"Ijuí")</f>
        <v>Ijuí</v>
      </c>
      <c r="E56" s="145" t="str">
        <f>IFERROR(__xludf.DUMMYFUNCTION("""COMPUTED_VALUE"""),"NPBM")</f>
        <v>NPBM</v>
      </c>
      <c r="F56" s="145"/>
      <c r="G56" s="145"/>
      <c r="H56" s="145"/>
    </row>
    <row r="57" customHeight="1" spans="1:8">
      <c r="A57" s="1" t="str">
        <f>IFERROR(__xludf.DUMMYFUNCTION("""COMPUTED_VALUE"""),"Braga")</f>
        <v>Braga</v>
      </c>
      <c r="B57" s="144" t="str">
        <f>IFERROR(__xludf.DUMMYFUNCTION("""COMPUTED_VALUE"""),"4º CRBM")</f>
        <v>4º CRBM</v>
      </c>
      <c r="C57" s="1" t="str">
        <f>IFERROR(__xludf.DUMMYFUNCTION("""COMPUTED_VALUE"""),"11º BBM")</f>
        <v>11º BBM</v>
      </c>
      <c r="D57" s="1" t="str">
        <f>IFERROR(__xludf.DUMMYFUNCTION("""COMPUTED_VALUE"""),"Três Passos")</f>
        <v>Três Passos</v>
      </c>
      <c r="E57" s="145" t="str">
        <f>IFERROR(__xludf.DUMMYFUNCTION("""COMPUTED_VALUE"""),"NPBM")</f>
        <v>NPBM</v>
      </c>
      <c r="F57" s="145"/>
      <c r="G57" s="145"/>
      <c r="H57" s="145"/>
    </row>
    <row r="58" customHeight="1" spans="1:8">
      <c r="A58" s="1" t="str">
        <f>IFERROR(__xludf.DUMMYFUNCTION("""COMPUTED_VALUE"""),"Brochier")</f>
        <v>Brochier</v>
      </c>
      <c r="B58" s="144" t="str">
        <f>IFERROR(__xludf.DUMMYFUNCTION("""COMPUTED_VALUE"""),"2º CRBM")</f>
        <v>2º CRBM</v>
      </c>
      <c r="C58" s="1" t="str">
        <f>IFERROR(__xludf.DUMMYFUNCTION("""COMPUTED_VALUE"""),"2º BBM")</f>
        <v>2º BBM</v>
      </c>
      <c r="D58" s="1" t="str">
        <f>IFERROR(__xludf.DUMMYFUNCTION("""COMPUTED_VALUE"""),"Montenegro")</f>
        <v>Montenegro</v>
      </c>
      <c r="E58" s="145" t="str">
        <f>IFERROR(__xludf.DUMMYFUNCTION("""COMPUTED_VALUE"""),"NPBM")</f>
        <v>NPBM</v>
      </c>
      <c r="F58" s="145"/>
      <c r="G58" s="145"/>
      <c r="H58" s="145"/>
    </row>
    <row r="59" customHeight="1" spans="1:8">
      <c r="A59" s="1" t="str">
        <f>IFERROR(__xludf.DUMMYFUNCTION("""COMPUTED_VALUE"""),"Butiá")</f>
        <v>Butiá</v>
      </c>
      <c r="B59" s="144" t="str">
        <f>IFERROR(__xludf.DUMMYFUNCTION("""COMPUTED_VALUE"""),"4º CRBM")</f>
        <v>4º CRBM</v>
      </c>
      <c r="C59" s="1" t="str">
        <f>IFERROR(__xludf.DUMMYFUNCTION("""COMPUTED_VALUE"""),"6º BBM")</f>
        <v>6º BBM</v>
      </c>
      <c r="D59" s="1" t="str">
        <f>IFERROR(__xludf.DUMMYFUNCTION("""COMPUTED_VALUE"""),"São Jerônimo")</f>
        <v>São Jerônimo</v>
      </c>
      <c r="E59" s="145" t="str">
        <f>IFERROR(__xludf.DUMMYFUNCTION("""COMPUTED_VALUE"""),"Voluntersul")</f>
        <v>Voluntersul</v>
      </c>
      <c r="F59" s="145"/>
      <c r="G59" s="145"/>
      <c r="H59" s="145"/>
    </row>
    <row r="60" customHeight="1" spans="1:8">
      <c r="A60" s="1" t="str">
        <f>IFERROR(__xludf.DUMMYFUNCTION("""COMPUTED_VALUE"""),"Caçapava do Sul")</f>
        <v>Caçapava do Sul</v>
      </c>
      <c r="B60" s="144" t="str">
        <f>IFERROR(__xludf.DUMMYFUNCTION("""COMPUTED_VALUE"""),"4º CRBM")</f>
        <v>4º CRBM</v>
      </c>
      <c r="C60" s="1" t="str">
        <f>IFERROR(__xludf.DUMMYFUNCTION("""COMPUTED_VALUE"""),"4º BBM")</f>
        <v>4º BBM</v>
      </c>
      <c r="D60" s="1" t="str">
        <f>IFERROR(__xludf.DUMMYFUNCTION("""COMPUTED_VALUE"""),"Caçapava do Sul")</f>
        <v>Caçapava do Sul</v>
      </c>
      <c r="E60" s="145" t="str">
        <f>IFERROR(__xludf.DUMMYFUNCTION("""COMPUTED_VALUE"""),"Militar")</f>
        <v>Militar</v>
      </c>
      <c r="F60" s="145"/>
      <c r="G60" s="145"/>
      <c r="H60" s="145"/>
    </row>
    <row r="61" customHeight="1" spans="1:8">
      <c r="A61" s="1" t="str">
        <f>IFERROR(__xludf.DUMMYFUNCTION("""COMPUTED_VALUE"""),"Cacequi")</f>
        <v>Cacequi</v>
      </c>
      <c r="B61" s="144" t="str">
        <f>IFERROR(__xludf.DUMMYFUNCTION("""COMPUTED_VALUE"""),"3º CRBM")</f>
        <v>3º CRBM</v>
      </c>
      <c r="C61" s="1" t="str">
        <f>IFERROR(__xludf.DUMMYFUNCTION("""COMPUTED_VALUE"""),"10º BBM")</f>
        <v>10º BBM</v>
      </c>
      <c r="D61" s="1" t="str">
        <f>IFERROR(__xludf.DUMMYFUNCTION("""COMPUTED_VALUE"""),"Rosário do Sul")</f>
        <v>Rosário do Sul</v>
      </c>
      <c r="E61" s="145" t="str">
        <f>IFERROR(__xludf.DUMMYFUNCTION("""COMPUTED_VALUE"""),"SCAB")</f>
        <v>SCAB</v>
      </c>
      <c r="F61" s="145"/>
      <c r="G61" s="145"/>
      <c r="H61" s="145"/>
    </row>
    <row r="62" customHeight="1" spans="1:8">
      <c r="A62" s="1" t="str">
        <f>IFERROR(__xludf.DUMMYFUNCTION("""COMPUTED_VALUE"""),"Cachoeira do Sul")</f>
        <v>Cachoeira do Sul</v>
      </c>
      <c r="B62" s="144" t="str">
        <f>IFERROR(__xludf.DUMMYFUNCTION("""COMPUTED_VALUE"""),"4º CRBM")</f>
        <v>4º CRBM</v>
      </c>
      <c r="C62" s="1" t="str">
        <f>IFERROR(__xludf.DUMMYFUNCTION("""COMPUTED_VALUE"""),"4º BBM")</f>
        <v>4º BBM</v>
      </c>
      <c r="D62" s="1" t="str">
        <f>IFERROR(__xludf.DUMMYFUNCTION("""COMPUTED_VALUE"""),"Cachoeira do Sul")</f>
        <v>Cachoeira do Sul</v>
      </c>
      <c r="E62" s="145" t="str">
        <f>IFERROR(__xludf.DUMMYFUNCTION("""COMPUTED_VALUE"""),"Militar")</f>
        <v>Militar</v>
      </c>
      <c r="F62" s="145"/>
      <c r="G62" s="145"/>
      <c r="H62" s="145"/>
    </row>
    <row r="63" customHeight="1" spans="1:8">
      <c r="A63" s="1" t="str">
        <f>IFERROR(__xludf.DUMMYFUNCTION("""COMPUTED_VALUE"""),"Cachoeirinha")</f>
        <v>Cachoeirinha</v>
      </c>
      <c r="B63" s="144" t="str">
        <f>IFERROR(__xludf.DUMMYFUNCTION("""COMPUTED_VALUE"""),"1º CRBM")</f>
        <v>1º CRBM</v>
      </c>
      <c r="C63" s="1" t="str">
        <f>IFERROR(__xludf.DUMMYFUNCTION("""COMPUTED_VALUE"""),"8º BBM")</f>
        <v>8º BBM</v>
      </c>
      <c r="D63" s="1" t="str">
        <f>IFERROR(__xludf.DUMMYFUNCTION("""COMPUTED_VALUE"""),"Cachoeirinha")</f>
        <v>Cachoeirinha</v>
      </c>
      <c r="E63" s="145" t="str">
        <f>IFERROR(__xludf.DUMMYFUNCTION("""COMPUTED_VALUE"""),"Militar")</f>
        <v>Militar</v>
      </c>
      <c r="F63" s="145"/>
      <c r="G63" s="145"/>
      <c r="H63" s="145"/>
    </row>
    <row r="64" customHeight="1" spans="1:8">
      <c r="A64" s="1" t="str">
        <f>IFERROR(__xludf.DUMMYFUNCTION("""COMPUTED_VALUE"""),"Cacique Doble")</f>
        <v>Cacique Doble</v>
      </c>
      <c r="B64" s="144" t="str">
        <f>IFERROR(__xludf.DUMMYFUNCTION("""COMPUTED_VALUE"""),"2º CRBM")</f>
        <v>2º CRBM</v>
      </c>
      <c r="C64" s="1" t="str">
        <f>IFERROR(__xludf.DUMMYFUNCTION("""COMPUTED_VALUE"""),"5º BBM")</f>
        <v>5º BBM</v>
      </c>
      <c r="D64" s="1" t="str">
        <f>IFERROR(__xludf.DUMMYFUNCTION("""COMPUTED_VALUE"""),"Lagoa Vermelha")</f>
        <v>Lagoa Vermelha</v>
      </c>
      <c r="E64" s="145" t="str">
        <f>IFERROR(__xludf.DUMMYFUNCTION("""COMPUTED_VALUE"""),"Voluntersul")</f>
        <v>Voluntersul</v>
      </c>
      <c r="F64" s="145"/>
      <c r="G64" s="145"/>
      <c r="H64" s="145"/>
    </row>
    <row r="65" customHeight="1" spans="1:8">
      <c r="A65" s="1" t="str">
        <f>IFERROR(__xludf.DUMMYFUNCTION("""COMPUTED_VALUE"""),"Caibaté")</f>
        <v>Caibaté</v>
      </c>
      <c r="B65" s="144" t="str">
        <f>IFERROR(__xludf.DUMMYFUNCTION("""COMPUTED_VALUE"""),"4º CRBM")</f>
        <v>4º CRBM</v>
      </c>
      <c r="C65" s="1" t="str">
        <f>IFERROR(__xludf.DUMMYFUNCTION("""COMPUTED_VALUE"""),"11º BBM")</f>
        <v>11º BBM</v>
      </c>
      <c r="D65" s="1" t="str">
        <f>IFERROR(__xludf.DUMMYFUNCTION("""COMPUTED_VALUE"""),"São Luiz Gonzaga")</f>
        <v>São Luiz Gonzaga</v>
      </c>
      <c r="E65" s="145" t="str">
        <f>IFERROR(__xludf.DUMMYFUNCTION("""COMPUTED_VALUE"""),"NPBM")</f>
        <v>NPBM</v>
      </c>
      <c r="F65" s="145"/>
      <c r="G65" s="145"/>
      <c r="H65" s="145"/>
    </row>
    <row r="66" customHeight="1" spans="1:8">
      <c r="A66" s="1" t="str">
        <f>IFERROR(__xludf.DUMMYFUNCTION("""COMPUTED_VALUE"""),"Caiçara")</f>
        <v>Caiçara</v>
      </c>
      <c r="B66" s="144" t="str">
        <f>IFERROR(__xludf.DUMMYFUNCTION("""COMPUTED_VALUE"""),"4º CRBM")</f>
        <v>4º CRBM</v>
      </c>
      <c r="C66" s="1" t="str">
        <f>IFERROR(__xludf.DUMMYFUNCTION("""COMPUTED_VALUE"""),"12º BBM")</f>
        <v>12º BBM</v>
      </c>
      <c r="D66" s="1" t="str">
        <f>IFERROR(__xludf.DUMMYFUNCTION("""COMPUTED_VALUE"""),"Frederico Westphalen")</f>
        <v>Frederico Westphalen</v>
      </c>
      <c r="E66" s="145" t="str">
        <f>IFERROR(__xludf.DUMMYFUNCTION("""COMPUTED_VALUE"""),"NPBM")</f>
        <v>NPBM</v>
      </c>
      <c r="F66" s="145"/>
      <c r="G66" s="145"/>
      <c r="H66" s="145"/>
    </row>
    <row r="67" customHeight="1" spans="1:8">
      <c r="A67" s="1" t="str">
        <f>IFERROR(__xludf.DUMMYFUNCTION("""COMPUTED_VALUE"""),"Camaquã")</f>
        <v>Camaquã</v>
      </c>
      <c r="B67" s="144" t="str">
        <f>IFERROR(__xludf.DUMMYFUNCTION("""COMPUTED_VALUE"""),"4º CRBM")</f>
        <v>4º CRBM</v>
      </c>
      <c r="C67" s="1" t="str">
        <f>IFERROR(__xludf.DUMMYFUNCTION("""COMPUTED_VALUE"""),"6º BBM")</f>
        <v>6º BBM</v>
      </c>
      <c r="D67" s="1" t="str">
        <f>IFERROR(__xludf.DUMMYFUNCTION("""COMPUTED_VALUE"""),"Camaquã")</f>
        <v>Camaquã</v>
      </c>
      <c r="E67" s="145" t="str">
        <f>IFERROR(__xludf.DUMMYFUNCTION("""COMPUTED_VALUE"""),"Comunitário")</f>
        <v>Comunitário</v>
      </c>
      <c r="F67" s="145"/>
      <c r="G67" s="145"/>
      <c r="H67" s="145"/>
    </row>
    <row r="68" customHeight="1" spans="1:8">
      <c r="A68" s="1" t="str">
        <f>IFERROR(__xludf.DUMMYFUNCTION("""COMPUTED_VALUE"""),"Camargo")</f>
        <v>Camargo</v>
      </c>
      <c r="B68" s="144" t="str">
        <f>IFERROR(__xludf.DUMMYFUNCTION("""COMPUTED_VALUE"""),"2º CRBM")</f>
        <v>2º CRBM</v>
      </c>
      <c r="C68" s="1" t="str">
        <f>IFERROR(__xludf.DUMMYFUNCTION("""COMPUTED_VALUE"""),"7º BBM")</f>
        <v>7º BBM</v>
      </c>
      <c r="D68" s="1" t="str">
        <f>IFERROR(__xludf.DUMMYFUNCTION("""COMPUTED_VALUE"""),"Passo Fundo")</f>
        <v>Passo Fundo</v>
      </c>
      <c r="E68" s="145" t="str">
        <f>IFERROR(__xludf.DUMMYFUNCTION("""COMPUTED_VALUE"""),"NPBM")</f>
        <v>NPBM</v>
      </c>
      <c r="F68" s="145"/>
      <c r="G68" s="145"/>
      <c r="H68" s="145"/>
    </row>
    <row r="69" customHeight="1" spans="1:8">
      <c r="A69" s="1" t="str">
        <f>IFERROR(__xludf.DUMMYFUNCTION("""COMPUTED_VALUE"""),"Cambará do Sul")</f>
        <v>Cambará do Sul</v>
      </c>
      <c r="B69" s="144" t="str">
        <f>IFERROR(__xludf.DUMMYFUNCTION("""COMPUTED_VALUE"""),"2º CRBM")</f>
        <v>2º CRBM</v>
      </c>
      <c r="C69" s="1" t="str">
        <f>IFERROR(__xludf.DUMMYFUNCTION("""COMPUTED_VALUE"""),"5º BBM")</f>
        <v>5º BBM</v>
      </c>
      <c r="D69" s="1" t="str">
        <f>IFERROR(__xludf.DUMMYFUNCTION("""COMPUTED_VALUE"""),"Canela")</f>
        <v>Canela</v>
      </c>
      <c r="E69" s="145" t="str">
        <f>IFERROR(__xludf.DUMMYFUNCTION("""COMPUTED_VALUE"""),"SCAB")</f>
        <v>SCAB</v>
      </c>
      <c r="F69" s="145"/>
      <c r="G69" s="145"/>
      <c r="H69" s="145"/>
    </row>
    <row r="70" customHeight="1" spans="1:8">
      <c r="A70" s="1" t="str">
        <f>IFERROR(__xludf.DUMMYFUNCTION("""COMPUTED_VALUE"""),"Campestre da Serra")</f>
        <v>Campestre da Serra</v>
      </c>
      <c r="B70" s="144" t="str">
        <f>IFERROR(__xludf.DUMMYFUNCTION("""COMPUTED_VALUE"""),"2º CRBM")</f>
        <v>2º CRBM</v>
      </c>
      <c r="C70" s="1" t="str">
        <f>IFERROR(__xludf.DUMMYFUNCTION("""COMPUTED_VALUE"""),"5º BBM")</f>
        <v>5º BBM</v>
      </c>
      <c r="D70" s="1" t="str">
        <f>IFERROR(__xludf.DUMMYFUNCTION("""COMPUTED_VALUE"""),"Vacaria")</f>
        <v>Vacaria</v>
      </c>
      <c r="E70" s="145" t="str">
        <f>IFERROR(__xludf.DUMMYFUNCTION("""COMPUTED_VALUE"""),"NPBM")</f>
        <v>NPBM</v>
      </c>
      <c r="F70" s="145"/>
      <c r="G70" s="145"/>
      <c r="H70" s="145"/>
    </row>
    <row r="71" customHeight="1" spans="1:8">
      <c r="A71" s="1" t="str">
        <f>IFERROR(__xludf.DUMMYFUNCTION("""COMPUTED_VALUE"""),"Campina das Missões")</f>
        <v>Campina das Missões</v>
      </c>
      <c r="B71" s="144" t="str">
        <f>IFERROR(__xludf.DUMMYFUNCTION("""COMPUTED_VALUE"""),"4º CRBM")</f>
        <v>4º CRBM</v>
      </c>
      <c r="C71" s="1" t="str">
        <f>IFERROR(__xludf.DUMMYFUNCTION("""COMPUTED_VALUE"""),"11º BBM")</f>
        <v>11º BBM</v>
      </c>
      <c r="D71" s="1" t="str">
        <f>IFERROR(__xludf.DUMMYFUNCTION("""COMPUTED_VALUE"""),"Santa Rosa")</f>
        <v>Santa Rosa</v>
      </c>
      <c r="E71" s="145" t="str">
        <f>IFERROR(__xludf.DUMMYFUNCTION("""COMPUTED_VALUE"""),"NPBM")</f>
        <v>NPBM</v>
      </c>
      <c r="F71" s="145"/>
      <c r="G71" s="145"/>
      <c r="H71" s="145"/>
    </row>
    <row r="72" customHeight="1" spans="1:8">
      <c r="A72" s="1" t="str">
        <f>IFERROR(__xludf.DUMMYFUNCTION("""COMPUTED_VALUE"""),"Campinas do Sul")</f>
        <v>Campinas do Sul</v>
      </c>
      <c r="B72" s="144" t="str">
        <f>IFERROR(__xludf.DUMMYFUNCTION("""COMPUTED_VALUE"""),"2º CRBM")</f>
        <v>2º CRBM</v>
      </c>
      <c r="C72" s="1" t="str">
        <f>IFERROR(__xludf.DUMMYFUNCTION("""COMPUTED_VALUE"""),"7º BBM")</f>
        <v>7º BBM</v>
      </c>
      <c r="D72" s="1" t="str">
        <f>IFERROR(__xludf.DUMMYFUNCTION("""COMPUTED_VALUE"""),"Erechim")</f>
        <v>Erechim</v>
      </c>
      <c r="E72" s="145" t="str">
        <f>IFERROR(__xludf.DUMMYFUNCTION("""COMPUTED_VALUE"""),"Voluntersul")</f>
        <v>Voluntersul</v>
      </c>
      <c r="F72" s="145"/>
      <c r="G72" s="145"/>
      <c r="H72" s="145"/>
    </row>
    <row r="73" customHeight="1" spans="1:8">
      <c r="A73" s="1" t="str">
        <f>IFERROR(__xludf.DUMMYFUNCTION("""COMPUTED_VALUE"""),"Campo Bom")</f>
        <v>Campo Bom</v>
      </c>
      <c r="B73" s="144" t="str">
        <f>IFERROR(__xludf.DUMMYFUNCTION("""COMPUTED_VALUE"""),"2º CRBM")</f>
        <v>2º CRBM</v>
      </c>
      <c r="C73" s="1" t="str">
        <f>IFERROR(__xludf.DUMMYFUNCTION("""COMPUTED_VALUE"""),"2º BBM")</f>
        <v>2º BBM</v>
      </c>
      <c r="D73" s="1" t="str">
        <f>IFERROR(__xludf.DUMMYFUNCTION("""COMPUTED_VALUE"""),"Campo Bom")</f>
        <v>Campo Bom</v>
      </c>
      <c r="E73" s="145" t="str">
        <f>IFERROR(__xludf.DUMMYFUNCTION("""COMPUTED_VALUE"""),"Comunitário")</f>
        <v>Comunitário</v>
      </c>
      <c r="F73" s="145"/>
      <c r="G73" s="145"/>
      <c r="H73" s="145"/>
    </row>
    <row r="74" customHeight="1" spans="1:8">
      <c r="A74" s="1" t="str">
        <f>IFERROR(__xludf.DUMMYFUNCTION("""COMPUTED_VALUE"""),"Campo Novo")</f>
        <v>Campo Novo</v>
      </c>
      <c r="B74" s="144" t="str">
        <f>IFERROR(__xludf.DUMMYFUNCTION("""COMPUTED_VALUE"""),"4º CRBM")</f>
        <v>4º CRBM</v>
      </c>
      <c r="C74" s="1" t="str">
        <f>IFERROR(__xludf.DUMMYFUNCTION("""COMPUTED_VALUE"""),"11º BBM")</f>
        <v>11º BBM</v>
      </c>
      <c r="D74" s="1" t="str">
        <f>IFERROR(__xludf.DUMMYFUNCTION("""COMPUTED_VALUE"""),"Três Passos")</f>
        <v>Três Passos</v>
      </c>
      <c r="E74" s="145" t="str">
        <f>IFERROR(__xludf.DUMMYFUNCTION("""COMPUTED_VALUE"""),"NPBM")</f>
        <v>NPBM</v>
      </c>
      <c r="F74" s="145"/>
      <c r="G74" s="145"/>
      <c r="H74" s="145"/>
    </row>
    <row r="75" customHeight="1" spans="1:8">
      <c r="A75" s="1" t="str">
        <f>IFERROR(__xludf.DUMMYFUNCTION("""COMPUTED_VALUE"""),"Campos Borges")</f>
        <v>Campos Borges</v>
      </c>
      <c r="B75" s="144" t="str">
        <f>IFERROR(__xludf.DUMMYFUNCTION("""COMPUTED_VALUE"""),"2º CRBM")</f>
        <v>2º CRBM</v>
      </c>
      <c r="C75" s="1" t="str">
        <f>IFERROR(__xludf.DUMMYFUNCTION("""COMPUTED_VALUE"""),"7º BBM")</f>
        <v>7º BBM</v>
      </c>
      <c r="D75" s="1" t="str">
        <f>IFERROR(__xludf.DUMMYFUNCTION("""COMPUTED_VALUE"""),"Tapera")</f>
        <v>Tapera</v>
      </c>
      <c r="E75" s="145" t="str">
        <f>IFERROR(__xludf.DUMMYFUNCTION("""COMPUTED_VALUE"""),"SCAB")</f>
        <v>SCAB</v>
      </c>
      <c r="F75" s="145"/>
      <c r="G75" s="145"/>
      <c r="H75" s="145"/>
    </row>
    <row r="76" customHeight="1" spans="1:8">
      <c r="A76" s="1" t="str">
        <f>IFERROR(__xludf.DUMMYFUNCTION("""COMPUTED_VALUE"""),"Candelária")</f>
        <v>Candelária</v>
      </c>
      <c r="B76" s="144" t="str">
        <f>IFERROR(__xludf.DUMMYFUNCTION("""COMPUTED_VALUE"""),"4º CRBM")</f>
        <v>4º CRBM</v>
      </c>
      <c r="C76" s="1" t="str">
        <f>IFERROR(__xludf.DUMMYFUNCTION("""COMPUTED_VALUE"""),"6º BBM")</f>
        <v>6º BBM</v>
      </c>
      <c r="D76" s="1" t="str">
        <f>IFERROR(__xludf.DUMMYFUNCTION("""COMPUTED_VALUE"""),"Santa Cruz do Sul")</f>
        <v>Santa Cruz do Sul</v>
      </c>
      <c r="E76" s="145" t="str">
        <f>IFERROR(__xludf.DUMMYFUNCTION("""COMPUTED_VALUE"""),"Voluntersul")</f>
        <v>Voluntersul</v>
      </c>
      <c r="F76" s="145"/>
      <c r="G76" s="145"/>
      <c r="H76" s="145"/>
    </row>
    <row r="77" customHeight="1" spans="1:8">
      <c r="A77" s="1" t="str">
        <f>IFERROR(__xludf.DUMMYFUNCTION("""COMPUTED_VALUE"""),"Cândido Godói")</f>
        <v>Cândido Godói</v>
      </c>
      <c r="B77" s="144" t="str">
        <f>IFERROR(__xludf.DUMMYFUNCTION("""COMPUTED_VALUE"""),"4º CRBM")</f>
        <v>4º CRBM</v>
      </c>
      <c r="C77" s="1" t="str">
        <f>IFERROR(__xludf.DUMMYFUNCTION("""COMPUTED_VALUE"""),"11º BBM")</f>
        <v>11º BBM</v>
      </c>
      <c r="D77" s="1" t="str">
        <f>IFERROR(__xludf.DUMMYFUNCTION("""COMPUTED_VALUE"""),"Santa Rosa")</f>
        <v>Santa Rosa</v>
      </c>
      <c r="E77" s="145" t="str">
        <f>IFERROR(__xludf.DUMMYFUNCTION("""COMPUTED_VALUE"""),"NPBM")</f>
        <v>NPBM</v>
      </c>
      <c r="F77" s="145"/>
      <c r="G77" s="145"/>
      <c r="H77" s="145"/>
    </row>
    <row r="78" customHeight="1" spans="1:8">
      <c r="A78" s="1" t="str">
        <f>IFERROR(__xludf.DUMMYFUNCTION("""COMPUTED_VALUE"""),"Candiota")</f>
        <v>Candiota</v>
      </c>
      <c r="B78" s="144" t="str">
        <f>IFERROR(__xludf.DUMMYFUNCTION("""COMPUTED_VALUE"""),"3º CRBM")</f>
        <v>3º CRBM</v>
      </c>
      <c r="C78" s="1" t="str">
        <f>IFERROR(__xludf.DUMMYFUNCTION("""COMPUTED_VALUE"""),"10º BBM")</f>
        <v>10º BBM</v>
      </c>
      <c r="D78" s="1" t="str">
        <f>IFERROR(__xludf.DUMMYFUNCTION("""COMPUTED_VALUE"""),"Bagé")</f>
        <v>Bagé</v>
      </c>
      <c r="E78" s="145" t="str">
        <f>IFERROR(__xludf.DUMMYFUNCTION("""COMPUTED_VALUE"""),"Voluntersul")</f>
        <v>Voluntersul</v>
      </c>
      <c r="F78" s="145"/>
      <c r="G78" s="145"/>
      <c r="H78" s="145"/>
    </row>
    <row r="79" customHeight="1" spans="1:8">
      <c r="A79" s="1" t="str">
        <f>IFERROR(__xludf.DUMMYFUNCTION("""COMPUTED_VALUE"""),"Canela")</f>
        <v>Canela</v>
      </c>
      <c r="B79" s="144" t="str">
        <f>IFERROR(__xludf.DUMMYFUNCTION("""COMPUTED_VALUE"""),"2º CRBM")</f>
        <v>2º CRBM</v>
      </c>
      <c r="C79" s="1" t="str">
        <f>IFERROR(__xludf.DUMMYFUNCTION("""COMPUTED_VALUE"""),"5º BBM")</f>
        <v>5º BBM</v>
      </c>
      <c r="D79" s="1" t="str">
        <f>IFERROR(__xludf.DUMMYFUNCTION("""COMPUTED_VALUE"""),"Canela")</f>
        <v>Canela</v>
      </c>
      <c r="E79" s="145" t="str">
        <f>IFERROR(__xludf.DUMMYFUNCTION("""COMPUTED_VALUE"""),"Comunitário")</f>
        <v>Comunitário</v>
      </c>
      <c r="F79" s="145"/>
      <c r="G79" s="145"/>
      <c r="H79" s="145"/>
    </row>
    <row r="80" customHeight="1" spans="1:8">
      <c r="A80" s="1" t="str">
        <f>IFERROR(__xludf.DUMMYFUNCTION("""COMPUTED_VALUE"""),"Canguçu")</f>
        <v>Canguçu</v>
      </c>
      <c r="B80" s="144" t="str">
        <f>IFERROR(__xludf.DUMMYFUNCTION("""COMPUTED_VALUE"""),"3º CRBM")</f>
        <v>3º CRBM</v>
      </c>
      <c r="C80" s="1" t="str">
        <f>IFERROR(__xludf.DUMMYFUNCTION("""COMPUTED_VALUE"""),"3º BBM")</f>
        <v>3º BBM</v>
      </c>
      <c r="D80" s="1" t="str">
        <f>IFERROR(__xludf.DUMMYFUNCTION("""COMPUTED_VALUE"""),"Canguçu")</f>
        <v>Canguçu</v>
      </c>
      <c r="E80" s="145" t="str">
        <f>IFERROR(__xludf.DUMMYFUNCTION("""COMPUTED_VALUE"""),"Militar")</f>
        <v>Militar</v>
      </c>
      <c r="F80" s="145"/>
      <c r="G80" s="145"/>
      <c r="H80" s="145"/>
    </row>
    <row r="81" customHeight="1" spans="1:8">
      <c r="A81" s="1" t="str">
        <f>IFERROR(__xludf.DUMMYFUNCTION("""COMPUTED_VALUE"""),"Canoas")</f>
        <v>Canoas</v>
      </c>
      <c r="B81" s="144" t="str">
        <f>IFERROR(__xludf.DUMMYFUNCTION("""COMPUTED_VALUE"""),"1º CRBM")</f>
        <v>1º CRBM</v>
      </c>
      <c r="C81" s="1" t="str">
        <f>IFERROR(__xludf.DUMMYFUNCTION("""COMPUTED_VALUE"""),"8º BBM")</f>
        <v>8º BBM</v>
      </c>
      <c r="D81" s="1" t="str">
        <f>IFERROR(__xludf.DUMMYFUNCTION("""COMPUTED_VALUE"""),"Canoas")</f>
        <v>Canoas</v>
      </c>
      <c r="E81" s="145" t="str">
        <f>IFERROR(__xludf.DUMMYFUNCTION("""COMPUTED_VALUE"""),"Militar")</f>
        <v>Militar</v>
      </c>
      <c r="F81" s="145"/>
      <c r="G81" s="145"/>
      <c r="H81" s="145"/>
    </row>
    <row r="82" customHeight="1" spans="1:8">
      <c r="A82" s="1" t="str">
        <f>IFERROR(__xludf.DUMMYFUNCTION("""COMPUTED_VALUE"""),"Canudos do Vale")</f>
        <v>Canudos do Vale</v>
      </c>
      <c r="B82" s="144" t="str">
        <f>IFERROR(__xludf.DUMMYFUNCTION("""COMPUTED_VALUE"""),"4º CRBM")</f>
        <v>4º CRBM</v>
      </c>
      <c r="C82" s="1" t="str">
        <f>IFERROR(__xludf.DUMMYFUNCTION("""COMPUTED_VALUE"""),"6º BBM")</f>
        <v>6º BBM</v>
      </c>
      <c r="D82" s="1" t="str">
        <f>IFERROR(__xludf.DUMMYFUNCTION("""COMPUTED_VALUE"""),"Lajeado")</f>
        <v>Lajeado</v>
      </c>
      <c r="E82" s="145" t="str">
        <f>IFERROR(__xludf.DUMMYFUNCTION("""COMPUTED_VALUE"""),"NPBM")</f>
        <v>NPBM</v>
      </c>
      <c r="F82" s="145"/>
      <c r="G82" s="145"/>
      <c r="H82" s="145"/>
    </row>
    <row r="83" customHeight="1" spans="1:8">
      <c r="A83" s="1" t="str">
        <f>IFERROR(__xludf.DUMMYFUNCTION("""COMPUTED_VALUE"""),"Capão Bonito do Sul")</f>
        <v>Capão Bonito do Sul</v>
      </c>
      <c r="B83" s="144" t="str">
        <f>IFERROR(__xludf.DUMMYFUNCTION("""COMPUTED_VALUE"""),"2º CRBM")</f>
        <v>2º CRBM</v>
      </c>
      <c r="C83" s="1" t="str">
        <f>IFERROR(__xludf.DUMMYFUNCTION("""COMPUTED_VALUE"""),"5º BBM")</f>
        <v>5º BBM</v>
      </c>
      <c r="D83" s="1" t="str">
        <f>IFERROR(__xludf.DUMMYFUNCTION("""COMPUTED_VALUE"""),"Lagoa Vermelha")</f>
        <v>Lagoa Vermelha</v>
      </c>
      <c r="E83" s="145" t="str">
        <f>IFERROR(__xludf.DUMMYFUNCTION("""COMPUTED_VALUE"""),"NPBM")</f>
        <v>NPBM</v>
      </c>
      <c r="F83" s="145"/>
      <c r="G83" s="145"/>
      <c r="H83" s="145"/>
    </row>
    <row r="84" customHeight="1" spans="1:8">
      <c r="A84" s="1" t="str">
        <f>IFERROR(__xludf.DUMMYFUNCTION("""COMPUTED_VALUE"""),"Capão da Canoa")</f>
        <v>Capão da Canoa</v>
      </c>
      <c r="B84" s="144" t="str">
        <f>IFERROR(__xludf.DUMMYFUNCTION("""COMPUTED_VALUE"""),"1º CRBM")</f>
        <v>1º CRBM</v>
      </c>
      <c r="C84" s="1" t="str">
        <f>IFERROR(__xludf.DUMMYFUNCTION("""COMPUTED_VALUE"""),"9º BBM")</f>
        <v>9º BBM</v>
      </c>
      <c r="D84" s="1" t="str">
        <f>IFERROR(__xludf.DUMMYFUNCTION("""COMPUTED_VALUE"""),"Capão da Canoa")</f>
        <v>Capão da Canoa</v>
      </c>
      <c r="E84" s="145" t="str">
        <f>IFERROR(__xludf.DUMMYFUNCTION("""COMPUTED_VALUE"""),"Militar")</f>
        <v>Militar</v>
      </c>
      <c r="F84" s="145"/>
      <c r="G84" s="145"/>
      <c r="H84" s="145"/>
    </row>
    <row r="85" customHeight="1" spans="1:8">
      <c r="A85" s="1" t="str">
        <f>IFERROR(__xludf.DUMMYFUNCTION("""COMPUTED_VALUE"""),"Capão do Cipó")</f>
        <v>Capão do Cipó</v>
      </c>
      <c r="B85" s="144" t="str">
        <f>IFERROR(__xludf.DUMMYFUNCTION("""COMPUTED_VALUE"""),"3º CRBM")</f>
        <v>3º CRBM</v>
      </c>
      <c r="C85" s="1" t="str">
        <f>IFERROR(__xludf.DUMMYFUNCTION("""COMPUTED_VALUE"""),"13º BBM")</f>
        <v>13º BBM</v>
      </c>
      <c r="D85" s="1" t="str">
        <f>IFERROR(__xludf.DUMMYFUNCTION("""COMPUTED_VALUE"""),"Santiago")</f>
        <v>Santiago</v>
      </c>
      <c r="E85" s="145" t="str">
        <f>IFERROR(__xludf.DUMMYFUNCTION("""COMPUTED_VALUE"""),"NPBM")</f>
        <v>NPBM</v>
      </c>
      <c r="F85" s="145"/>
      <c r="G85" s="145"/>
      <c r="H85" s="145"/>
    </row>
    <row r="86" customHeight="1" spans="1:8">
      <c r="A86" s="1" t="str">
        <f>IFERROR(__xludf.DUMMYFUNCTION("""COMPUTED_VALUE"""),"Capão do Leão")</f>
        <v>Capão do Leão</v>
      </c>
      <c r="B86" s="144" t="str">
        <f>IFERROR(__xludf.DUMMYFUNCTION("""COMPUTED_VALUE"""),"3º CRBM")</f>
        <v>3º CRBM</v>
      </c>
      <c r="C86" s="1" t="str">
        <f>IFERROR(__xludf.DUMMYFUNCTION("""COMPUTED_VALUE"""),"3º BBM")</f>
        <v>3º BBM</v>
      </c>
      <c r="D86" s="1" t="str">
        <f>IFERROR(__xludf.DUMMYFUNCTION("""COMPUTED_VALUE"""),"Pelotas")</f>
        <v>Pelotas</v>
      </c>
      <c r="E86" s="145" t="str">
        <f>IFERROR(__xludf.DUMMYFUNCTION("""COMPUTED_VALUE"""),"Voluntersul")</f>
        <v>Voluntersul</v>
      </c>
      <c r="F86" s="145"/>
      <c r="G86" s="145"/>
      <c r="H86" s="145"/>
    </row>
    <row r="87" customHeight="1" spans="1:8">
      <c r="A87" s="1" t="str">
        <f>IFERROR(__xludf.DUMMYFUNCTION("""COMPUTED_VALUE"""),"Capela de Santana")</f>
        <v>Capela de Santana</v>
      </c>
      <c r="B87" s="144" t="str">
        <f>IFERROR(__xludf.DUMMYFUNCTION("""COMPUTED_VALUE"""),"2º CRBM")</f>
        <v>2º CRBM</v>
      </c>
      <c r="C87" s="1" t="str">
        <f>IFERROR(__xludf.DUMMYFUNCTION("""COMPUTED_VALUE"""),"2º BBM")</f>
        <v>2º BBM</v>
      </c>
      <c r="D87" s="1" t="str">
        <f>IFERROR(__xludf.DUMMYFUNCTION("""COMPUTED_VALUE"""),"Portão")</f>
        <v>Portão</v>
      </c>
      <c r="E87" s="145" t="str">
        <f>IFERROR(__xludf.DUMMYFUNCTION("""COMPUTED_VALUE"""),"NPBM")</f>
        <v>NPBM</v>
      </c>
      <c r="F87" s="145"/>
      <c r="G87" s="145"/>
      <c r="H87" s="145"/>
    </row>
    <row r="88" customHeight="1" spans="1:8">
      <c r="A88" s="1" t="str">
        <f>IFERROR(__xludf.DUMMYFUNCTION("""COMPUTED_VALUE"""),"Capitão")</f>
        <v>Capitão</v>
      </c>
      <c r="B88" s="144" t="str">
        <f>IFERROR(__xludf.DUMMYFUNCTION("""COMPUTED_VALUE"""),"4º CRBM")</f>
        <v>4º CRBM</v>
      </c>
      <c r="C88" s="1" t="str">
        <f>IFERROR(__xludf.DUMMYFUNCTION("""COMPUTED_VALUE"""),"6º BBM")</f>
        <v>6º BBM</v>
      </c>
      <c r="D88" s="1" t="str">
        <f>IFERROR(__xludf.DUMMYFUNCTION("""COMPUTED_VALUE"""),"Encantado")</f>
        <v>Encantado</v>
      </c>
      <c r="E88" s="145" t="str">
        <f>IFERROR(__xludf.DUMMYFUNCTION("""COMPUTED_VALUE"""),"NPBM")</f>
        <v>NPBM</v>
      </c>
      <c r="F88" s="145"/>
      <c r="G88" s="145"/>
      <c r="H88" s="145"/>
    </row>
    <row r="89" customHeight="1" spans="1:8">
      <c r="A89" s="1" t="str">
        <f>IFERROR(__xludf.DUMMYFUNCTION("""COMPUTED_VALUE"""),"Capivari do Sul")</f>
        <v>Capivari do Sul</v>
      </c>
      <c r="B89" s="144" t="str">
        <f>IFERROR(__xludf.DUMMYFUNCTION("""COMPUTED_VALUE"""),"1º CRBM")</f>
        <v>1º CRBM</v>
      </c>
      <c r="C89" s="1" t="str">
        <f>IFERROR(__xludf.DUMMYFUNCTION("""COMPUTED_VALUE"""),"9º BBM")</f>
        <v>9º BBM</v>
      </c>
      <c r="D89" s="1" t="str">
        <f>IFERROR(__xludf.DUMMYFUNCTION("""COMPUTED_VALUE"""),"Cidreira")</f>
        <v>Cidreira</v>
      </c>
      <c r="E89" s="145" t="str">
        <f>IFERROR(__xludf.DUMMYFUNCTION("""COMPUTED_VALUE"""),"NPBM")</f>
        <v>NPBM</v>
      </c>
      <c r="F89" s="145"/>
      <c r="G89" s="145"/>
      <c r="H89" s="145"/>
    </row>
    <row r="90" customHeight="1" spans="1:8">
      <c r="A90" s="1" t="str">
        <f>IFERROR(__xludf.DUMMYFUNCTION("""COMPUTED_VALUE"""),"Caraá")</f>
        <v>Caraá</v>
      </c>
      <c r="B90" s="144" t="str">
        <f>IFERROR(__xludf.DUMMYFUNCTION("""COMPUTED_VALUE"""),"1º CRBM")</f>
        <v>1º CRBM</v>
      </c>
      <c r="C90" s="1" t="str">
        <f>IFERROR(__xludf.DUMMYFUNCTION("""COMPUTED_VALUE"""),"9º BBM")</f>
        <v>9º BBM</v>
      </c>
      <c r="D90" s="1" t="str">
        <f>IFERROR(__xludf.DUMMYFUNCTION("""COMPUTED_VALUE"""),"Santo Antônio da Patrulha")</f>
        <v>Santo Antônio da Patrulha</v>
      </c>
      <c r="E90" s="145" t="str">
        <f>IFERROR(__xludf.DUMMYFUNCTION("""COMPUTED_VALUE"""),"Voluntersul")</f>
        <v>Voluntersul</v>
      </c>
      <c r="F90" s="145"/>
      <c r="G90" s="145"/>
      <c r="H90" s="145"/>
    </row>
    <row r="91" customHeight="1" spans="1:8">
      <c r="A91" s="1" t="str">
        <f>IFERROR(__xludf.DUMMYFUNCTION("""COMPUTED_VALUE"""),"Carazinho")</f>
        <v>Carazinho</v>
      </c>
      <c r="B91" s="144" t="str">
        <f>IFERROR(__xludf.DUMMYFUNCTION("""COMPUTED_VALUE"""),"2º CRBM")</f>
        <v>2º CRBM</v>
      </c>
      <c r="C91" s="1" t="str">
        <f>IFERROR(__xludf.DUMMYFUNCTION("""COMPUTED_VALUE"""),"7º BBM")</f>
        <v>7º BBM</v>
      </c>
      <c r="D91" s="1" t="str">
        <f>IFERROR(__xludf.DUMMYFUNCTION("""COMPUTED_VALUE"""),"Carazinho")</f>
        <v>Carazinho</v>
      </c>
      <c r="E91" s="145" t="str">
        <f>IFERROR(__xludf.DUMMYFUNCTION("""COMPUTED_VALUE"""),"Militar")</f>
        <v>Militar</v>
      </c>
      <c r="F91" s="145"/>
      <c r="G91" s="145"/>
      <c r="H91" s="145"/>
    </row>
    <row r="92" customHeight="1" spans="1:8">
      <c r="A92" s="1" t="str">
        <f>IFERROR(__xludf.DUMMYFUNCTION("""COMPUTED_VALUE"""),"Carlos Barbosa")</f>
        <v>Carlos Barbosa</v>
      </c>
      <c r="B92" s="144" t="str">
        <f>IFERROR(__xludf.DUMMYFUNCTION("""COMPUTED_VALUE"""),"2º CRBM")</f>
        <v>2º CRBM</v>
      </c>
      <c r="C92" s="1" t="str">
        <f>IFERROR(__xludf.DUMMYFUNCTION("""COMPUTED_VALUE"""),"5º BBM")</f>
        <v>5º BBM</v>
      </c>
      <c r="D92" s="1" t="str">
        <f>IFERROR(__xludf.DUMMYFUNCTION("""COMPUTED_VALUE"""),"Bento Gonçalves")</f>
        <v>Bento Gonçalves</v>
      </c>
      <c r="E92" s="145" t="str">
        <f>IFERROR(__xludf.DUMMYFUNCTION("""COMPUTED_VALUE"""),"Voluntersul")</f>
        <v>Voluntersul</v>
      </c>
      <c r="F92" s="145"/>
      <c r="G92" s="145"/>
      <c r="H92" s="145"/>
    </row>
    <row r="93" customHeight="1" spans="1:8">
      <c r="A93" s="1" t="str">
        <f>IFERROR(__xludf.DUMMYFUNCTION("""COMPUTED_VALUE"""),"Carlos Gomes")</f>
        <v>Carlos Gomes</v>
      </c>
      <c r="B93" s="144" t="str">
        <f>IFERROR(__xludf.DUMMYFUNCTION("""COMPUTED_VALUE"""),"2º CRBM")</f>
        <v>2º CRBM</v>
      </c>
      <c r="C93" s="1" t="str">
        <f>IFERROR(__xludf.DUMMYFUNCTION("""COMPUTED_VALUE"""),"7º BBM")</f>
        <v>7º BBM</v>
      </c>
      <c r="D93" s="1" t="str">
        <f>IFERROR(__xludf.DUMMYFUNCTION("""COMPUTED_VALUE"""),"Getúlio Vargas")</f>
        <v>Getúlio Vargas</v>
      </c>
      <c r="E93" s="145" t="str">
        <f>IFERROR(__xludf.DUMMYFUNCTION("""COMPUTED_VALUE"""),"NPBM")</f>
        <v>NPBM</v>
      </c>
      <c r="F93" s="145"/>
      <c r="G93" s="145"/>
      <c r="H93" s="145"/>
    </row>
    <row r="94" customHeight="1" spans="1:8">
      <c r="A94" s="1" t="str">
        <f>IFERROR(__xludf.DUMMYFUNCTION("""COMPUTED_VALUE"""),"Casca")</f>
        <v>Casca</v>
      </c>
      <c r="B94" s="144" t="str">
        <f>IFERROR(__xludf.DUMMYFUNCTION("""COMPUTED_VALUE"""),"2º CRBM")</f>
        <v>2º CRBM</v>
      </c>
      <c r="C94" s="1" t="str">
        <f>IFERROR(__xludf.DUMMYFUNCTION("""COMPUTED_VALUE"""),"7º BBM")</f>
        <v>7º BBM</v>
      </c>
      <c r="D94" s="1" t="str">
        <f>IFERROR(__xludf.DUMMYFUNCTION("""COMPUTED_VALUE"""),"Guaporé")</f>
        <v>Guaporé</v>
      </c>
      <c r="E94" s="145" t="str">
        <f>IFERROR(__xludf.DUMMYFUNCTION("""COMPUTED_VALUE"""),"SCAB")</f>
        <v>SCAB</v>
      </c>
      <c r="F94" s="145"/>
      <c r="G94" s="145"/>
      <c r="H94" s="145"/>
    </row>
    <row r="95" customHeight="1" spans="1:8">
      <c r="A95" s="1" t="str">
        <f>IFERROR(__xludf.DUMMYFUNCTION("""COMPUTED_VALUE"""),"Caseiros")</f>
        <v>Caseiros</v>
      </c>
      <c r="B95" s="144" t="str">
        <f>IFERROR(__xludf.DUMMYFUNCTION("""COMPUTED_VALUE"""),"2º CRBM")</f>
        <v>2º CRBM</v>
      </c>
      <c r="C95" s="1" t="str">
        <f>IFERROR(__xludf.DUMMYFUNCTION("""COMPUTED_VALUE"""),"5º BBM")</f>
        <v>5º BBM</v>
      </c>
      <c r="D95" s="1" t="str">
        <f>IFERROR(__xludf.DUMMYFUNCTION("""COMPUTED_VALUE"""),"Lagoa Vermelha")</f>
        <v>Lagoa Vermelha</v>
      </c>
      <c r="E95" s="145" t="str">
        <f>IFERROR(__xludf.DUMMYFUNCTION("""COMPUTED_VALUE"""),"NPBM")</f>
        <v>NPBM</v>
      </c>
      <c r="F95" s="145"/>
      <c r="G95" s="145"/>
      <c r="H95" s="145"/>
    </row>
    <row r="96" customHeight="1" spans="1:8">
      <c r="A96" s="1" t="str">
        <f>IFERROR(__xludf.DUMMYFUNCTION("""COMPUTED_VALUE"""),"Catuípe")</f>
        <v>Catuípe</v>
      </c>
      <c r="B96" s="144" t="str">
        <f>IFERROR(__xludf.DUMMYFUNCTION("""COMPUTED_VALUE"""),"4º CRBM")</f>
        <v>4º CRBM</v>
      </c>
      <c r="C96" s="1" t="str">
        <f>IFERROR(__xludf.DUMMYFUNCTION("""COMPUTED_VALUE"""),"12º BBM")</f>
        <v>12º BBM</v>
      </c>
      <c r="D96" s="1" t="str">
        <f>IFERROR(__xludf.DUMMYFUNCTION("""COMPUTED_VALUE"""),"Ijuí")</f>
        <v>Ijuí</v>
      </c>
      <c r="E96" s="145" t="str">
        <f>IFERROR(__xludf.DUMMYFUNCTION("""COMPUTED_VALUE"""),"NPBM")</f>
        <v>NPBM</v>
      </c>
      <c r="F96" s="145"/>
      <c r="G96" s="145"/>
      <c r="H96" s="145"/>
    </row>
    <row r="97" customHeight="1" spans="1:8">
      <c r="A97" s="1" t="str">
        <f>IFERROR(__xludf.DUMMYFUNCTION("""COMPUTED_VALUE"""),"Caxias do Sul")</f>
        <v>Caxias do Sul</v>
      </c>
      <c r="B97" s="144" t="str">
        <f>IFERROR(__xludf.DUMMYFUNCTION("""COMPUTED_VALUE"""),"2º CRBM")</f>
        <v>2º CRBM</v>
      </c>
      <c r="C97" s="1" t="str">
        <f>IFERROR(__xludf.DUMMYFUNCTION("""COMPUTED_VALUE"""),"5º BBM")</f>
        <v>5º BBM</v>
      </c>
      <c r="D97" s="1" t="str">
        <f>IFERROR(__xludf.DUMMYFUNCTION("""COMPUTED_VALUE"""),"Caxias do Sul")</f>
        <v>Caxias do Sul</v>
      </c>
      <c r="E97" s="145" t="str">
        <f>IFERROR(__xludf.DUMMYFUNCTION("""COMPUTED_VALUE"""),"Militar")</f>
        <v>Militar</v>
      </c>
      <c r="F97" s="145"/>
      <c r="G97" s="145"/>
      <c r="H97" s="145"/>
    </row>
    <row r="98" customHeight="1" spans="1:8">
      <c r="A98" s="1" t="str">
        <f>IFERROR(__xludf.DUMMYFUNCTION("""COMPUTED_VALUE"""),"Centenário")</f>
        <v>Centenário</v>
      </c>
      <c r="B98" s="144" t="str">
        <f>IFERROR(__xludf.DUMMYFUNCTION("""COMPUTED_VALUE"""),"2º CRBM")</f>
        <v>2º CRBM</v>
      </c>
      <c r="C98" s="1" t="str">
        <f>IFERROR(__xludf.DUMMYFUNCTION("""COMPUTED_VALUE"""),"7º BBM")</f>
        <v>7º BBM</v>
      </c>
      <c r="D98" s="1" t="str">
        <f>IFERROR(__xludf.DUMMYFUNCTION("""COMPUTED_VALUE"""),"Getúlio Vargas")</f>
        <v>Getúlio Vargas</v>
      </c>
      <c r="E98" s="145" t="str">
        <f>IFERROR(__xludf.DUMMYFUNCTION("""COMPUTED_VALUE"""),"NPBM")</f>
        <v>NPBM</v>
      </c>
      <c r="F98" s="145"/>
      <c r="G98" s="145"/>
      <c r="H98" s="145"/>
    </row>
    <row r="99" customHeight="1" spans="1:8">
      <c r="A99" s="1" t="str">
        <f>IFERROR(__xludf.DUMMYFUNCTION("""COMPUTED_VALUE"""),"Cerrito")</f>
        <v>Cerrito</v>
      </c>
      <c r="B99" s="144" t="str">
        <f>IFERROR(__xludf.DUMMYFUNCTION("""COMPUTED_VALUE"""),"3º CRBM")</f>
        <v>3º CRBM</v>
      </c>
      <c r="C99" s="1" t="str">
        <f>IFERROR(__xludf.DUMMYFUNCTION("""COMPUTED_VALUE"""),"3º BBM")</f>
        <v>3º BBM</v>
      </c>
      <c r="D99" s="1" t="str">
        <f>IFERROR(__xludf.DUMMYFUNCTION("""COMPUTED_VALUE"""),"Pelotas")</f>
        <v>Pelotas</v>
      </c>
      <c r="E99" s="145" t="str">
        <f>IFERROR(__xludf.DUMMYFUNCTION("""COMPUTED_VALUE"""),"NPBM")</f>
        <v>NPBM</v>
      </c>
      <c r="F99" s="145"/>
      <c r="G99" s="145"/>
      <c r="H99" s="145"/>
    </row>
    <row r="100" customHeight="1" spans="1:8">
      <c r="A100" s="1" t="str">
        <f>IFERROR(__xludf.DUMMYFUNCTION("""COMPUTED_VALUE"""),"Cerro Branco")</f>
        <v>Cerro Branco</v>
      </c>
      <c r="B100" s="144" t="str">
        <f>IFERROR(__xludf.DUMMYFUNCTION("""COMPUTED_VALUE"""),"4º CRBM")</f>
        <v>4º CRBM</v>
      </c>
      <c r="C100" s="1" t="str">
        <f>IFERROR(__xludf.DUMMYFUNCTION("""COMPUTED_VALUE"""),"4º BBM")</f>
        <v>4º BBM</v>
      </c>
      <c r="D100" s="1" t="str">
        <f>IFERROR(__xludf.DUMMYFUNCTION("""COMPUTED_VALUE"""),"Cachoeira do Sul")</f>
        <v>Cachoeira do Sul</v>
      </c>
      <c r="E100" s="145" t="str">
        <f>IFERROR(__xludf.DUMMYFUNCTION("""COMPUTED_VALUE"""),"NPBM")</f>
        <v>NPBM</v>
      </c>
      <c r="F100" s="145"/>
      <c r="G100" s="145"/>
      <c r="H100" s="145"/>
    </row>
    <row r="101" customHeight="1" spans="1:8">
      <c r="A101" s="1" t="str">
        <f>IFERROR(__xludf.DUMMYFUNCTION("""COMPUTED_VALUE"""),"Cerro Grande")</f>
        <v>Cerro Grande</v>
      </c>
      <c r="B101" s="144" t="str">
        <f>IFERROR(__xludf.DUMMYFUNCTION("""COMPUTED_VALUE"""),"4º CRBM")</f>
        <v>4º CRBM</v>
      </c>
      <c r="C101" s="1" t="str">
        <f>IFERROR(__xludf.DUMMYFUNCTION("""COMPUTED_VALUE"""),"12º BBM")</f>
        <v>12º BBM</v>
      </c>
      <c r="D101" s="1" t="str">
        <f>IFERROR(__xludf.DUMMYFUNCTION("""COMPUTED_VALUE"""),"Palmeira das Missões")</f>
        <v>Palmeira das Missões</v>
      </c>
      <c r="E101" s="145" t="str">
        <f>IFERROR(__xludf.DUMMYFUNCTION("""COMPUTED_VALUE"""),"NPBM")</f>
        <v>NPBM</v>
      </c>
      <c r="F101" s="145"/>
      <c r="G101" s="145"/>
      <c r="H101" s="145"/>
    </row>
    <row r="102" customHeight="1" spans="1:8">
      <c r="A102" s="1" t="str">
        <f>IFERROR(__xludf.DUMMYFUNCTION("""COMPUTED_VALUE"""),"Cerro Grande do Sul")</f>
        <v>Cerro Grande do Sul</v>
      </c>
      <c r="B102" s="144" t="str">
        <f>IFERROR(__xludf.DUMMYFUNCTION("""COMPUTED_VALUE"""),"4º CRBM")</f>
        <v>4º CRBM</v>
      </c>
      <c r="C102" s="1" t="str">
        <f>IFERROR(__xludf.DUMMYFUNCTION("""COMPUTED_VALUE"""),"6º BBM")</f>
        <v>6º BBM</v>
      </c>
      <c r="D102" s="1" t="str">
        <f>IFERROR(__xludf.DUMMYFUNCTION("""COMPUTED_VALUE"""),"Camaquã")</f>
        <v>Camaquã</v>
      </c>
      <c r="E102" s="145" t="str">
        <f>IFERROR(__xludf.DUMMYFUNCTION("""COMPUTED_VALUE"""),"NPBM")</f>
        <v>NPBM</v>
      </c>
      <c r="F102" s="145"/>
      <c r="G102" s="145"/>
      <c r="H102" s="145"/>
    </row>
    <row r="103" customHeight="1" spans="1:8">
      <c r="A103" s="1" t="str">
        <f>IFERROR(__xludf.DUMMYFUNCTION("""COMPUTED_VALUE"""),"Cerro Largo")</f>
        <v>Cerro Largo</v>
      </c>
      <c r="B103" s="144" t="str">
        <f>IFERROR(__xludf.DUMMYFUNCTION("""COMPUTED_VALUE"""),"4º CRBM")</f>
        <v>4º CRBM</v>
      </c>
      <c r="C103" s="1" t="str">
        <f>IFERROR(__xludf.DUMMYFUNCTION("""COMPUTED_VALUE"""),"11º BBM")</f>
        <v>11º BBM</v>
      </c>
      <c r="D103" s="1" t="str">
        <f>IFERROR(__xludf.DUMMYFUNCTION("""COMPUTED_VALUE"""),"Santo Ângelo")</f>
        <v>Santo Ângelo</v>
      </c>
      <c r="E103" s="145" t="str">
        <f>IFERROR(__xludf.DUMMYFUNCTION("""COMPUTED_VALUE"""),"SCAB")</f>
        <v>SCAB</v>
      </c>
      <c r="F103" s="145"/>
      <c r="G103" s="145"/>
      <c r="H103" s="145"/>
    </row>
    <row r="104" customHeight="1" spans="1:8">
      <c r="A104" s="1" t="str">
        <f>IFERROR(__xludf.DUMMYFUNCTION("""COMPUTED_VALUE"""),"Chapada")</f>
        <v>Chapada</v>
      </c>
      <c r="B104" s="144" t="str">
        <f>IFERROR(__xludf.DUMMYFUNCTION("""COMPUTED_VALUE"""),"2º CRBM")</f>
        <v>2º CRBM</v>
      </c>
      <c r="C104" s="1" t="str">
        <f>IFERROR(__xludf.DUMMYFUNCTION("""COMPUTED_VALUE"""),"7º BBM")</f>
        <v>7º BBM</v>
      </c>
      <c r="D104" s="1" t="str">
        <f>IFERROR(__xludf.DUMMYFUNCTION("""COMPUTED_VALUE"""),"Carazinho")</f>
        <v>Carazinho</v>
      </c>
      <c r="E104" s="145" t="str">
        <f>IFERROR(__xludf.DUMMYFUNCTION("""COMPUTED_VALUE"""),"NPBM")</f>
        <v>NPBM</v>
      </c>
      <c r="F104" s="145"/>
      <c r="G104" s="145"/>
      <c r="H104" s="145"/>
    </row>
    <row r="105" customHeight="1" spans="1:8">
      <c r="A105" s="1" t="str">
        <f>IFERROR(__xludf.DUMMYFUNCTION("""COMPUTED_VALUE"""),"Charqueadas")</f>
        <v>Charqueadas</v>
      </c>
      <c r="B105" s="144" t="str">
        <f>IFERROR(__xludf.DUMMYFUNCTION("""COMPUTED_VALUE"""),"4º CRBM")</f>
        <v>4º CRBM</v>
      </c>
      <c r="C105" s="1" t="str">
        <f>IFERROR(__xludf.DUMMYFUNCTION("""COMPUTED_VALUE"""),"6º BBM")</f>
        <v>6º BBM</v>
      </c>
      <c r="D105" s="1" t="str">
        <f>IFERROR(__xludf.DUMMYFUNCTION("""COMPUTED_VALUE"""),"São Jerônimo")</f>
        <v>São Jerônimo</v>
      </c>
      <c r="E105" s="145" t="str">
        <f>IFERROR(__xludf.DUMMYFUNCTION("""COMPUTED_VALUE"""),"Voluntersul")</f>
        <v>Voluntersul</v>
      </c>
      <c r="F105" s="145"/>
      <c r="G105" s="145"/>
      <c r="H105" s="145"/>
    </row>
    <row r="106" customHeight="1" spans="1:8">
      <c r="A106" s="1" t="str">
        <f>IFERROR(__xludf.DUMMYFUNCTION("""COMPUTED_VALUE"""),"Charrua")</f>
        <v>Charrua</v>
      </c>
      <c r="B106" s="144" t="str">
        <f>IFERROR(__xludf.DUMMYFUNCTION("""COMPUTED_VALUE"""),"2º CRBM")</f>
        <v>2º CRBM</v>
      </c>
      <c r="C106" s="1" t="str">
        <f>IFERROR(__xludf.DUMMYFUNCTION("""COMPUTED_VALUE"""),"7º BBM")</f>
        <v>7º BBM</v>
      </c>
      <c r="D106" s="1" t="str">
        <f>IFERROR(__xludf.DUMMYFUNCTION("""COMPUTED_VALUE"""),"Getúlio Vargas")</f>
        <v>Getúlio Vargas</v>
      </c>
      <c r="E106" s="145" t="str">
        <f>IFERROR(__xludf.DUMMYFUNCTION("""COMPUTED_VALUE"""),"NPBM")</f>
        <v>NPBM</v>
      </c>
      <c r="F106" s="145"/>
      <c r="G106" s="145"/>
      <c r="H106" s="145"/>
    </row>
    <row r="107" customHeight="1" spans="1:8">
      <c r="A107" s="1" t="str">
        <f>IFERROR(__xludf.DUMMYFUNCTION("""COMPUTED_VALUE"""),"Chiapetta")</f>
        <v>Chiapetta</v>
      </c>
      <c r="B107" s="144" t="str">
        <f>IFERROR(__xludf.DUMMYFUNCTION("""COMPUTED_VALUE"""),"4º CRBM")</f>
        <v>4º CRBM</v>
      </c>
      <c r="C107" s="1" t="str">
        <f>IFERROR(__xludf.DUMMYFUNCTION("""COMPUTED_VALUE"""),"12º BBM")</f>
        <v>12º BBM</v>
      </c>
      <c r="D107" s="1" t="str">
        <f>IFERROR(__xludf.DUMMYFUNCTION("""COMPUTED_VALUE"""),"Ijuí")</f>
        <v>Ijuí</v>
      </c>
      <c r="E107" s="145" t="str">
        <f>IFERROR(__xludf.DUMMYFUNCTION("""COMPUTED_VALUE"""),"SCAB")</f>
        <v>SCAB</v>
      </c>
      <c r="F107" s="145"/>
      <c r="G107" s="145"/>
      <c r="H107" s="145"/>
    </row>
    <row r="108" customHeight="1" spans="1:8">
      <c r="A108" s="1" t="str">
        <f>IFERROR(__xludf.DUMMYFUNCTION("""COMPUTED_VALUE"""),"Chuí")</f>
        <v>Chuí</v>
      </c>
      <c r="B108" s="144" t="str">
        <f>IFERROR(__xludf.DUMMYFUNCTION("""COMPUTED_VALUE"""),"3º CRBM")</f>
        <v>3º CRBM</v>
      </c>
      <c r="C108" s="1" t="str">
        <f>IFERROR(__xludf.DUMMYFUNCTION("""COMPUTED_VALUE"""),"3º BBM")</f>
        <v>3º BBM</v>
      </c>
      <c r="D108" s="1" t="str">
        <f>IFERROR(__xludf.DUMMYFUNCTION("""COMPUTED_VALUE"""),"Santa Vitória do Palmar")</f>
        <v>Santa Vitória do Palmar</v>
      </c>
      <c r="E108" s="145" t="str">
        <f>IFERROR(__xludf.DUMMYFUNCTION("""COMPUTED_VALUE"""),"NPBM")</f>
        <v>NPBM</v>
      </c>
      <c r="F108" s="145"/>
      <c r="G108" s="145"/>
      <c r="H108" s="145"/>
    </row>
    <row r="109" customHeight="1" spans="1:8">
      <c r="A109" s="1" t="str">
        <f>IFERROR(__xludf.DUMMYFUNCTION("""COMPUTED_VALUE"""),"Chuvisca")</f>
        <v>Chuvisca</v>
      </c>
      <c r="B109" s="144" t="str">
        <f>IFERROR(__xludf.DUMMYFUNCTION("""COMPUTED_VALUE"""),"4º CRBM")</f>
        <v>4º CRBM</v>
      </c>
      <c r="C109" s="1" t="str">
        <f>IFERROR(__xludf.DUMMYFUNCTION("""COMPUTED_VALUE"""),"6º BBM")</f>
        <v>6º BBM</v>
      </c>
      <c r="D109" s="1" t="str">
        <f>IFERROR(__xludf.DUMMYFUNCTION("""COMPUTED_VALUE"""),"Camaquã")</f>
        <v>Camaquã</v>
      </c>
      <c r="E109" s="145" t="str">
        <f>IFERROR(__xludf.DUMMYFUNCTION("""COMPUTED_VALUE"""),"NPBM")</f>
        <v>NPBM</v>
      </c>
      <c r="F109" s="145"/>
      <c r="G109" s="145"/>
      <c r="H109" s="145"/>
    </row>
    <row r="110" customHeight="1" spans="1:8">
      <c r="A110" s="1" t="str">
        <f>IFERROR(__xludf.DUMMYFUNCTION("""COMPUTED_VALUE"""),"Cidreira")</f>
        <v>Cidreira</v>
      </c>
      <c r="B110" s="144" t="str">
        <f>IFERROR(__xludf.DUMMYFUNCTION("""COMPUTED_VALUE"""),"1º CRBM")</f>
        <v>1º CRBM</v>
      </c>
      <c r="C110" s="1" t="str">
        <f>IFERROR(__xludf.DUMMYFUNCTION("""COMPUTED_VALUE"""),"9º BBM")</f>
        <v>9º BBM</v>
      </c>
      <c r="D110" s="1" t="str">
        <f>IFERROR(__xludf.DUMMYFUNCTION("""COMPUTED_VALUE"""),"Cidreira")</f>
        <v>Cidreira</v>
      </c>
      <c r="E110" s="145" t="str">
        <f>IFERROR(__xludf.DUMMYFUNCTION("""COMPUTED_VALUE"""),"Militar")</f>
        <v>Militar</v>
      </c>
      <c r="F110" s="145"/>
      <c r="G110" s="145"/>
      <c r="H110" s="145"/>
    </row>
    <row r="111" customHeight="1" spans="1:8">
      <c r="A111" s="1" t="str">
        <f>IFERROR(__xludf.DUMMYFUNCTION("""COMPUTED_VALUE"""),"Ciríaco")</f>
        <v>Ciríaco</v>
      </c>
      <c r="B111" s="144" t="str">
        <f>IFERROR(__xludf.DUMMYFUNCTION("""COMPUTED_VALUE"""),"2º CRBM")</f>
        <v>2º CRBM</v>
      </c>
      <c r="C111" s="1" t="str">
        <f>IFERROR(__xludf.DUMMYFUNCTION("""COMPUTED_VALUE"""),"7º BBM")</f>
        <v>7º BBM</v>
      </c>
      <c r="D111" s="1" t="str">
        <f>IFERROR(__xludf.DUMMYFUNCTION("""COMPUTED_VALUE"""),"Lagoa Vermelha")</f>
        <v>Lagoa Vermelha</v>
      </c>
      <c r="E111" s="145" t="str">
        <f>IFERROR(__xludf.DUMMYFUNCTION("""COMPUTED_VALUE"""),"NPBM")</f>
        <v>NPBM</v>
      </c>
      <c r="F111" s="145"/>
      <c r="G111" s="145"/>
      <c r="H111" s="145"/>
    </row>
    <row r="112" customHeight="1" spans="1:8">
      <c r="A112" s="1" t="str">
        <f>IFERROR(__xludf.DUMMYFUNCTION("""COMPUTED_VALUE"""),"Colinas")</f>
        <v>Colinas</v>
      </c>
      <c r="B112" s="144" t="str">
        <f>IFERROR(__xludf.DUMMYFUNCTION("""COMPUTED_VALUE"""),"4º CRBM")</f>
        <v>4º CRBM</v>
      </c>
      <c r="C112" s="1" t="str">
        <f>IFERROR(__xludf.DUMMYFUNCTION("""COMPUTED_VALUE"""),"6º BBM")</f>
        <v>6º BBM</v>
      </c>
      <c r="D112" s="1" t="str">
        <f>IFERROR(__xludf.DUMMYFUNCTION("""COMPUTED_VALUE"""),"Estrela")</f>
        <v>Estrela</v>
      </c>
      <c r="E112" s="145" t="str">
        <f>IFERROR(__xludf.DUMMYFUNCTION("""COMPUTED_VALUE"""),"Voluntersul")</f>
        <v>Voluntersul</v>
      </c>
      <c r="F112" s="145"/>
      <c r="G112" s="145"/>
      <c r="H112" s="145"/>
    </row>
    <row r="113" customHeight="1" spans="1:8">
      <c r="A113" s="1" t="str">
        <f>IFERROR(__xludf.DUMMYFUNCTION("""COMPUTED_VALUE"""),"Colorado")</f>
        <v>Colorado</v>
      </c>
      <c r="B113" s="144" t="str">
        <f>IFERROR(__xludf.DUMMYFUNCTION("""COMPUTED_VALUE"""),"2º CRBM")</f>
        <v>2º CRBM</v>
      </c>
      <c r="C113" s="1" t="str">
        <f>IFERROR(__xludf.DUMMYFUNCTION("""COMPUTED_VALUE"""),"7º BBM")</f>
        <v>7º BBM</v>
      </c>
      <c r="D113" s="1" t="str">
        <f>IFERROR(__xludf.DUMMYFUNCTION("""COMPUTED_VALUE"""),"Tapera")</f>
        <v>Tapera</v>
      </c>
      <c r="E113" s="145" t="str">
        <f>IFERROR(__xludf.DUMMYFUNCTION("""COMPUTED_VALUE"""),"NPBM")</f>
        <v>NPBM</v>
      </c>
      <c r="F113" s="145"/>
      <c r="G113" s="145"/>
      <c r="H113" s="145"/>
    </row>
    <row r="114" customHeight="1" spans="1:8">
      <c r="A114" s="1" t="str">
        <f>IFERROR(__xludf.DUMMYFUNCTION("""COMPUTED_VALUE"""),"Condor")</f>
        <v>Condor</v>
      </c>
      <c r="B114" s="144" t="str">
        <f>IFERROR(__xludf.DUMMYFUNCTION("""COMPUTED_VALUE"""),"4º CRBM")</f>
        <v>4º CRBM</v>
      </c>
      <c r="C114" s="1" t="str">
        <f>IFERROR(__xludf.DUMMYFUNCTION("""COMPUTED_VALUE"""),"12º BBM")</f>
        <v>12º BBM</v>
      </c>
      <c r="D114" s="1" t="str">
        <f>IFERROR(__xludf.DUMMYFUNCTION("""COMPUTED_VALUE"""),"Panambi")</f>
        <v>Panambi</v>
      </c>
      <c r="E114" s="145" t="str">
        <f>IFERROR(__xludf.DUMMYFUNCTION("""COMPUTED_VALUE"""),"NPBM")</f>
        <v>NPBM</v>
      </c>
      <c r="F114" s="145"/>
      <c r="G114" s="145"/>
      <c r="H114" s="145"/>
    </row>
    <row r="115" customHeight="1" spans="1:8">
      <c r="A115" s="1" t="str">
        <f>IFERROR(__xludf.DUMMYFUNCTION("""COMPUTED_VALUE"""),"Constantina")</f>
        <v>Constantina</v>
      </c>
      <c r="B115" s="144" t="str">
        <f>IFERROR(__xludf.DUMMYFUNCTION("""COMPUTED_VALUE"""),"2º CRBM")</f>
        <v>2º CRBM</v>
      </c>
      <c r="C115" s="1" t="str">
        <f>IFERROR(__xludf.DUMMYFUNCTION("""COMPUTED_VALUE"""),"7º BBM")</f>
        <v>7º BBM</v>
      </c>
      <c r="D115" s="1" t="str">
        <f>IFERROR(__xludf.DUMMYFUNCTION("""COMPUTED_VALUE"""),"Sarandi")</f>
        <v>Sarandi</v>
      </c>
      <c r="E115" s="145" t="str">
        <f>IFERROR(__xludf.DUMMYFUNCTION("""COMPUTED_VALUE"""),"SCAB")</f>
        <v>SCAB</v>
      </c>
      <c r="F115" s="145"/>
      <c r="G115" s="145"/>
      <c r="H115" s="145"/>
    </row>
    <row r="116" customHeight="1" spans="1:8">
      <c r="A116" s="1" t="str">
        <f>IFERROR(__xludf.DUMMYFUNCTION("""COMPUTED_VALUE"""),"Coqueiro Baixo")</f>
        <v>Coqueiro Baixo</v>
      </c>
      <c r="B116" s="144" t="str">
        <f>IFERROR(__xludf.DUMMYFUNCTION("""COMPUTED_VALUE"""),"4º CRBM")</f>
        <v>4º CRBM</v>
      </c>
      <c r="C116" s="1" t="str">
        <f>IFERROR(__xludf.DUMMYFUNCTION("""COMPUTED_VALUE"""),"6º BBM")</f>
        <v>6º BBM</v>
      </c>
      <c r="D116" s="1" t="str">
        <f>IFERROR(__xludf.DUMMYFUNCTION("""COMPUTED_VALUE"""),"Encantado")</f>
        <v>Encantado</v>
      </c>
      <c r="E116" s="145" t="str">
        <f>IFERROR(__xludf.DUMMYFUNCTION("""COMPUTED_VALUE"""),"NPBM")</f>
        <v>NPBM</v>
      </c>
      <c r="F116" s="145"/>
      <c r="G116" s="145"/>
      <c r="H116" s="145"/>
    </row>
    <row r="117" customHeight="1" spans="1:8">
      <c r="A117" s="1" t="str">
        <f>IFERROR(__xludf.DUMMYFUNCTION("""COMPUTED_VALUE"""),"Coqueiros do Sul")</f>
        <v>Coqueiros do Sul</v>
      </c>
      <c r="B117" s="144" t="str">
        <f>IFERROR(__xludf.DUMMYFUNCTION("""COMPUTED_VALUE"""),"2º CRBM")</f>
        <v>2º CRBM</v>
      </c>
      <c r="C117" s="1" t="str">
        <f>IFERROR(__xludf.DUMMYFUNCTION("""COMPUTED_VALUE"""),"7º BBM")</f>
        <v>7º BBM</v>
      </c>
      <c r="D117" s="1" t="str">
        <f>IFERROR(__xludf.DUMMYFUNCTION("""COMPUTED_VALUE"""),"Carazinho")</f>
        <v>Carazinho</v>
      </c>
      <c r="E117" s="145" t="str">
        <f>IFERROR(__xludf.DUMMYFUNCTION("""COMPUTED_VALUE"""),"NPBM")</f>
        <v>NPBM</v>
      </c>
      <c r="F117" s="145"/>
      <c r="G117" s="145"/>
      <c r="H117" s="145"/>
    </row>
    <row r="118" customHeight="1" spans="1:8">
      <c r="A118" s="1" t="str">
        <f>IFERROR(__xludf.DUMMYFUNCTION("""COMPUTED_VALUE"""),"Coronel Barros")</f>
        <v>Coronel Barros</v>
      </c>
      <c r="B118" s="144" t="str">
        <f>IFERROR(__xludf.DUMMYFUNCTION("""COMPUTED_VALUE"""),"4º CRBM")</f>
        <v>4º CRBM</v>
      </c>
      <c r="C118" s="1" t="str">
        <f>IFERROR(__xludf.DUMMYFUNCTION("""COMPUTED_VALUE"""),"12º BBM")</f>
        <v>12º BBM</v>
      </c>
      <c r="D118" s="1" t="str">
        <f>IFERROR(__xludf.DUMMYFUNCTION("""COMPUTED_VALUE"""),"Ijuí")</f>
        <v>Ijuí</v>
      </c>
      <c r="E118" s="145" t="str">
        <f>IFERROR(__xludf.DUMMYFUNCTION("""COMPUTED_VALUE"""),"NPBM")</f>
        <v>NPBM</v>
      </c>
      <c r="F118" s="145"/>
      <c r="G118" s="145"/>
      <c r="H118" s="145"/>
    </row>
    <row r="119" customHeight="1" spans="1:8">
      <c r="A119" s="1" t="str">
        <f>IFERROR(__xludf.DUMMYFUNCTION("""COMPUTED_VALUE"""),"Coronel Bicaco")</f>
        <v>Coronel Bicaco</v>
      </c>
      <c r="B119" s="144" t="str">
        <f>IFERROR(__xludf.DUMMYFUNCTION("""COMPUTED_VALUE"""),"4º CRBM")</f>
        <v>4º CRBM</v>
      </c>
      <c r="C119" s="1" t="str">
        <f>IFERROR(__xludf.DUMMYFUNCTION("""COMPUTED_VALUE"""),"11º BBM")</f>
        <v>11º BBM</v>
      </c>
      <c r="D119" s="1" t="str">
        <f>IFERROR(__xludf.DUMMYFUNCTION("""COMPUTED_VALUE"""),"Três Passos")</f>
        <v>Três Passos</v>
      </c>
      <c r="E119" s="145" t="str">
        <f>IFERROR(__xludf.DUMMYFUNCTION("""COMPUTED_VALUE"""),"NPBM")</f>
        <v>NPBM</v>
      </c>
      <c r="F119" s="145"/>
      <c r="G119" s="145"/>
      <c r="H119" s="145"/>
    </row>
    <row r="120" customHeight="1" spans="1:8">
      <c r="A120" s="1" t="str">
        <f>IFERROR(__xludf.DUMMYFUNCTION("""COMPUTED_VALUE"""),"Coronel Pilar")</f>
        <v>Coronel Pilar</v>
      </c>
      <c r="B120" s="144" t="str">
        <f>IFERROR(__xludf.DUMMYFUNCTION("""COMPUTED_VALUE"""),"2º CRBM")</f>
        <v>2º CRBM</v>
      </c>
      <c r="C120" s="1" t="str">
        <f>IFERROR(__xludf.DUMMYFUNCTION("""COMPUTED_VALUE"""),"5º BBM")</f>
        <v>5º BBM</v>
      </c>
      <c r="D120" s="1" t="str">
        <f>IFERROR(__xludf.DUMMYFUNCTION("""COMPUTED_VALUE"""),"Bento Gonçalves")</f>
        <v>Bento Gonçalves</v>
      </c>
      <c r="E120" s="145" t="str">
        <f>IFERROR(__xludf.DUMMYFUNCTION("""COMPUTED_VALUE"""),"NPBM")</f>
        <v>NPBM</v>
      </c>
      <c r="F120" s="145"/>
      <c r="G120" s="145"/>
      <c r="H120" s="145"/>
    </row>
    <row r="121" customHeight="1" spans="1:8">
      <c r="A121" s="1" t="str">
        <f>IFERROR(__xludf.DUMMYFUNCTION("""COMPUTED_VALUE"""),"Cotiporã")</f>
        <v>Cotiporã</v>
      </c>
      <c r="B121" s="144" t="str">
        <f>IFERROR(__xludf.DUMMYFUNCTION("""COMPUTED_VALUE"""),"2º CRBM")</f>
        <v>2º CRBM</v>
      </c>
      <c r="C121" s="1" t="str">
        <f>IFERROR(__xludf.DUMMYFUNCTION("""COMPUTED_VALUE"""),"5º BBM")</f>
        <v>5º BBM</v>
      </c>
      <c r="D121" s="1" t="str">
        <f>IFERROR(__xludf.DUMMYFUNCTION("""COMPUTED_VALUE"""),"Veranópolis")</f>
        <v>Veranópolis</v>
      </c>
      <c r="E121" s="145" t="str">
        <f>IFERROR(__xludf.DUMMYFUNCTION("""COMPUTED_VALUE"""),"NPBM")</f>
        <v>NPBM</v>
      </c>
      <c r="F121" s="145"/>
      <c r="G121" s="145"/>
      <c r="H121" s="145"/>
    </row>
    <row r="122" customHeight="1" spans="1:8">
      <c r="A122" s="1" t="str">
        <f>IFERROR(__xludf.DUMMYFUNCTION("""COMPUTED_VALUE"""),"Coxilha")</f>
        <v>Coxilha</v>
      </c>
      <c r="B122" s="144" t="str">
        <f>IFERROR(__xludf.DUMMYFUNCTION("""COMPUTED_VALUE"""),"2º CRBM")</f>
        <v>2º CRBM</v>
      </c>
      <c r="C122" s="1" t="str">
        <f>IFERROR(__xludf.DUMMYFUNCTION("""COMPUTED_VALUE"""),"7º BBM")</f>
        <v>7º BBM</v>
      </c>
      <c r="D122" s="1" t="str">
        <f>IFERROR(__xludf.DUMMYFUNCTION("""COMPUTED_VALUE"""),"Passo Fundo")</f>
        <v>Passo Fundo</v>
      </c>
      <c r="E122" s="145" t="str">
        <f>IFERROR(__xludf.DUMMYFUNCTION("""COMPUTED_VALUE"""),"NPBM")</f>
        <v>NPBM</v>
      </c>
      <c r="F122" s="145"/>
      <c r="G122" s="145"/>
      <c r="H122" s="145"/>
    </row>
    <row r="123" customHeight="1" spans="1:8">
      <c r="A123" s="1" t="str">
        <f>IFERROR(__xludf.DUMMYFUNCTION("""COMPUTED_VALUE"""),"Crissiumal")</f>
        <v>Crissiumal</v>
      </c>
      <c r="B123" s="144" t="str">
        <f>IFERROR(__xludf.DUMMYFUNCTION("""COMPUTED_VALUE"""),"4º CRBM")</f>
        <v>4º CRBM</v>
      </c>
      <c r="C123" s="1" t="str">
        <f>IFERROR(__xludf.DUMMYFUNCTION("""COMPUTED_VALUE"""),"11º BBM")</f>
        <v>11º BBM</v>
      </c>
      <c r="D123" s="1" t="str">
        <f>IFERROR(__xludf.DUMMYFUNCTION("""COMPUTED_VALUE"""),"Três Passos")</f>
        <v>Três Passos</v>
      </c>
      <c r="E123" s="145" t="str">
        <f>IFERROR(__xludf.DUMMYFUNCTION("""COMPUTED_VALUE"""),"SCAB")</f>
        <v>SCAB</v>
      </c>
      <c r="F123" s="145"/>
      <c r="G123" s="145"/>
      <c r="H123" s="145"/>
    </row>
    <row r="124" customHeight="1" spans="1:8">
      <c r="A124" s="1" t="str">
        <f>IFERROR(__xludf.DUMMYFUNCTION("""COMPUTED_VALUE"""),"Cristal")</f>
        <v>Cristal</v>
      </c>
      <c r="B124" s="144" t="str">
        <f>IFERROR(__xludf.DUMMYFUNCTION("""COMPUTED_VALUE"""),"4º CRBM")</f>
        <v>4º CRBM</v>
      </c>
      <c r="C124" s="1" t="str">
        <f>IFERROR(__xludf.DUMMYFUNCTION("""COMPUTED_VALUE"""),"6º BBM")</f>
        <v>6º BBM</v>
      </c>
      <c r="D124" s="1" t="str">
        <f>IFERROR(__xludf.DUMMYFUNCTION("""COMPUTED_VALUE"""),"Camaquã")</f>
        <v>Camaquã</v>
      </c>
      <c r="E124" s="145" t="str">
        <f>IFERROR(__xludf.DUMMYFUNCTION("""COMPUTED_VALUE"""),"NPBM")</f>
        <v>NPBM</v>
      </c>
      <c r="F124" s="145"/>
      <c r="G124" s="145"/>
      <c r="H124" s="145"/>
    </row>
    <row r="125" customHeight="1" spans="1:8">
      <c r="A125" s="1" t="str">
        <f>IFERROR(__xludf.DUMMYFUNCTION("""COMPUTED_VALUE"""),"Cristal do Sul")</f>
        <v>Cristal do Sul</v>
      </c>
      <c r="B125" s="144" t="str">
        <f>IFERROR(__xludf.DUMMYFUNCTION("""COMPUTED_VALUE"""),"4º CRBM")</f>
        <v>4º CRBM</v>
      </c>
      <c r="C125" s="1" t="str">
        <f>IFERROR(__xludf.DUMMYFUNCTION("""COMPUTED_VALUE"""),"12º BBM")</f>
        <v>12º BBM</v>
      </c>
      <c r="D125" s="1" t="str">
        <f>IFERROR(__xludf.DUMMYFUNCTION("""COMPUTED_VALUE"""),"Frederico Westphalen")</f>
        <v>Frederico Westphalen</v>
      </c>
      <c r="E125" s="145" t="str">
        <f>IFERROR(__xludf.DUMMYFUNCTION("""COMPUTED_VALUE"""),"NPBM")</f>
        <v>NPBM</v>
      </c>
      <c r="F125" s="145"/>
      <c r="G125" s="145"/>
      <c r="H125" s="145"/>
    </row>
    <row r="126" customHeight="1" spans="1:8">
      <c r="A126" s="1" t="str">
        <f>IFERROR(__xludf.DUMMYFUNCTION("""COMPUTED_VALUE"""),"Cruz Alta")</f>
        <v>Cruz Alta</v>
      </c>
      <c r="B126" s="144" t="str">
        <f>IFERROR(__xludf.DUMMYFUNCTION("""COMPUTED_VALUE"""),"4º CRBM")</f>
        <v>4º CRBM</v>
      </c>
      <c r="C126" s="1" t="str">
        <f>IFERROR(__xludf.DUMMYFUNCTION("""COMPUTED_VALUE"""),"12º BBM")</f>
        <v>12º BBM</v>
      </c>
      <c r="D126" s="1" t="str">
        <f>IFERROR(__xludf.DUMMYFUNCTION("""COMPUTED_VALUE"""),"Cruz Alta")</f>
        <v>Cruz Alta</v>
      </c>
      <c r="E126" s="145" t="str">
        <f>IFERROR(__xludf.DUMMYFUNCTION("""COMPUTED_VALUE"""),"Militar")</f>
        <v>Militar</v>
      </c>
      <c r="F126" s="145"/>
      <c r="G126" s="145"/>
      <c r="H126" s="145"/>
    </row>
    <row r="127" customHeight="1" spans="1:8">
      <c r="A127" s="1" t="str">
        <f>IFERROR(__xludf.DUMMYFUNCTION("""COMPUTED_VALUE"""),"Cruzaltense")</f>
        <v>Cruzaltense</v>
      </c>
      <c r="B127" s="144" t="str">
        <f>IFERROR(__xludf.DUMMYFUNCTION("""COMPUTED_VALUE"""),"2º CRBM")</f>
        <v>2º CRBM</v>
      </c>
      <c r="C127" s="1" t="str">
        <f>IFERROR(__xludf.DUMMYFUNCTION("""COMPUTED_VALUE"""),"7º BBM")</f>
        <v>7º BBM</v>
      </c>
      <c r="D127" s="1" t="str">
        <f>IFERROR(__xludf.DUMMYFUNCTION("""COMPUTED_VALUE"""),"Erechim")</f>
        <v>Erechim</v>
      </c>
      <c r="E127" s="145" t="str">
        <f>IFERROR(__xludf.DUMMYFUNCTION("""COMPUTED_VALUE"""),"NPBM")</f>
        <v>NPBM</v>
      </c>
      <c r="F127" s="145"/>
      <c r="G127" s="145"/>
      <c r="H127" s="145"/>
    </row>
    <row r="128" customHeight="1" spans="1:8">
      <c r="A128" s="1" t="str">
        <f>IFERROR(__xludf.DUMMYFUNCTION("""COMPUTED_VALUE"""),"Cruzeiro do Sul")</f>
        <v>Cruzeiro do Sul</v>
      </c>
      <c r="B128" s="144" t="str">
        <f>IFERROR(__xludf.DUMMYFUNCTION("""COMPUTED_VALUE"""),"4º CRBM")</f>
        <v>4º CRBM</v>
      </c>
      <c r="C128" s="1" t="str">
        <f>IFERROR(__xludf.DUMMYFUNCTION("""COMPUTED_VALUE"""),"6º BBM")</f>
        <v>6º BBM</v>
      </c>
      <c r="D128" s="1" t="str">
        <f>IFERROR(__xludf.DUMMYFUNCTION("""COMPUTED_VALUE"""),"Lajeado")</f>
        <v>Lajeado</v>
      </c>
      <c r="E128" s="145" t="str">
        <f>IFERROR(__xludf.DUMMYFUNCTION("""COMPUTED_VALUE"""),"NPBM")</f>
        <v>NPBM</v>
      </c>
      <c r="F128" s="145"/>
      <c r="G128" s="145"/>
      <c r="H128" s="145"/>
    </row>
    <row r="129" customHeight="1" spans="1:8">
      <c r="A129" s="1" t="str">
        <f>IFERROR(__xludf.DUMMYFUNCTION("""COMPUTED_VALUE"""),"David Canabarro")</f>
        <v>David Canabarro</v>
      </c>
      <c r="B129" s="144" t="str">
        <f>IFERROR(__xludf.DUMMYFUNCTION("""COMPUTED_VALUE"""),"2º CRBM")</f>
        <v>2º CRBM</v>
      </c>
      <c r="C129" s="1" t="str">
        <f>IFERROR(__xludf.DUMMYFUNCTION("""COMPUTED_VALUE"""),"7º BBM")</f>
        <v>7º BBM</v>
      </c>
      <c r="D129" s="1" t="str">
        <f>IFERROR(__xludf.DUMMYFUNCTION("""COMPUTED_VALUE"""),"Lagoa Vermelha")</f>
        <v>Lagoa Vermelha</v>
      </c>
      <c r="E129" s="145" t="str">
        <f>IFERROR(__xludf.DUMMYFUNCTION("""COMPUTED_VALUE"""),"NPBM")</f>
        <v>NPBM</v>
      </c>
      <c r="F129" s="145"/>
      <c r="G129" s="145"/>
      <c r="H129" s="145"/>
    </row>
    <row r="130" customHeight="1" spans="1:8">
      <c r="A130" s="1" t="str">
        <f>IFERROR(__xludf.DUMMYFUNCTION("""COMPUTED_VALUE"""),"Derrubadas")</f>
        <v>Derrubadas</v>
      </c>
      <c r="B130" s="144" t="str">
        <f>IFERROR(__xludf.DUMMYFUNCTION("""COMPUTED_VALUE"""),"4º CRBM")</f>
        <v>4º CRBM</v>
      </c>
      <c r="C130" s="1" t="str">
        <f>IFERROR(__xludf.DUMMYFUNCTION("""COMPUTED_VALUE"""),"11º BBM")</f>
        <v>11º BBM</v>
      </c>
      <c r="D130" s="1" t="str">
        <f>IFERROR(__xludf.DUMMYFUNCTION("""COMPUTED_VALUE"""),"Três Passos")</f>
        <v>Três Passos</v>
      </c>
      <c r="E130" s="145" t="str">
        <f>IFERROR(__xludf.DUMMYFUNCTION("""COMPUTED_VALUE"""),"NPBM")</f>
        <v>NPBM</v>
      </c>
      <c r="F130" s="145"/>
      <c r="G130" s="145"/>
      <c r="H130" s="145"/>
    </row>
    <row r="131" customHeight="1" spans="1:8">
      <c r="A131" s="1" t="str">
        <f>IFERROR(__xludf.DUMMYFUNCTION("""COMPUTED_VALUE"""),"Dezesseis de Novembro")</f>
        <v>Dezesseis de Novembro</v>
      </c>
      <c r="B131" s="144" t="str">
        <f>IFERROR(__xludf.DUMMYFUNCTION("""COMPUTED_VALUE"""),"4º CRBM")</f>
        <v>4º CRBM</v>
      </c>
      <c r="C131" s="1" t="str">
        <f>IFERROR(__xludf.DUMMYFUNCTION("""COMPUTED_VALUE"""),"11º BBM")</f>
        <v>11º BBM</v>
      </c>
      <c r="D131" s="1" t="str">
        <f>IFERROR(__xludf.DUMMYFUNCTION("""COMPUTED_VALUE"""),"São Luiz Gonzaga")</f>
        <v>São Luiz Gonzaga</v>
      </c>
      <c r="E131" s="145" t="str">
        <f>IFERROR(__xludf.DUMMYFUNCTION("""COMPUTED_VALUE"""),"NPBM")</f>
        <v>NPBM</v>
      </c>
      <c r="F131" s="145"/>
      <c r="G131" s="145"/>
      <c r="H131" s="145"/>
    </row>
    <row r="132" customHeight="1" spans="1:8">
      <c r="A132" s="1" t="str">
        <f>IFERROR(__xludf.DUMMYFUNCTION("""COMPUTED_VALUE"""),"Dilermando de Aguiar")</f>
        <v>Dilermando de Aguiar</v>
      </c>
      <c r="B132" s="144" t="str">
        <f>IFERROR(__xludf.DUMMYFUNCTION("""COMPUTED_VALUE"""),"4º CRBM")</f>
        <v>4º CRBM</v>
      </c>
      <c r="C132" s="1" t="str">
        <f>IFERROR(__xludf.DUMMYFUNCTION("""COMPUTED_VALUE"""),"4º BBM")</f>
        <v>4º BBM</v>
      </c>
      <c r="D132" s="1" t="str">
        <f>IFERROR(__xludf.DUMMYFUNCTION("""COMPUTED_VALUE"""),"São Pedro do Sul")</f>
        <v>São Pedro do Sul</v>
      </c>
      <c r="E132" s="145" t="str">
        <f>IFERROR(__xludf.DUMMYFUNCTION("""COMPUTED_VALUE"""),"NPBM")</f>
        <v>NPBM</v>
      </c>
      <c r="F132" s="145"/>
      <c r="G132" s="145"/>
      <c r="H132" s="145"/>
    </row>
    <row r="133" customHeight="1" spans="1:8">
      <c r="A133" s="1" t="str">
        <f>IFERROR(__xludf.DUMMYFUNCTION("""COMPUTED_VALUE"""),"Dois Irmãos")</f>
        <v>Dois Irmãos</v>
      </c>
      <c r="B133" s="144" t="str">
        <f>IFERROR(__xludf.DUMMYFUNCTION("""COMPUTED_VALUE"""),"2º CRBM")</f>
        <v>2º CRBM</v>
      </c>
      <c r="C133" s="1" t="str">
        <f>IFERROR(__xludf.DUMMYFUNCTION("""COMPUTED_VALUE"""),"2º BBM")</f>
        <v>2º BBM</v>
      </c>
      <c r="D133" s="1" t="str">
        <f>IFERROR(__xludf.DUMMYFUNCTION("""COMPUTED_VALUE"""),"Dois Irmãos")</f>
        <v>Dois Irmãos</v>
      </c>
      <c r="E133" s="145" t="str">
        <f>IFERROR(__xludf.DUMMYFUNCTION("""COMPUTED_VALUE"""),"Comunitário")</f>
        <v>Comunitário</v>
      </c>
      <c r="F133" s="145"/>
      <c r="G133" s="145"/>
      <c r="H133" s="145"/>
    </row>
    <row r="134" customHeight="1" spans="1:8">
      <c r="A134" s="1" t="str">
        <f>IFERROR(__xludf.DUMMYFUNCTION("""COMPUTED_VALUE"""),"Dois Irmãos das Missões")</f>
        <v>Dois Irmãos das Missões</v>
      </c>
      <c r="B134" s="144" t="str">
        <f>IFERROR(__xludf.DUMMYFUNCTION("""COMPUTED_VALUE"""),"4º CRBM")</f>
        <v>4º CRBM</v>
      </c>
      <c r="C134" s="1" t="str">
        <f>IFERROR(__xludf.DUMMYFUNCTION("""COMPUTED_VALUE"""),"12º BBM")</f>
        <v>12º BBM</v>
      </c>
      <c r="D134" s="1" t="str">
        <f>IFERROR(__xludf.DUMMYFUNCTION("""COMPUTED_VALUE"""),"Palmeira das Missões")</f>
        <v>Palmeira das Missões</v>
      </c>
      <c r="E134" s="145" t="str">
        <f>IFERROR(__xludf.DUMMYFUNCTION("""COMPUTED_VALUE"""),"NPBM")</f>
        <v>NPBM</v>
      </c>
      <c r="F134" s="145"/>
      <c r="G134" s="145"/>
      <c r="H134" s="145"/>
    </row>
    <row r="135" customHeight="1" spans="1:8">
      <c r="A135" s="1" t="str">
        <f>IFERROR(__xludf.DUMMYFUNCTION("""COMPUTED_VALUE"""),"Dois Lajeados")</f>
        <v>Dois Lajeados</v>
      </c>
      <c r="B135" s="144" t="str">
        <f>IFERROR(__xludf.DUMMYFUNCTION("""COMPUTED_VALUE"""),"2º CRBM")</f>
        <v>2º CRBM</v>
      </c>
      <c r="C135" s="1" t="str">
        <f>IFERROR(__xludf.DUMMYFUNCTION("""COMPUTED_VALUE"""),"7º BBM")</f>
        <v>7º BBM</v>
      </c>
      <c r="D135" s="1" t="str">
        <f>IFERROR(__xludf.DUMMYFUNCTION("""COMPUTED_VALUE"""),"Guaporé")</f>
        <v>Guaporé</v>
      </c>
      <c r="E135" s="145" t="str">
        <f>IFERROR(__xludf.DUMMYFUNCTION("""COMPUTED_VALUE"""),"NPBM")</f>
        <v>NPBM</v>
      </c>
      <c r="F135" s="145"/>
      <c r="G135" s="145"/>
      <c r="H135" s="145"/>
    </row>
    <row r="136" customHeight="1" spans="1:8">
      <c r="A136" s="1" t="str">
        <f>IFERROR(__xludf.DUMMYFUNCTION("""COMPUTED_VALUE"""),"Dom Feliciano")</f>
        <v>Dom Feliciano</v>
      </c>
      <c r="B136" s="144" t="str">
        <f>IFERROR(__xludf.DUMMYFUNCTION("""COMPUTED_VALUE"""),"4º CRBM")</f>
        <v>4º CRBM</v>
      </c>
      <c r="C136" s="1" t="str">
        <f>IFERROR(__xludf.DUMMYFUNCTION("""COMPUTED_VALUE"""),"6º BBM")</f>
        <v>6º BBM</v>
      </c>
      <c r="D136" s="1" t="str">
        <f>IFERROR(__xludf.DUMMYFUNCTION("""COMPUTED_VALUE"""),"Camaquã")</f>
        <v>Camaquã</v>
      </c>
      <c r="E136" s="145" t="str">
        <f>IFERROR(__xludf.DUMMYFUNCTION("""COMPUTED_VALUE"""),"NPBM")</f>
        <v>NPBM</v>
      </c>
      <c r="F136" s="145"/>
      <c r="G136" s="145"/>
      <c r="H136" s="145"/>
    </row>
    <row r="137" customHeight="1" spans="1:8">
      <c r="A137" s="1" t="str">
        <f>IFERROR(__xludf.DUMMYFUNCTION("""COMPUTED_VALUE"""),"Dom Pedrito")</f>
        <v>Dom Pedrito</v>
      </c>
      <c r="B137" s="144" t="str">
        <f>IFERROR(__xludf.DUMMYFUNCTION("""COMPUTED_VALUE"""),"3º CRBM")</f>
        <v>3º CRBM</v>
      </c>
      <c r="C137" s="1" t="str">
        <f>IFERROR(__xludf.DUMMYFUNCTION("""COMPUTED_VALUE"""),"10º BBM")</f>
        <v>10º BBM</v>
      </c>
      <c r="D137" s="1" t="str">
        <f>IFERROR(__xludf.DUMMYFUNCTION("""COMPUTED_VALUE"""),"Dom Pedrito")</f>
        <v>Dom Pedrito</v>
      </c>
      <c r="E137" s="145" t="str">
        <f>IFERROR(__xludf.DUMMYFUNCTION("""COMPUTED_VALUE"""),"Militar")</f>
        <v>Militar</v>
      </c>
      <c r="F137" s="145"/>
      <c r="G137" s="145"/>
      <c r="H137" s="145"/>
    </row>
    <row r="138" customHeight="1" spans="1:8">
      <c r="A138" s="1" t="str">
        <f>IFERROR(__xludf.DUMMYFUNCTION("""COMPUTED_VALUE"""),"Dom Pedro de Alcântara")</f>
        <v>Dom Pedro de Alcântara</v>
      </c>
      <c r="B138" s="144" t="str">
        <f>IFERROR(__xludf.DUMMYFUNCTION("""COMPUTED_VALUE"""),"1º CRBM")</f>
        <v>1º CRBM</v>
      </c>
      <c r="C138" s="1" t="str">
        <f>IFERROR(__xludf.DUMMYFUNCTION("""COMPUTED_VALUE"""),"9º BBM")</f>
        <v>9º BBM</v>
      </c>
      <c r="D138" s="1" t="str">
        <f>IFERROR(__xludf.DUMMYFUNCTION("""COMPUTED_VALUE"""),"Torres")</f>
        <v>Torres</v>
      </c>
      <c r="E138" s="145" t="str">
        <f>IFERROR(__xludf.DUMMYFUNCTION("""COMPUTED_VALUE"""),"NPBM")</f>
        <v>NPBM</v>
      </c>
      <c r="F138" s="145"/>
      <c r="G138" s="145"/>
      <c r="H138" s="145"/>
    </row>
    <row r="139" customHeight="1" spans="1:8">
      <c r="A139" s="1" t="str">
        <f>IFERROR(__xludf.DUMMYFUNCTION("""COMPUTED_VALUE"""),"Dona Francisca")</f>
        <v>Dona Francisca</v>
      </c>
      <c r="B139" s="144" t="str">
        <f>IFERROR(__xludf.DUMMYFUNCTION("""COMPUTED_VALUE"""),"4º CRBM")</f>
        <v>4º CRBM</v>
      </c>
      <c r="C139" s="1" t="str">
        <f>IFERROR(__xludf.DUMMYFUNCTION("""COMPUTED_VALUE"""),"4º BBM")</f>
        <v>4º BBM</v>
      </c>
      <c r="D139" s="1" t="str">
        <f>IFERROR(__xludf.DUMMYFUNCTION("""COMPUTED_VALUE"""),"Restinga Sêca")</f>
        <v>Restinga Sêca</v>
      </c>
      <c r="E139" s="145" t="str">
        <f>IFERROR(__xludf.DUMMYFUNCTION("""COMPUTED_VALUE"""),"NPBM")</f>
        <v>NPBM</v>
      </c>
      <c r="F139" s="145"/>
      <c r="G139" s="145"/>
      <c r="H139" s="145"/>
    </row>
    <row r="140" customHeight="1" spans="1:8">
      <c r="A140" s="1" t="str">
        <f>IFERROR(__xludf.DUMMYFUNCTION("""COMPUTED_VALUE"""),"Doutor Maurício Cardoso")</f>
        <v>Doutor Maurício Cardoso</v>
      </c>
      <c r="B140" s="144" t="str">
        <f>IFERROR(__xludf.DUMMYFUNCTION("""COMPUTED_VALUE"""),"4º CRBM")</f>
        <v>4º CRBM</v>
      </c>
      <c r="C140" s="1" t="str">
        <f>IFERROR(__xludf.DUMMYFUNCTION("""COMPUTED_VALUE"""),"11º BBM")</f>
        <v>11º BBM</v>
      </c>
      <c r="D140" s="1" t="str">
        <f>IFERROR(__xludf.DUMMYFUNCTION("""COMPUTED_VALUE"""),"Horizontina")</f>
        <v>Horizontina</v>
      </c>
      <c r="E140" s="145" t="str">
        <f>IFERROR(__xludf.DUMMYFUNCTION("""COMPUTED_VALUE"""),"NPBM")</f>
        <v>NPBM</v>
      </c>
      <c r="F140" s="145"/>
      <c r="G140" s="145"/>
      <c r="H140" s="145"/>
    </row>
    <row r="141" customHeight="1" spans="1:8">
      <c r="A141" s="1" t="str">
        <f>IFERROR(__xludf.DUMMYFUNCTION("""COMPUTED_VALUE"""),"Doutor Ricardo")</f>
        <v>Doutor Ricardo</v>
      </c>
      <c r="B141" s="144" t="str">
        <f>IFERROR(__xludf.DUMMYFUNCTION("""COMPUTED_VALUE"""),"4º CRBM")</f>
        <v>4º CRBM</v>
      </c>
      <c r="C141" s="1" t="str">
        <f>IFERROR(__xludf.DUMMYFUNCTION("""COMPUTED_VALUE"""),"6º BBM")</f>
        <v>6º BBM</v>
      </c>
      <c r="D141" s="1" t="str">
        <f>IFERROR(__xludf.DUMMYFUNCTION("""COMPUTED_VALUE"""),"Encantado")</f>
        <v>Encantado</v>
      </c>
      <c r="E141" s="145" t="str">
        <f>IFERROR(__xludf.DUMMYFUNCTION("""COMPUTED_VALUE"""),"NPBM")</f>
        <v>NPBM</v>
      </c>
      <c r="F141" s="145"/>
      <c r="G141" s="145"/>
      <c r="H141" s="145"/>
    </row>
    <row r="142" customHeight="1" spans="1:8">
      <c r="A142" s="1" t="str">
        <f>IFERROR(__xludf.DUMMYFUNCTION("""COMPUTED_VALUE"""),"Eldorado do Sul")</f>
        <v>Eldorado do Sul</v>
      </c>
      <c r="B142" s="144" t="str">
        <f>IFERROR(__xludf.DUMMYFUNCTION("""COMPUTED_VALUE"""),"4º CRBM")</f>
        <v>4º CRBM</v>
      </c>
      <c r="C142" s="1" t="str">
        <f>IFERROR(__xludf.DUMMYFUNCTION("""COMPUTED_VALUE"""),"6º BBM")</f>
        <v>6º BBM</v>
      </c>
      <c r="D142" s="1" t="str">
        <f>IFERROR(__xludf.DUMMYFUNCTION("""COMPUTED_VALUE"""),"Guaíba")</f>
        <v>Guaíba</v>
      </c>
      <c r="E142" s="145" t="str">
        <f>IFERROR(__xludf.DUMMYFUNCTION("""COMPUTED_VALUE"""),"Voluntersul")</f>
        <v>Voluntersul</v>
      </c>
      <c r="F142" s="145"/>
      <c r="G142" s="145"/>
      <c r="H142" s="145"/>
    </row>
    <row r="143" customHeight="1" spans="1:8">
      <c r="A143" s="1" t="str">
        <f>IFERROR(__xludf.DUMMYFUNCTION("""COMPUTED_VALUE"""),"Encantado")</f>
        <v>Encantado</v>
      </c>
      <c r="B143" s="144" t="str">
        <f>IFERROR(__xludf.DUMMYFUNCTION("""COMPUTED_VALUE"""),"4º CRBM")</f>
        <v>4º CRBM</v>
      </c>
      <c r="C143" s="1" t="str">
        <f>IFERROR(__xludf.DUMMYFUNCTION("""COMPUTED_VALUE"""),"6º BBM")</f>
        <v>6º BBM</v>
      </c>
      <c r="D143" s="1" t="str">
        <f>IFERROR(__xludf.DUMMYFUNCTION("""COMPUTED_VALUE"""),"Encantado")</f>
        <v>Encantado</v>
      </c>
      <c r="E143" s="145" t="str">
        <f>IFERROR(__xludf.DUMMYFUNCTION("""COMPUTED_VALUE"""),"Comunitário")</f>
        <v>Comunitário</v>
      </c>
      <c r="F143" s="145"/>
      <c r="G143" s="145"/>
      <c r="H143" s="145"/>
    </row>
    <row r="144" customHeight="1" spans="1:8">
      <c r="A144" s="1" t="str">
        <f>IFERROR(__xludf.DUMMYFUNCTION("""COMPUTED_VALUE"""),"Encruzilhada do Sul")</f>
        <v>Encruzilhada do Sul</v>
      </c>
      <c r="B144" s="144" t="str">
        <f>IFERROR(__xludf.DUMMYFUNCTION("""COMPUTED_VALUE"""),"4º CRBM")</f>
        <v>4º CRBM</v>
      </c>
      <c r="C144" s="1" t="str">
        <f>IFERROR(__xludf.DUMMYFUNCTION("""COMPUTED_VALUE"""),"6º BBM")</f>
        <v>6º BBM</v>
      </c>
      <c r="D144" s="1" t="str">
        <f>IFERROR(__xludf.DUMMYFUNCTION("""COMPUTED_VALUE"""),"Encruzilhada do Sul")</f>
        <v>Encruzilhada do Sul</v>
      </c>
      <c r="E144" s="145" t="str">
        <f>IFERROR(__xludf.DUMMYFUNCTION("""COMPUTED_VALUE"""),"Comunitário")</f>
        <v>Comunitário</v>
      </c>
      <c r="F144" s="145"/>
      <c r="G144" s="145"/>
      <c r="H144" s="145"/>
    </row>
    <row r="145" customHeight="1" spans="1:8">
      <c r="A145" s="1" t="str">
        <f>IFERROR(__xludf.DUMMYFUNCTION("""COMPUTED_VALUE"""),"Engenho Velho")</f>
        <v>Engenho Velho</v>
      </c>
      <c r="B145" s="144" t="str">
        <f>IFERROR(__xludf.DUMMYFUNCTION("""COMPUTED_VALUE"""),"2º CRBM")</f>
        <v>2º CRBM</v>
      </c>
      <c r="C145" s="1" t="str">
        <f>IFERROR(__xludf.DUMMYFUNCTION("""COMPUTED_VALUE"""),"7º BBM")</f>
        <v>7º BBM</v>
      </c>
      <c r="D145" s="1" t="str">
        <f>IFERROR(__xludf.DUMMYFUNCTION("""COMPUTED_VALUE"""),"Sarandi")</f>
        <v>Sarandi</v>
      </c>
      <c r="E145" s="145" t="str">
        <f>IFERROR(__xludf.DUMMYFUNCTION("""COMPUTED_VALUE"""),"NPBM")</f>
        <v>NPBM</v>
      </c>
      <c r="F145" s="145"/>
      <c r="G145" s="145"/>
      <c r="H145" s="145"/>
    </row>
    <row r="146" customHeight="1" spans="1:8">
      <c r="A146" s="1" t="str">
        <f>IFERROR(__xludf.DUMMYFUNCTION("""COMPUTED_VALUE"""),"Entre Rios do Sul")</f>
        <v>Entre Rios do Sul</v>
      </c>
      <c r="B146" s="144" t="str">
        <f>IFERROR(__xludf.DUMMYFUNCTION("""COMPUTED_VALUE"""),"2º CRBM")</f>
        <v>2º CRBM</v>
      </c>
      <c r="C146" s="1" t="str">
        <f>IFERROR(__xludf.DUMMYFUNCTION("""COMPUTED_VALUE"""),"7º BBM")</f>
        <v>7º BBM</v>
      </c>
      <c r="D146" s="1" t="str">
        <f>IFERROR(__xludf.DUMMYFUNCTION("""COMPUTED_VALUE"""),"Nonoai")</f>
        <v>Nonoai</v>
      </c>
      <c r="E146" s="145" t="str">
        <f>IFERROR(__xludf.DUMMYFUNCTION("""COMPUTED_VALUE"""),"NPBM")</f>
        <v>NPBM</v>
      </c>
      <c r="F146" s="145"/>
      <c r="G146" s="145"/>
      <c r="H146" s="145"/>
    </row>
    <row r="147" customHeight="1" spans="1:8">
      <c r="A147" s="1" t="str">
        <f>IFERROR(__xludf.DUMMYFUNCTION("""COMPUTED_VALUE"""),"Entre-Ijuís")</f>
        <v>Entre-Ijuís</v>
      </c>
      <c r="B147" s="144" t="str">
        <f>IFERROR(__xludf.DUMMYFUNCTION("""COMPUTED_VALUE"""),"4º CRBM")</f>
        <v>4º CRBM</v>
      </c>
      <c r="C147" s="1" t="str">
        <f>IFERROR(__xludf.DUMMYFUNCTION("""COMPUTED_VALUE"""),"11º BBM")</f>
        <v>11º BBM</v>
      </c>
      <c r="D147" s="1" t="str">
        <f>IFERROR(__xludf.DUMMYFUNCTION("""COMPUTED_VALUE"""),"Santo Ângelo")</f>
        <v>Santo Ângelo</v>
      </c>
      <c r="E147" s="145" t="str">
        <f>IFERROR(__xludf.DUMMYFUNCTION("""COMPUTED_VALUE"""),"NPBM")</f>
        <v>NPBM</v>
      </c>
      <c r="F147" s="145"/>
      <c r="G147" s="145"/>
      <c r="H147" s="145"/>
    </row>
    <row r="148" customHeight="1" spans="1:8">
      <c r="A148" s="1" t="str">
        <f>IFERROR(__xludf.DUMMYFUNCTION("""COMPUTED_VALUE"""),"Erebango")</f>
        <v>Erebango</v>
      </c>
      <c r="B148" s="144" t="str">
        <f>IFERROR(__xludf.DUMMYFUNCTION("""COMPUTED_VALUE"""),"2º CRBM")</f>
        <v>2º CRBM</v>
      </c>
      <c r="C148" s="1" t="str">
        <f>IFERROR(__xludf.DUMMYFUNCTION("""COMPUTED_VALUE"""),"7º BBM")</f>
        <v>7º BBM</v>
      </c>
      <c r="D148" s="1" t="str">
        <f>IFERROR(__xludf.DUMMYFUNCTION("""COMPUTED_VALUE"""),"Getúlio Vargas")</f>
        <v>Getúlio Vargas</v>
      </c>
      <c r="E148" s="145" t="str">
        <f>IFERROR(__xludf.DUMMYFUNCTION("""COMPUTED_VALUE"""),"NPBM")</f>
        <v>NPBM</v>
      </c>
      <c r="F148" s="145"/>
      <c r="G148" s="145"/>
      <c r="H148" s="145"/>
    </row>
    <row r="149" customHeight="1" spans="1:8">
      <c r="A149" s="1" t="str">
        <f>IFERROR(__xludf.DUMMYFUNCTION("""COMPUTED_VALUE"""),"Erechim")</f>
        <v>Erechim</v>
      </c>
      <c r="B149" s="144" t="str">
        <f>IFERROR(__xludf.DUMMYFUNCTION("""COMPUTED_VALUE"""),"2º CRBM")</f>
        <v>2º CRBM</v>
      </c>
      <c r="C149" s="1" t="str">
        <f>IFERROR(__xludf.DUMMYFUNCTION("""COMPUTED_VALUE"""),"7º BBM")</f>
        <v>7º BBM</v>
      </c>
      <c r="D149" s="1" t="str">
        <f>IFERROR(__xludf.DUMMYFUNCTION("""COMPUTED_VALUE"""),"Erechim")</f>
        <v>Erechim</v>
      </c>
      <c r="E149" s="145" t="str">
        <f>IFERROR(__xludf.DUMMYFUNCTION("""COMPUTED_VALUE"""),"Militar")</f>
        <v>Militar</v>
      </c>
      <c r="F149" s="145"/>
      <c r="G149" s="145"/>
      <c r="H149" s="145"/>
    </row>
    <row r="150" customHeight="1" spans="1:8">
      <c r="A150" s="1" t="str">
        <f>IFERROR(__xludf.DUMMYFUNCTION("""COMPUTED_VALUE"""),"Ernestina")</f>
        <v>Ernestina</v>
      </c>
      <c r="B150" s="144" t="str">
        <f>IFERROR(__xludf.DUMMYFUNCTION("""COMPUTED_VALUE"""),"2º CRBM")</f>
        <v>2º CRBM</v>
      </c>
      <c r="C150" s="1" t="str">
        <f>IFERROR(__xludf.DUMMYFUNCTION("""COMPUTED_VALUE"""),"7º BBM")</f>
        <v>7º BBM</v>
      </c>
      <c r="D150" s="1" t="str">
        <f>IFERROR(__xludf.DUMMYFUNCTION("""COMPUTED_VALUE"""),"Passo Fundo")</f>
        <v>Passo Fundo</v>
      </c>
      <c r="E150" s="145" t="str">
        <f>IFERROR(__xludf.DUMMYFUNCTION("""COMPUTED_VALUE"""),"NPBM")</f>
        <v>NPBM</v>
      </c>
      <c r="F150" s="145"/>
      <c r="G150" s="145"/>
      <c r="H150" s="145"/>
    </row>
    <row r="151" customHeight="1" spans="1:8">
      <c r="A151" s="1" t="str">
        <f>IFERROR(__xludf.DUMMYFUNCTION("""COMPUTED_VALUE"""),"Erval Grande")</f>
        <v>Erval Grande</v>
      </c>
      <c r="B151" s="144" t="str">
        <f>IFERROR(__xludf.DUMMYFUNCTION("""COMPUTED_VALUE"""),"2º CRBM")</f>
        <v>2º CRBM</v>
      </c>
      <c r="C151" s="1" t="str">
        <f>IFERROR(__xludf.DUMMYFUNCTION("""COMPUTED_VALUE"""),"7º BBM")</f>
        <v>7º BBM</v>
      </c>
      <c r="D151" s="1" t="str">
        <f>IFERROR(__xludf.DUMMYFUNCTION("""COMPUTED_VALUE"""),"Nonoai")</f>
        <v>Nonoai</v>
      </c>
      <c r="E151" s="145" t="str">
        <f>IFERROR(__xludf.DUMMYFUNCTION("""COMPUTED_VALUE"""),"SCAB")</f>
        <v>SCAB</v>
      </c>
      <c r="F151" s="145"/>
      <c r="G151" s="145"/>
      <c r="H151" s="145"/>
    </row>
    <row r="152" customHeight="1" spans="1:8">
      <c r="A152" s="1" t="str">
        <f>IFERROR(__xludf.DUMMYFUNCTION("""COMPUTED_VALUE"""),"Erval Seco")</f>
        <v>Erval Seco</v>
      </c>
      <c r="B152" s="144" t="str">
        <f>IFERROR(__xludf.DUMMYFUNCTION("""COMPUTED_VALUE"""),"4º CRBM")</f>
        <v>4º CRBM</v>
      </c>
      <c r="C152" s="1" t="str">
        <f>IFERROR(__xludf.DUMMYFUNCTION("""COMPUTED_VALUE"""),"12º BBM")</f>
        <v>12º BBM</v>
      </c>
      <c r="D152" s="1" t="str">
        <f>IFERROR(__xludf.DUMMYFUNCTION("""COMPUTED_VALUE"""),"Frederico Westphalen")</f>
        <v>Frederico Westphalen</v>
      </c>
      <c r="E152" s="145" t="str">
        <f>IFERROR(__xludf.DUMMYFUNCTION("""COMPUTED_VALUE"""),"NPBM")</f>
        <v>NPBM</v>
      </c>
      <c r="F152" s="145"/>
      <c r="G152" s="145"/>
      <c r="H152" s="145"/>
    </row>
    <row r="153" customHeight="1" spans="1:8">
      <c r="A153" s="1" t="str">
        <f>IFERROR(__xludf.DUMMYFUNCTION("""COMPUTED_VALUE"""),"Esmeralda")</f>
        <v>Esmeralda</v>
      </c>
      <c r="B153" s="144" t="str">
        <f>IFERROR(__xludf.DUMMYFUNCTION("""COMPUTED_VALUE"""),"2º CRBM")</f>
        <v>2º CRBM</v>
      </c>
      <c r="C153" s="1" t="str">
        <f>IFERROR(__xludf.DUMMYFUNCTION("""COMPUTED_VALUE"""),"5º BBM")</f>
        <v>5º BBM</v>
      </c>
      <c r="D153" s="1" t="str">
        <f>IFERROR(__xludf.DUMMYFUNCTION("""COMPUTED_VALUE"""),"Vacaria")</f>
        <v>Vacaria</v>
      </c>
      <c r="E153" s="145" t="str">
        <f>IFERROR(__xludf.DUMMYFUNCTION("""COMPUTED_VALUE"""),"NPBM")</f>
        <v>NPBM</v>
      </c>
      <c r="F153" s="145"/>
      <c r="G153" s="145"/>
      <c r="H153" s="145"/>
    </row>
    <row r="154" customHeight="1" spans="1:8">
      <c r="A154" s="1" t="str">
        <f>IFERROR(__xludf.DUMMYFUNCTION("""COMPUTED_VALUE"""),"Esperança do Sul")</f>
        <v>Esperança do Sul</v>
      </c>
      <c r="B154" s="144" t="str">
        <f>IFERROR(__xludf.DUMMYFUNCTION("""COMPUTED_VALUE"""),"4º CRBM")</f>
        <v>4º CRBM</v>
      </c>
      <c r="C154" s="1" t="str">
        <f>IFERROR(__xludf.DUMMYFUNCTION("""COMPUTED_VALUE"""),"11º BBM")</f>
        <v>11º BBM</v>
      </c>
      <c r="D154" s="1" t="str">
        <f>IFERROR(__xludf.DUMMYFUNCTION("""COMPUTED_VALUE"""),"Três Passos")</f>
        <v>Três Passos</v>
      </c>
      <c r="E154" s="145" t="str">
        <f>IFERROR(__xludf.DUMMYFUNCTION("""COMPUTED_VALUE"""),"NPBM")</f>
        <v>NPBM</v>
      </c>
      <c r="F154" s="145"/>
      <c r="G154" s="145"/>
      <c r="H154" s="145"/>
    </row>
    <row r="155" customHeight="1" spans="1:8">
      <c r="A155" s="1" t="str">
        <f>IFERROR(__xludf.DUMMYFUNCTION("""COMPUTED_VALUE"""),"Espumoso")</f>
        <v>Espumoso</v>
      </c>
      <c r="B155" s="144" t="str">
        <f>IFERROR(__xludf.DUMMYFUNCTION("""COMPUTED_VALUE"""),"2º CRBM")</f>
        <v>2º CRBM</v>
      </c>
      <c r="C155" s="1" t="str">
        <f>IFERROR(__xludf.DUMMYFUNCTION("""COMPUTED_VALUE"""),"7º BBM")</f>
        <v>7º BBM</v>
      </c>
      <c r="D155" s="1" t="str">
        <f>IFERROR(__xludf.DUMMYFUNCTION("""COMPUTED_VALUE"""),"Tapera")</f>
        <v>Tapera</v>
      </c>
      <c r="E155" s="145" t="str">
        <f>IFERROR(__xludf.DUMMYFUNCTION("""COMPUTED_VALUE"""),"NPBM")</f>
        <v>NPBM</v>
      </c>
      <c r="F155" s="145"/>
      <c r="G155" s="145"/>
      <c r="H155" s="145"/>
    </row>
    <row r="156" customHeight="1" spans="1:8">
      <c r="A156" s="1" t="str">
        <f>IFERROR(__xludf.DUMMYFUNCTION("""COMPUTED_VALUE"""),"Estação")</f>
        <v>Estação</v>
      </c>
      <c r="B156" s="144" t="str">
        <f>IFERROR(__xludf.DUMMYFUNCTION("""COMPUTED_VALUE"""),"2º CRBM")</f>
        <v>2º CRBM</v>
      </c>
      <c r="C156" s="1" t="str">
        <f>IFERROR(__xludf.DUMMYFUNCTION("""COMPUTED_VALUE"""),"7º BBM")</f>
        <v>7º BBM</v>
      </c>
      <c r="D156" s="1" t="str">
        <f>IFERROR(__xludf.DUMMYFUNCTION("""COMPUTED_VALUE"""),"Getúlio Vargas")</f>
        <v>Getúlio Vargas</v>
      </c>
      <c r="E156" s="145" t="str">
        <f>IFERROR(__xludf.DUMMYFUNCTION("""COMPUTED_VALUE"""),"NPBM")</f>
        <v>NPBM</v>
      </c>
      <c r="F156" s="145"/>
      <c r="G156" s="145"/>
      <c r="H156" s="145"/>
    </row>
    <row r="157" customHeight="1" spans="1:8">
      <c r="A157" s="1" t="str">
        <f>IFERROR(__xludf.DUMMYFUNCTION("""COMPUTED_VALUE"""),"Estância Velha")</f>
        <v>Estância Velha</v>
      </c>
      <c r="B157" s="144" t="str">
        <f>IFERROR(__xludf.DUMMYFUNCTION("""COMPUTED_VALUE"""),"2º CRBM")</f>
        <v>2º CRBM</v>
      </c>
      <c r="C157" s="1" t="str">
        <f>IFERROR(__xludf.DUMMYFUNCTION("""COMPUTED_VALUE"""),"2º BBM")</f>
        <v>2º BBM</v>
      </c>
      <c r="D157" s="1" t="str">
        <f>IFERROR(__xludf.DUMMYFUNCTION("""COMPUTED_VALUE"""),"Estância Velha")</f>
        <v>Estância Velha</v>
      </c>
      <c r="E157" s="145" t="str">
        <f>IFERROR(__xludf.DUMMYFUNCTION("""COMPUTED_VALUE"""),"Comunitário")</f>
        <v>Comunitário</v>
      </c>
      <c r="F157" s="145"/>
      <c r="G157" s="145"/>
      <c r="H157" s="145"/>
    </row>
    <row r="158" customHeight="1" spans="1:8">
      <c r="A158" s="1" t="str">
        <f>IFERROR(__xludf.DUMMYFUNCTION("""COMPUTED_VALUE"""),"Esteio")</f>
        <v>Esteio</v>
      </c>
      <c r="B158" s="144" t="str">
        <f>IFERROR(__xludf.DUMMYFUNCTION("""COMPUTED_VALUE"""),"1º CRBM")</f>
        <v>1º CRBM</v>
      </c>
      <c r="C158" s="1" t="str">
        <f>IFERROR(__xludf.DUMMYFUNCTION("""COMPUTED_VALUE"""),"8º BBM")</f>
        <v>8º BBM</v>
      </c>
      <c r="D158" s="1" t="str">
        <f>IFERROR(__xludf.DUMMYFUNCTION("""COMPUTED_VALUE"""),"Esteio")</f>
        <v>Esteio</v>
      </c>
      <c r="E158" s="145" t="str">
        <f>IFERROR(__xludf.DUMMYFUNCTION("""COMPUTED_VALUE"""),"Militar")</f>
        <v>Militar</v>
      </c>
      <c r="F158" s="145"/>
      <c r="G158" s="145"/>
      <c r="H158" s="145"/>
    </row>
    <row r="159" customHeight="1" spans="1:8">
      <c r="A159" s="1" t="str">
        <f>IFERROR(__xludf.DUMMYFUNCTION("""COMPUTED_VALUE"""),"Estrela")</f>
        <v>Estrela</v>
      </c>
      <c r="B159" s="144" t="str">
        <f>IFERROR(__xludf.DUMMYFUNCTION("""COMPUTED_VALUE"""),"4º CRBM")</f>
        <v>4º CRBM</v>
      </c>
      <c r="C159" s="1" t="str">
        <f>IFERROR(__xludf.DUMMYFUNCTION("""COMPUTED_VALUE"""),"6º BBM")</f>
        <v>6º BBM</v>
      </c>
      <c r="D159" s="1" t="str">
        <f>IFERROR(__xludf.DUMMYFUNCTION("""COMPUTED_VALUE"""),"Estrela")</f>
        <v>Estrela</v>
      </c>
      <c r="E159" s="145" t="str">
        <f>IFERROR(__xludf.DUMMYFUNCTION("""COMPUTED_VALUE"""),"Militar")</f>
        <v>Militar</v>
      </c>
      <c r="F159" s="145"/>
      <c r="G159" s="145"/>
      <c r="H159" s="145"/>
    </row>
    <row r="160" customHeight="1" spans="1:8">
      <c r="A160" s="1" t="str">
        <f>IFERROR(__xludf.DUMMYFUNCTION("""COMPUTED_VALUE"""),"Estrela Velha")</f>
        <v>Estrela Velha</v>
      </c>
      <c r="B160" s="144" t="str">
        <f>IFERROR(__xludf.DUMMYFUNCTION("""COMPUTED_VALUE"""),"4º CRBM")</f>
        <v>4º CRBM</v>
      </c>
      <c r="C160" s="1" t="str">
        <f>IFERROR(__xludf.DUMMYFUNCTION("""COMPUTED_VALUE"""),"6º BBM")</f>
        <v>6º BBM</v>
      </c>
      <c r="D160" s="1" t="str">
        <f>IFERROR(__xludf.DUMMYFUNCTION("""COMPUTED_VALUE"""),"Cruz Alta")</f>
        <v>Cruz Alta</v>
      </c>
      <c r="E160" s="145" t="str">
        <f>IFERROR(__xludf.DUMMYFUNCTION("""COMPUTED_VALUE"""),"NPBM")</f>
        <v>NPBM</v>
      </c>
      <c r="F160" s="145"/>
      <c r="G160" s="145"/>
      <c r="H160" s="145"/>
    </row>
    <row r="161" customHeight="1" spans="1:8">
      <c r="A161" s="1" t="str">
        <f>IFERROR(__xludf.DUMMYFUNCTION("""COMPUTED_VALUE"""),"Eugênio de Castro")</f>
        <v>Eugênio de Castro</v>
      </c>
      <c r="B161" s="144" t="str">
        <f>IFERROR(__xludf.DUMMYFUNCTION("""COMPUTED_VALUE"""),"4º CRBM")</f>
        <v>4º CRBM</v>
      </c>
      <c r="C161" s="1" t="str">
        <f>IFERROR(__xludf.DUMMYFUNCTION("""COMPUTED_VALUE"""),"11º BBM")</f>
        <v>11º BBM</v>
      </c>
      <c r="D161" s="1" t="str">
        <f>IFERROR(__xludf.DUMMYFUNCTION("""COMPUTED_VALUE"""),"Santo Ângelo")</f>
        <v>Santo Ângelo</v>
      </c>
      <c r="E161" s="145" t="str">
        <f>IFERROR(__xludf.DUMMYFUNCTION("""COMPUTED_VALUE"""),"NPBM")</f>
        <v>NPBM</v>
      </c>
      <c r="F161" s="145"/>
      <c r="G161" s="145"/>
      <c r="H161" s="145"/>
    </row>
    <row r="162" customHeight="1" spans="1:8">
      <c r="A162" s="1" t="str">
        <f>IFERROR(__xludf.DUMMYFUNCTION("""COMPUTED_VALUE"""),"Fagundes Varela")</f>
        <v>Fagundes Varela</v>
      </c>
      <c r="B162" s="144" t="str">
        <f>IFERROR(__xludf.DUMMYFUNCTION("""COMPUTED_VALUE"""),"2º CRBM")</f>
        <v>2º CRBM</v>
      </c>
      <c r="C162" s="1" t="str">
        <f>IFERROR(__xludf.DUMMYFUNCTION("""COMPUTED_VALUE"""),"5º BBM")</f>
        <v>5º BBM</v>
      </c>
      <c r="D162" s="1" t="str">
        <f>IFERROR(__xludf.DUMMYFUNCTION("""COMPUTED_VALUE"""),"Veranópolis")</f>
        <v>Veranópolis</v>
      </c>
      <c r="E162" s="145" t="str">
        <f>IFERROR(__xludf.DUMMYFUNCTION("""COMPUTED_VALUE"""),"NPBM")</f>
        <v>NPBM</v>
      </c>
      <c r="F162" s="145"/>
      <c r="G162" s="145"/>
      <c r="H162" s="145"/>
    </row>
    <row r="163" customHeight="1" spans="1:8">
      <c r="A163" s="1" t="str">
        <f>IFERROR(__xludf.DUMMYFUNCTION("""COMPUTED_VALUE"""),"Farroupilha")</f>
        <v>Farroupilha</v>
      </c>
      <c r="B163" s="144" t="str">
        <f>IFERROR(__xludf.DUMMYFUNCTION("""COMPUTED_VALUE"""),"2º CRBM")</f>
        <v>2º CRBM</v>
      </c>
      <c r="C163" s="1" t="str">
        <f>IFERROR(__xludf.DUMMYFUNCTION("""COMPUTED_VALUE"""),"5º BBM")</f>
        <v>5º BBM</v>
      </c>
      <c r="D163" s="1" t="str">
        <f>IFERROR(__xludf.DUMMYFUNCTION("""COMPUTED_VALUE"""),"Farroupilha")</f>
        <v>Farroupilha</v>
      </c>
      <c r="E163" s="145" t="str">
        <f>IFERROR(__xludf.DUMMYFUNCTION("""COMPUTED_VALUE"""),"Militar")</f>
        <v>Militar</v>
      </c>
      <c r="F163" s="145"/>
      <c r="G163" s="145"/>
      <c r="H163" s="145"/>
    </row>
    <row r="164" customHeight="1" spans="1:8">
      <c r="A164" s="1" t="str">
        <f>IFERROR(__xludf.DUMMYFUNCTION("""COMPUTED_VALUE"""),"Faxinal do Soturno")</f>
        <v>Faxinal do Soturno</v>
      </c>
      <c r="B164" s="144" t="str">
        <f>IFERROR(__xludf.DUMMYFUNCTION("""COMPUTED_VALUE"""),"4º CRBM")</f>
        <v>4º CRBM</v>
      </c>
      <c r="C164" s="1" t="str">
        <f>IFERROR(__xludf.DUMMYFUNCTION("""COMPUTED_VALUE"""),"4º BBM")</f>
        <v>4º BBM</v>
      </c>
      <c r="D164" s="1" t="str">
        <f>IFERROR(__xludf.DUMMYFUNCTION("""COMPUTED_VALUE"""),"Restinga Sêca")</f>
        <v>Restinga Sêca</v>
      </c>
      <c r="E164" s="145" t="str">
        <f>IFERROR(__xludf.DUMMYFUNCTION("""COMPUTED_VALUE"""),"Voluntersul")</f>
        <v>Voluntersul</v>
      </c>
      <c r="F164" s="145"/>
      <c r="G164" s="145"/>
      <c r="H164" s="145"/>
    </row>
    <row r="165" customHeight="1" spans="1:8">
      <c r="A165" s="1" t="str">
        <f>IFERROR(__xludf.DUMMYFUNCTION("""COMPUTED_VALUE"""),"Faxinalzinho")</f>
        <v>Faxinalzinho</v>
      </c>
      <c r="B165" s="144" t="str">
        <f>IFERROR(__xludf.DUMMYFUNCTION("""COMPUTED_VALUE"""),"2º CRBM")</f>
        <v>2º CRBM</v>
      </c>
      <c r="C165" s="1" t="str">
        <f>IFERROR(__xludf.DUMMYFUNCTION("""COMPUTED_VALUE"""),"7º BBM")</f>
        <v>7º BBM</v>
      </c>
      <c r="D165" s="1" t="str">
        <f>IFERROR(__xludf.DUMMYFUNCTION("""COMPUTED_VALUE"""),"Nonoai")</f>
        <v>Nonoai</v>
      </c>
      <c r="E165" s="145" t="str">
        <f>IFERROR(__xludf.DUMMYFUNCTION("""COMPUTED_VALUE"""),"SCAB")</f>
        <v>SCAB</v>
      </c>
      <c r="F165" s="145"/>
      <c r="G165" s="145"/>
      <c r="H165" s="145"/>
    </row>
    <row r="166" customHeight="1" spans="1:8">
      <c r="A166" s="1" t="str">
        <f>IFERROR(__xludf.DUMMYFUNCTION("""COMPUTED_VALUE"""),"Fazenda Vilanova")</f>
        <v>Fazenda Vilanova</v>
      </c>
      <c r="B166" s="144" t="str">
        <f>IFERROR(__xludf.DUMMYFUNCTION("""COMPUTED_VALUE"""),"4º CRBM")</f>
        <v>4º CRBM</v>
      </c>
      <c r="C166" s="1" t="str">
        <f>IFERROR(__xludf.DUMMYFUNCTION("""COMPUTED_VALUE"""),"6º BBM")</f>
        <v>6º BBM</v>
      </c>
      <c r="D166" s="1" t="str">
        <f>IFERROR(__xludf.DUMMYFUNCTION("""COMPUTED_VALUE"""),"Estrela")</f>
        <v>Estrela</v>
      </c>
      <c r="E166" s="145" t="str">
        <f>IFERROR(__xludf.DUMMYFUNCTION("""COMPUTED_VALUE"""),"NPBM")</f>
        <v>NPBM</v>
      </c>
      <c r="F166" s="145"/>
      <c r="G166" s="145"/>
      <c r="H166" s="145"/>
    </row>
    <row r="167" customHeight="1" spans="1:8">
      <c r="A167" s="1" t="str">
        <f>IFERROR(__xludf.DUMMYFUNCTION("""COMPUTED_VALUE"""),"Feliz")</f>
        <v>Feliz</v>
      </c>
      <c r="B167" s="144" t="str">
        <f>IFERROR(__xludf.DUMMYFUNCTION("""COMPUTED_VALUE"""),"2º CRBM")</f>
        <v>2º CRBM</v>
      </c>
      <c r="C167" s="1" t="str">
        <f>IFERROR(__xludf.DUMMYFUNCTION("""COMPUTED_VALUE"""),"2º BBM")</f>
        <v>2º BBM</v>
      </c>
      <c r="D167" s="1" t="str">
        <f>IFERROR(__xludf.DUMMYFUNCTION("""COMPUTED_VALUE"""),"Farroupilha")</f>
        <v>Farroupilha</v>
      </c>
      <c r="E167" s="145" t="str">
        <f>IFERROR(__xludf.DUMMYFUNCTION("""COMPUTED_VALUE"""),"SCAB")</f>
        <v>SCAB</v>
      </c>
      <c r="F167" s="145"/>
      <c r="G167" s="145"/>
      <c r="H167" s="145"/>
    </row>
    <row r="168" customHeight="1" spans="1:8">
      <c r="A168" s="1" t="str">
        <f>IFERROR(__xludf.DUMMYFUNCTION("""COMPUTED_VALUE"""),"Flores da Cunha")</f>
        <v>Flores da Cunha</v>
      </c>
      <c r="B168" s="144" t="str">
        <f>IFERROR(__xludf.DUMMYFUNCTION("""COMPUTED_VALUE"""),"2º CRBM")</f>
        <v>2º CRBM</v>
      </c>
      <c r="C168" s="1" t="str">
        <f>IFERROR(__xludf.DUMMYFUNCTION("""COMPUTED_VALUE"""),"5º BBM")</f>
        <v>5º BBM</v>
      </c>
      <c r="D168" s="1" t="str">
        <f>IFERROR(__xludf.DUMMYFUNCTION("""COMPUTED_VALUE"""),"Flores da Cunha")</f>
        <v>Flores da Cunha</v>
      </c>
      <c r="E168" s="145" t="str">
        <f>IFERROR(__xludf.DUMMYFUNCTION("""COMPUTED_VALUE"""),"Militar")</f>
        <v>Militar</v>
      </c>
      <c r="F168" s="145"/>
      <c r="G168" s="145"/>
      <c r="H168" s="145"/>
    </row>
    <row r="169" customHeight="1" spans="1:8">
      <c r="A169" s="1" t="str">
        <f>IFERROR(__xludf.DUMMYFUNCTION("""COMPUTED_VALUE"""),"Floriano Peixoto")</f>
        <v>Floriano Peixoto</v>
      </c>
      <c r="B169" s="144" t="str">
        <f>IFERROR(__xludf.DUMMYFUNCTION("""COMPUTED_VALUE"""),"2º CRBM")</f>
        <v>2º CRBM</v>
      </c>
      <c r="C169" s="1" t="str">
        <f>IFERROR(__xludf.DUMMYFUNCTION("""COMPUTED_VALUE"""),"7º BBM")</f>
        <v>7º BBM</v>
      </c>
      <c r="D169" s="1" t="str">
        <f>IFERROR(__xludf.DUMMYFUNCTION("""COMPUTED_VALUE"""),"Getúlio Vargas")</f>
        <v>Getúlio Vargas</v>
      </c>
      <c r="E169" s="145" t="str">
        <f>IFERROR(__xludf.DUMMYFUNCTION("""COMPUTED_VALUE"""),"NPBM")</f>
        <v>NPBM</v>
      </c>
      <c r="F169" s="145"/>
      <c r="G169" s="145"/>
      <c r="H169" s="145"/>
    </row>
    <row r="170" customHeight="1" spans="1:8">
      <c r="A170" s="1" t="str">
        <f>IFERROR(__xludf.DUMMYFUNCTION("""COMPUTED_VALUE"""),"Fontoura Xavier")</f>
        <v>Fontoura Xavier</v>
      </c>
      <c r="B170" s="144" t="str">
        <f>IFERROR(__xludf.DUMMYFUNCTION("""COMPUTED_VALUE"""),"2º CRBM")</f>
        <v>2º CRBM</v>
      </c>
      <c r="C170" s="1" t="str">
        <f>IFERROR(__xludf.DUMMYFUNCTION("""COMPUTED_VALUE"""),"7º BBM")</f>
        <v>7º BBM</v>
      </c>
      <c r="D170" s="1" t="str">
        <f>IFERROR(__xludf.DUMMYFUNCTION("""COMPUTED_VALUE"""),"Soledade")</f>
        <v>Soledade</v>
      </c>
      <c r="E170" s="145" t="str">
        <f>IFERROR(__xludf.DUMMYFUNCTION("""COMPUTED_VALUE"""),"NPBM")</f>
        <v>NPBM</v>
      </c>
      <c r="F170" s="145"/>
      <c r="G170" s="145"/>
      <c r="H170" s="145"/>
    </row>
    <row r="171" customHeight="1" spans="1:8">
      <c r="A171" s="1" t="str">
        <f>IFERROR(__xludf.DUMMYFUNCTION("""COMPUTED_VALUE"""),"Formigueiro")</f>
        <v>Formigueiro</v>
      </c>
      <c r="B171" s="144" t="str">
        <f>IFERROR(__xludf.DUMMYFUNCTION("""COMPUTED_VALUE"""),"4º CRBM")</f>
        <v>4º CRBM</v>
      </c>
      <c r="C171" s="1" t="str">
        <f>IFERROR(__xludf.DUMMYFUNCTION("""COMPUTED_VALUE"""),"4º BBM")</f>
        <v>4º BBM</v>
      </c>
      <c r="D171" s="1" t="str">
        <f>IFERROR(__xludf.DUMMYFUNCTION("""COMPUTED_VALUE"""),"Restinga Sêca")</f>
        <v>Restinga Sêca</v>
      </c>
      <c r="E171" s="145" t="str">
        <f>IFERROR(__xludf.DUMMYFUNCTION("""COMPUTED_VALUE"""),"NPBM")</f>
        <v>NPBM</v>
      </c>
      <c r="F171" s="145"/>
      <c r="G171" s="145"/>
      <c r="H171" s="145"/>
    </row>
    <row r="172" customHeight="1" spans="1:8">
      <c r="A172" s="1" t="str">
        <f>IFERROR(__xludf.DUMMYFUNCTION("""COMPUTED_VALUE"""),"Forquetinha")</f>
        <v>Forquetinha</v>
      </c>
      <c r="B172" s="144" t="str">
        <f>IFERROR(__xludf.DUMMYFUNCTION("""COMPUTED_VALUE"""),"4º CRBM")</f>
        <v>4º CRBM</v>
      </c>
      <c r="C172" s="1" t="str">
        <f>IFERROR(__xludf.DUMMYFUNCTION("""COMPUTED_VALUE"""),"6º BBM")</f>
        <v>6º BBM</v>
      </c>
      <c r="D172" s="1" t="str">
        <f>IFERROR(__xludf.DUMMYFUNCTION("""COMPUTED_VALUE"""),"Lajeado")</f>
        <v>Lajeado</v>
      </c>
      <c r="E172" s="145" t="str">
        <f>IFERROR(__xludf.DUMMYFUNCTION("""COMPUTED_VALUE"""),"NPBM")</f>
        <v>NPBM</v>
      </c>
      <c r="F172" s="145"/>
      <c r="G172" s="145"/>
      <c r="H172" s="145"/>
    </row>
    <row r="173" customHeight="1" spans="1:8">
      <c r="A173" s="1" t="str">
        <f>IFERROR(__xludf.DUMMYFUNCTION("""COMPUTED_VALUE"""),"Fortaleza dos Valos")</f>
        <v>Fortaleza dos Valos</v>
      </c>
      <c r="B173" s="144" t="str">
        <f>IFERROR(__xludf.DUMMYFUNCTION("""COMPUTED_VALUE"""),"4º CRBM")</f>
        <v>4º CRBM</v>
      </c>
      <c r="C173" s="1" t="str">
        <f>IFERROR(__xludf.DUMMYFUNCTION("""COMPUTED_VALUE"""),"12º BBM")</f>
        <v>12º BBM</v>
      </c>
      <c r="D173" s="1" t="str">
        <f>IFERROR(__xludf.DUMMYFUNCTION("""COMPUTED_VALUE"""),"Ibirubá")</f>
        <v>Ibirubá</v>
      </c>
      <c r="E173" s="145" t="str">
        <f>IFERROR(__xludf.DUMMYFUNCTION("""COMPUTED_VALUE"""),"NPBM")</f>
        <v>NPBM</v>
      </c>
      <c r="F173" s="145"/>
      <c r="G173" s="145"/>
      <c r="H173" s="145"/>
    </row>
    <row r="174" customHeight="1" spans="1:8">
      <c r="A174" s="1" t="str">
        <f>IFERROR(__xludf.DUMMYFUNCTION("""COMPUTED_VALUE"""),"Frederico Westphalen")</f>
        <v>Frederico Westphalen</v>
      </c>
      <c r="B174" s="144" t="str">
        <f>IFERROR(__xludf.DUMMYFUNCTION("""COMPUTED_VALUE"""),"4º CRBM")</f>
        <v>4º CRBM</v>
      </c>
      <c r="C174" s="1" t="str">
        <f>IFERROR(__xludf.DUMMYFUNCTION("""COMPUTED_VALUE"""),"12º BBM")</f>
        <v>12º BBM</v>
      </c>
      <c r="D174" s="1" t="str">
        <f>IFERROR(__xludf.DUMMYFUNCTION("""COMPUTED_VALUE"""),"Frederico Westphalen")</f>
        <v>Frederico Westphalen</v>
      </c>
      <c r="E174" s="145" t="str">
        <f>IFERROR(__xludf.DUMMYFUNCTION("""COMPUTED_VALUE"""),"Militar")</f>
        <v>Militar</v>
      </c>
      <c r="F174" s="145"/>
      <c r="G174" s="145"/>
      <c r="H174" s="145"/>
    </row>
    <row r="175" customHeight="1" spans="1:8">
      <c r="A175" s="1" t="str">
        <f>IFERROR(__xludf.DUMMYFUNCTION("""COMPUTED_VALUE"""),"Garibaldi")</f>
        <v>Garibaldi</v>
      </c>
      <c r="B175" s="144" t="str">
        <f>IFERROR(__xludf.DUMMYFUNCTION("""COMPUTED_VALUE"""),"2º CRBM")</f>
        <v>2º CRBM</v>
      </c>
      <c r="C175" s="1" t="str">
        <f>IFERROR(__xludf.DUMMYFUNCTION("""COMPUTED_VALUE"""),"5º BBM")</f>
        <v>5º BBM</v>
      </c>
      <c r="D175" s="1" t="str">
        <f>IFERROR(__xludf.DUMMYFUNCTION("""COMPUTED_VALUE"""),"Bento Gonçalves")</f>
        <v>Bento Gonçalves</v>
      </c>
      <c r="E175" s="145" t="str">
        <f>IFERROR(__xludf.DUMMYFUNCTION("""COMPUTED_VALUE"""),"Voluntersul")</f>
        <v>Voluntersul</v>
      </c>
      <c r="F175" s="145"/>
      <c r="G175" s="145"/>
      <c r="H175" s="145"/>
    </row>
    <row r="176" customHeight="1" spans="1:8">
      <c r="A176" s="1" t="str">
        <f>IFERROR(__xludf.DUMMYFUNCTION("""COMPUTED_VALUE"""),"Garruchos")</f>
        <v>Garruchos</v>
      </c>
      <c r="B176" s="144" t="str">
        <f>IFERROR(__xludf.DUMMYFUNCTION("""COMPUTED_VALUE"""),"4º CRBM")</f>
        <v>4º CRBM</v>
      </c>
      <c r="C176" s="1" t="str">
        <f>IFERROR(__xludf.DUMMYFUNCTION("""COMPUTED_VALUE"""),"11º BBM")</f>
        <v>11º BBM</v>
      </c>
      <c r="D176" s="1" t="str">
        <f>IFERROR(__xludf.DUMMYFUNCTION("""COMPUTED_VALUE"""),"São Borja")</f>
        <v>São Borja</v>
      </c>
      <c r="E176" s="145" t="str">
        <f>IFERROR(__xludf.DUMMYFUNCTION("""COMPUTED_VALUE"""),"NPBM")</f>
        <v>NPBM</v>
      </c>
      <c r="F176" s="145"/>
      <c r="G176" s="145"/>
      <c r="H176" s="145"/>
    </row>
    <row r="177" customHeight="1" spans="1:8">
      <c r="A177" s="1" t="str">
        <f>IFERROR(__xludf.DUMMYFUNCTION("""COMPUTED_VALUE"""),"Gaurama")</f>
        <v>Gaurama</v>
      </c>
      <c r="B177" s="144" t="str">
        <f>IFERROR(__xludf.DUMMYFUNCTION("""COMPUTED_VALUE"""),"2º CRBM")</f>
        <v>2º CRBM</v>
      </c>
      <c r="C177" s="1" t="str">
        <f>IFERROR(__xludf.DUMMYFUNCTION("""COMPUTED_VALUE"""),"7º BBM")</f>
        <v>7º BBM</v>
      </c>
      <c r="D177" s="1" t="str">
        <f>IFERROR(__xludf.DUMMYFUNCTION("""COMPUTED_VALUE"""),"Erechim")</f>
        <v>Erechim</v>
      </c>
      <c r="E177" s="145" t="str">
        <f>IFERROR(__xludf.DUMMYFUNCTION("""COMPUTED_VALUE"""),"SCAB")</f>
        <v>SCAB</v>
      </c>
      <c r="F177" s="145"/>
      <c r="G177" s="145"/>
      <c r="H177" s="145"/>
    </row>
    <row r="178" customHeight="1" spans="1:8">
      <c r="A178" s="1" t="str">
        <f>IFERROR(__xludf.DUMMYFUNCTION("""COMPUTED_VALUE"""),"General Câmara")</f>
        <v>General Câmara</v>
      </c>
      <c r="B178" s="144" t="str">
        <f>IFERROR(__xludf.DUMMYFUNCTION("""COMPUTED_VALUE"""),"4º CRBM")</f>
        <v>4º CRBM</v>
      </c>
      <c r="C178" s="1" t="str">
        <f>IFERROR(__xludf.DUMMYFUNCTION("""COMPUTED_VALUE"""),"6º BBM")</f>
        <v>6º BBM</v>
      </c>
      <c r="D178" s="1" t="str">
        <f>IFERROR(__xludf.DUMMYFUNCTION("""COMPUTED_VALUE"""),"São Jerônimo")</f>
        <v>São Jerônimo</v>
      </c>
      <c r="E178" s="145" t="str">
        <f>IFERROR(__xludf.DUMMYFUNCTION("""COMPUTED_VALUE"""),"Voluntersul")</f>
        <v>Voluntersul</v>
      </c>
      <c r="F178" s="145"/>
      <c r="G178" s="145"/>
      <c r="H178" s="145"/>
    </row>
    <row r="179" customHeight="1" spans="1:8">
      <c r="A179" s="1" t="str">
        <f>IFERROR(__xludf.DUMMYFUNCTION("""COMPUTED_VALUE"""),"Gentil")</f>
        <v>Gentil</v>
      </c>
      <c r="B179" s="144" t="str">
        <f>IFERROR(__xludf.DUMMYFUNCTION("""COMPUTED_VALUE"""),"2º CRBM")</f>
        <v>2º CRBM</v>
      </c>
      <c r="C179" s="1" t="str">
        <f>IFERROR(__xludf.DUMMYFUNCTION("""COMPUTED_VALUE"""),"7º BBM")</f>
        <v>7º BBM</v>
      </c>
      <c r="D179" s="1" t="str">
        <f>IFERROR(__xludf.DUMMYFUNCTION("""COMPUTED_VALUE"""),"Passo Fundo")</f>
        <v>Passo Fundo</v>
      </c>
      <c r="E179" s="145" t="str">
        <f>IFERROR(__xludf.DUMMYFUNCTION("""COMPUTED_VALUE"""),"NPBM")</f>
        <v>NPBM</v>
      </c>
      <c r="F179" s="145"/>
      <c r="G179" s="145"/>
      <c r="H179" s="145"/>
    </row>
    <row r="180" customHeight="1" spans="1:8">
      <c r="A180" s="1" t="str">
        <f>IFERROR(__xludf.DUMMYFUNCTION("""COMPUTED_VALUE"""),"Getúlio Vargas")</f>
        <v>Getúlio Vargas</v>
      </c>
      <c r="B180" s="144" t="str">
        <f>IFERROR(__xludf.DUMMYFUNCTION("""COMPUTED_VALUE"""),"2º CRBM")</f>
        <v>2º CRBM</v>
      </c>
      <c r="C180" s="1" t="str">
        <f>IFERROR(__xludf.DUMMYFUNCTION("""COMPUTED_VALUE"""),"7º BBM")</f>
        <v>7º BBM</v>
      </c>
      <c r="D180" s="1" t="str">
        <f>IFERROR(__xludf.DUMMYFUNCTION("""COMPUTED_VALUE"""),"Getúlio Vargas")</f>
        <v>Getúlio Vargas</v>
      </c>
      <c r="E180" s="145" t="str">
        <f>IFERROR(__xludf.DUMMYFUNCTION("""COMPUTED_VALUE"""),"Comunitário")</f>
        <v>Comunitário</v>
      </c>
      <c r="F180" s="145"/>
      <c r="G180" s="145"/>
      <c r="H180" s="145"/>
    </row>
    <row r="181" customHeight="1" spans="1:8">
      <c r="A181" s="1" t="str">
        <f>IFERROR(__xludf.DUMMYFUNCTION("""COMPUTED_VALUE"""),"Giruá")</f>
        <v>Giruá</v>
      </c>
      <c r="B181" s="144" t="str">
        <f>IFERROR(__xludf.DUMMYFUNCTION("""COMPUTED_VALUE"""),"4º CRBM")</f>
        <v>4º CRBM</v>
      </c>
      <c r="C181" s="1" t="str">
        <f>IFERROR(__xludf.DUMMYFUNCTION("""COMPUTED_VALUE"""),"11º BBM")</f>
        <v>11º BBM</v>
      </c>
      <c r="D181" s="1" t="str">
        <f>IFERROR(__xludf.DUMMYFUNCTION("""COMPUTED_VALUE"""),"Giruá")</f>
        <v>Giruá</v>
      </c>
      <c r="E181" s="145" t="str">
        <f>IFERROR(__xludf.DUMMYFUNCTION("""COMPUTED_VALUE"""),"Militar")</f>
        <v>Militar</v>
      </c>
      <c r="F181" s="145"/>
      <c r="G181" s="145"/>
      <c r="H181" s="145"/>
    </row>
    <row r="182" customHeight="1" spans="1:8">
      <c r="A182" s="1" t="str">
        <f>IFERROR(__xludf.DUMMYFUNCTION("""COMPUTED_VALUE"""),"Glorinha")</f>
        <v>Glorinha</v>
      </c>
      <c r="B182" s="144" t="str">
        <f>IFERROR(__xludf.DUMMYFUNCTION("""COMPUTED_VALUE"""),"1º CRBM")</f>
        <v>1º CRBM</v>
      </c>
      <c r="C182" s="1" t="str">
        <f>IFERROR(__xludf.DUMMYFUNCTION("""COMPUTED_VALUE"""),"8º BBM")</f>
        <v>8º BBM</v>
      </c>
      <c r="D182" s="1" t="str">
        <f>IFERROR(__xludf.DUMMYFUNCTION("""COMPUTED_VALUE"""),"Gravataí")</f>
        <v>Gravataí</v>
      </c>
      <c r="E182" s="145" t="str">
        <f>IFERROR(__xludf.DUMMYFUNCTION("""COMPUTED_VALUE"""),"Voluntersul")</f>
        <v>Voluntersul</v>
      </c>
      <c r="F182" s="145"/>
      <c r="G182" s="145"/>
      <c r="H182" s="145"/>
    </row>
    <row r="183" customHeight="1" spans="1:8">
      <c r="A183" s="1" t="str">
        <f>IFERROR(__xludf.DUMMYFUNCTION("""COMPUTED_VALUE"""),"Gramado")</f>
        <v>Gramado</v>
      </c>
      <c r="B183" s="144" t="str">
        <f>IFERROR(__xludf.DUMMYFUNCTION("""COMPUTED_VALUE"""),"2º CRBM")</f>
        <v>2º CRBM</v>
      </c>
      <c r="C183" s="1" t="str">
        <f>IFERROR(__xludf.DUMMYFUNCTION("""COMPUTED_VALUE"""),"5º BBM")</f>
        <v>5º BBM</v>
      </c>
      <c r="D183" s="1" t="str">
        <f>IFERROR(__xludf.DUMMYFUNCTION("""COMPUTED_VALUE"""),"Gramado")</f>
        <v>Gramado</v>
      </c>
      <c r="E183" s="145" t="str">
        <f>IFERROR(__xludf.DUMMYFUNCTION("""COMPUTED_VALUE"""),"Militar")</f>
        <v>Militar</v>
      </c>
      <c r="F183" s="145"/>
      <c r="G183" s="145"/>
      <c r="H183" s="145"/>
    </row>
    <row r="184" customHeight="1" spans="1:8">
      <c r="A184" s="1" t="str">
        <f>IFERROR(__xludf.DUMMYFUNCTION("""COMPUTED_VALUE"""),"Gramado dos Loureiros")</f>
        <v>Gramado dos Loureiros</v>
      </c>
      <c r="B184" s="144" t="str">
        <f>IFERROR(__xludf.DUMMYFUNCTION("""COMPUTED_VALUE"""),"2º CRBM")</f>
        <v>2º CRBM</v>
      </c>
      <c r="C184" s="1" t="str">
        <f>IFERROR(__xludf.DUMMYFUNCTION("""COMPUTED_VALUE"""),"7º BBM")</f>
        <v>7º BBM</v>
      </c>
      <c r="D184" s="1" t="str">
        <f>IFERROR(__xludf.DUMMYFUNCTION("""COMPUTED_VALUE"""),"Nonoai")</f>
        <v>Nonoai</v>
      </c>
      <c r="E184" s="145" t="str">
        <f>IFERROR(__xludf.DUMMYFUNCTION("""COMPUTED_VALUE"""),"NPBM")</f>
        <v>NPBM</v>
      </c>
      <c r="F184" s="145"/>
      <c r="G184" s="145"/>
      <c r="H184" s="145"/>
    </row>
    <row r="185" customHeight="1" spans="1:8">
      <c r="A185" s="1" t="str">
        <f>IFERROR(__xludf.DUMMYFUNCTION("""COMPUTED_VALUE"""),"Gramado Xavier")</f>
        <v>Gramado Xavier</v>
      </c>
      <c r="B185" s="144" t="str">
        <f>IFERROR(__xludf.DUMMYFUNCTION("""COMPUTED_VALUE"""),"4º CRBM")</f>
        <v>4º CRBM</v>
      </c>
      <c r="C185" s="1" t="str">
        <f>IFERROR(__xludf.DUMMYFUNCTION("""COMPUTED_VALUE"""),"6º BBM")</f>
        <v>6º BBM</v>
      </c>
      <c r="D185" s="1" t="str">
        <f>IFERROR(__xludf.DUMMYFUNCTION("""COMPUTED_VALUE"""),"Soledade")</f>
        <v>Soledade</v>
      </c>
      <c r="E185" s="145" t="str">
        <f>IFERROR(__xludf.DUMMYFUNCTION("""COMPUTED_VALUE"""),"NPBM")</f>
        <v>NPBM</v>
      </c>
      <c r="F185" s="145"/>
      <c r="G185" s="145"/>
      <c r="H185" s="145"/>
    </row>
    <row r="186" customHeight="1" spans="1:8">
      <c r="A186" s="1" t="str">
        <f>IFERROR(__xludf.DUMMYFUNCTION("""COMPUTED_VALUE"""),"Gravataí")</f>
        <v>Gravataí</v>
      </c>
      <c r="B186" s="144" t="str">
        <f>IFERROR(__xludf.DUMMYFUNCTION("""COMPUTED_VALUE"""),"1º CRBM")</f>
        <v>1º CRBM</v>
      </c>
      <c r="C186" s="1" t="str">
        <f>IFERROR(__xludf.DUMMYFUNCTION("""COMPUTED_VALUE"""),"8º BBM")</f>
        <v>8º BBM</v>
      </c>
      <c r="D186" s="1" t="str">
        <f>IFERROR(__xludf.DUMMYFUNCTION("""COMPUTED_VALUE"""),"Gravataí")</f>
        <v>Gravataí</v>
      </c>
      <c r="E186" s="145" t="str">
        <f>IFERROR(__xludf.DUMMYFUNCTION("""COMPUTED_VALUE"""),"Militar")</f>
        <v>Militar</v>
      </c>
      <c r="F186" s="145"/>
      <c r="G186" s="145"/>
      <c r="H186" s="145"/>
    </row>
    <row r="187" customHeight="1" spans="1:8">
      <c r="A187" s="1" t="str">
        <f>IFERROR(__xludf.DUMMYFUNCTION("""COMPUTED_VALUE"""),"Guabiju")</f>
        <v>Guabiju</v>
      </c>
      <c r="B187" s="144" t="str">
        <f>IFERROR(__xludf.DUMMYFUNCTION("""COMPUTED_VALUE"""),"2º CRBM")</f>
        <v>2º CRBM</v>
      </c>
      <c r="C187" s="1" t="str">
        <f>IFERROR(__xludf.DUMMYFUNCTION("""COMPUTED_VALUE"""),"5º BBM")</f>
        <v>5º BBM</v>
      </c>
      <c r="D187" s="1" t="str">
        <f>IFERROR(__xludf.DUMMYFUNCTION("""COMPUTED_VALUE"""),"Veranópolis")</f>
        <v>Veranópolis</v>
      </c>
      <c r="E187" s="145" t="str">
        <f>IFERROR(__xludf.DUMMYFUNCTION("""COMPUTED_VALUE"""),"NPBM")</f>
        <v>NPBM</v>
      </c>
      <c r="F187" s="145"/>
      <c r="G187" s="145"/>
      <c r="H187" s="145"/>
    </row>
    <row r="188" customHeight="1" spans="1:8">
      <c r="A188" s="1" t="str">
        <f>IFERROR(__xludf.DUMMYFUNCTION("""COMPUTED_VALUE"""),"Guaíba")</f>
        <v>Guaíba</v>
      </c>
      <c r="B188" s="144" t="str">
        <f>IFERROR(__xludf.DUMMYFUNCTION("""COMPUTED_VALUE"""),"4º CRBM")</f>
        <v>4º CRBM</v>
      </c>
      <c r="C188" s="1" t="str">
        <f>IFERROR(__xludf.DUMMYFUNCTION("""COMPUTED_VALUE"""),"6º BBM")</f>
        <v>6º BBM</v>
      </c>
      <c r="D188" s="1" t="str">
        <f>IFERROR(__xludf.DUMMYFUNCTION("""COMPUTED_VALUE"""),"Guaíba")</f>
        <v>Guaíba</v>
      </c>
      <c r="E188" s="145" t="str">
        <f>IFERROR(__xludf.DUMMYFUNCTION("""COMPUTED_VALUE"""),"Militar")</f>
        <v>Militar</v>
      </c>
      <c r="F188" s="145"/>
      <c r="G188" s="145"/>
      <c r="H188" s="145"/>
    </row>
    <row r="189" customHeight="1" spans="1:8">
      <c r="A189" s="1" t="str">
        <f>IFERROR(__xludf.DUMMYFUNCTION("""COMPUTED_VALUE"""),"Guaporé")</f>
        <v>Guaporé</v>
      </c>
      <c r="B189" s="144" t="str">
        <f>IFERROR(__xludf.DUMMYFUNCTION("""COMPUTED_VALUE"""),"2º CRBM")</f>
        <v>2º CRBM</v>
      </c>
      <c r="C189" s="1" t="str">
        <f>IFERROR(__xludf.DUMMYFUNCTION("""COMPUTED_VALUE"""),"7º BBM")</f>
        <v>7º BBM</v>
      </c>
      <c r="D189" s="1" t="str">
        <f>IFERROR(__xludf.DUMMYFUNCTION("""COMPUTED_VALUE"""),"Guaporé")</f>
        <v>Guaporé</v>
      </c>
      <c r="E189" s="145" t="str">
        <f>IFERROR(__xludf.DUMMYFUNCTION("""COMPUTED_VALUE"""),"Militar")</f>
        <v>Militar</v>
      </c>
      <c r="F189" s="145"/>
      <c r="G189" s="145"/>
      <c r="H189" s="145"/>
    </row>
    <row r="190" customHeight="1" spans="1:8">
      <c r="A190" s="1" t="str">
        <f>IFERROR(__xludf.DUMMYFUNCTION("""COMPUTED_VALUE"""),"Guarani das Missões")</f>
        <v>Guarani das Missões</v>
      </c>
      <c r="B190" s="144" t="str">
        <f>IFERROR(__xludf.DUMMYFUNCTION("""COMPUTED_VALUE"""),"4º CRBM")</f>
        <v>4º CRBM</v>
      </c>
      <c r="C190" s="1" t="str">
        <f>IFERROR(__xludf.DUMMYFUNCTION("""COMPUTED_VALUE"""),"11º BBM")</f>
        <v>11º BBM</v>
      </c>
      <c r="D190" s="1" t="str">
        <f>IFERROR(__xludf.DUMMYFUNCTION("""COMPUTED_VALUE"""),"Santo Ângelo")</f>
        <v>Santo Ângelo</v>
      </c>
      <c r="E190" s="145" t="str">
        <f>IFERROR(__xludf.DUMMYFUNCTION("""COMPUTED_VALUE"""),"NPBM")</f>
        <v>NPBM</v>
      </c>
      <c r="F190" s="145"/>
      <c r="G190" s="145"/>
      <c r="H190" s="145"/>
    </row>
    <row r="191" customHeight="1" spans="1:8">
      <c r="A191" s="1" t="str">
        <f>IFERROR(__xludf.DUMMYFUNCTION("""COMPUTED_VALUE"""),"Harmonia")</f>
        <v>Harmonia</v>
      </c>
      <c r="B191" s="144" t="str">
        <f>IFERROR(__xludf.DUMMYFUNCTION("""COMPUTED_VALUE"""),"2º CRBM")</f>
        <v>2º CRBM</v>
      </c>
      <c r="C191" s="1" t="str">
        <f>IFERROR(__xludf.DUMMYFUNCTION("""COMPUTED_VALUE"""),"2º BBM")</f>
        <v>2º BBM</v>
      </c>
      <c r="D191" s="1" t="str">
        <f>IFERROR(__xludf.DUMMYFUNCTION("""COMPUTED_VALUE"""),"Montenegro")</f>
        <v>Montenegro</v>
      </c>
      <c r="E191" s="145" t="str">
        <f>IFERROR(__xludf.DUMMYFUNCTION("""COMPUTED_VALUE"""),"Voluntersul")</f>
        <v>Voluntersul</v>
      </c>
      <c r="F191" s="145"/>
      <c r="G191" s="145"/>
      <c r="H191" s="145"/>
    </row>
    <row r="192" customHeight="1" spans="1:8">
      <c r="A192" s="1" t="str">
        <f>IFERROR(__xludf.DUMMYFUNCTION("""COMPUTED_VALUE"""),"Herval")</f>
        <v>Herval</v>
      </c>
      <c r="B192" s="144" t="str">
        <f>IFERROR(__xludf.DUMMYFUNCTION("""COMPUTED_VALUE"""),"3º CRBM")</f>
        <v>3º CRBM</v>
      </c>
      <c r="C192" s="1" t="str">
        <f>IFERROR(__xludf.DUMMYFUNCTION("""COMPUTED_VALUE"""),"3º BBM")</f>
        <v>3º BBM</v>
      </c>
      <c r="D192" s="1" t="str">
        <f>IFERROR(__xludf.DUMMYFUNCTION("""COMPUTED_VALUE"""),"Jaguarão")</f>
        <v>Jaguarão</v>
      </c>
      <c r="E192" s="145" t="str">
        <f>IFERROR(__xludf.DUMMYFUNCTION("""COMPUTED_VALUE"""),"NPBM")</f>
        <v>NPBM</v>
      </c>
      <c r="F192" s="145"/>
      <c r="G192" s="145"/>
      <c r="H192" s="145"/>
    </row>
    <row r="193" customHeight="1" spans="1:8">
      <c r="A193" s="1" t="str">
        <f>IFERROR(__xludf.DUMMYFUNCTION("""COMPUTED_VALUE"""),"Herveiras")</f>
        <v>Herveiras</v>
      </c>
      <c r="B193" s="144" t="str">
        <f>IFERROR(__xludf.DUMMYFUNCTION("""COMPUTED_VALUE"""),"4º CRBM")</f>
        <v>4º CRBM</v>
      </c>
      <c r="C193" s="1" t="str">
        <f>IFERROR(__xludf.DUMMYFUNCTION("""COMPUTED_VALUE"""),"6º BBM")</f>
        <v>6º BBM</v>
      </c>
      <c r="D193" s="1" t="str">
        <f>IFERROR(__xludf.DUMMYFUNCTION("""COMPUTED_VALUE"""),"Santa Cruz do Sul")</f>
        <v>Santa Cruz do Sul</v>
      </c>
      <c r="E193" s="145" t="str">
        <f>IFERROR(__xludf.DUMMYFUNCTION("""COMPUTED_VALUE"""),"NPBM")</f>
        <v>NPBM</v>
      </c>
      <c r="F193" s="145"/>
      <c r="G193" s="145"/>
      <c r="H193" s="145"/>
    </row>
    <row r="194" customHeight="1" spans="1:8">
      <c r="A194" s="1" t="str">
        <f>IFERROR(__xludf.DUMMYFUNCTION("""COMPUTED_VALUE"""),"Horizontina")</f>
        <v>Horizontina</v>
      </c>
      <c r="B194" s="144" t="str">
        <f>IFERROR(__xludf.DUMMYFUNCTION("""COMPUTED_VALUE"""),"4º CRBM")</f>
        <v>4º CRBM</v>
      </c>
      <c r="C194" s="1" t="str">
        <f>IFERROR(__xludf.DUMMYFUNCTION("""COMPUTED_VALUE"""),"11º BBM")</f>
        <v>11º BBM</v>
      </c>
      <c r="D194" s="1" t="str">
        <f>IFERROR(__xludf.DUMMYFUNCTION("""COMPUTED_VALUE"""),"Horizontina")</f>
        <v>Horizontina</v>
      </c>
      <c r="E194" s="145" t="str">
        <f>IFERROR(__xludf.DUMMYFUNCTION("""COMPUTED_VALUE"""),"Militar")</f>
        <v>Militar</v>
      </c>
      <c r="F194" s="145"/>
      <c r="G194" s="145"/>
      <c r="H194" s="145"/>
    </row>
    <row r="195" customHeight="1" spans="1:8">
      <c r="A195" s="1" t="str">
        <f>IFERROR(__xludf.DUMMYFUNCTION("""COMPUTED_VALUE"""),"Hulha Negra")</f>
        <v>Hulha Negra</v>
      </c>
      <c r="B195" s="144" t="str">
        <f>IFERROR(__xludf.DUMMYFUNCTION("""COMPUTED_VALUE"""),"3º CRBM")</f>
        <v>3º CRBM</v>
      </c>
      <c r="C195" s="1" t="str">
        <f>IFERROR(__xludf.DUMMYFUNCTION("""COMPUTED_VALUE"""),"10º BBM")</f>
        <v>10º BBM</v>
      </c>
      <c r="D195" s="1" t="str">
        <f>IFERROR(__xludf.DUMMYFUNCTION("""COMPUTED_VALUE"""),"Bagé")</f>
        <v>Bagé</v>
      </c>
      <c r="E195" s="145" t="str">
        <f>IFERROR(__xludf.DUMMYFUNCTION("""COMPUTED_VALUE"""),"NPBM")</f>
        <v>NPBM</v>
      </c>
      <c r="F195" s="145"/>
      <c r="G195" s="145"/>
      <c r="H195" s="145"/>
    </row>
    <row r="196" customHeight="1" spans="1:8">
      <c r="A196" s="1" t="str">
        <f>IFERROR(__xludf.DUMMYFUNCTION("""COMPUTED_VALUE"""),"Humaitá")</f>
        <v>Humaitá</v>
      </c>
      <c r="B196" s="144" t="str">
        <f>IFERROR(__xludf.DUMMYFUNCTION("""COMPUTED_VALUE"""),"4º CRBM")</f>
        <v>4º CRBM</v>
      </c>
      <c r="C196" s="1" t="str">
        <f>IFERROR(__xludf.DUMMYFUNCTION("""COMPUTED_VALUE"""),"11º BBM")</f>
        <v>11º BBM</v>
      </c>
      <c r="D196" s="1" t="str">
        <f>IFERROR(__xludf.DUMMYFUNCTION("""COMPUTED_VALUE"""),"Três Passos")</f>
        <v>Três Passos</v>
      </c>
      <c r="E196" s="145" t="str">
        <f>IFERROR(__xludf.DUMMYFUNCTION("""COMPUTED_VALUE"""),"NPBM")</f>
        <v>NPBM</v>
      </c>
      <c r="F196" s="145"/>
      <c r="G196" s="145"/>
      <c r="H196" s="145"/>
    </row>
    <row r="197" customHeight="1" spans="1:8">
      <c r="A197" s="1" t="str">
        <f>IFERROR(__xludf.DUMMYFUNCTION("""COMPUTED_VALUE"""),"Ibarama")</f>
        <v>Ibarama</v>
      </c>
      <c r="B197" s="144" t="str">
        <f>IFERROR(__xludf.DUMMYFUNCTION("""COMPUTED_VALUE"""),"4º CRBM")</f>
        <v>4º CRBM</v>
      </c>
      <c r="C197" s="1" t="str">
        <f>IFERROR(__xludf.DUMMYFUNCTION("""COMPUTED_VALUE"""),"6º BBM")</f>
        <v>6º BBM</v>
      </c>
      <c r="D197" s="1" t="str">
        <f>IFERROR(__xludf.DUMMYFUNCTION("""COMPUTED_VALUE"""),"Santa Cruz do Sul")</f>
        <v>Santa Cruz do Sul</v>
      </c>
      <c r="E197" s="145" t="str">
        <f>IFERROR(__xludf.DUMMYFUNCTION("""COMPUTED_VALUE"""),"NPBM")</f>
        <v>NPBM</v>
      </c>
      <c r="F197" s="145"/>
      <c r="G197" s="145"/>
      <c r="H197" s="145"/>
    </row>
    <row r="198" customHeight="1" spans="1:8">
      <c r="A198" s="1" t="str">
        <f>IFERROR(__xludf.DUMMYFUNCTION("""COMPUTED_VALUE"""),"Ibiaçá")</f>
        <v>Ibiaçá</v>
      </c>
      <c r="B198" s="144" t="str">
        <f>IFERROR(__xludf.DUMMYFUNCTION("""COMPUTED_VALUE"""),"2º CRBM")</f>
        <v>2º CRBM</v>
      </c>
      <c r="C198" s="1" t="str">
        <f>IFERROR(__xludf.DUMMYFUNCTION("""COMPUTED_VALUE"""),"5º BBM")</f>
        <v>5º BBM</v>
      </c>
      <c r="D198" s="1" t="str">
        <f>IFERROR(__xludf.DUMMYFUNCTION("""COMPUTED_VALUE"""),"Lagoa Vermelha")</f>
        <v>Lagoa Vermelha</v>
      </c>
      <c r="E198" s="145" t="str">
        <f>IFERROR(__xludf.DUMMYFUNCTION("""COMPUTED_VALUE"""),"NPBM")</f>
        <v>NPBM</v>
      </c>
      <c r="F198" s="145"/>
      <c r="G198" s="145"/>
      <c r="H198" s="145"/>
    </row>
    <row r="199" customHeight="1" spans="1:8">
      <c r="A199" s="1" t="str">
        <f>IFERROR(__xludf.DUMMYFUNCTION("""COMPUTED_VALUE"""),"Ibiraiaras")</f>
        <v>Ibiraiaras</v>
      </c>
      <c r="B199" s="144" t="str">
        <f>IFERROR(__xludf.DUMMYFUNCTION("""COMPUTED_VALUE"""),"2º CRBM")</f>
        <v>2º CRBM</v>
      </c>
      <c r="C199" s="1" t="str">
        <f>IFERROR(__xludf.DUMMYFUNCTION("""COMPUTED_VALUE"""),"5º BBM")</f>
        <v>5º BBM</v>
      </c>
      <c r="D199" s="1" t="str">
        <f>IFERROR(__xludf.DUMMYFUNCTION("""COMPUTED_VALUE"""),"Lagoa Vermelha")</f>
        <v>Lagoa Vermelha</v>
      </c>
      <c r="E199" s="145" t="str">
        <f>IFERROR(__xludf.DUMMYFUNCTION("""COMPUTED_VALUE"""),"NPBM")</f>
        <v>NPBM</v>
      </c>
      <c r="F199" s="145"/>
      <c r="G199" s="145"/>
      <c r="H199" s="145"/>
    </row>
    <row r="200" customHeight="1" spans="1:8">
      <c r="A200" s="1" t="str">
        <f>IFERROR(__xludf.DUMMYFUNCTION("""COMPUTED_VALUE"""),"Ibirapuitã")</f>
        <v>Ibirapuitã</v>
      </c>
      <c r="B200" s="144" t="str">
        <f>IFERROR(__xludf.DUMMYFUNCTION("""COMPUTED_VALUE"""),"2º CRBM")</f>
        <v>2º CRBM</v>
      </c>
      <c r="C200" s="1" t="str">
        <f>IFERROR(__xludf.DUMMYFUNCTION("""COMPUTED_VALUE"""),"7º BBM")</f>
        <v>7º BBM</v>
      </c>
      <c r="D200" s="1" t="str">
        <f>IFERROR(__xludf.DUMMYFUNCTION("""COMPUTED_VALUE"""),"Soledade")</f>
        <v>Soledade</v>
      </c>
      <c r="E200" s="145" t="str">
        <f>IFERROR(__xludf.DUMMYFUNCTION("""COMPUTED_VALUE"""),"NPBM")</f>
        <v>NPBM</v>
      </c>
      <c r="F200" s="145"/>
      <c r="G200" s="145"/>
      <c r="H200" s="145"/>
    </row>
    <row r="201" customHeight="1" spans="1:8">
      <c r="A201" s="1" t="str">
        <f>IFERROR(__xludf.DUMMYFUNCTION("""COMPUTED_VALUE"""),"Ibirubá")</f>
        <v>Ibirubá</v>
      </c>
      <c r="B201" s="144" t="str">
        <f>IFERROR(__xludf.DUMMYFUNCTION("""COMPUTED_VALUE"""),"4º CRBM")</f>
        <v>4º CRBM</v>
      </c>
      <c r="C201" s="1" t="str">
        <f>IFERROR(__xludf.DUMMYFUNCTION("""COMPUTED_VALUE"""),"12º BBM")</f>
        <v>12º BBM</v>
      </c>
      <c r="D201" s="1" t="str">
        <f>IFERROR(__xludf.DUMMYFUNCTION("""COMPUTED_VALUE"""),"Ibirubá")</f>
        <v>Ibirubá</v>
      </c>
      <c r="E201" s="145" t="str">
        <f>IFERROR(__xludf.DUMMYFUNCTION("""COMPUTED_VALUE"""),"Comunitário")</f>
        <v>Comunitário</v>
      </c>
      <c r="F201" s="145"/>
      <c r="G201" s="145"/>
      <c r="H201" s="145"/>
    </row>
    <row r="202" customHeight="1" spans="1:8">
      <c r="A202" s="1" t="str">
        <f>IFERROR(__xludf.DUMMYFUNCTION("""COMPUTED_VALUE"""),"Igrejinha")</f>
        <v>Igrejinha</v>
      </c>
      <c r="B202" s="144" t="str">
        <f>IFERROR(__xludf.DUMMYFUNCTION("""COMPUTED_VALUE"""),"2º CRBM")</f>
        <v>2º CRBM</v>
      </c>
      <c r="C202" s="1" t="str">
        <f>IFERROR(__xludf.DUMMYFUNCTION("""COMPUTED_VALUE"""),"5º BBM")</f>
        <v>5º BBM</v>
      </c>
      <c r="D202" s="1" t="str">
        <f>IFERROR(__xludf.DUMMYFUNCTION("""COMPUTED_VALUE"""),"Taquara")</f>
        <v>Taquara</v>
      </c>
      <c r="E202" s="145" t="str">
        <f>IFERROR(__xludf.DUMMYFUNCTION("""COMPUTED_VALUE"""),"Voluntersul")</f>
        <v>Voluntersul</v>
      </c>
      <c r="F202" s="145"/>
      <c r="G202" s="145"/>
      <c r="H202" s="145"/>
    </row>
    <row r="203" customHeight="1" spans="1:8">
      <c r="A203" s="1" t="str">
        <f>IFERROR(__xludf.DUMMYFUNCTION("""COMPUTED_VALUE"""),"Ijuí")</f>
        <v>Ijuí</v>
      </c>
      <c r="B203" s="144" t="str">
        <f>IFERROR(__xludf.DUMMYFUNCTION("""COMPUTED_VALUE"""),"4º CRBM")</f>
        <v>4º CRBM</v>
      </c>
      <c r="C203" s="1" t="str">
        <f>IFERROR(__xludf.DUMMYFUNCTION("""COMPUTED_VALUE"""),"12º BBM")</f>
        <v>12º BBM</v>
      </c>
      <c r="D203" s="1" t="str">
        <f>IFERROR(__xludf.DUMMYFUNCTION("""COMPUTED_VALUE"""),"Ijuí")</f>
        <v>Ijuí</v>
      </c>
      <c r="E203" s="145" t="str">
        <f>IFERROR(__xludf.DUMMYFUNCTION("""COMPUTED_VALUE"""),"Militar")</f>
        <v>Militar</v>
      </c>
      <c r="F203" s="145"/>
      <c r="G203" s="145"/>
      <c r="H203" s="145"/>
    </row>
    <row r="204" customHeight="1" spans="1:8">
      <c r="A204" s="1" t="str">
        <f>IFERROR(__xludf.DUMMYFUNCTION("""COMPUTED_VALUE"""),"Ilópolis")</f>
        <v>Ilópolis</v>
      </c>
      <c r="B204" s="144" t="str">
        <f>IFERROR(__xludf.DUMMYFUNCTION("""COMPUTED_VALUE"""),"2º CRBM")</f>
        <v>2º CRBM</v>
      </c>
      <c r="C204" s="1" t="str">
        <f>IFERROR(__xludf.DUMMYFUNCTION("""COMPUTED_VALUE"""),"7º BBM")</f>
        <v>7º BBM</v>
      </c>
      <c r="D204" s="1" t="str">
        <f>IFERROR(__xludf.DUMMYFUNCTION("""COMPUTED_VALUE"""),"Encantado")</f>
        <v>Encantado</v>
      </c>
      <c r="E204" s="145" t="str">
        <f>IFERROR(__xludf.DUMMYFUNCTION("""COMPUTED_VALUE"""),"NPBM")</f>
        <v>NPBM</v>
      </c>
      <c r="F204" s="145"/>
      <c r="G204" s="145"/>
      <c r="H204" s="145"/>
    </row>
    <row r="205" customHeight="1" spans="1:8">
      <c r="A205" s="1" t="str">
        <f>IFERROR(__xludf.DUMMYFUNCTION("""COMPUTED_VALUE"""),"Imbé")</f>
        <v>Imbé</v>
      </c>
      <c r="B205" s="144" t="str">
        <f>IFERROR(__xludf.DUMMYFUNCTION("""COMPUTED_VALUE"""),"1º CRBM")</f>
        <v>1º CRBM</v>
      </c>
      <c r="C205" s="1" t="str">
        <f>IFERROR(__xludf.DUMMYFUNCTION("""COMPUTED_VALUE"""),"9º BBM")</f>
        <v>9º BBM</v>
      </c>
      <c r="D205" s="1" t="str">
        <f>IFERROR(__xludf.DUMMYFUNCTION("""COMPUTED_VALUE"""),"Tramandaí")</f>
        <v>Tramandaí</v>
      </c>
      <c r="E205" s="145" t="str">
        <f>IFERROR(__xludf.DUMMYFUNCTION("""COMPUTED_VALUE"""),"NPBM")</f>
        <v>NPBM</v>
      </c>
      <c r="F205" s="145"/>
      <c r="G205" s="145"/>
      <c r="H205" s="145"/>
    </row>
    <row r="206" customHeight="1" spans="1:8">
      <c r="A206" s="1" t="str">
        <f>IFERROR(__xludf.DUMMYFUNCTION("""COMPUTED_VALUE"""),"Imigrante")</f>
        <v>Imigrante</v>
      </c>
      <c r="B206" s="144" t="str">
        <f>IFERROR(__xludf.DUMMYFUNCTION("""COMPUTED_VALUE"""),"4º CRBM")</f>
        <v>4º CRBM</v>
      </c>
      <c r="C206" s="1" t="str">
        <f>IFERROR(__xludf.DUMMYFUNCTION("""COMPUTED_VALUE"""),"6º BBM")</f>
        <v>6º BBM</v>
      </c>
      <c r="D206" s="1" t="str">
        <f>IFERROR(__xludf.DUMMYFUNCTION("""COMPUTED_VALUE"""),"Estrela")</f>
        <v>Estrela</v>
      </c>
      <c r="E206" s="145" t="str">
        <f>IFERROR(__xludf.DUMMYFUNCTION("""COMPUTED_VALUE"""),"Voluntersul")</f>
        <v>Voluntersul</v>
      </c>
      <c r="F206" s="145"/>
      <c r="G206" s="145"/>
      <c r="H206" s="145"/>
    </row>
    <row r="207" customHeight="1" spans="1:8">
      <c r="A207" s="1" t="str">
        <f>IFERROR(__xludf.DUMMYFUNCTION("""COMPUTED_VALUE"""),"Independência")</f>
        <v>Independência</v>
      </c>
      <c r="B207" s="144" t="str">
        <f>IFERROR(__xludf.DUMMYFUNCTION("""COMPUTED_VALUE"""),"4º CRBM")</f>
        <v>4º CRBM</v>
      </c>
      <c r="C207" s="1" t="str">
        <f>IFERROR(__xludf.DUMMYFUNCTION("""COMPUTED_VALUE"""),"11º BBM")</f>
        <v>11º BBM</v>
      </c>
      <c r="D207" s="1" t="str">
        <f>IFERROR(__xludf.DUMMYFUNCTION("""COMPUTED_VALUE"""),"Três de Maio")</f>
        <v>Três de Maio</v>
      </c>
      <c r="E207" s="145" t="str">
        <f>IFERROR(__xludf.DUMMYFUNCTION("""COMPUTED_VALUE"""),"NPBM")</f>
        <v>NPBM</v>
      </c>
      <c r="F207" s="145"/>
      <c r="G207" s="145"/>
      <c r="H207" s="145"/>
    </row>
    <row r="208" customHeight="1" spans="1:8">
      <c r="A208" s="1" t="str">
        <f>IFERROR(__xludf.DUMMYFUNCTION("""COMPUTED_VALUE"""),"Inhacorá")</f>
        <v>Inhacorá</v>
      </c>
      <c r="B208" s="144" t="str">
        <f>IFERROR(__xludf.DUMMYFUNCTION("""COMPUTED_VALUE"""),"4º CRBM")</f>
        <v>4º CRBM</v>
      </c>
      <c r="C208" s="1" t="str">
        <f>IFERROR(__xludf.DUMMYFUNCTION("""COMPUTED_VALUE"""),"12º BBM")</f>
        <v>12º BBM</v>
      </c>
      <c r="D208" s="1" t="str">
        <f>IFERROR(__xludf.DUMMYFUNCTION("""COMPUTED_VALUE"""),"Ijuí")</f>
        <v>Ijuí</v>
      </c>
      <c r="E208" s="145" t="str">
        <f>IFERROR(__xludf.DUMMYFUNCTION("""COMPUTED_VALUE"""),"NPBM")</f>
        <v>NPBM</v>
      </c>
      <c r="F208" s="145"/>
      <c r="G208" s="145"/>
      <c r="H208" s="145"/>
    </row>
    <row r="209" customHeight="1" spans="1:8">
      <c r="A209" s="1" t="str">
        <f>IFERROR(__xludf.DUMMYFUNCTION("""COMPUTED_VALUE"""),"Ipê")</f>
        <v>Ipê</v>
      </c>
      <c r="B209" s="144" t="str">
        <f>IFERROR(__xludf.DUMMYFUNCTION("""COMPUTED_VALUE"""),"2º CRBM")</f>
        <v>2º CRBM</v>
      </c>
      <c r="C209" s="1" t="str">
        <f>IFERROR(__xludf.DUMMYFUNCTION("""COMPUTED_VALUE"""),"5º BBM")</f>
        <v>5º BBM</v>
      </c>
      <c r="D209" s="1" t="str">
        <f>IFERROR(__xludf.DUMMYFUNCTION("""COMPUTED_VALUE"""),"Flores da Cunha")</f>
        <v>Flores da Cunha</v>
      </c>
      <c r="E209" s="145" t="str">
        <f>IFERROR(__xludf.DUMMYFUNCTION("""COMPUTED_VALUE"""),"NPBM")</f>
        <v>NPBM</v>
      </c>
      <c r="F209" s="145"/>
      <c r="G209" s="145"/>
      <c r="H209" s="145"/>
    </row>
    <row r="210" customHeight="1" spans="1:8">
      <c r="A210" s="1" t="str">
        <f>IFERROR(__xludf.DUMMYFUNCTION("""COMPUTED_VALUE"""),"Ipiranga do Sul")</f>
        <v>Ipiranga do Sul</v>
      </c>
      <c r="B210" s="144" t="str">
        <f>IFERROR(__xludf.DUMMYFUNCTION("""COMPUTED_VALUE"""),"2º CRBM")</f>
        <v>2º CRBM</v>
      </c>
      <c r="C210" s="1" t="str">
        <f>IFERROR(__xludf.DUMMYFUNCTION("""COMPUTED_VALUE"""),"7º BBM")</f>
        <v>7º BBM</v>
      </c>
      <c r="D210" s="1" t="str">
        <f>IFERROR(__xludf.DUMMYFUNCTION("""COMPUTED_VALUE"""),"Getúlio Vargas")</f>
        <v>Getúlio Vargas</v>
      </c>
      <c r="E210" s="145" t="str">
        <f>IFERROR(__xludf.DUMMYFUNCTION("""COMPUTED_VALUE"""),"NPBM")</f>
        <v>NPBM</v>
      </c>
      <c r="F210" s="145"/>
      <c r="G210" s="145"/>
      <c r="H210" s="145"/>
    </row>
    <row r="211" customHeight="1" spans="1:8">
      <c r="A211" s="1" t="str">
        <f>IFERROR(__xludf.DUMMYFUNCTION("""COMPUTED_VALUE"""),"Iraí")</f>
        <v>Iraí</v>
      </c>
      <c r="B211" s="144" t="str">
        <f>IFERROR(__xludf.DUMMYFUNCTION("""COMPUTED_VALUE"""),"4º CRBM")</f>
        <v>4º CRBM</v>
      </c>
      <c r="C211" s="1" t="str">
        <f>IFERROR(__xludf.DUMMYFUNCTION("""COMPUTED_VALUE"""),"12º BBM")</f>
        <v>12º BBM</v>
      </c>
      <c r="D211" s="1" t="str">
        <f>IFERROR(__xludf.DUMMYFUNCTION("""COMPUTED_VALUE"""),"Frederico Westphalen")</f>
        <v>Frederico Westphalen</v>
      </c>
      <c r="E211" s="145" t="str">
        <f>IFERROR(__xludf.DUMMYFUNCTION("""COMPUTED_VALUE"""),"NPBM")</f>
        <v>NPBM</v>
      </c>
      <c r="F211" s="145"/>
      <c r="G211" s="145"/>
      <c r="H211" s="145"/>
    </row>
    <row r="212" customHeight="1" spans="1:8">
      <c r="A212" s="1" t="str">
        <f>IFERROR(__xludf.DUMMYFUNCTION("""COMPUTED_VALUE"""),"Itaara")</f>
        <v>Itaara</v>
      </c>
      <c r="B212" s="144" t="str">
        <f>IFERROR(__xludf.DUMMYFUNCTION("""COMPUTED_VALUE"""),"4º CRBM")</f>
        <v>4º CRBM</v>
      </c>
      <c r="C212" s="1" t="str">
        <f>IFERROR(__xludf.DUMMYFUNCTION("""COMPUTED_VALUE"""),"4º BBM")</f>
        <v>4º BBM</v>
      </c>
      <c r="D212" s="1" t="str">
        <f>IFERROR(__xludf.DUMMYFUNCTION("""COMPUTED_VALUE"""),"Santa Maria")</f>
        <v>Santa Maria</v>
      </c>
      <c r="E212" s="145" t="str">
        <f>IFERROR(__xludf.DUMMYFUNCTION("""COMPUTED_VALUE"""),"NPBM")</f>
        <v>NPBM</v>
      </c>
      <c r="F212" s="145"/>
      <c r="G212" s="145"/>
      <c r="H212" s="145"/>
    </row>
    <row r="213" customHeight="1" spans="1:8">
      <c r="A213" s="1" t="str">
        <f>IFERROR(__xludf.DUMMYFUNCTION("""COMPUTED_VALUE"""),"Itacurubi")</f>
        <v>Itacurubi</v>
      </c>
      <c r="B213" s="144" t="str">
        <f>IFERROR(__xludf.DUMMYFUNCTION("""COMPUTED_VALUE"""),"3º CRBM")</f>
        <v>3º CRBM</v>
      </c>
      <c r="C213" s="1" t="str">
        <f>IFERROR(__xludf.DUMMYFUNCTION("""COMPUTED_VALUE"""),"13º BBM")</f>
        <v>13º BBM</v>
      </c>
      <c r="D213" s="1" t="str">
        <f>IFERROR(__xludf.DUMMYFUNCTION("""COMPUTED_VALUE"""),"Santiago")</f>
        <v>Santiago</v>
      </c>
      <c r="E213" s="145" t="str">
        <f>IFERROR(__xludf.DUMMYFUNCTION("""COMPUTED_VALUE"""),"NPBM")</f>
        <v>NPBM</v>
      </c>
      <c r="F213" s="145"/>
      <c r="G213" s="145"/>
      <c r="H213" s="145"/>
    </row>
    <row r="214" customHeight="1" spans="1:8">
      <c r="A214" s="1" t="str">
        <f>IFERROR(__xludf.DUMMYFUNCTION("""COMPUTED_VALUE"""),"Itapuca")</f>
        <v>Itapuca</v>
      </c>
      <c r="B214" s="144" t="str">
        <f>IFERROR(__xludf.DUMMYFUNCTION("""COMPUTED_VALUE"""),"2º CRBM")</f>
        <v>2º CRBM</v>
      </c>
      <c r="C214" s="1" t="str">
        <f>IFERROR(__xludf.DUMMYFUNCTION("""COMPUTED_VALUE"""),"7º BBM")</f>
        <v>7º BBM</v>
      </c>
      <c r="D214" s="1" t="str">
        <f>IFERROR(__xludf.DUMMYFUNCTION("""COMPUTED_VALUE"""),"Soledade")</f>
        <v>Soledade</v>
      </c>
      <c r="E214" s="145" t="str">
        <f>IFERROR(__xludf.DUMMYFUNCTION("""COMPUTED_VALUE"""),"NPBM")</f>
        <v>NPBM</v>
      </c>
      <c r="F214" s="145"/>
      <c r="G214" s="145"/>
      <c r="H214" s="145"/>
    </row>
    <row r="215" customHeight="1" spans="1:8">
      <c r="A215" s="1" t="str">
        <f>IFERROR(__xludf.DUMMYFUNCTION("""COMPUTED_VALUE"""),"Itaqui")</f>
        <v>Itaqui</v>
      </c>
      <c r="B215" s="144" t="str">
        <f>IFERROR(__xludf.DUMMYFUNCTION("""COMPUTED_VALUE"""),"3º CRBM")</f>
        <v>3º CRBM</v>
      </c>
      <c r="C215" s="1" t="str">
        <f>IFERROR(__xludf.DUMMYFUNCTION("""COMPUTED_VALUE"""),"13º BBM")</f>
        <v>13º BBM</v>
      </c>
      <c r="D215" s="1" t="str">
        <f>IFERROR(__xludf.DUMMYFUNCTION("""COMPUTED_VALUE"""),"Itaqui")</f>
        <v>Itaqui</v>
      </c>
      <c r="E215" s="145" t="str">
        <f>IFERROR(__xludf.DUMMYFUNCTION("""COMPUTED_VALUE"""),"Comunitário")</f>
        <v>Comunitário</v>
      </c>
      <c r="F215" s="145"/>
      <c r="G215" s="145"/>
      <c r="H215" s="145"/>
    </row>
    <row r="216" customHeight="1" spans="1:8">
      <c r="A216" s="1" t="str">
        <f>IFERROR(__xludf.DUMMYFUNCTION("""COMPUTED_VALUE"""),"Itati")</f>
        <v>Itati</v>
      </c>
      <c r="B216" s="144" t="str">
        <f>IFERROR(__xludf.DUMMYFUNCTION("""COMPUTED_VALUE"""),"1º CRBM")</f>
        <v>1º CRBM</v>
      </c>
      <c r="C216" s="1" t="str">
        <f>IFERROR(__xludf.DUMMYFUNCTION("""COMPUTED_VALUE"""),"9º BBM")</f>
        <v>9º BBM</v>
      </c>
      <c r="D216" s="1" t="str">
        <f>IFERROR(__xludf.DUMMYFUNCTION("""COMPUTED_VALUE"""),"Terra de Areia")</f>
        <v>Terra de Areia</v>
      </c>
      <c r="E216" s="145" t="str">
        <f>IFERROR(__xludf.DUMMYFUNCTION("""COMPUTED_VALUE"""),"NPBM")</f>
        <v>NPBM</v>
      </c>
      <c r="F216" s="145"/>
      <c r="G216" s="145"/>
      <c r="H216" s="145"/>
    </row>
    <row r="217" customHeight="1" spans="1:8">
      <c r="A217" s="1" t="str">
        <f>IFERROR(__xludf.DUMMYFUNCTION("""COMPUTED_VALUE"""),"Itatiba do Sul")</f>
        <v>Itatiba do Sul</v>
      </c>
      <c r="B217" s="144" t="str">
        <f>IFERROR(__xludf.DUMMYFUNCTION("""COMPUTED_VALUE"""),"2º CRBM")</f>
        <v>2º CRBM</v>
      </c>
      <c r="C217" s="1" t="str">
        <f>IFERROR(__xludf.DUMMYFUNCTION("""COMPUTED_VALUE"""),"7º BBM")</f>
        <v>7º BBM</v>
      </c>
      <c r="D217" s="1" t="str">
        <f>IFERROR(__xludf.DUMMYFUNCTION("""COMPUTED_VALUE"""),"Erechim")</f>
        <v>Erechim</v>
      </c>
      <c r="E217" s="145" t="str">
        <f>IFERROR(__xludf.DUMMYFUNCTION("""COMPUTED_VALUE"""),"NPBM")</f>
        <v>NPBM</v>
      </c>
      <c r="F217" s="145"/>
      <c r="G217" s="145"/>
      <c r="H217" s="145"/>
    </row>
    <row r="218" customHeight="1" spans="1:8">
      <c r="A218" s="1" t="str">
        <f>IFERROR(__xludf.DUMMYFUNCTION("""COMPUTED_VALUE"""),"Ivorá")</f>
        <v>Ivorá</v>
      </c>
      <c r="B218" s="144" t="str">
        <f>IFERROR(__xludf.DUMMYFUNCTION("""COMPUTED_VALUE"""),"4º CRBM")</f>
        <v>4º CRBM</v>
      </c>
      <c r="C218" s="1" t="str">
        <f>IFERROR(__xludf.DUMMYFUNCTION("""COMPUTED_VALUE"""),"4º BBM")</f>
        <v>4º BBM</v>
      </c>
      <c r="D218" s="1" t="str">
        <f>IFERROR(__xludf.DUMMYFUNCTION("""COMPUTED_VALUE"""),"Júlio de Castilhos")</f>
        <v>Júlio de Castilhos</v>
      </c>
      <c r="E218" s="145" t="str">
        <f>IFERROR(__xludf.DUMMYFUNCTION("""COMPUTED_VALUE"""),"NPBM")</f>
        <v>NPBM</v>
      </c>
      <c r="F218" s="145"/>
      <c r="G218" s="145"/>
      <c r="H218" s="145"/>
    </row>
    <row r="219" customHeight="1" spans="1:8">
      <c r="A219" s="1" t="str">
        <f>IFERROR(__xludf.DUMMYFUNCTION("""COMPUTED_VALUE"""),"Ivoti")</f>
        <v>Ivoti</v>
      </c>
      <c r="B219" s="144" t="str">
        <f>IFERROR(__xludf.DUMMYFUNCTION("""COMPUTED_VALUE"""),"2º CRBM")</f>
        <v>2º CRBM</v>
      </c>
      <c r="C219" s="1" t="str">
        <f>IFERROR(__xludf.DUMMYFUNCTION("""COMPUTED_VALUE"""),"2º BBM")</f>
        <v>2º BBM</v>
      </c>
      <c r="D219" s="1" t="str">
        <f>IFERROR(__xludf.DUMMYFUNCTION("""COMPUTED_VALUE"""),"Ivoti")</f>
        <v>Ivoti</v>
      </c>
      <c r="E219" s="145" t="str">
        <f>IFERROR(__xludf.DUMMYFUNCTION("""COMPUTED_VALUE"""),"Comunitário")</f>
        <v>Comunitário</v>
      </c>
      <c r="F219" s="145"/>
      <c r="G219" s="145"/>
      <c r="H219" s="145"/>
    </row>
    <row r="220" customHeight="1" spans="1:8">
      <c r="A220" s="1" t="str">
        <f>IFERROR(__xludf.DUMMYFUNCTION("""COMPUTED_VALUE"""),"Jaboticaba")</f>
        <v>Jaboticaba</v>
      </c>
      <c r="B220" s="144" t="str">
        <f>IFERROR(__xludf.DUMMYFUNCTION("""COMPUTED_VALUE"""),"4º CRBM")</f>
        <v>4º CRBM</v>
      </c>
      <c r="C220" s="1" t="str">
        <f>IFERROR(__xludf.DUMMYFUNCTION("""COMPUTED_VALUE"""),"12º BBM")</f>
        <v>12º BBM</v>
      </c>
      <c r="D220" s="1" t="str">
        <f>IFERROR(__xludf.DUMMYFUNCTION("""COMPUTED_VALUE"""),"Palmeira das Missões")</f>
        <v>Palmeira das Missões</v>
      </c>
      <c r="E220" s="145" t="str">
        <f>IFERROR(__xludf.DUMMYFUNCTION("""COMPUTED_VALUE"""),"NPBM")</f>
        <v>NPBM</v>
      </c>
      <c r="F220" s="145"/>
      <c r="G220" s="145"/>
      <c r="H220" s="145"/>
    </row>
    <row r="221" customHeight="1" spans="1:8">
      <c r="A221" s="1" t="str">
        <f>IFERROR(__xludf.DUMMYFUNCTION("""COMPUTED_VALUE"""),"Jacuizinho")</f>
        <v>Jacuizinho</v>
      </c>
      <c r="B221" s="144" t="str">
        <f>IFERROR(__xludf.DUMMYFUNCTION("""COMPUTED_VALUE"""),"4º CRBM")</f>
        <v>4º CRBM</v>
      </c>
      <c r="C221" s="1" t="str">
        <f>IFERROR(__xludf.DUMMYFUNCTION("""COMPUTED_VALUE"""),"12º BBM")</f>
        <v>12º BBM</v>
      </c>
      <c r="D221" s="1" t="str">
        <f>IFERROR(__xludf.DUMMYFUNCTION("""COMPUTED_VALUE"""),"Cruz Alta")</f>
        <v>Cruz Alta</v>
      </c>
      <c r="E221" s="145" t="str">
        <f>IFERROR(__xludf.DUMMYFUNCTION("""COMPUTED_VALUE"""),"NPBM")</f>
        <v>NPBM</v>
      </c>
      <c r="F221" s="145"/>
      <c r="G221" s="145"/>
      <c r="H221" s="145"/>
    </row>
    <row r="222" customHeight="1" spans="1:8">
      <c r="A222" s="1" t="str">
        <f>IFERROR(__xludf.DUMMYFUNCTION("""COMPUTED_VALUE"""),"Jacutinga")</f>
        <v>Jacutinga</v>
      </c>
      <c r="B222" s="144" t="str">
        <f>IFERROR(__xludf.DUMMYFUNCTION("""COMPUTED_VALUE"""),"2º CRBM")</f>
        <v>2º CRBM</v>
      </c>
      <c r="C222" s="1" t="str">
        <f>IFERROR(__xludf.DUMMYFUNCTION("""COMPUTED_VALUE"""),"7º BBM")</f>
        <v>7º BBM</v>
      </c>
      <c r="D222" s="1" t="str">
        <f>IFERROR(__xludf.DUMMYFUNCTION("""COMPUTED_VALUE"""),"Erechim")</f>
        <v>Erechim</v>
      </c>
      <c r="E222" s="145" t="str">
        <f>IFERROR(__xludf.DUMMYFUNCTION("""COMPUTED_VALUE"""),"SCAB")</f>
        <v>SCAB</v>
      </c>
      <c r="F222" s="145"/>
      <c r="G222" s="145"/>
      <c r="H222" s="145"/>
    </row>
    <row r="223" customHeight="1" spans="1:8">
      <c r="A223" s="1" t="str">
        <f>IFERROR(__xludf.DUMMYFUNCTION("""COMPUTED_VALUE"""),"Jaguarão")</f>
        <v>Jaguarão</v>
      </c>
      <c r="B223" s="144" t="str">
        <f>IFERROR(__xludf.DUMMYFUNCTION("""COMPUTED_VALUE"""),"3º CRBM")</f>
        <v>3º CRBM</v>
      </c>
      <c r="C223" s="1" t="str">
        <f>IFERROR(__xludf.DUMMYFUNCTION("""COMPUTED_VALUE"""),"3º BBM")</f>
        <v>3º BBM</v>
      </c>
      <c r="D223" s="1" t="str">
        <f>IFERROR(__xludf.DUMMYFUNCTION("""COMPUTED_VALUE"""),"Jaguarão")</f>
        <v>Jaguarão</v>
      </c>
      <c r="E223" s="145" t="str">
        <f>IFERROR(__xludf.DUMMYFUNCTION("""COMPUTED_VALUE"""),"Militar")</f>
        <v>Militar</v>
      </c>
      <c r="F223" s="145"/>
      <c r="G223" s="145"/>
      <c r="H223" s="145"/>
    </row>
    <row r="224" customHeight="1" spans="1:8">
      <c r="A224" s="1" t="str">
        <f>IFERROR(__xludf.DUMMYFUNCTION("""COMPUTED_VALUE"""),"Jaguari")</f>
        <v>Jaguari</v>
      </c>
      <c r="B224" s="144" t="str">
        <f>IFERROR(__xludf.DUMMYFUNCTION("""COMPUTED_VALUE"""),"3º CRBM")</f>
        <v>3º CRBM</v>
      </c>
      <c r="C224" s="1" t="str">
        <f>IFERROR(__xludf.DUMMYFUNCTION("""COMPUTED_VALUE"""),"13º BBM")</f>
        <v>13º BBM</v>
      </c>
      <c r="D224" s="1" t="str">
        <f>IFERROR(__xludf.DUMMYFUNCTION("""COMPUTED_VALUE"""),"Santiago")</f>
        <v>Santiago</v>
      </c>
      <c r="E224" s="145" t="str">
        <f>IFERROR(__xludf.DUMMYFUNCTION("""COMPUTED_VALUE"""),"NPBM")</f>
        <v>NPBM</v>
      </c>
      <c r="F224" s="145"/>
      <c r="G224" s="145"/>
      <c r="H224" s="145"/>
    </row>
    <row r="225" customHeight="1" spans="1:8">
      <c r="A225" s="1" t="str">
        <f>IFERROR(__xludf.DUMMYFUNCTION("""COMPUTED_VALUE"""),"Jaquirana")</f>
        <v>Jaquirana</v>
      </c>
      <c r="B225" s="144" t="str">
        <f>IFERROR(__xludf.DUMMYFUNCTION("""COMPUTED_VALUE"""),"2º CRBM")</f>
        <v>2º CRBM</v>
      </c>
      <c r="C225" s="1" t="str">
        <f>IFERROR(__xludf.DUMMYFUNCTION("""COMPUTED_VALUE"""),"5º BBM")</f>
        <v>5º BBM</v>
      </c>
      <c r="D225" s="1" t="str">
        <f>IFERROR(__xludf.DUMMYFUNCTION("""COMPUTED_VALUE"""),"Vacaria")</f>
        <v>Vacaria</v>
      </c>
      <c r="E225" s="145" t="str">
        <f>IFERROR(__xludf.DUMMYFUNCTION("""COMPUTED_VALUE"""),"Voluntersul")</f>
        <v>Voluntersul</v>
      </c>
      <c r="F225" s="145"/>
      <c r="G225" s="145"/>
      <c r="H225" s="145"/>
    </row>
    <row r="226" customHeight="1" spans="1:8">
      <c r="A226" s="1" t="str">
        <f>IFERROR(__xludf.DUMMYFUNCTION("""COMPUTED_VALUE"""),"Jari")</f>
        <v>Jari</v>
      </c>
      <c r="B226" s="144" t="str">
        <f>IFERROR(__xludf.DUMMYFUNCTION("""COMPUTED_VALUE"""),"4º CRBM")</f>
        <v>4º CRBM</v>
      </c>
      <c r="C226" s="1" t="str">
        <f>IFERROR(__xludf.DUMMYFUNCTION("""COMPUTED_VALUE"""),"4º BBM")</f>
        <v>4º BBM</v>
      </c>
      <c r="D226" s="1" t="str">
        <f>IFERROR(__xludf.DUMMYFUNCTION("""COMPUTED_VALUE"""),"São Pedro do Sul")</f>
        <v>São Pedro do Sul</v>
      </c>
      <c r="E226" s="145" t="str">
        <f>IFERROR(__xludf.DUMMYFUNCTION("""COMPUTED_VALUE"""),"NPBM")</f>
        <v>NPBM</v>
      </c>
      <c r="F226" s="145"/>
      <c r="G226" s="145"/>
      <c r="H226" s="145"/>
    </row>
    <row r="227" customHeight="1" spans="1:8">
      <c r="A227" s="1" t="str">
        <f>IFERROR(__xludf.DUMMYFUNCTION("""COMPUTED_VALUE"""),"Jóia")</f>
        <v>Jóia</v>
      </c>
      <c r="B227" s="144" t="str">
        <f>IFERROR(__xludf.DUMMYFUNCTION("""COMPUTED_VALUE"""),"4º CRBM")</f>
        <v>4º CRBM</v>
      </c>
      <c r="C227" s="1" t="str">
        <f>IFERROR(__xludf.DUMMYFUNCTION("""COMPUTED_VALUE"""),"12º BBM")</f>
        <v>12º BBM</v>
      </c>
      <c r="D227" s="1" t="str">
        <f>IFERROR(__xludf.DUMMYFUNCTION("""COMPUTED_VALUE"""),"Ijuí")</f>
        <v>Ijuí</v>
      </c>
      <c r="E227" s="145" t="str">
        <f>IFERROR(__xludf.DUMMYFUNCTION("""COMPUTED_VALUE"""),"NPBM")</f>
        <v>NPBM</v>
      </c>
      <c r="F227" s="145"/>
      <c r="G227" s="145"/>
      <c r="H227" s="145"/>
    </row>
    <row r="228" customHeight="1" spans="1:8">
      <c r="A228" s="1" t="str">
        <f>IFERROR(__xludf.DUMMYFUNCTION("""COMPUTED_VALUE"""),"Júlio de Castilhos")</f>
        <v>Júlio de Castilhos</v>
      </c>
      <c r="B228" s="144" t="str">
        <f>IFERROR(__xludf.DUMMYFUNCTION("""COMPUTED_VALUE"""),"4º CRBM")</f>
        <v>4º CRBM</v>
      </c>
      <c r="C228" s="1" t="str">
        <f>IFERROR(__xludf.DUMMYFUNCTION("""COMPUTED_VALUE"""),"4º BBM")</f>
        <v>4º BBM</v>
      </c>
      <c r="D228" s="1" t="str">
        <f>IFERROR(__xludf.DUMMYFUNCTION("""COMPUTED_VALUE"""),"Júlio de Castilhos")</f>
        <v>Júlio de Castilhos</v>
      </c>
      <c r="E228" s="145" t="str">
        <f>IFERROR(__xludf.DUMMYFUNCTION("""COMPUTED_VALUE"""),"Comunitário")</f>
        <v>Comunitário</v>
      </c>
      <c r="F228" s="145"/>
      <c r="G228" s="145"/>
      <c r="H228" s="145"/>
    </row>
    <row r="229" customHeight="1" spans="1:8">
      <c r="A229" s="1" t="str">
        <f>IFERROR(__xludf.DUMMYFUNCTION("""COMPUTED_VALUE"""),"Lagoa Bonita do Sul")</f>
        <v>Lagoa Bonita do Sul</v>
      </c>
      <c r="B229" s="144" t="str">
        <f>IFERROR(__xludf.DUMMYFUNCTION("""COMPUTED_VALUE"""),"4º CRBM")</f>
        <v>4º CRBM</v>
      </c>
      <c r="C229" s="1" t="str">
        <f>IFERROR(__xludf.DUMMYFUNCTION("""COMPUTED_VALUE"""),"6º BBM")</f>
        <v>6º BBM</v>
      </c>
      <c r="D229" s="1" t="str">
        <f>IFERROR(__xludf.DUMMYFUNCTION("""COMPUTED_VALUE"""),"Santa Cruz do Sul")</f>
        <v>Santa Cruz do Sul</v>
      </c>
      <c r="E229" s="145" t="str">
        <f>IFERROR(__xludf.DUMMYFUNCTION("""COMPUTED_VALUE"""),"NPBM")</f>
        <v>NPBM</v>
      </c>
      <c r="F229" s="145"/>
      <c r="G229" s="145"/>
      <c r="H229" s="145"/>
    </row>
    <row r="230" customHeight="1" spans="1:8">
      <c r="A230" s="1" t="str">
        <f>IFERROR(__xludf.DUMMYFUNCTION("""COMPUTED_VALUE"""),"Lagoa dos Três Cantos")</f>
        <v>Lagoa dos Três Cantos</v>
      </c>
      <c r="B230" s="144" t="str">
        <f>IFERROR(__xludf.DUMMYFUNCTION("""COMPUTED_VALUE"""),"2º CRBM")</f>
        <v>2º CRBM</v>
      </c>
      <c r="C230" s="1" t="str">
        <f>IFERROR(__xludf.DUMMYFUNCTION("""COMPUTED_VALUE"""),"7º BBM")</f>
        <v>7º BBM</v>
      </c>
      <c r="D230" s="1" t="str">
        <f>IFERROR(__xludf.DUMMYFUNCTION("""COMPUTED_VALUE"""),"Tapera")</f>
        <v>Tapera</v>
      </c>
      <c r="E230" s="145" t="str">
        <f>IFERROR(__xludf.DUMMYFUNCTION("""COMPUTED_VALUE"""),"NPBM")</f>
        <v>NPBM</v>
      </c>
      <c r="F230" s="145"/>
      <c r="G230" s="145"/>
      <c r="H230" s="145"/>
    </row>
    <row r="231" customHeight="1" spans="1:8">
      <c r="A231" s="1" t="str">
        <f>IFERROR(__xludf.DUMMYFUNCTION("""COMPUTED_VALUE"""),"Lagoa Vermelha")</f>
        <v>Lagoa Vermelha</v>
      </c>
      <c r="B231" s="144" t="str">
        <f>IFERROR(__xludf.DUMMYFUNCTION("""COMPUTED_VALUE"""),"2º CRBM")</f>
        <v>2º CRBM</v>
      </c>
      <c r="C231" s="1" t="str">
        <f>IFERROR(__xludf.DUMMYFUNCTION("""COMPUTED_VALUE"""),"5º BBM")</f>
        <v>5º BBM</v>
      </c>
      <c r="D231" s="1" t="str">
        <f>IFERROR(__xludf.DUMMYFUNCTION("""COMPUTED_VALUE"""),"Lagoa Vermelha")</f>
        <v>Lagoa Vermelha</v>
      </c>
      <c r="E231" s="145" t="str">
        <f>IFERROR(__xludf.DUMMYFUNCTION("""COMPUTED_VALUE"""),"Militar")</f>
        <v>Militar</v>
      </c>
      <c r="F231" s="145"/>
      <c r="G231" s="145"/>
      <c r="H231" s="145"/>
    </row>
    <row r="232" customHeight="1" spans="1:8">
      <c r="A232" s="1" t="str">
        <f>IFERROR(__xludf.DUMMYFUNCTION("""COMPUTED_VALUE"""),"Lagoão")</f>
        <v>Lagoão</v>
      </c>
      <c r="B232" s="144" t="str">
        <f>IFERROR(__xludf.DUMMYFUNCTION("""COMPUTED_VALUE"""),"4º CRBM")</f>
        <v>4º CRBM</v>
      </c>
      <c r="C232" s="1" t="str">
        <f>IFERROR(__xludf.DUMMYFUNCTION("""COMPUTED_VALUE"""),"6º BBM")</f>
        <v>6º BBM</v>
      </c>
      <c r="D232" s="1" t="str">
        <f>IFERROR(__xludf.DUMMYFUNCTION("""COMPUTED_VALUE"""),"Soledade")</f>
        <v>Soledade</v>
      </c>
      <c r="E232" s="145" t="str">
        <f>IFERROR(__xludf.DUMMYFUNCTION("""COMPUTED_VALUE"""),"NPBM")</f>
        <v>NPBM</v>
      </c>
      <c r="F232" s="145"/>
      <c r="G232" s="145"/>
      <c r="H232" s="145"/>
    </row>
    <row r="233" customHeight="1" spans="1:8">
      <c r="A233" s="1" t="str">
        <f>IFERROR(__xludf.DUMMYFUNCTION("""COMPUTED_VALUE"""),"Lajeado")</f>
        <v>Lajeado</v>
      </c>
      <c r="B233" s="144" t="str">
        <f>IFERROR(__xludf.DUMMYFUNCTION("""COMPUTED_VALUE"""),"4º CRBM")</f>
        <v>4º CRBM</v>
      </c>
      <c r="C233" s="1" t="str">
        <f>IFERROR(__xludf.DUMMYFUNCTION("""COMPUTED_VALUE"""),"6º BBM")</f>
        <v>6º BBM</v>
      </c>
      <c r="D233" s="1" t="str">
        <f>IFERROR(__xludf.DUMMYFUNCTION("""COMPUTED_VALUE"""),"Lajeado")</f>
        <v>Lajeado</v>
      </c>
      <c r="E233" s="145" t="str">
        <f>IFERROR(__xludf.DUMMYFUNCTION("""COMPUTED_VALUE"""),"Militar")</f>
        <v>Militar</v>
      </c>
      <c r="F233" s="145"/>
      <c r="G233" s="145"/>
      <c r="H233" s="145"/>
    </row>
    <row r="234" customHeight="1" spans="1:8">
      <c r="A234" s="1" t="str">
        <f>IFERROR(__xludf.DUMMYFUNCTION("""COMPUTED_VALUE"""),"Lajeado do Bugre")</f>
        <v>Lajeado do Bugre</v>
      </c>
      <c r="B234" s="144" t="str">
        <f>IFERROR(__xludf.DUMMYFUNCTION("""COMPUTED_VALUE"""),"4º CRBM")</f>
        <v>4º CRBM</v>
      </c>
      <c r="C234" s="1" t="str">
        <f>IFERROR(__xludf.DUMMYFUNCTION("""COMPUTED_VALUE"""),"12º BBM")</f>
        <v>12º BBM</v>
      </c>
      <c r="D234" s="1" t="str">
        <f>IFERROR(__xludf.DUMMYFUNCTION("""COMPUTED_VALUE"""),"Palmeira das Missões")</f>
        <v>Palmeira das Missões</v>
      </c>
      <c r="E234" s="145" t="str">
        <f>IFERROR(__xludf.DUMMYFUNCTION("""COMPUTED_VALUE"""),"NPBM")</f>
        <v>NPBM</v>
      </c>
      <c r="F234" s="145"/>
      <c r="G234" s="145"/>
      <c r="H234" s="145"/>
    </row>
    <row r="235" customHeight="1" spans="1:8">
      <c r="A235" s="1" t="str">
        <f>IFERROR(__xludf.DUMMYFUNCTION("""COMPUTED_VALUE"""),"Lavras do Sul")</f>
        <v>Lavras do Sul</v>
      </c>
      <c r="B235" s="144" t="str">
        <f>IFERROR(__xludf.DUMMYFUNCTION("""COMPUTED_VALUE"""),"3º CRBM")</f>
        <v>3º CRBM</v>
      </c>
      <c r="C235" s="1" t="str">
        <f>IFERROR(__xludf.DUMMYFUNCTION("""COMPUTED_VALUE"""),"10º BBM")</f>
        <v>10º BBM</v>
      </c>
      <c r="D235" s="1" t="str">
        <f>IFERROR(__xludf.DUMMYFUNCTION("""COMPUTED_VALUE"""),"Caçapava do Sul")</f>
        <v>Caçapava do Sul</v>
      </c>
      <c r="E235" s="145" t="str">
        <f>IFERROR(__xludf.DUMMYFUNCTION("""COMPUTED_VALUE"""),"NPBM")</f>
        <v>NPBM</v>
      </c>
      <c r="F235" s="145"/>
      <c r="G235" s="145"/>
      <c r="H235" s="145"/>
    </row>
    <row r="236" customHeight="1" spans="1:8">
      <c r="A236" s="1" t="str">
        <f>IFERROR(__xludf.DUMMYFUNCTION("""COMPUTED_VALUE"""),"Liberato Salzano")</f>
        <v>Liberato Salzano</v>
      </c>
      <c r="B236" s="144" t="str">
        <f>IFERROR(__xludf.DUMMYFUNCTION("""COMPUTED_VALUE"""),"2º CRBM")</f>
        <v>2º CRBM</v>
      </c>
      <c r="C236" s="1" t="str">
        <f>IFERROR(__xludf.DUMMYFUNCTION("""COMPUTED_VALUE"""),"7º BBM")</f>
        <v>7º BBM</v>
      </c>
      <c r="D236" s="1" t="str">
        <f>IFERROR(__xludf.DUMMYFUNCTION("""COMPUTED_VALUE"""),"Nonoai")</f>
        <v>Nonoai</v>
      </c>
      <c r="E236" s="145" t="str">
        <f>IFERROR(__xludf.DUMMYFUNCTION("""COMPUTED_VALUE"""),"NPBM")</f>
        <v>NPBM</v>
      </c>
      <c r="F236" s="145"/>
      <c r="G236" s="145"/>
      <c r="H236" s="145"/>
    </row>
    <row r="237" customHeight="1" spans="1:8">
      <c r="A237" s="1" t="str">
        <f>IFERROR(__xludf.DUMMYFUNCTION("""COMPUTED_VALUE"""),"Lindolfo Collor")</f>
        <v>Lindolfo Collor</v>
      </c>
      <c r="B237" s="144" t="str">
        <f>IFERROR(__xludf.DUMMYFUNCTION("""COMPUTED_VALUE"""),"2º CRBM")</f>
        <v>2º CRBM</v>
      </c>
      <c r="C237" s="1" t="str">
        <f>IFERROR(__xludf.DUMMYFUNCTION("""COMPUTED_VALUE"""),"2º BBM")</f>
        <v>2º BBM</v>
      </c>
      <c r="D237" s="1" t="str">
        <f>IFERROR(__xludf.DUMMYFUNCTION("""COMPUTED_VALUE"""),"Ivoti")</f>
        <v>Ivoti</v>
      </c>
      <c r="E237" s="145" t="str">
        <f>IFERROR(__xludf.DUMMYFUNCTION("""COMPUTED_VALUE"""),"NPBM")</f>
        <v>NPBM</v>
      </c>
      <c r="F237" s="145"/>
      <c r="G237" s="145"/>
      <c r="H237" s="145"/>
    </row>
    <row r="238" customHeight="1" spans="1:8">
      <c r="A238" s="1" t="str">
        <f>IFERROR(__xludf.DUMMYFUNCTION("""COMPUTED_VALUE"""),"Linha Nova")</f>
        <v>Linha Nova</v>
      </c>
      <c r="B238" s="144" t="str">
        <f>IFERROR(__xludf.DUMMYFUNCTION("""COMPUTED_VALUE"""),"2º CRBM")</f>
        <v>2º CRBM</v>
      </c>
      <c r="C238" s="1" t="str">
        <f>IFERROR(__xludf.DUMMYFUNCTION("""COMPUTED_VALUE"""),"2º BBM")</f>
        <v>2º BBM</v>
      </c>
      <c r="D238" s="1" t="str">
        <f>IFERROR(__xludf.DUMMYFUNCTION("""COMPUTED_VALUE"""),"Ivoti")</f>
        <v>Ivoti</v>
      </c>
      <c r="E238" s="145" t="str">
        <f>IFERROR(__xludf.DUMMYFUNCTION("""COMPUTED_VALUE"""),"NPBM")</f>
        <v>NPBM</v>
      </c>
      <c r="F238" s="145"/>
      <c r="G238" s="145"/>
      <c r="H238" s="145"/>
    </row>
    <row r="239" customHeight="1" spans="1:8">
      <c r="A239" s="1" t="str">
        <f>IFERROR(__xludf.DUMMYFUNCTION("""COMPUTED_VALUE"""),"Maçambará")</f>
        <v>Maçambará</v>
      </c>
      <c r="B239" s="144" t="str">
        <f>IFERROR(__xludf.DUMMYFUNCTION("""COMPUTED_VALUE"""),"3º CRBM")</f>
        <v>3º CRBM</v>
      </c>
      <c r="C239" s="1" t="str">
        <f>IFERROR(__xludf.DUMMYFUNCTION("""COMPUTED_VALUE"""),"13º BBM")</f>
        <v>13º BBM</v>
      </c>
      <c r="D239" s="1" t="str">
        <f>IFERROR(__xludf.DUMMYFUNCTION("""COMPUTED_VALUE"""),"Itaqui")</f>
        <v>Itaqui</v>
      </c>
      <c r="E239" s="145" t="str">
        <f>IFERROR(__xludf.DUMMYFUNCTION("""COMPUTED_VALUE"""),"SCAB")</f>
        <v>SCAB</v>
      </c>
      <c r="F239" s="145"/>
      <c r="G239" s="145"/>
      <c r="H239" s="145"/>
    </row>
    <row r="240" customHeight="1" spans="1:8">
      <c r="A240" s="1" t="str">
        <f>IFERROR(__xludf.DUMMYFUNCTION("""COMPUTED_VALUE"""),"Machadinho")</f>
        <v>Machadinho</v>
      </c>
      <c r="B240" s="144" t="str">
        <f>IFERROR(__xludf.DUMMYFUNCTION("""COMPUTED_VALUE"""),"2º CRBM")</f>
        <v>2º CRBM</v>
      </c>
      <c r="C240" s="1" t="str">
        <f>IFERROR(__xludf.DUMMYFUNCTION("""COMPUTED_VALUE"""),"7º BBM")</f>
        <v>7º BBM</v>
      </c>
      <c r="D240" s="1" t="str">
        <f>IFERROR(__xludf.DUMMYFUNCTION("""COMPUTED_VALUE"""),"Lagoa Vermelha")</f>
        <v>Lagoa Vermelha</v>
      </c>
      <c r="E240" s="145" t="str">
        <f>IFERROR(__xludf.DUMMYFUNCTION("""COMPUTED_VALUE"""),"Voluntersul")</f>
        <v>Voluntersul</v>
      </c>
      <c r="F240" s="145"/>
      <c r="G240" s="145"/>
      <c r="H240" s="145"/>
    </row>
    <row r="241" customHeight="1" spans="1:8">
      <c r="A241" s="1" t="str">
        <f>IFERROR(__xludf.DUMMYFUNCTION("""COMPUTED_VALUE"""),"Mampituba")</f>
        <v>Mampituba</v>
      </c>
      <c r="B241" s="144" t="str">
        <f>IFERROR(__xludf.DUMMYFUNCTION("""COMPUTED_VALUE"""),"1º CRBM")</f>
        <v>1º CRBM</v>
      </c>
      <c r="C241" s="1" t="str">
        <f>IFERROR(__xludf.DUMMYFUNCTION("""COMPUTED_VALUE"""),"9º BBM")</f>
        <v>9º BBM</v>
      </c>
      <c r="D241" s="1" t="str">
        <f>IFERROR(__xludf.DUMMYFUNCTION("""COMPUTED_VALUE"""),"Torres")</f>
        <v>Torres</v>
      </c>
      <c r="E241" s="145" t="str">
        <f>IFERROR(__xludf.DUMMYFUNCTION("""COMPUTED_VALUE"""),"NPBM")</f>
        <v>NPBM</v>
      </c>
      <c r="F241" s="145"/>
      <c r="G241" s="145"/>
      <c r="H241" s="145"/>
    </row>
    <row r="242" customHeight="1" spans="1:8">
      <c r="A242" s="1" t="str">
        <f>IFERROR(__xludf.DUMMYFUNCTION("""COMPUTED_VALUE"""),"Manoel Viana")</f>
        <v>Manoel Viana</v>
      </c>
      <c r="B242" s="144" t="str">
        <f>IFERROR(__xludf.DUMMYFUNCTION("""COMPUTED_VALUE"""),"3º CRBM")</f>
        <v>3º CRBM</v>
      </c>
      <c r="C242" s="1" t="str">
        <f>IFERROR(__xludf.DUMMYFUNCTION("""COMPUTED_VALUE"""),"13º BBM")</f>
        <v>13º BBM</v>
      </c>
      <c r="D242" s="1" t="str">
        <f>IFERROR(__xludf.DUMMYFUNCTION("""COMPUTED_VALUE"""),"Alegrete")</f>
        <v>Alegrete</v>
      </c>
      <c r="E242" s="145" t="str">
        <f>IFERROR(__xludf.DUMMYFUNCTION("""COMPUTED_VALUE"""),"NPBM")</f>
        <v>NPBM</v>
      </c>
      <c r="F242" s="145"/>
      <c r="G242" s="145"/>
      <c r="H242" s="145"/>
    </row>
    <row r="243" customHeight="1" spans="1:8">
      <c r="A243" s="1" t="str">
        <f>IFERROR(__xludf.DUMMYFUNCTION("""COMPUTED_VALUE"""),"Maquiné")</f>
        <v>Maquiné</v>
      </c>
      <c r="B243" s="144" t="str">
        <f>IFERROR(__xludf.DUMMYFUNCTION("""COMPUTED_VALUE"""),"1º CRBM")</f>
        <v>1º CRBM</v>
      </c>
      <c r="C243" s="1" t="str">
        <f>IFERROR(__xludf.DUMMYFUNCTION("""COMPUTED_VALUE"""),"9º BBM")</f>
        <v>9º BBM</v>
      </c>
      <c r="D243" s="1" t="str">
        <f>IFERROR(__xludf.DUMMYFUNCTION("""COMPUTED_VALUE"""),"Terra de Areia")</f>
        <v>Terra de Areia</v>
      </c>
      <c r="E243" s="145" t="str">
        <f>IFERROR(__xludf.DUMMYFUNCTION("""COMPUTED_VALUE"""),"NPBM")</f>
        <v>NPBM</v>
      </c>
      <c r="F243" s="145"/>
      <c r="G243" s="145"/>
      <c r="H243" s="145"/>
    </row>
    <row r="244" customHeight="1" spans="1:8">
      <c r="A244" s="1" t="str">
        <f>IFERROR(__xludf.DUMMYFUNCTION("""COMPUTED_VALUE"""),"Maratá")</f>
        <v>Maratá</v>
      </c>
      <c r="B244" s="144" t="str">
        <f>IFERROR(__xludf.DUMMYFUNCTION("""COMPUTED_VALUE"""),"2º CRBM")</f>
        <v>2º CRBM</v>
      </c>
      <c r="C244" s="1" t="str">
        <f>IFERROR(__xludf.DUMMYFUNCTION("""COMPUTED_VALUE"""),"2º BBM")</f>
        <v>2º BBM</v>
      </c>
      <c r="D244" s="1" t="str">
        <f>IFERROR(__xludf.DUMMYFUNCTION("""COMPUTED_VALUE"""),"Montenegro")</f>
        <v>Montenegro</v>
      </c>
      <c r="E244" s="145" t="str">
        <f>IFERROR(__xludf.DUMMYFUNCTION("""COMPUTED_VALUE"""),"SCAB")</f>
        <v>SCAB</v>
      </c>
      <c r="F244" s="145"/>
      <c r="G244" s="145"/>
      <c r="H244" s="145"/>
    </row>
    <row r="245" customHeight="1" spans="1:8">
      <c r="A245" s="1" t="str">
        <f>IFERROR(__xludf.DUMMYFUNCTION("""COMPUTED_VALUE"""),"Marau")</f>
        <v>Marau</v>
      </c>
      <c r="B245" s="144" t="str">
        <f>IFERROR(__xludf.DUMMYFUNCTION("""COMPUTED_VALUE"""),"2º CRBM")</f>
        <v>2º CRBM</v>
      </c>
      <c r="C245" s="1" t="str">
        <f>IFERROR(__xludf.DUMMYFUNCTION("""COMPUTED_VALUE"""),"7º BBM")</f>
        <v>7º BBM</v>
      </c>
      <c r="D245" s="1" t="str">
        <f>IFERROR(__xludf.DUMMYFUNCTION("""COMPUTED_VALUE"""),"Passo Fundo")</f>
        <v>Passo Fundo</v>
      </c>
      <c r="E245" s="145" t="str">
        <f>IFERROR(__xludf.DUMMYFUNCTION("""COMPUTED_VALUE"""),"Voluntersul")</f>
        <v>Voluntersul</v>
      </c>
      <c r="F245" s="145"/>
      <c r="G245" s="145"/>
      <c r="H245" s="145"/>
    </row>
    <row r="246" customHeight="1" spans="1:8">
      <c r="A246" s="1" t="str">
        <f>IFERROR(__xludf.DUMMYFUNCTION("""COMPUTED_VALUE"""),"Marcelino Ramos")</f>
        <v>Marcelino Ramos</v>
      </c>
      <c r="B246" s="144" t="str">
        <f>IFERROR(__xludf.DUMMYFUNCTION("""COMPUTED_VALUE"""),"2º CRBM")</f>
        <v>2º CRBM</v>
      </c>
      <c r="C246" s="1" t="str">
        <f>IFERROR(__xludf.DUMMYFUNCTION("""COMPUTED_VALUE"""),"7º BBM")</f>
        <v>7º BBM</v>
      </c>
      <c r="D246" s="1" t="str">
        <f>IFERROR(__xludf.DUMMYFUNCTION("""COMPUTED_VALUE"""),"Erechim")</f>
        <v>Erechim</v>
      </c>
      <c r="E246" s="145" t="str">
        <f>IFERROR(__xludf.DUMMYFUNCTION("""COMPUTED_VALUE"""),"Voluntersul")</f>
        <v>Voluntersul</v>
      </c>
      <c r="F246" s="145"/>
      <c r="G246" s="145"/>
      <c r="H246" s="145"/>
    </row>
    <row r="247" customHeight="1" spans="1:8">
      <c r="A247" s="1" t="str">
        <f>IFERROR(__xludf.DUMMYFUNCTION("""COMPUTED_VALUE"""),"Mariana Pimentel")</f>
        <v>Mariana Pimentel</v>
      </c>
      <c r="B247" s="144" t="str">
        <f>IFERROR(__xludf.DUMMYFUNCTION("""COMPUTED_VALUE"""),"4º CRBM")</f>
        <v>4º CRBM</v>
      </c>
      <c r="C247" s="1" t="str">
        <f>IFERROR(__xludf.DUMMYFUNCTION("""COMPUTED_VALUE"""),"6º BBM")</f>
        <v>6º BBM</v>
      </c>
      <c r="D247" s="1" t="str">
        <f>IFERROR(__xludf.DUMMYFUNCTION("""COMPUTED_VALUE"""),"Guaíba")</f>
        <v>Guaíba</v>
      </c>
      <c r="E247" s="145" t="str">
        <f>IFERROR(__xludf.DUMMYFUNCTION("""COMPUTED_VALUE"""),"Voluntersul")</f>
        <v>Voluntersul</v>
      </c>
      <c r="F247" s="145"/>
      <c r="G247" s="145"/>
      <c r="H247" s="145"/>
    </row>
    <row r="248" customHeight="1" spans="1:8">
      <c r="A248" s="1" t="str">
        <f>IFERROR(__xludf.DUMMYFUNCTION("""COMPUTED_VALUE"""),"Mariano Moro")</f>
        <v>Mariano Moro</v>
      </c>
      <c r="B248" s="144" t="str">
        <f>IFERROR(__xludf.DUMMYFUNCTION("""COMPUTED_VALUE"""),"2º CRBM")</f>
        <v>2º CRBM</v>
      </c>
      <c r="C248" s="1" t="str">
        <f>IFERROR(__xludf.DUMMYFUNCTION("""COMPUTED_VALUE"""),"7º BBM")</f>
        <v>7º BBM</v>
      </c>
      <c r="D248" s="1" t="str">
        <f>IFERROR(__xludf.DUMMYFUNCTION("""COMPUTED_VALUE"""),"Erechim")</f>
        <v>Erechim</v>
      </c>
      <c r="E248" s="145" t="str">
        <f>IFERROR(__xludf.DUMMYFUNCTION("""COMPUTED_VALUE"""),"NPBM")</f>
        <v>NPBM</v>
      </c>
      <c r="F248" s="145"/>
      <c r="G248" s="145"/>
      <c r="H248" s="145"/>
    </row>
    <row r="249" customHeight="1" spans="1:8">
      <c r="A249" s="1" t="str">
        <f>IFERROR(__xludf.DUMMYFUNCTION("""COMPUTED_VALUE"""),"Marques de Souza")</f>
        <v>Marques de Souza</v>
      </c>
      <c r="B249" s="144" t="str">
        <f>IFERROR(__xludf.DUMMYFUNCTION("""COMPUTED_VALUE"""),"4º CRBM")</f>
        <v>4º CRBM</v>
      </c>
      <c r="C249" s="1" t="str">
        <f>IFERROR(__xludf.DUMMYFUNCTION("""COMPUTED_VALUE"""),"6º BBM")</f>
        <v>6º BBM</v>
      </c>
      <c r="D249" s="1" t="str">
        <f>IFERROR(__xludf.DUMMYFUNCTION("""COMPUTED_VALUE"""),"Lajeado")</f>
        <v>Lajeado</v>
      </c>
      <c r="E249" s="145" t="str">
        <f>IFERROR(__xludf.DUMMYFUNCTION("""COMPUTED_VALUE"""),"NPBM")</f>
        <v>NPBM</v>
      </c>
      <c r="F249" s="145"/>
      <c r="G249" s="145"/>
      <c r="H249" s="145"/>
    </row>
    <row r="250" customHeight="1" spans="1:8">
      <c r="A250" s="1" t="str">
        <f>IFERROR(__xludf.DUMMYFUNCTION("""COMPUTED_VALUE"""),"Mata")</f>
        <v>Mata</v>
      </c>
      <c r="B250" s="144" t="str">
        <f>IFERROR(__xludf.DUMMYFUNCTION("""COMPUTED_VALUE"""),"3º CRBM")</f>
        <v>3º CRBM</v>
      </c>
      <c r="C250" s="1" t="str">
        <f>IFERROR(__xludf.DUMMYFUNCTION("""COMPUTED_VALUE"""),"13º BBM")</f>
        <v>13º BBM</v>
      </c>
      <c r="D250" s="1" t="str">
        <f>IFERROR(__xludf.DUMMYFUNCTION("""COMPUTED_VALUE"""),"São Pedro do Sul")</f>
        <v>São Pedro do Sul</v>
      </c>
      <c r="E250" s="145" t="str">
        <f>IFERROR(__xludf.DUMMYFUNCTION("""COMPUTED_VALUE"""),"NPBM")</f>
        <v>NPBM</v>
      </c>
      <c r="F250" s="145"/>
      <c r="G250" s="145"/>
      <c r="H250" s="145"/>
    </row>
    <row r="251" customHeight="1" spans="1:8">
      <c r="A251" s="1" t="str">
        <f>IFERROR(__xludf.DUMMYFUNCTION("""COMPUTED_VALUE"""),"Mato Castelhano")</f>
        <v>Mato Castelhano</v>
      </c>
      <c r="B251" s="144" t="str">
        <f>IFERROR(__xludf.DUMMYFUNCTION("""COMPUTED_VALUE"""),"2º CRBM")</f>
        <v>2º CRBM</v>
      </c>
      <c r="C251" s="1" t="str">
        <f>IFERROR(__xludf.DUMMYFUNCTION("""COMPUTED_VALUE"""),"7º BBM")</f>
        <v>7º BBM</v>
      </c>
      <c r="D251" s="1" t="str">
        <f>IFERROR(__xludf.DUMMYFUNCTION("""COMPUTED_VALUE"""),"Passo Fundo")</f>
        <v>Passo Fundo</v>
      </c>
      <c r="E251" s="145" t="str">
        <f>IFERROR(__xludf.DUMMYFUNCTION("""COMPUTED_VALUE"""),"NPBM")</f>
        <v>NPBM</v>
      </c>
      <c r="F251" s="145"/>
      <c r="G251" s="145"/>
      <c r="H251" s="145"/>
    </row>
    <row r="252" customHeight="1" spans="1:8">
      <c r="A252" s="1" t="str">
        <f>IFERROR(__xludf.DUMMYFUNCTION("""COMPUTED_VALUE"""),"Mato Leitão")</f>
        <v>Mato Leitão</v>
      </c>
      <c r="B252" s="144" t="str">
        <f>IFERROR(__xludf.DUMMYFUNCTION("""COMPUTED_VALUE"""),"4º CRBM")</f>
        <v>4º CRBM</v>
      </c>
      <c r="C252" s="1" t="str">
        <f>IFERROR(__xludf.DUMMYFUNCTION("""COMPUTED_VALUE"""),"6º BBM")</f>
        <v>6º BBM</v>
      </c>
      <c r="D252" s="1" t="str">
        <f>IFERROR(__xludf.DUMMYFUNCTION("""COMPUTED_VALUE"""),"Venâncio Aires")</f>
        <v>Venâncio Aires</v>
      </c>
      <c r="E252" s="145" t="str">
        <f>IFERROR(__xludf.DUMMYFUNCTION("""COMPUTED_VALUE"""),"NPBM")</f>
        <v>NPBM</v>
      </c>
      <c r="F252" s="145"/>
      <c r="G252" s="145"/>
      <c r="H252" s="145"/>
    </row>
    <row r="253" customHeight="1" spans="1:8">
      <c r="A253" s="1" t="str">
        <f>IFERROR(__xludf.DUMMYFUNCTION("""COMPUTED_VALUE"""),"Mato Queimado")</f>
        <v>Mato Queimado</v>
      </c>
      <c r="B253" s="144" t="str">
        <f>IFERROR(__xludf.DUMMYFUNCTION("""COMPUTED_VALUE"""),"4º CRBM")</f>
        <v>4º CRBM</v>
      </c>
      <c r="C253" s="1" t="str">
        <f>IFERROR(__xludf.DUMMYFUNCTION("""COMPUTED_VALUE"""),"11º BBM")</f>
        <v>11º BBM</v>
      </c>
      <c r="D253" s="1" t="str">
        <f>IFERROR(__xludf.DUMMYFUNCTION("""COMPUTED_VALUE"""),"São Luiz Gonzaga")</f>
        <v>São Luiz Gonzaga</v>
      </c>
      <c r="E253" s="145" t="str">
        <f>IFERROR(__xludf.DUMMYFUNCTION("""COMPUTED_VALUE"""),"NPBM")</f>
        <v>NPBM</v>
      </c>
      <c r="F253" s="145"/>
      <c r="G253" s="145"/>
      <c r="H253" s="145"/>
    </row>
    <row r="254" customHeight="1" spans="1:8">
      <c r="A254" s="1" t="str">
        <f>IFERROR(__xludf.DUMMYFUNCTION("""COMPUTED_VALUE"""),"Maximiliano de Almeida")</f>
        <v>Maximiliano de Almeida</v>
      </c>
      <c r="B254" s="144" t="str">
        <f>IFERROR(__xludf.DUMMYFUNCTION("""COMPUTED_VALUE"""),"2º CRBM")</f>
        <v>2º CRBM</v>
      </c>
      <c r="C254" s="1" t="str">
        <f>IFERROR(__xludf.DUMMYFUNCTION("""COMPUTED_VALUE"""),"7º BBM")</f>
        <v>7º BBM</v>
      </c>
      <c r="D254" s="1" t="str">
        <f>IFERROR(__xludf.DUMMYFUNCTION("""COMPUTED_VALUE"""),"Lagoa Vermelha")</f>
        <v>Lagoa Vermelha</v>
      </c>
      <c r="E254" s="145" t="str">
        <f>IFERROR(__xludf.DUMMYFUNCTION("""COMPUTED_VALUE"""),"NPBM")</f>
        <v>NPBM</v>
      </c>
      <c r="F254" s="145"/>
      <c r="G254" s="145"/>
      <c r="H254" s="145"/>
    </row>
    <row r="255" customHeight="1" spans="1:8">
      <c r="A255" s="1" t="str">
        <f>IFERROR(__xludf.DUMMYFUNCTION("""COMPUTED_VALUE"""),"Minas do Leão")</f>
        <v>Minas do Leão</v>
      </c>
      <c r="B255" s="144" t="str">
        <f>IFERROR(__xludf.DUMMYFUNCTION("""COMPUTED_VALUE"""),"4º CRBM")</f>
        <v>4º CRBM</v>
      </c>
      <c r="C255" s="1" t="str">
        <f>IFERROR(__xludf.DUMMYFUNCTION("""COMPUTED_VALUE"""),"6º BBM")</f>
        <v>6º BBM</v>
      </c>
      <c r="D255" s="1" t="str">
        <f>IFERROR(__xludf.DUMMYFUNCTION("""COMPUTED_VALUE"""),"São Jerônimo")</f>
        <v>São Jerônimo</v>
      </c>
      <c r="E255" s="145" t="str">
        <f>IFERROR(__xludf.DUMMYFUNCTION("""COMPUTED_VALUE"""),"NPBM")</f>
        <v>NPBM</v>
      </c>
      <c r="F255" s="145"/>
      <c r="G255" s="145"/>
      <c r="H255" s="145"/>
    </row>
    <row r="256" customHeight="1" spans="1:8">
      <c r="A256" s="1" t="str">
        <f>IFERROR(__xludf.DUMMYFUNCTION("""COMPUTED_VALUE"""),"Miraguaí")</f>
        <v>Miraguaí</v>
      </c>
      <c r="B256" s="144" t="str">
        <f>IFERROR(__xludf.DUMMYFUNCTION("""COMPUTED_VALUE"""),"4º CRBM")</f>
        <v>4º CRBM</v>
      </c>
      <c r="C256" s="1" t="str">
        <f>IFERROR(__xludf.DUMMYFUNCTION("""COMPUTED_VALUE"""),"11º BBM")</f>
        <v>11º BBM</v>
      </c>
      <c r="D256" s="1" t="str">
        <f>IFERROR(__xludf.DUMMYFUNCTION("""COMPUTED_VALUE"""),"Três Passos")</f>
        <v>Três Passos</v>
      </c>
      <c r="E256" s="145" t="str">
        <f>IFERROR(__xludf.DUMMYFUNCTION("""COMPUTED_VALUE"""),"NPBM")</f>
        <v>NPBM</v>
      </c>
      <c r="F256" s="145"/>
      <c r="G256" s="145"/>
      <c r="H256" s="145"/>
    </row>
    <row r="257" customHeight="1" spans="1:8">
      <c r="A257" s="1" t="str">
        <f>IFERROR(__xludf.DUMMYFUNCTION("""COMPUTED_VALUE"""),"Montauri")</f>
        <v>Montauri</v>
      </c>
      <c r="B257" s="144" t="str">
        <f>IFERROR(__xludf.DUMMYFUNCTION("""COMPUTED_VALUE"""),"2º CRBM")</f>
        <v>2º CRBM</v>
      </c>
      <c r="C257" s="1" t="str">
        <f>IFERROR(__xludf.DUMMYFUNCTION("""COMPUTED_VALUE"""),"7º BBM")</f>
        <v>7º BBM</v>
      </c>
      <c r="D257" s="1" t="str">
        <f>IFERROR(__xludf.DUMMYFUNCTION("""COMPUTED_VALUE"""),"Guaporé")</f>
        <v>Guaporé</v>
      </c>
      <c r="E257" s="145" t="str">
        <f>IFERROR(__xludf.DUMMYFUNCTION("""COMPUTED_VALUE"""),"SCAB")</f>
        <v>SCAB</v>
      </c>
      <c r="F257" s="145"/>
      <c r="G257" s="145"/>
      <c r="H257" s="145"/>
    </row>
    <row r="258" customHeight="1" spans="1:8">
      <c r="A258" s="1" t="str">
        <f>IFERROR(__xludf.DUMMYFUNCTION("""COMPUTED_VALUE"""),"Monte Alegre dos Campos")</f>
        <v>Monte Alegre dos Campos</v>
      </c>
      <c r="B258" s="144" t="str">
        <f>IFERROR(__xludf.DUMMYFUNCTION("""COMPUTED_VALUE"""),"2º CRBM")</f>
        <v>2º CRBM</v>
      </c>
      <c r="C258" s="1" t="str">
        <f>IFERROR(__xludf.DUMMYFUNCTION("""COMPUTED_VALUE"""),"5º BBM")</f>
        <v>5º BBM</v>
      </c>
      <c r="D258" s="1" t="str">
        <f>IFERROR(__xludf.DUMMYFUNCTION("""COMPUTED_VALUE"""),"Vacaria")</f>
        <v>Vacaria</v>
      </c>
      <c r="E258" s="145" t="str">
        <f>IFERROR(__xludf.DUMMYFUNCTION("""COMPUTED_VALUE"""),"NPBM")</f>
        <v>NPBM</v>
      </c>
      <c r="F258" s="145"/>
      <c r="G258" s="145"/>
      <c r="H258" s="145"/>
    </row>
    <row r="259" customHeight="1" spans="1:8">
      <c r="A259" s="1" t="str">
        <f>IFERROR(__xludf.DUMMYFUNCTION("""COMPUTED_VALUE"""),"Monte Belo do Sul")</f>
        <v>Monte Belo do Sul</v>
      </c>
      <c r="B259" s="144" t="str">
        <f>IFERROR(__xludf.DUMMYFUNCTION("""COMPUTED_VALUE"""),"2º CRBM")</f>
        <v>2º CRBM</v>
      </c>
      <c r="C259" s="1" t="str">
        <f>IFERROR(__xludf.DUMMYFUNCTION("""COMPUTED_VALUE"""),"5º BBM")</f>
        <v>5º BBM</v>
      </c>
      <c r="D259" s="1" t="str">
        <f>IFERROR(__xludf.DUMMYFUNCTION("""COMPUTED_VALUE"""),"Bento Gonçalves")</f>
        <v>Bento Gonçalves</v>
      </c>
      <c r="E259" s="145" t="str">
        <f>IFERROR(__xludf.DUMMYFUNCTION("""COMPUTED_VALUE"""),"NPBM")</f>
        <v>NPBM</v>
      </c>
      <c r="F259" s="145"/>
      <c r="G259" s="145"/>
      <c r="H259" s="145"/>
    </row>
    <row r="260" customHeight="1" spans="1:8">
      <c r="A260" s="1" t="str">
        <f>IFERROR(__xludf.DUMMYFUNCTION("""COMPUTED_VALUE"""),"Montenegro")</f>
        <v>Montenegro</v>
      </c>
      <c r="B260" s="144" t="str">
        <f>IFERROR(__xludf.DUMMYFUNCTION("""COMPUTED_VALUE"""),"2º CRBM")</f>
        <v>2º CRBM</v>
      </c>
      <c r="C260" s="1" t="str">
        <f>IFERROR(__xludf.DUMMYFUNCTION("""COMPUTED_VALUE"""),"2º BBM")</f>
        <v>2º BBM</v>
      </c>
      <c r="D260" s="1" t="str">
        <f>IFERROR(__xludf.DUMMYFUNCTION("""COMPUTED_VALUE"""),"Montenegro")</f>
        <v>Montenegro</v>
      </c>
      <c r="E260" s="145" t="str">
        <f>IFERROR(__xludf.DUMMYFUNCTION("""COMPUTED_VALUE"""),"Comunitário")</f>
        <v>Comunitário</v>
      </c>
      <c r="F260" s="145"/>
      <c r="G260" s="145"/>
      <c r="H260" s="145"/>
    </row>
    <row r="261" customHeight="1" spans="1:8">
      <c r="A261" s="1" t="str">
        <f>IFERROR(__xludf.DUMMYFUNCTION("""COMPUTED_VALUE"""),"Mormaço")</f>
        <v>Mormaço</v>
      </c>
      <c r="B261" s="144" t="str">
        <f>IFERROR(__xludf.DUMMYFUNCTION("""COMPUTED_VALUE"""),"2º CRBM")</f>
        <v>2º CRBM</v>
      </c>
      <c r="C261" s="1" t="str">
        <f>IFERROR(__xludf.DUMMYFUNCTION("""COMPUTED_VALUE"""),"7º BBM")</f>
        <v>7º BBM</v>
      </c>
      <c r="D261" s="1" t="str">
        <f>IFERROR(__xludf.DUMMYFUNCTION("""COMPUTED_VALUE"""),"Soledade")</f>
        <v>Soledade</v>
      </c>
      <c r="E261" s="145" t="str">
        <f>IFERROR(__xludf.DUMMYFUNCTION("""COMPUTED_VALUE"""),"SCAB")</f>
        <v>SCAB</v>
      </c>
      <c r="F261" s="145"/>
      <c r="G261" s="145"/>
      <c r="H261" s="145"/>
    </row>
    <row r="262" customHeight="1" spans="1:8">
      <c r="A262" s="1" t="str">
        <f>IFERROR(__xludf.DUMMYFUNCTION("""COMPUTED_VALUE"""),"Morrinhos do Sul")</f>
        <v>Morrinhos do Sul</v>
      </c>
      <c r="B262" s="144" t="str">
        <f>IFERROR(__xludf.DUMMYFUNCTION("""COMPUTED_VALUE"""),"1º CRBM")</f>
        <v>1º CRBM</v>
      </c>
      <c r="C262" s="1" t="str">
        <f>IFERROR(__xludf.DUMMYFUNCTION("""COMPUTED_VALUE"""),"9º BBM")</f>
        <v>9º BBM</v>
      </c>
      <c r="D262" s="1" t="str">
        <f>IFERROR(__xludf.DUMMYFUNCTION("""COMPUTED_VALUE"""),"Torres")</f>
        <v>Torres</v>
      </c>
      <c r="E262" s="145" t="str">
        <f>IFERROR(__xludf.DUMMYFUNCTION("""COMPUTED_VALUE"""),"NPBM")</f>
        <v>NPBM</v>
      </c>
      <c r="F262" s="145"/>
      <c r="G262" s="145"/>
      <c r="H262" s="145"/>
    </row>
    <row r="263" customHeight="1" spans="1:8">
      <c r="A263" s="1" t="str">
        <f>IFERROR(__xludf.DUMMYFUNCTION("""COMPUTED_VALUE"""),"Morro Redondo")</f>
        <v>Morro Redondo</v>
      </c>
      <c r="B263" s="144" t="str">
        <f>IFERROR(__xludf.DUMMYFUNCTION("""COMPUTED_VALUE"""),"3º CRBM")</f>
        <v>3º CRBM</v>
      </c>
      <c r="C263" s="1" t="str">
        <f>IFERROR(__xludf.DUMMYFUNCTION("""COMPUTED_VALUE"""),"3º BBM")</f>
        <v>3º BBM</v>
      </c>
      <c r="D263" s="1" t="str">
        <f>IFERROR(__xludf.DUMMYFUNCTION("""COMPUTED_VALUE"""),"Canguçu")</f>
        <v>Canguçu</v>
      </c>
      <c r="E263" s="145" t="str">
        <f>IFERROR(__xludf.DUMMYFUNCTION("""COMPUTED_VALUE"""),"NPBM")</f>
        <v>NPBM</v>
      </c>
      <c r="F263" s="145"/>
      <c r="G263" s="145"/>
      <c r="H263" s="145"/>
    </row>
    <row r="264" customHeight="1" spans="1:8">
      <c r="A264" s="1" t="str">
        <f>IFERROR(__xludf.DUMMYFUNCTION("""COMPUTED_VALUE"""),"Morro Reuter")</f>
        <v>Morro Reuter</v>
      </c>
      <c r="B264" s="144" t="str">
        <f>IFERROR(__xludf.DUMMYFUNCTION("""COMPUTED_VALUE"""),"2º CRBM")</f>
        <v>2º CRBM</v>
      </c>
      <c r="C264" s="1" t="str">
        <f>IFERROR(__xludf.DUMMYFUNCTION("""COMPUTED_VALUE"""),"2º BBM")</f>
        <v>2º BBM</v>
      </c>
      <c r="D264" s="1" t="str">
        <f>IFERROR(__xludf.DUMMYFUNCTION("""COMPUTED_VALUE"""),"Dois Irmãos")</f>
        <v>Dois Irmãos</v>
      </c>
      <c r="E264" s="145" t="str">
        <f>IFERROR(__xludf.DUMMYFUNCTION("""COMPUTED_VALUE"""),"NPBM")</f>
        <v>NPBM</v>
      </c>
      <c r="F264" s="145"/>
      <c r="G264" s="145"/>
      <c r="H264" s="145"/>
    </row>
    <row r="265" customHeight="1" spans="1:8">
      <c r="A265" s="1" t="str">
        <f>IFERROR(__xludf.DUMMYFUNCTION("""COMPUTED_VALUE"""),"Mostardas")</f>
        <v>Mostardas</v>
      </c>
      <c r="B265" s="144" t="str">
        <f>IFERROR(__xludf.DUMMYFUNCTION("""COMPUTED_VALUE"""),"1º CRBM")</f>
        <v>1º CRBM</v>
      </c>
      <c r="C265" s="1" t="str">
        <f>IFERROR(__xludf.DUMMYFUNCTION("""COMPUTED_VALUE"""),"9º BBM")</f>
        <v>9º BBM</v>
      </c>
      <c r="D265" s="1" t="str">
        <f>IFERROR(__xludf.DUMMYFUNCTION("""COMPUTED_VALUE"""),"Cidreira")</f>
        <v>Cidreira</v>
      </c>
      <c r="E265" s="145" t="str">
        <f>IFERROR(__xludf.DUMMYFUNCTION("""COMPUTED_VALUE"""),"NPBM")</f>
        <v>NPBM</v>
      </c>
      <c r="F265" s="145"/>
      <c r="G265" s="145"/>
      <c r="H265" s="145"/>
    </row>
    <row r="266" customHeight="1" spans="1:8">
      <c r="A266" s="1" t="str">
        <f>IFERROR(__xludf.DUMMYFUNCTION("""COMPUTED_VALUE"""),"Muçum")</f>
        <v>Muçum</v>
      </c>
      <c r="B266" s="144" t="str">
        <f>IFERROR(__xludf.DUMMYFUNCTION("""COMPUTED_VALUE"""),"4º CRBM")</f>
        <v>4º CRBM</v>
      </c>
      <c r="C266" s="1" t="str">
        <f>IFERROR(__xludf.DUMMYFUNCTION("""COMPUTED_VALUE"""),"6º BBM")</f>
        <v>6º BBM</v>
      </c>
      <c r="D266" s="1" t="str">
        <f>IFERROR(__xludf.DUMMYFUNCTION("""COMPUTED_VALUE"""),"Encantado")</f>
        <v>Encantado</v>
      </c>
      <c r="E266" s="145" t="str">
        <f>IFERROR(__xludf.DUMMYFUNCTION("""COMPUTED_VALUE"""),"NPBM")</f>
        <v>NPBM</v>
      </c>
      <c r="F266" s="145"/>
      <c r="G266" s="145"/>
      <c r="H266" s="145"/>
    </row>
    <row r="267" customHeight="1" spans="1:8">
      <c r="A267" s="1" t="str">
        <f>IFERROR(__xludf.DUMMYFUNCTION("""COMPUTED_VALUE"""),"Muitos Capões")</f>
        <v>Muitos Capões</v>
      </c>
      <c r="B267" s="144" t="str">
        <f>IFERROR(__xludf.DUMMYFUNCTION("""COMPUTED_VALUE"""),"2º CRBM")</f>
        <v>2º CRBM</v>
      </c>
      <c r="C267" s="1" t="str">
        <f>IFERROR(__xludf.DUMMYFUNCTION("""COMPUTED_VALUE"""),"5º BBM")</f>
        <v>5º BBM</v>
      </c>
      <c r="D267" s="1" t="str">
        <f>IFERROR(__xludf.DUMMYFUNCTION("""COMPUTED_VALUE"""),"Vacaria")</f>
        <v>Vacaria</v>
      </c>
      <c r="E267" s="145" t="str">
        <f>IFERROR(__xludf.DUMMYFUNCTION("""COMPUTED_VALUE"""),"SCAB")</f>
        <v>SCAB</v>
      </c>
      <c r="F267" s="145"/>
      <c r="G267" s="145"/>
      <c r="H267" s="145"/>
    </row>
    <row r="268" customHeight="1" spans="1:8">
      <c r="A268" s="1" t="str">
        <f>IFERROR(__xludf.DUMMYFUNCTION("""COMPUTED_VALUE"""),"Muliterno")</f>
        <v>Muliterno</v>
      </c>
      <c r="B268" s="144" t="str">
        <f>IFERROR(__xludf.DUMMYFUNCTION("""COMPUTED_VALUE"""),"2º CRBM")</f>
        <v>2º CRBM</v>
      </c>
      <c r="C268" s="1" t="str">
        <f>IFERROR(__xludf.DUMMYFUNCTION("""COMPUTED_VALUE"""),"7º BBM")</f>
        <v>7º BBM</v>
      </c>
      <c r="D268" s="1" t="str">
        <f>IFERROR(__xludf.DUMMYFUNCTION("""COMPUTED_VALUE"""),"Lagoa Vermelha")</f>
        <v>Lagoa Vermelha</v>
      </c>
      <c r="E268" s="145" t="str">
        <f>IFERROR(__xludf.DUMMYFUNCTION("""COMPUTED_VALUE"""),"NPBM")</f>
        <v>NPBM</v>
      </c>
      <c r="F268" s="145"/>
      <c r="G268" s="145"/>
      <c r="H268" s="145"/>
    </row>
    <row r="269" customHeight="1" spans="1:8">
      <c r="A269" s="1" t="str">
        <f>IFERROR(__xludf.DUMMYFUNCTION("""COMPUTED_VALUE"""),"Não-Me-Toque")</f>
        <v>Não-Me-Toque</v>
      </c>
      <c r="B269" s="144" t="str">
        <f>IFERROR(__xludf.DUMMYFUNCTION("""COMPUTED_VALUE"""),"2º CRBM")</f>
        <v>2º CRBM</v>
      </c>
      <c r="C269" s="1" t="str">
        <f>IFERROR(__xludf.DUMMYFUNCTION("""COMPUTED_VALUE"""),"7º BBM")</f>
        <v>7º BBM</v>
      </c>
      <c r="D269" s="1" t="str">
        <f>IFERROR(__xludf.DUMMYFUNCTION("""COMPUTED_VALUE"""),"Carazinho")</f>
        <v>Carazinho</v>
      </c>
      <c r="E269" s="145" t="str">
        <f>IFERROR(__xludf.DUMMYFUNCTION("""COMPUTED_VALUE"""),"SCAB")</f>
        <v>SCAB</v>
      </c>
      <c r="F269" s="145"/>
      <c r="G269" s="145"/>
      <c r="H269" s="145"/>
    </row>
    <row r="270" customHeight="1" spans="1:8">
      <c r="A270" s="1" t="str">
        <f>IFERROR(__xludf.DUMMYFUNCTION("""COMPUTED_VALUE"""),"Nicolau Vergueiro")</f>
        <v>Nicolau Vergueiro</v>
      </c>
      <c r="B270" s="144" t="str">
        <f>IFERROR(__xludf.DUMMYFUNCTION("""COMPUTED_VALUE"""),"2º CRBM")</f>
        <v>2º CRBM</v>
      </c>
      <c r="C270" s="1" t="str">
        <f>IFERROR(__xludf.DUMMYFUNCTION("""COMPUTED_VALUE"""),"7º BBM")</f>
        <v>7º BBM</v>
      </c>
      <c r="D270" s="1" t="str">
        <f>IFERROR(__xludf.DUMMYFUNCTION("""COMPUTED_VALUE"""),"Passo Fundo")</f>
        <v>Passo Fundo</v>
      </c>
      <c r="E270" s="145" t="str">
        <f>IFERROR(__xludf.DUMMYFUNCTION("""COMPUTED_VALUE"""),"NPBM")</f>
        <v>NPBM</v>
      </c>
      <c r="F270" s="145"/>
      <c r="G270" s="145"/>
      <c r="H270" s="145"/>
    </row>
    <row r="271" customHeight="1" spans="1:8">
      <c r="A271" s="1" t="str">
        <f>IFERROR(__xludf.DUMMYFUNCTION("""COMPUTED_VALUE"""),"Nonoai")</f>
        <v>Nonoai</v>
      </c>
      <c r="B271" s="144" t="str">
        <f>IFERROR(__xludf.DUMMYFUNCTION("""COMPUTED_VALUE"""),"2º CRBM")</f>
        <v>2º CRBM</v>
      </c>
      <c r="C271" s="1" t="str">
        <f>IFERROR(__xludf.DUMMYFUNCTION("""COMPUTED_VALUE"""),"7º BBM")</f>
        <v>7º BBM</v>
      </c>
      <c r="D271" s="1" t="str">
        <f>IFERROR(__xludf.DUMMYFUNCTION("""COMPUTED_VALUE"""),"Nonoai")</f>
        <v>Nonoai</v>
      </c>
      <c r="E271" s="145" t="str">
        <f>IFERROR(__xludf.DUMMYFUNCTION("""COMPUTED_VALUE"""),"Comunitário")</f>
        <v>Comunitário</v>
      </c>
      <c r="F271" s="145"/>
      <c r="G271" s="145"/>
      <c r="H271" s="145"/>
    </row>
    <row r="272" customHeight="1" spans="1:8">
      <c r="A272" s="1" t="str">
        <f>IFERROR(__xludf.DUMMYFUNCTION("""COMPUTED_VALUE"""),"Nova Alvorada")</f>
        <v>Nova Alvorada</v>
      </c>
      <c r="B272" s="144" t="str">
        <f>IFERROR(__xludf.DUMMYFUNCTION("""COMPUTED_VALUE"""),"2º CRBM")</f>
        <v>2º CRBM</v>
      </c>
      <c r="C272" s="1" t="str">
        <f>IFERROR(__xludf.DUMMYFUNCTION("""COMPUTED_VALUE"""),"7º BBM")</f>
        <v>7º BBM</v>
      </c>
      <c r="D272" s="1" t="str">
        <f>IFERROR(__xludf.DUMMYFUNCTION("""COMPUTED_VALUE"""),"Passo Fundo")</f>
        <v>Passo Fundo</v>
      </c>
      <c r="E272" s="145" t="str">
        <f>IFERROR(__xludf.DUMMYFUNCTION("""COMPUTED_VALUE"""),"NPBM")</f>
        <v>NPBM</v>
      </c>
      <c r="F272" s="145"/>
      <c r="G272" s="145"/>
      <c r="H272" s="145"/>
    </row>
    <row r="273" customHeight="1" spans="1:8">
      <c r="A273" s="1" t="str">
        <f>IFERROR(__xludf.DUMMYFUNCTION("""COMPUTED_VALUE"""),"Nova Araçá")</f>
        <v>Nova Araçá</v>
      </c>
      <c r="B273" s="144" t="str">
        <f>IFERROR(__xludf.DUMMYFUNCTION("""COMPUTED_VALUE"""),"2º CRBM")</f>
        <v>2º CRBM</v>
      </c>
      <c r="C273" s="1" t="str">
        <f>IFERROR(__xludf.DUMMYFUNCTION("""COMPUTED_VALUE"""),"5º BBM")</f>
        <v>5º BBM</v>
      </c>
      <c r="D273" s="1" t="str">
        <f>IFERROR(__xludf.DUMMYFUNCTION("""COMPUTED_VALUE"""),"Veranópolis")</f>
        <v>Veranópolis</v>
      </c>
      <c r="E273" s="145" t="str">
        <f>IFERROR(__xludf.DUMMYFUNCTION("""COMPUTED_VALUE"""),"NPBM")</f>
        <v>NPBM</v>
      </c>
      <c r="F273" s="145"/>
      <c r="G273" s="145"/>
      <c r="H273" s="145"/>
    </row>
    <row r="274" customHeight="1" spans="1:8">
      <c r="A274" s="1" t="str">
        <f>IFERROR(__xludf.DUMMYFUNCTION("""COMPUTED_VALUE"""),"Nova Bassano")</f>
        <v>Nova Bassano</v>
      </c>
      <c r="B274" s="144" t="str">
        <f>IFERROR(__xludf.DUMMYFUNCTION("""COMPUTED_VALUE"""),"2º CRBM")</f>
        <v>2º CRBM</v>
      </c>
      <c r="C274" s="1" t="str">
        <f>IFERROR(__xludf.DUMMYFUNCTION("""COMPUTED_VALUE"""),"5º BBM")</f>
        <v>5º BBM</v>
      </c>
      <c r="D274" s="1" t="str">
        <f>IFERROR(__xludf.DUMMYFUNCTION("""COMPUTED_VALUE"""),"Veranópolis")</f>
        <v>Veranópolis</v>
      </c>
      <c r="E274" s="145" t="str">
        <f>IFERROR(__xludf.DUMMYFUNCTION("""COMPUTED_VALUE"""),"NPBM")</f>
        <v>NPBM</v>
      </c>
      <c r="F274" s="145"/>
      <c r="G274" s="145"/>
      <c r="H274" s="145"/>
    </row>
    <row r="275" customHeight="1" spans="1:8">
      <c r="A275" s="1" t="str">
        <f>IFERROR(__xludf.DUMMYFUNCTION("""COMPUTED_VALUE"""),"Nova Boa Vista")</f>
        <v>Nova Boa Vista</v>
      </c>
      <c r="B275" s="144" t="str">
        <f>IFERROR(__xludf.DUMMYFUNCTION("""COMPUTED_VALUE"""),"2º CRBM")</f>
        <v>2º CRBM</v>
      </c>
      <c r="C275" s="1" t="str">
        <f>IFERROR(__xludf.DUMMYFUNCTION("""COMPUTED_VALUE"""),"7º BBM")</f>
        <v>7º BBM</v>
      </c>
      <c r="D275" s="1" t="str">
        <f>IFERROR(__xludf.DUMMYFUNCTION("""COMPUTED_VALUE"""),"Sarandi")</f>
        <v>Sarandi</v>
      </c>
      <c r="E275" s="145" t="str">
        <f>IFERROR(__xludf.DUMMYFUNCTION("""COMPUTED_VALUE"""),"NPBM")</f>
        <v>NPBM</v>
      </c>
      <c r="F275" s="145"/>
      <c r="G275" s="145"/>
      <c r="H275" s="145"/>
    </row>
    <row r="276" customHeight="1" spans="1:8">
      <c r="A276" s="1" t="str">
        <f>IFERROR(__xludf.DUMMYFUNCTION("""COMPUTED_VALUE"""),"Nova Bréscia")</f>
        <v>Nova Bréscia</v>
      </c>
      <c r="B276" s="144" t="str">
        <f>IFERROR(__xludf.DUMMYFUNCTION("""COMPUTED_VALUE"""),"4º CRBM")</f>
        <v>4º CRBM</v>
      </c>
      <c r="C276" s="1" t="str">
        <f>IFERROR(__xludf.DUMMYFUNCTION("""COMPUTED_VALUE"""),"6º BBM")</f>
        <v>6º BBM</v>
      </c>
      <c r="D276" s="1" t="str">
        <f>IFERROR(__xludf.DUMMYFUNCTION("""COMPUTED_VALUE"""),"Encantado")</f>
        <v>Encantado</v>
      </c>
      <c r="E276" s="145" t="str">
        <f>IFERROR(__xludf.DUMMYFUNCTION("""COMPUTED_VALUE"""),"NPBM")</f>
        <v>NPBM</v>
      </c>
      <c r="F276" s="145"/>
      <c r="G276" s="145"/>
      <c r="H276" s="145"/>
    </row>
    <row r="277" customHeight="1" spans="1:8">
      <c r="A277" s="1" t="str">
        <f>IFERROR(__xludf.DUMMYFUNCTION("""COMPUTED_VALUE"""),"Nova Candelária")</f>
        <v>Nova Candelária</v>
      </c>
      <c r="B277" s="144" t="str">
        <f>IFERROR(__xludf.DUMMYFUNCTION("""COMPUTED_VALUE"""),"4º CRBM")</f>
        <v>4º CRBM</v>
      </c>
      <c r="C277" s="1" t="str">
        <f>IFERROR(__xludf.DUMMYFUNCTION("""COMPUTED_VALUE"""),"11º BBM")</f>
        <v>11º BBM</v>
      </c>
      <c r="D277" s="1" t="str">
        <f>IFERROR(__xludf.DUMMYFUNCTION("""COMPUTED_VALUE"""),"Três de Maio")</f>
        <v>Três de Maio</v>
      </c>
      <c r="E277" s="145" t="str">
        <f>IFERROR(__xludf.DUMMYFUNCTION("""COMPUTED_VALUE"""),"NPBM")</f>
        <v>NPBM</v>
      </c>
      <c r="F277" s="145"/>
      <c r="G277" s="145"/>
      <c r="H277" s="145"/>
    </row>
    <row r="278" customHeight="1" spans="1:8">
      <c r="A278" s="1" t="str">
        <f>IFERROR(__xludf.DUMMYFUNCTION("""COMPUTED_VALUE"""),"Nova Esperança do Sul")</f>
        <v>Nova Esperança do Sul</v>
      </c>
      <c r="B278" s="144" t="str">
        <f>IFERROR(__xludf.DUMMYFUNCTION("""COMPUTED_VALUE"""),"3º CRBM")</f>
        <v>3º CRBM</v>
      </c>
      <c r="C278" s="1" t="str">
        <f>IFERROR(__xludf.DUMMYFUNCTION("""COMPUTED_VALUE"""),"13º BBM")</f>
        <v>13º BBM</v>
      </c>
      <c r="D278" s="1" t="str">
        <f>IFERROR(__xludf.DUMMYFUNCTION("""COMPUTED_VALUE"""),"Santiago")</f>
        <v>Santiago</v>
      </c>
      <c r="E278" s="145" t="str">
        <f>IFERROR(__xludf.DUMMYFUNCTION("""COMPUTED_VALUE"""),"NPBM")</f>
        <v>NPBM</v>
      </c>
      <c r="F278" s="145"/>
      <c r="G278" s="145"/>
      <c r="H278" s="145"/>
    </row>
    <row r="279" customHeight="1" spans="1:8">
      <c r="A279" s="1" t="str">
        <f>IFERROR(__xludf.DUMMYFUNCTION("""COMPUTED_VALUE"""),"Nova Hartz")</f>
        <v>Nova Hartz</v>
      </c>
      <c r="B279" s="144" t="str">
        <f>IFERROR(__xludf.DUMMYFUNCTION("""COMPUTED_VALUE"""),"2º CRBM")</f>
        <v>2º CRBM</v>
      </c>
      <c r="C279" s="1" t="str">
        <f>IFERROR(__xludf.DUMMYFUNCTION("""COMPUTED_VALUE"""),"2º BBM")</f>
        <v>2º BBM</v>
      </c>
      <c r="D279" s="1" t="str">
        <f>IFERROR(__xludf.DUMMYFUNCTION("""COMPUTED_VALUE"""),"Sapiranga")</f>
        <v>Sapiranga</v>
      </c>
      <c r="E279" s="145" t="str">
        <f>IFERROR(__xludf.DUMMYFUNCTION("""COMPUTED_VALUE"""),"Voluntersul")</f>
        <v>Voluntersul</v>
      </c>
      <c r="F279" s="145"/>
      <c r="G279" s="145"/>
      <c r="H279" s="145"/>
    </row>
    <row r="280" customHeight="1" spans="1:8">
      <c r="A280" s="1" t="str">
        <f>IFERROR(__xludf.DUMMYFUNCTION("""COMPUTED_VALUE"""),"Nova Pádua")</f>
        <v>Nova Pádua</v>
      </c>
      <c r="B280" s="144" t="str">
        <f>IFERROR(__xludf.DUMMYFUNCTION("""COMPUTED_VALUE"""),"2º CRBM")</f>
        <v>2º CRBM</v>
      </c>
      <c r="C280" s="1" t="str">
        <f>IFERROR(__xludf.DUMMYFUNCTION("""COMPUTED_VALUE"""),"5º BBM")</f>
        <v>5º BBM</v>
      </c>
      <c r="D280" s="1" t="str">
        <f>IFERROR(__xludf.DUMMYFUNCTION("""COMPUTED_VALUE"""),"Flores da Cunha")</f>
        <v>Flores da Cunha</v>
      </c>
      <c r="E280" s="145" t="str">
        <f>IFERROR(__xludf.DUMMYFUNCTION("""COMPUTED_VALUE"""),"NPBM")</f>
        <v>NPBM</v>
      </c>
      <c r="F280" s="145"/>
      <c r="G280" s="145"/>
      <c r="H280" s="145"/>
    </row>
    <row r="281" customHeight="1" spans="1:8">
      <c r="A281" s="1" t="str">
        <f>IFERROR(__xludf.DUMMYFUNCTION("""COMPUTED_VALUE"""),"Nova Palma")</f>
        <v>Nova Palma</v>
      </c>
      <c r="B281" s="144" t="str">
        <f>IFERROR(__xludf.DUMMYFUNCTION("""COMPUTED_VALUE"""),"4º CRBM")</f>
        <v>4º CRBM</v>
      </c>
      <c r="C281" s="1" t="str">
        <f>IFERROR(__xludf.DUMMYFUNCTION("""COMPUTED_VALUE"""),"4º BBM")</f>
        <v>4º BBM</v>
      </c>
      <c r="D281" s="1" t="str">
        <f>IFERROR(__xludf.DUMMYFUNCTION("""COMPUTED_VALUE"""),"Restinga Sêca")</f>
        <v>Restinga Sêca</v>
      </c>
      <c r="E281" s="145" t="str">
        <f>IFERROR(__xludf.DUMMYFUNCTION("""COMPUTED_VALUE"""),"NPBM")</f>
        <v>NPBM</v>
      </c>
      <c r="F281" s="145"/>
      <c r="G281" s="145"/>
      <c r="H281" s="145"/>
    </row>
    <row r="282" customHeight="1" spans="1:8">
      <c r="A282" s="1" t="str">
        <f>IFERROR(__xludf.DUMMYFUNCTION("""COMPUTED_VALUE"""),"Nova Petrópolis")</f>
        <v>Nova Petrópolis</v>
      </c>
      <c r="B282" s="144" t="str">
        <f>IFERROR(__xludf.DUMMYFUNCTION("""COMPUTED_VALUE"""),"2º CRBM")</f>
        <v>2º CRBM</v>
      </c>
      <c r="C282" s="1" t="str">
        <f>IFERROR(__xludf.DUMMYFUNCTION("""COMPUTED_VALUE"""),"5º BBM")</f>
        <v>5º BBM</v>
      </c>
      <c r="D282" s="1" t="str">
        <f>IFERROR(__xludf.DUMMYFUNCTION("""COMPUTED_VALUE"""),"Gramado")</f>
        <v>Gramado</v>
      </c>
      <c r="E282" s="145" t="str">
        <f>IFERROR(__xludf.DUMMYFUNCTION("""COMPUTED_VALUE"""),"Voluntersul")</f>
        <v>Voluntersul</v>
      </c>
      <c r="F282" s="145"/>
      <c r="G282" s="145"/>
      <c r="H282" s="145"/>
    </row>
    <row r="283" customHeight="1" spans="1:8">
      <c r="A283" s="1" t="str">
        <f>IFERROR(__xludf.DUMMYFUNCTION("""COMPUTED_VALUE"""),"Nova Prata")</f>
        <v>Nova Prata</v>
      </c>
      <c r="B283" s="144" t="str">
        <f>IFERROR(__xludf.DUMMYFUNCTION("""COMPUTED_VALUE"""),"2º CRBM")</f>
        <v>2º CRBM</v>
      </c>
      <c r="C283" s="1" t="str">
        <f>IFERROR(__xludf.DUMMYFUNCTION("""COMPUTED_VALUE"""),"5º BBM")</f>
        <v>5º BBM</v>
      </c>
      <c r="D283" s="1" t="str">
        <f>IFERROR(__xludf.DUMMYFUNCTION("""COMPUTED_VALUE"""),"Veranópolis")</f>
        <v>Veranópolis</v>
      </c>
      <c r="E283" s="145" t="str">
        <f>IFERROR(__xludf.DUMMYFUNCTION("""COMPUTED_VALUE"""),"Voluntersul")</f>
        <v>Voluntersul</v>
      </c>
      <c r="F283" s="145"/>
      <c r="G283" s="145"/>
      <c r="H283" s="145"/>
    </row>
    <row r="284" customHeight="1" spans="1:8">
      <c r="A284" s="1" t="str">
        <f>IFERROR(__xludf.DUMMYFUNCTION("""COMPUTED_VALUE"""),"Nova Ramada")</f>
        <v>Nova Ramada</v>
      </c>
      <c r="B284" s="144" t="str">
        <f>IFERROR(__xludf.DUMMYFUNCTION("""COMPUTED_VALUE"""),"4º CRBM")</f>
        <v>4º CRBM</v>
      </c>
      <c r="C284" s="1" t="str">
        <f>IFERROR(__xludf.DUMMYFUNCTION("""COMPUTED_VALUE"""),"12º BBM")</f>
        <v>12º BBM</v>
      </c>
      <c r="D284" s="1" t="str">
        <f>IFERROR(__xludf.DUMMYFUNCTION("""COMPUTED_VALUE"""),"Ijuí")</f>
        <v>Ijuí</v>
      </c>
      <c r="E284" s="145" t="str">
        <f>IFERROR(__xludf.DUMMYFUNCTION("""COMPUTED_VALUE"""),"NPBM")</f>
        <v>NPBM</v>
      </c>
      <c r="F284" s="145"/>
      <c r="G284" s="145"/>
      <c r="H284" s="145"/>
    </row>
    <row r="285" customHeight="1" spans="1:8">
      <c r="A285" s="1" t="str">
        <f>IFERROR(__xludf.DUMMYFUNCTION("""COMPUTED_VALUE"""),"Nova Roma do Sul")</f>
        <v>Nova Roma do Sul</v>
      </c>
      <c r="B285" s="144" t="str">
        <f>IFERROR(__xludf.DUMMYFUNCTION("""COMPUTED_VALUE"""),"2º CRBM")</f>
        <v>2º CRBM</v>
      </c>
      <c r="C285" s="1" t="str">
        <f>IFERROR(__xludf.DUMMYFUNCTION("""COMPUTED_VALUE"""),"5º BBM")</f>
        <v>5º BBM</v>
      </c>
      <c r="D285" s="1" t="str">
        <f>IFERROR(__xludf.DUMMYFUNCTION("""COMPUTED_VALUE"""),"Farroupilha")</f>
        <v>Farroupilha</v>
      </c>
      <c r="E285" s="145" t="str">
        <f>IFERROR(__xludf.DUMMYFUNCTION("""COMPUTED_VALUE"""),"NPBM")</f>
        <v>NPBM</v>
      </c>
      <c r="F285" s="145"/>
      <c r="G285" s="145"/>
      <c r="H285" s="145"/>
    </row>
    <row r="286" customHeight="1" spans="1:8">
      <c r="A286" s="1" t="str">
        <f>IFERROR(__xludf.DUMMYFUNCTION("""COMPUTED_VALUE"""),"Nova Santa Rita")</f>
        <v>Nova Santa Rita</v>
      </c>
      <c r="B286" s="144" t="str">
        <f>IFERROR(__xludf.DUMMYFUNCTION("""COMPUTED_VALUE"""),"1º CRBM")</f>
        <v>1º CRBM</v>
      </c>
      <c r="C286" s="1" t="str">
        <f>IFERROR(__xludf.DUMMYFUNCTION("""COMPUTED_VALUE"""),"8º BBM")</f>
        <v>8º BBM</v>
      </c>
      <c r="D286" s="1" t="str">
        <f>IFERROR(__xludf.DUMMYFUNCTION("""COMPUTED_VALUE"""),"Nova Santa Rita")</f>
        <v>Nova Santa Rita</v>
      </c>
      <c r="E286" s="145" t="str">
        <f>IFERROR(__xludf.DUMMYFUNCTION("""COMPUTED_VALUE"""),"Militar")</f>
        <v>Militar</v>
      </c>
      <c r="F286" s="145"/>
      <c r="G286" s="145"/>
      <c r="H286" s="145"/>
    </row>
    <row r="287" customHeight="1" spans="1:8">
      <c r="A287" s="1" t="str">
        <f>IFERROR(__xludf.DUMMYFUNCTION("""COMPUTED_VALUE"""),"Novo Barreiro")</f>
        <v>Novo Barreiro</v>
      </c>
      <c r="B287" s="144" t="str">
        <f>IFERROR(__xludf.DUMMYFUNCTION("""COMPUTED_VALUE"""),"4º CRBM")</f>
        <v>4º CRBM</v>
      </c>
      <c r="C287" s="1" t="str">
        <f>IFERROR(__xludf.DUMMYFUNCTION("""COMPUTED_VALUE"""),"12º BBM")</f>
        <v>12º BBM</v>
      </c>
      <c r="D287" s="1" t="str">
        <f>IFERROR(__xludf.DUMMYFUNCTION("""COMPUTED_VALUE"""),"Palmeira das Missões")</f>
        <v>Palmeira das Missões</v>
      </c>
      <c r="E287" s="145" t="str">
        <f>IFERROR(__xludf.DUMMYFUNCTION("""COMPUTED_VALUE"""),"NPBM")</f>
        <v>NPBM</v>
      </c>
      <c r="F287" s="145"/>
      <c r="G287" s="145"/>
      <c r="H287" s="145"/>
    </row>
    <row r="288" customHeight="1" spans="1:8">
      <c r="A288" s="1" t="str">
        <f>IFERROR(__xludf.DUMMYFUNCTION("""COMPUTED_VALUE"""),"Novo Cabrais")</f>
        <v>Novo Cabrais</v>
      </c>
      <c r="B288" s="144" t="str">
        <f>IFERROR(__xludf.DUMMYFUNCTION("""COMPUTED_VALUE"""),"4º CRBM")</f>
        <v>4º CRBM</v>
      </c>
      <c r="C288" s="1" t="str">
        <f>IFERROR(__xludf.DUMMYFUNCTION("""COMPUTED_VALUE"""),"4º BBM")</f>
        <v>4º BBM</v>
      </c>
      <c r="D288" s="1" t="str">
        <f>IFERROR(__xludf.DUMMYFUNCTION("""COMPUTED_VALUE"""),"Cachoeira do Sul")</f>
        <v>Cachoeira do Sul</v>
      </c>
      <c r="E288" s="145" t="str">
        <f>IFERROR(__xludf.DUMMYFUNCTION("""COMPUTED_VALUE"""),"Voluntersul")</f>
        <v>Voluntersul</v>
      </c>
      <c r="F288" s="145"/>
      <c r="G288" s="145"/>
      <c r="H288" s="145"/>
    </row>
    <row r="289" customHeight="1" spans="1:8">
      <c r="A289" s="1" t="str">
        <f>IFERROR(__xludf.DUMMYFUNCTION("""COMPUTED_VALUE"""),"Novo Hamburgo")</f>
        <v>Novo Hamburgo</v>
      </c>
      <c r="B289" s="144" t="str">
        <f>IFERROR(__xludf.DUMMYFUNCTION("""COMPUTED_VALUE"""),"2º CRBM")</f>
        <v>2º CRBM</v>
      </c>
      <c r="C289" s="1" t="str">
        <f>IFERROR(__xludf.DUMMYFUNCTION("""COMPUTED_VALUE"""),"2º BBM")</f>
        <v>2º BBM</v>
      </c>
      <c r="D289" s="1" t="str">
        <f>IFERROR(__xludf.DUMMYFUNCTION("""COMPUTED_VALUE"""),"Novo Hamburgo")</f>
        <v>Novo Hamburgo</v>
      </c>
      <c r="E289" s="145" t="str">
        <f>IFERROR(__xludf.DUMMYFUNCTION("""COMPUTED_VALUE"""),"Militar")</f>
        <v>Militar</v>
      </c>
      <c r="F289" s="145"/>
      <c r="G289" s="145"/>
      <c r="H289" s="145"/>
    </row>
    <row r="290" customHeight="1" spans="1:8">
      <c r="A290" s="1" t="str">
        <f>IFERROR(__xludf.DUMMYFUNCTION("""COMPUTED_VALUE"""),"Novo Machado")</f>
        <v>Novo Machado</v>
      </c>
      <c r="B290" s="144" t="str">
        <f>IFERROR(__xludf.DUMMYFUNCTION("""COMPUTED_VALUE"""),"4º CRBM")</f>
        <v>4º CRBM</v>
      </c>
      <c r="C290" s="1" t="str">
        <f>IFERROR(__xludf.DUMMYFUNCTION("""COMPUTED_VALUE"""),"11º BBM")</f>
        <v>11º BBM</v>
      </c>
      <c r="D290" s="1" t="str">
        <f>IFERROR(__xludf.DUMMYFUNCTION("""COMPUTED_VALUE"""),"Horizontina")</f>
        <v>Horizontina</v>
      </c>
      <c r="E290" s="145" t="str">
        <f>IFERROR(__xludf.DUMMYFUNCTION("""COMPUTED_VALUE"""),"NPBM")</f>
        <v>NPBM</v>
      </c>
      <c r="F290" s="145"/>
      <c r="G290" s="145"/>
      <c r="H290" s="145"/>
    </row>
    <row r="291" customHeight="1" spans="1:8">
      <c r="A291" s="1" t="str">
        <f>IFERROR(__xludf.DUMMYFUNCTION("""COMPUTED_VALUE"""),"Novo Tiradentes")</f>
        <v>Novo Tiradentes</v>
      </c>
      <c r="B291" s="144" t="str">
        <f>IFERROR(__xludf.DUMMYFUNCTION("""COMPUTED_VALUE"""),"4º CRBM")</f>
        <v>4º CRBM</v>
      </c>
      <c r="C291" s="1" t="str">
        <f>IFERROR(__xludf.DUMMYFUNCTION("""COMPUTED_VALUE"""),"12º BBM")</f>
        <v>12º BBM</v>
      </c>
      <c r="D291" s="1" t="str">
        <f>IFERROR(__xludf.DUMMYFUNCTION("""COMPUTED_VALUE"""),"Palmeira das Missões")</f>
        <v>Palmeira das Missões</v>
      </c>
      <c r="E291" s="145" t="str">
        <f>IFERROR(__xludf.DUMMYFUNCTION("""COMPUTED_VALUE"""),"NPBM")</f>
        <v>NPBM</v>
      </c>
      <c r="F291" s="145"/>
      <c r="G291" s="145"/>
      <c r="H291" s="145"/>
    </row>
    <row r="292" customHeight="1" spans="1:8">
      <c r="A292" s="1" t="str">
        <f>IFERROR(__xludf.DUMMYFUNCTION("""COMPUTED_VALUE"""),"Novo Xingu")</f>
        <v>Novo Xingu</v>
      </c>
      <c r="B292" s="144" t="str">
        <f>IFERROR(__xludf.DUMMYFUNCTION("""COMPUTED_VALUE"""),"2º CRBM")</f>
        <v>2º CRBM</v>
      </c>
      <c r="C292" s="1" t="str">
        <f>IFERROR(__xludf.DUMMYFUNCTION("""COMPUTED_VALUE"""),"7º BBM")</f>
        <v>7º BBM</v>
      </c>
      <c r="D292" s="1" t="str">
        <f>IFERROR(__xludf.DUMMYFUNCTION("""COMPUTED_VALUE"""),"Sarandi")</f>
        <v>Sarandi</v>
      </c>
      <c r="E292" s="145" t="str">
        <f>IFERROR(__xludf.DUMMYFUNCTION("""COMPUTED_VALUE"""),"NPBM")</f>
        <v>NPBM</v>
      </c>
      <c r="F292" s="145"/>
      <c r="G292" s="145"/>
      <c r="H292" s="145"/>
    </row>
    <row r="293" customHeight="1" spans="1:8">
      <c r="A293" s="1" t="str">
        <f>IFERROR(__xludf.DUMMYFUNCTION("""COMPUTED_VALUE"""),"Osório")</f>
        <v>Osório</v>
      </c>
      <c r="B293" s="144" t="str">
        <f>IFERROR(__xludf.DUMMYFUNCTION("""COMPUTED_VALUE"""),"1º CRBM")</f>
        <v>1º CRBM</v>
      </c>
      <c r="C293" s="1" t="str">
        <f>IFERROR(__xludf.DUMMYFUNCTION("""COMPUTED_VALUE"""),"9º BBM")</f>
        <v>9º BBM</v>
      </c>
      <c r="D293" s="1" t="str">
        <f>IFERROR(__xludf.DUMMYFUNCTION("""COMPUTED_VALUE"""),"Osório")</f>
        <v>Osório</v>
      </c>
      <c r="E293" s="145" t="str">
        <f>IFERROR(__xludf.DUMMYFUNCTION("""COMPUTED_VALUE"""),"Militar")</f>
        <v>Militar</v>
      </c>
      <c r="F293" s="145"/>
      <c r="G293" s="145"/>
      <c r="H293" s="145"/>
    </row>
    <row r="294" customHeight="1" spans="1:8">
      <c r="A294" s="1" t="str">
        <f>IFERROR(__xludf.DUMMYFUNCTION("""COMPUTED_VALUE"""),"Paim Filho")</f>
        <v>Paim Filho</v>
      </c>
      <c r="B294" s="144" t="str">
        <f>IFERROR(__xludf.DUMMYFUNCTION("""COMPUTED_VALUE"""),"2º CRBM")</f>
        <v>2º CRBM</v>
      </c>
      <c r="C294" s="1" t="str">
        <f>IFERROR(__xludf.DUMMYFUNCTION("""COMPUTED_VALUE"""),"7º BBM")</f>
        <v>7º BBM</v>
      </c>
      <c r="D294" s="1" t="str">
        <f>IFERROR(__xludf.DUMMYFUNCTION("""COMPUTED_VALUE"""),"Lagoa Vermelha")</f>
        <v>Lagoa Vermelha</v>
      </c>
      <c r="E294" s="145" t="str">
        <f>IFERROR(__xludf.DUMMYFUNCTION("""COMPUTED_VALUE"""),"NPBM")</f>
        <v>NPBM</v>
      </c>
      <c r="F294" s="145"/>
      <c r="G294" s="145"/>
      <c r="H294" s="145"/>
    </row>
    <row r="295" customHeight="1" spans="1:8">
      <c r="A295" s="1" t="str">
        <f>IFERROR(__xludf.DUMMYFUNCTION("""COMPUTED_VALUE"""),"Palmares do Sul")</f>
        <v>Palmares do Sul</v>
      </c>
      <c r="B295" s="144" t="str">
        <f>IFERROR(__xludf.DUMMYFUNCTION("""COMPUTED_VALUE"""),"1º CRBM")</f>
        <v>1º CRBM</v>
      </c>
      <c r="C295" s="1" t="str">
        <f>IFERROR(__xludf.DUMMYFUNCTION("""COMPUTED_VALUE"""),"9º BBM")</f>
        <v>9º BBM</v>
      </c>
      <c r="D295" s="1" t="str">
        <f>IFERROR(__xludf.DUMMYFUNCTION("""COMPUTED_VALUE"""),"Cidreira")</f>
        <v>Cidreira</v>
      </c>
      <c r="E295" s="145" t="str">
        <f>IFERROR(__xludf.DUMMYFUNCTION("""COMPUTED_VALUE"""),"NPBM")</f>
        <v>NPBM</v>
      </c>
      <c r="F295" s="145"/>
      <c r="G295" s="145"/>
      <c r="H295" s="145"/>
    </row>
    <row r="296" customHeight="1" spans="1:8">
      <c r="A296" s="1" t="str">
        <f>IFERROR(__xludf.DUMMYFUNCTION("""COMPUTED_VALUE"""),"Palmeira das Missões")</f>
        <v>Palmeira das Missões</v>
      </c>
      <c r="B296" s="144" t="str">
        <f>IFERROR(__xludf.DUMMYFUNCTION("""COMPUTED_VALUE"""),"4º CRBM")</f>
        <v>4º CRBM</v>
      </c>
      <c r="C296" s="1" t="str">
        <f>IFERROR(__xludf.DUMMYFUNCTION("""COMPUTED_VALUE"""),"12º BBM")</f>
        <v>12º BBM</v>
      </c>
      <c r="D296" s="1" t="str">
        <f>IFERROR(__xludf.DUMMYFUNCTION("""COMPUTED_VALUE"""),"Palmeira das Missões")</f>
        <v>Palmeira das Missões</v>
      </c>
      <c r="E296" s="145" t="str">
        <f>IFERROR(__xludf.DUMMYFUNCTION("""COMPUTED_VALUE"""),"Militar")</f>
        <v>Militar</v>
      </c>
      <c r="F296" s="145"/>
      <c r="G296" s="145"/>
      <c r="H296" s="145"/>
    </row>
    <row r="297" customHeight="1" spans="1:8">
      <c r="A297" s="1" t="str">
        <f>IFERROR(__xludf.DUMMYFUNCTION("""COMPUTED_VALUE"""),"Palmitinho")</f>
        <v>Palmitinho</v>
      </c>
      <c r="B297" s="144" t="str">
        <f>IFERROR(__xludf.DUMMYFUNCTION("""COMPUTED_VALUE"""),"4º CRBM")</f>
        <v>4º CRBM</v>
      </c>
      <c r="C297" s="1" t="str">
        <f>IFERROR(__xludf.DUMMYFUNCTION("""COMPUTED_VALUE"""),"12º BBM")</f>
        <v>12º BBM</v>
      </c>
      <c r="D297" s="1" t="str">
        <f>IFERROR(__xludf.DUMMYFUNCTION("""COMPUTED_VALUE"""),"Frederico Westphalen")</f>
        <v>Frederico Westphalen</v>
      </c>
      <c r="E297" s="145" t="str">
        <f>IFERROR(__xludf.DUMMYFUNCTION("""COMPUTED_VALUE"""),"NPBM")</f>
        <v>NPBM</v>
      </c>
      <c r="F297" s="145"/>
      <c r="G297" s="145"/>
      <c r="H297" s="145"/>
    </row>
    <row r="298" customHeight="1" spans="1:8">
      <c r="A298" s="1" t="str">
        <f>IFERROR(__xludf.DUMMYFUNCTION("""COMPUTED_VALUE"""),"Panambi")</f>
        <v>Panambi</v>
      </c>
      <c r="B298" s="144" t="str">
        <f>IFERROR(__xludf.DUMMYFUNCTION("""COMPUTED_VALUE"""),"4º CRBM")</f>
        <v>4º CRBM</v>
      </c>
      <c r="C298" s="1" t="str">
        <f>IFERROR(__xludf.DUMMYFUNCTION("""COMPUTED_VALUE"""),"12º BBM")</f>
        <v>12º BBM</v>
      </c>
      <c r="D298" s="1" t="str">
        <f>IFERROR(__xludf.DUMMYFUNCTION("""COMPUTED_VALUE"""),"Panambi")</f>
        <v>Panambi</v>
      </c>
      <c r="E298" s="145" t="str">
        <f>IFERROR(__xludf.DUMMYFUNCTION("""COMPUTED_VALUE"""),"Militar")</f>
        <v>Militar</v>
      </c>
      <c r="F298" s="145"/>
      <c r="G298" s="145"/>
      <c r="H298" s="145"/>
    </row>
    <row r="299" customHeight="1" spans="1:8">
      <c r="A299" s="1" t="str">
        <f>IFERROR(__xludf.DUMMYFUNCTION("""COMPUTED_VALUE"""),"Pantano Grande")</f>
        <v>Pantano Grande</v>
      </c>
      <c r="B299" s="144" t="str">
        <f>IFERROR(__xludf.DUMMYFUNCTION("""COMPUTED_VALUE"""),"4º CRBM")</f>
        <v>4º CRBM</v>
      </c>
      <c r="C299" s="1" t="str">
        <f>IFERROR(__xludf.DUMMYFUNCTION("""COMPUTED_VALUE"""),"6º BBM")</f>
        <v>6º BBM</v>
      </c>
      <c r="D299" s="1" t="str">
        <f>IFERROR(__xludf.DUMMYFUNCTION("""COMPUTED_VALUE"""),"Rio Pardo")</f>
        <v>Rio Pardo</v>
      </c>
      <c r="E299" s="145" t="str">
        <f>IFERROR(__xludf.DUMMYFUNCTION("""COMPUTED_VALUE"""),"NPBM")</f>
        <v>NPBM</v>
      </c>
      <c r="F299" s="145"/>
      <c r="G299" s="145"/>
      <c r="H299" s="145"/>
    </row>
    <row r="300" customHeight="1" spans="1:8">
      <c r="A300" s="1" t="str">
        <f>IFERROR(__xludf.DUMMYFUNCTION("""COMPUTED_VALUE"""),"Paraí")</f>
        <v>Paraí</v>
      </c>
      <c r="B300" s="144" t="str">
        <f>IFERROR(__xludf.DUMMYFUNCTION("""COMPUTED_VALUE"""),"2º CRBM")</f>
        <v>2º CRBM</v>
      </c>
      <c r="C300" s="1" t="str">
        <f>IFERROR(__xludf.DUMMYFUNCTION("""COMPUTED_VALUE"""),"5º BBM")</f>
        <v>5º BBM</v>
      </c>
      <c r="D300" s="1" t="str">
        <f>IFERROR(__xludf.DUMMYFUNCTION("""COMPUTED_VALUE"""),"Veranópolis")</f>
        <v>Veranópolis</v>
      </c>
      <c r="E300" s="145" t="str">
        <f>IFERROR(__xludf.DUMMYFUNCTION("""COMPUTED_VALUE"""),"NPBM")</f>
        <v>NPBM</v>
      </c>
      <c r="F300" s="145"/>
      <c r="G300" s="145"/>
      <c r="H300" s="145"/>
    </row>
    <row r="301" customHeight="1" spans="1:8">
      <c r="A301" s="1" t="str">
        <f>IFERROR(__xludf.DUMMYFUNCTION("""COMPUTED_VALUE"""),"Paraíso do Sul")</f>
        <v>Paraíso do Sul</v>
      </c>
      <c r="B301" s="144" t="str">
        <f>IFERROR(__xludf.DUMMYFUNCTION("""COMPUTED_VALUE"""),"4º CRBM")</f>
        <v>4º CRBM</v>
      </c>
      <c r="C301" s="1" t="str">
        <f>IFERROR(__xludf.DUMMYFUNCTION("""COMPUTED_VALUE"""),"4º BBM")</f>
        <v>4º BBM</v>
      </c>
      <c r="D301" s="1" t="str">
        <f>IFERROR(__xludf.DUMMYFUNCTION("""COMPUTED_VALUE"""),"Restinga Sêca")</f>
        <v>Restinga Sêca</v>
      </c>
      <c r="E301" s="145" t="str">
        <f>IFERROR(__xludf.DUMMYFUNCTION("""COMPUTED_VALUE"""),"Voluntersul")</f>
        <v>Voluntersul</v>
      </c>
      <c r="F301" s="145"/>
      <c r="G301" s="145"/>
      <c r="H301" s="145"/>
    </row>
    <row r="302" customHeight="1" spans="1:8">
      <c r="A302" s="1" t="str">
        <f>IFERROR(__xludf.DUMMYFUNCTION("""COMPUTED_VALUE"""),"Pareci Novo")</f>
        <v>Pareci Novo</v>
      </c>
      <c r="B302" s="144" t="str">
        <f>IFERROR(__xludf.DUMMYFUNCTION("""COMPUTED_VALUE"""),"2º CRBM")</f>
        <v>2º CRBM</v>
      </c>
      <c r="C302" s="1" t="str">
        <f>IFERROR(__xludf.DUMMYFUNCTION("""COMPUTED_VALUE"""),"2º BBM")</f>
        <v>2º BBM</v>
      </c>
      <c r="D302" s="1" t="str">
        <f>IFERROR(__xludf.DUMMYFUNCTION("""COMPUTED_VALUE"""),"Montenegro")</f>
        <v>Montenegro</v>
      </c>
      <c r="E302" s="145" t="str">
        <f>IFERROR(__xludf.DUMMYFUNCTION("""COMPUTED_VALUE"""),"NPBM")</f>
        <v>NPBM</v>
      </c>
      <c r="F302" s="145"/>
      <c r="G302" s="145"/>
      <c r="H302" s="145"/>
    </row>
    <row r="303" customHeight="1" spans="1:8">
      <c r="A303" s="1" t="str">
        <f>IFERROR(__xludf.DUMMYFUNCTION("""COMPUTED_VALUE"""),"Parobé")</f>
        <v>Parobé</v>
      </c>
      <c r="B303" s="144" t="str">
        <f>IFERROR(__xludf.DUMMYFUNCTION("""COMPUTED_VALUE"""),"2º CRBM")</f>
        <v>2º CRBM</v>
      </c>
      <c r="C303" s="1" t="str">
        <f>IFERROR(__xludf.DUMMYFUNCTION("""COMPUTED_VALUE"""),"2º BBM")</f>
        <v>2º BBM</v>
      </c>
      <c r="D303" s="1" t="str">
        <f>IFERROR(__xludf.DUMMYFUNCTION("""COMPUTED_VALUE"""),"Parobé")</f>
        <v>Parobé</v>
      </c>
      <c r="E303" s="145" t="str">
        <f>IFERROR(__xludf.DUMMYFUNCTION("""COMPUTED_VALUE"""),"Comunitário")</f>
        <v>Comunitário</v>
      </c>
      <c r="F303" s="145"/>
      <c r="G303" s="145"/>
      <c r="H303" s="145"/>
    </row>
    <row r="304" customHeight="1" spans="1:8">
      <c r="A304" s="1" t="str">
        <f>IFERROR(__xludf.DUMMYFUNCTION("""COMPUTED_VALUE"""),"Passa Sete")</f>
        <v>Passa Sete</v>
      </c>
      <c r="B304" s="144" t="str">
        <f>IFERROR(__xludf.DUMMYFUNCTION("""COMPUTED_VALUE"""),"4º CRBM")</f>
        <v>4º CRBM</v>
      </c>
      <c r="C304" s="1" t="str">
        <f>IFERROR(__xludf.DUMMYFUNCTION("""COMPUTED_VALUE"""),"6º BBM")</f>
        <v>6º BBM</v>
      </c>
      <c r="D304" s="1" t="str">
        <f>IFERROR(__xludf.DUMMYFUNCTION("""COMPUTED_VALUE"""),"Santa Cruz do Sul")</f>
        <v>Santa Cruz do Sul</v>
      </c>
      <c r="E304" s="145" t="str">
        <f>IFERROR(__xludf.DUMMYFUNCTION("""COMPUTED_VALUE"""),"NPBM")</f>
        <v>NPBM</v>
      </c>
      <c r="F304" s="145"/>
      <c r="G304" s="145"/>
      <c r="H304" s="145"/>
    </row>
    <row r="305" customHeight="1" spans="1:8">
      <c r="A305" s="1" t="str">
        <f>IFERROR(__xludf.DUMMYFUNCTION("""COMPUTED_VALUE"""),"Passo do Sobrado")</f>
        <v>Passo do Sobrado</v>
      </c>
      <c r="B305" s="144" t="str">
        <f>IFERROR(__xludf.DUMMYFUNCTION("""COMPUTED_VALUE"""),"4º CRBM")</f>
        <v>4º CRBM</v>
      </c>
      <c r="C305" s="1" t="str">
        <f>IFERROR(__xludf.DUMMYFUNCTION("""COMPUTED_VALUE"""),"6º BBM")</f>
        <v>6º BBM</v>
      </c>
      <c r="D305" s="1" t="str">
        <f>IFERROR(__xludf.DUMMYFUNCTION("""COMPUTED_VALUE"""),"Santa Cruz do Sul")</f>
        <v>Santa Cruz do Sul</v>
      </c>
      <c r="E305" s="145" t="str">
        <f>IFERROR(__xludf.DUMMYFUNCTION("""COMPUTED_VALUE"""),"Voluntersul")</f>
        <v>Voluntersul</v>
      </c>
      <c r="F305" s="145"/>
      <c r="G305" s="145"/>
      <c r="H305" s="145"/>
    </row>
    <row r="306" customHeight="1" spans="1:8">
      <c r="A306" s="1" t="str">
        <f>IFERROR(__xludf.DUMMYFUNCTION("""COMPUTED_VALUE"""),"Passo Fundo")</f>
        <v>Passo Fundo</v>
      </c>
      <c r="B306" s="144" t="str">
        <f>IFERROR(__xludf.DUMMYFUNCTION("""COMPUTED_VALUE"""),"2º CRBM")</f>
        <v>2º CRBM</v>
      </c>
      <c r="C306" s="1" t="str">
        <f>IFERROR(__xludf.DUMMYFUNCTION("""COMPUTED_VALUE"""),"7º BBM")</f>
        <v>7º BBM</v>
      </c>
      <c r="D306" s="1" t="str">
        <f>IFERROR(__xludf.DUMMYFUNCTION("""COMPUTED_VALUE"""),"Passo Fundo")</f>
        <v>Passo Fundo</v>
      </c>
      <c r="E306" s="145" t="str">
        <f>IFERROR(__xludf.DUMMYFUNCTION("""COMPUTED_VALUE"""),"Militar")</f>
        <v>Militar</v>
      </c>
      <c r="F306" s="145"/>
      <c r="G306" s="145"/>
      <c r="H306" s="145"/>
    </row>
    <row r="307" customHeight="1" spans="1:8">
      <c r="A307" s="1" t="str">
        <f>IFERROR(__xludf.DUMMYFUNCTION("""COMPUTED_VALUE"""),"Paulo Bento")</f>
        <v>Paulo Bento</v>
      </c>
      <c r="B307" s="144" t="str">
        <f>IFERROR(__xludf.DUMMYFUNCTION("""COMPUTED_VALUE"""),"2º CRBM")</f>
        <v>2º CRBM</v>
      </c>
      <c r="C307" s="1" t="str">
        <f>IFERROR(__xludf.DUMMYFUNCTION("""COMPUTED_VALUE"""),"7º BBM")</f>
        <v>7º BBM</v>
      </c>
      <c r="D307" s="1" t="str">
        <f>IFERROR(__xludf.DUMMYFUNCTION("""COMPUTED_VALUE"""),"Erechim")</f>
        <v>Erechim</v>
      </c>
      <c r="E307" s="145" t="str">
        <f>IFERROR(__xludf.DUMMYFUNCTION("""COMPUTED_VALUE"""),"NPBM")</f>
        <v>NPBM</v>
      </c>
      <c r="F307" s="145"/>
      <c r="G307" s="145"/>
      <c r="H307" s="145"/>
    </row>
    <row r="308" customHeight="1" spans="1:8">
      <c r="A308" s="1" t="str">
        <f>IFERROR(__xludf.DUMMYFUNCTION("""COMPUTED_VALUE"""),"Paverama")</f>
        <v>Paverama</v>
      </c>
      <c r="B308" s="144" t="str">
        <f>IFERROR(__xludf.DUMMYFUNCTION("""COMPUTED_VALUE"""),"4º CRBM")</f>
        <v>4º CRBM</v>
      </c>
      <c r="C308" s="1" t="str">
        <f>IFERROR(__xludf.DUMMYFUNCTION("""COMPUTED_VALUE"""),"6º BBM")</f>
        <v>6º BBM</v>
      </c>
      <c r="D308" s="1" t="str">
        <f>IFERROR(__xludf.DUMMYFUNCTION("""COMPUTED_VALUE"""),"Estrela")</f>
        <v>Estrela</v>
      </c>
      <c r="E308" s="145" t="str">
        <f>IFERROR(__xludf.DUMMYFUNCTION("""COMPUTED_VALUE"""),"NPBM")</f>
        <v>NPBM</v>
      </c>
      <c r="F308" s="145"/>
      <c r="G308" s="145"/>
      <c r="H308" s="145"/>
    </row>
    <row r="309" customHeight="1" spans="1:8">
      <c r="A309" s="1" t="str">
        <f>IFERROR(__xludf.DUMMYFUNCTION("""COMPUTED_VALUE"""),"Pedras Altas")</f>
        <v>Pedras Altas</v>
      </c>
      <c r="B309" s="144" t="str">
        <f>IFERROR(__xludf.DUMMYFUNCTION("""COMPUTED_VALUE"""),"3º CRBM")</f>
        <v>3º CRBM</v>
      </c>
      <c r="C309" s="1" t="str">
        <f>IFERROR(__xludf.DUMMYFUNCTION("""COMPUTED_VALUE"""),"10º BBM")</f>
        <v>10º BBM</v>
      </c>
      <c r="D309" s="1" t="str">
        <f>IFERROR(__xludf.DUMMYFUNCTION("""COMPUTED_VALUE"""),"Bagé")</f>
        <v>Bagé</v>
      </c>
      <c r="E309" s="145" t="str">
        <f>IFERROR(__xludf.DUMMYFUNCTION("""COMPUTED_VALUE"""),"NPBM")</f>
        <v>NPBM</v>
      </c>
      <c r="F309" s="145"/>
      <c r="G309" s="145"/>
      <c r="H309" s="145"/>
    </row>
    <row r="310" customHeight="1" spans="1:8">
      <c r="A310" s="1" t="str">
        <f>IFERROR(__xludf.DUMMYFUNCTION("""COMPUTED_VALUE"""),"Pedro Osório")</f>
        <v>Pedro Osório</v>
      </c>
      <c r="B310" s="144" t="str">
        <f>IFERROR(__xludf.DUMMYFUNCTION("""COMPUTED_VALUE"""),"3º CRBM")</f>
        <v>3º CRBM</v>
      </c>
      <c r="C310" s="1" t="str">
        <f>IFERROR(__xludf.DUMMYFUNCTION("""COMPUTED_VALUE"""),"3º BBM")</f>
        <v>3º BBM</v>
      </c>
      <c r="D310" s="1" t="str">
        <f>IFERROR(__xludf.DUMMYFUNCTION("""COMPUTED_VALUE"""),"Pelotas")</f>
        <v>Pelotas</v>
      </c>
      <c r="E310" s="145" t="str">
        <f>IFERROR(__xludf.DUMMYFUNCTION("""COMPUTED_VALUE"""),"NPBM")</f>
        <v>NPBM</v>
      </c>
      <c r="F310" s="145"/>
      <c r="G310" s="145"/>
      <c r="H310" s="145"/>
    </row>
    <row r="311" customHeight="1" spans="1:8">
      <c r="A311" s="1" t="str">
        <f>IFERROR(__xludf.DUMMYFUNCTION("""COMPUTED_VALUE"""),"Pejuçara")</f>
        <v>Pejuçara</v>
      </c>
      <c r="B311" s="144" t="str">
        <f>IFERROR(__xludf.DUMMYFUNCTION("""COMPUTED_VALUE"""),"4º CRBM")</f>
        <v>4º CRBM</v>
      </c>
      <c r="C311" s="1" t="str">
        <f>IFERROR(__xludf.DUMMYFUNCTION("""COMPUTED_VALUE"""),"12º BBM")</f>
        <v>12º BBM</v>
      </c>
      <c r="D311" s="1" t="str">
        <f>IFERROR(__xludf.DUMMYFUNCTION("""COMPUTED_VALUE"""),"Panambi")</f>
        <v>Panambi</v>
      </c>
      <c r="E311" s="145" t="str">
        <f>IFERROR(__xludf.DUMMYFUNCTION("""COMPUTED_VALUE"""),"NPBM")</f>
        <v>NPBM</v>
      </c>
      <c r="F311" s="145"/>
      <c r="G311" s="145"/>
      <c r="H311" s="145"/>
    </row>
    <row r="312" customHeight="1" spans="1:8">
      <c r="A312" s="1" t="str">
        <f>IFERROR(__xludf.DUMMYFUNCTION("""COMPUTED_VALUE"""),"Pelotas")</f>
        <v>Pelotas</v>
      </c>
      <c r="B312" s="144" t="str">
        <f>IFERROR(__xludf.DUMMYFUNCTION("""COMPUTED_VALUE"""),"3º CRBM")</f>
        <v>3º CRBM</v>
      </c>
      <c r="C312" s="1" t="str">
        <f>IFERROR(__xludf.DUMMYFUNCTION("""COMPUTED_VALUE"""),"3º BBM")</f>
        <v>3º BBM</v>
      </c>
      <c r="D312" s="1" t="str">
        <f>IFERROR(__xludf.DUMMYFUNCTION("""COMPUTED_VALUE"""),"Pelotas")</f>
        <v>Pelotas</v>
      </c>
      <c r="E312" s="145" t="str">
        <f>IFERROR(__xludf.DUMMYFUNCTION("""COMPUTED_VALUE"""),"Militar")</f>
        <v>Militar</v>
      </c>
      <c r="F312" s="145"/>
      <c r="G312" s="145"/>
      <c r="H312" s="145"/>
    </row>
    <row r="313" customHeight="1" spans="1:8">
      <c r="A313" s="1" t="str">
        <f>IFERROR(__xludf.DUMMYFUNCTION("""COMPUTED_VALUE"""),"Picada Café")</f>
        <v>Picada Café</v>
      </c>
      <c r="B313" s="144" t="str">
        <f>IFERROR(__xludf.DUMMYFUNCTION("""COMPUTED_VALUE"""),"2º CRBM")</f>
        <v>2º CRBM</v>
      </c>
      <c r="C313" s="1" t="str">
        <f>IFERROR(__xludf.DUMMYFUNCTION("""COMPUTED_VALUE"""),"5º BBM")</f>
        <v>5º BBM</v>
      </c>
      <c r="D313" s="1" t="str">
        <f>IFERROR(__xludf.DUMMYFUNCTION("""COMPUTED_VALUE"""),"Dois Irmãos")</f>
        <v>Dois Irmãos</v>
      </c>
      <c r="E313" s="145" t="str">
        <f>IFERROR(__xludf.DUMMYFUNCTION("""COMPUTED_VALUE"""),"Voluntersul")</f>
        <v>Voluntersul</v>
      </c>
      <c r="F313" s="145"/>
      <c r="G313" s="145"/>
      <c r="H313" s="145"/>
    </row>
    <row r="314" customHeight="1" spans="1:8">
      <c r="A314" s="1" t="str">
        <f>IFERROR(__xludf.DUMMYFUNCTION("""COMPUTED_VALUE"""),"Pinhal")</f>
        <v>Pinhal</v>
      </c>
      <c r="B314" s="144" t="str">
        <f>IFERROR(__xludf.DUMMYFUNCTION("""COMPUTED_VALUE"""),"4º CRBM")</f>
        <v>4º CRBM</v>
      </c>
      <c r="C314" s="1" t="str">
        <f>IFERROR(__xludf.DUMMYFUNCTION("""COMPUTED_VALUE"""),"12º BBM")</f>
        <v>12º BBM</v>
      </c>
      <c r="D314" s="1" t="str">
        <f>IFERROR(__xludf.DUMMYFUNCTION("""COMPUTED_VALUE"""),"Frederico Westphalen")</f>
        <v>Frederico Westphalen</v>
      </c>
      <c r="E314" s="145" t="str">
        <f>IFERROR(__xludf.DUMMYFUNCTION("""COMPUTED_VALUE"""),"NPBM")</f>
        <v>NPBM</v>
      </c>
      <c r="F314" s="145"/>
      <c r="G314" s="145"/>
      <c r="H314" s="145"/>
    </row>
    <row r="315" customHeight="1" spans="1:8">
      <c r="A315" s="1" t="str">
        <f>IFERROR(__xludf.DUMMYFUNCTION("""COMPUTED_VALUE"""),"Pinhal da Serra")</f>
        <v>Pinhal da Serra</v>
      </c>
      <c r="B315" s="144" t="str">
        <f>IFERROR(__xludf.DUMMYFUNCTION("""COMPUTED_VALUE"""),"2º CRBM")</f>
        <v>2º CRBM</v>
      </c>
      <c r="C315" s="1" t="str">
        <f>IFERROR(__xludf.DUMMYFUNCTION("""COMPUTED_VALUE"""),"5º BBM")</f>
        <v>5º BBM</v>
      </c>
      <c r="D315" s="1" t="str">
        <f>IFERROR(__xludf.DUMMYFUNCTION("""COMPUTED_VALUE"""),"Vacaria")</f>
        <v>Vacaria</v>
      </c>
      <c r="E315" s="145" t="str">
        <f>IFERROR(__xludf.DUMMYFUNCTION("""COMPUTED_VALUE"""),"NPBM")</f>
        <v>NPBM</v>
      </c>
      <c r="F315" s="145"/>
      <c r="G315" s="145"/>
      <c r="H315" s="145"/>
    </row>
    <row r="316" customHeight="1" spans="1:8">
      <c r="A316" s="1" t="str">
        <f>IFERROR(__xludf.DUMMYFUNCTION("""COMPUTED_VALUE"""),"Pinhal Grande")</f>
        <v>Pinhal Grande</v>
      </c>
      <c r="B316" s="144" t="str">
        <f>IFERROR(__xludf.DUMMYFUNCTION("""COMPUTED_VALUE"""),"4º CRBM")</f>
        <v>4º CRBM</v>
      </c>
      <c r="C316" s="1" t="str">
        <f>IFERROR(__xludf.DUMMYFUNCTION("""COMPUTED_VALUE"""),"4º BBM")</f>
        <v>4º BBM</v>
      </c>
      <c r="D316" s="1" t="str">
        <f>IFERROR(__xludf.DUMMYFUNCTION("""COMPUTED_VALUE"""),"Júlio de Castilhos")</f>
        <v>Júlio de Castilhos</v>
      </c>
      <c r="E316" s="145" t="str">
        <f>IFERROR(__xludf.DUMMYFUNCTION("""COMPUTED_VALUE"""),"NPBM")</f>
        <v>NPBM</v>
      </c>
      <c r="F316" s="145"/>
      <c r="G316" s="145"/>
      <c r="H316" s="145"/>
    </row>
    <row r="317" customHeight="1" spans="1:8">
      <c r="A317" s="1" t="str">
        <f>IFERROR(__xludf.DUMMYFUNCTION("""COMPUTED_VALUE"""),"Pinheirinho do Vale")</f>
        <v>Pinheirinho do Vale</v>
      </c>
      <c r="B317" s="144" t="str">
        <f>IFERROR(__xludf.DUMMYFUNCTION("""COMPUTED_VALUE"""),"4º CRBM")</f>
        <v>4º CRBM</v>
      </c>
      <c r="C317" s="1" t="str">
        <f>IFERROR(__xludf.DUMMYFUNCTION("""COMPUTED_VALUE"""),"12º BBM")</f>
        <v>12º BBM</v>
      </c>
      <c r="D317" s="1" t="str">
        <f>IFERROR(__xludf.DUMMYFUNCTION("""COMPUTED_VALUE"""),"Frederico Westphalen")</f>
        <v>Frederico Westphalen</v>
      </c>
      <c r="E317" s="145" t="str">
        <f>IFERROR(__xludf.DUMMYFUNCTION("""COMPUTED_VALUE"""),"NPBM")</f>
        <v>NPBM</v>
      </c>
      <c r="F317" s="145"/>
      <c r="G317" s="145"/>
      <c r="H317" s="145"/>
    </row>
    <row r="318" customHeight="1" spans="1:8">
      <c r="A318" s="1" t="str">
        <f>IFERROR(__xludf.DUMMYFUNCTION("""COMPUTED_VALUE"""),"Pinheiro Machado")</f>
        <v>Pinheiro Machado</v>
      </c>
      <c r="B318" s="144" t="str">
        <f>IFERROR(__xludf.DUMMYFUNCTION("""COMPUTED_VALUE"""),"3º CRBM")</f>
        <v>3º CRBM</v>
      </c>
      <c r="C318" s="1" t="str">
        <f>IFERROR(__xludf.DUMMYFUNCTION("""COMPUTED_VALUE"""),"10º BBM")</f>
        <v>10º BBM</v>
      </c>
      <c r="D318" s="1" t="str">
        <f>IFERROR(__xludf.DUMMYFUNCTION("""COMPUTED_VALUE"""),"Bagé")</f>
        <v>Bagé</v>
      </c>
      <c r="E318" s="145" t="str">
        <f>IFERROR(__xludf.DUMMYFUNCTION("""COMPUTED_VALUE"""),"NPBM")</f>
        <v>NPBM</v>
      </c>
      <c r="F318" s="145"/>
      <c r="G318" s="145"/>
      <c r="H318" s="145"/>
    </row>
    <row r="319" customHeight="1" spans="1:8">
      <c r="A319" s="1" t="str">
        <f>IFERROR(__xludf.DUMMYFUNCTION("""COMPUTED_VALUE"""),"Pinto Bandeira")</f>
        <v>Pinto Bandeira</v>
      </c>
      <c r="B319" s="144" t="str">
        <f>IFERROR(__xludf.DUMMYFUNCTION("""COMPUTED_VALUE"""),"2º CRBM")</f>
        <v>2º CRBM</v>
      </c>
      <c r="C319" s="1" t="str">
        <f>IFERROR(__xludf.DUMMYFUNCTION("""COMPUTED_VALUE"""),"5º BBM")</f>
        <v>5º BBM</v>
      </c>
      <c r="D319" s="1" t="str">
        <f>IFERROR(__xludf.DUMMYFUNCTION("""COMPUTED_VALUE"""),"Bento Gonçalves")</f>
        <v>Bento Gonçalves</v>
      </c>
      <c r="E319" s="145" t="str">
        <f>IFERROR(__xludf.DUMMYFUNCTION("""COMPUTED_VALUE"""),"NPBM")</f>
        <v>NPBM</v>
      </c>
      <c r="F319" s="145"/>
      <c r="G319" s="145"/>
      <c r="H319" s="145"/>
    </row>
    <row r="320" customHeight="1" spans="1:8">
      <c r="A320" s="1" t="str">
        <f>IFERROR(__xludf.DUMMYFUNCTION("""COMPUTED_VALUE"""),"Pirapó")</f>
        <v>Pirapó</v>
      </c>
      <c r="B320" s="144" t="str">
        <f>IFERROR(__xludf.DUMMYFUNCTION("""COMPUTED_VALUE"""),"4º CRBM")</f>
        <v>4º CRBM</v>
      </c>
      <c r="C320" s="1" t="str">
        <f>IFERROR(__xludf.DUMMYFUNCTION("""COMPUTED_VALUE"""),"11º BBM")</f>
        <v>11º BBM</v>
      </c>
      <c r="D320" s="1" t="str">
        <f>IFERROR(__xludf.DUMMYFUNCTION("""COMPUTED_VALUE"""),"São Luiz Gonzaga")</f>
        <v>São Luiz Gonzaga</v>
      </c>
      <c r="E320" s="145" t="str">
        <f>IFERROR(__xludf.DUMMYFUNCTION("""COMPUTED_VALUE"""),"NPBM")</f>
        <v>NPBM</v>
      </c>
      <c r="F320" s="145"/>
      <c r="G320" s="145"/>
      <c r="H320" s="145"/>
    </row>
    <row r="321" customHeight="1" spans="1:8">
      <c r="A321" s="1" t="str">
        <f>IFERROR(__xludf.DUMMYFUNCTION("""COMPUTED_VALUE"""),"Piratini")</f>
        <v>Piratini</v>
      </c>
      <c r="B321" s="144" t="str">
        <f>IFERROR(__xludf.DUMMYFUNCTION("""COMPUTED_VALUE"""),"3º CRBM")</f>
        <v>3º CRBM</v>
      </c>
      <c r="C321" s="1" t="str">
        <f>IFERROR(__xludf.DUMMYFUNCTION("""COMPUTED_VALUE"""),"3º BBM")</f>
        <v>3º BBM</v>
      </c>
      <c r="D321" s="1" t="str">
        <f>IFERROR(__xludf.DUMMYFUNCTION("""COMPUTED_VALUE"""),"Canguçu")</f>
        <v>Canguçu</v>
      </c>
      <c r="E321" s="145" t="str">
        <f>IFERROR(__xludf.DUMMYFUNCTION("""COMPUTED_VALUE"""),"NPBM")</f>
        <v>NPBM</v>
      </c>
      <c r="F321" s="145"/>
      <c r="G321" s="145"/>
      <c r="H321" s="145"/>
    </row>
    <row r="322" customHeight="1" spans="1:8">
      <c r="A322" s="1" t="str">
        <f>IFERROR(__xludf.DUMMYFUNCTION("""COMPUTED_VALUE"""),"Planalto")</f>
        <v>Planalto</v>
      </c>
      <c r="B322" s="144" t="str">
        <f>IFERROR(__xludf.DUMMYFUNCTION("""COMPUTED_VALUE"""),"4º CRBM")</f>
        <v>4º CRBM</v>
      </c>
      <c r="C322" s="1" t="str">
        <f>IFERROR(__xludf.DUMMYFUNCTION("""COMPUTED_VALUE"""),"12º BBM")</f>
        <v>12º BBM</v>
      </c>
      <c r="D322" s="1" t="str">
        <f>IFERROR(__xludf.DUMMYFUNCTION("""COMPUTED_VALUE"""),"Nonoai")</f>
        <v>Nonoai</v>
      </c>
      <c r="E322" s="145" t="str">
        <f>IFERROR(__xludf.DUMMYFUNCTION("""COMPUTED_VALUE"""),"Voluntersul")</f>
        <v>Voluntersul</v>
      </c>
      <c r="F322" s="145"/>
      <c r="G322" s="145"/>
      <c r="H322" s="145"/>
    </row>
    <row r="323" customHeight="1" spans="1:8">
      <c r="A323" s="1" t="str">
        <f>IFERROR(__xludf.DUMMYFUNCTION("""COMPUTED_VALUE"""),"Poço das Antas")</f>
        <v>Poço das Antas</v>
      </c>
      <c r="B323" s="144" t="str">
        <f>IFERROR(__xludf.DUMMYFUNCTION("""COMPUTED_VALUE"""),"4º CRBM")</f>
        <v>4º CRBM</v>
      </c>
      <c r="C323" s="1" t="str">
        <f>IFERROR(__xludf.DUMMYFUNCTION("""COMPUTED_VALUE"""),"6º BBM")</f>
        <v>6º BBM</v>
      </c>
      <c r="D323" s="1" t="str">
        <f>IFERROR(__xludf.DUMMYFUNCTION("""COMPUTED_VALUE"""),"Estrela")</f>
        <v>Estrela</v>
      </c>
      <c r="E323" s="145" t="str">
        <f>IFERROR(__xludf.DUMMYFUNCTION("""COMPUTED_VALUE"""),"NPBM")</f>
        <v>NPBM</v>
      </c>
      <c r="F323" s="145"/>
      <c r="G323" s="145"/>
      <c r="H323" s="145"/>
    </row>
    <row r="324" customHeight="1" spans="1:8">
      <c r="A324" s="1" t="str">
        <f>IFERROR(__xludf.DUMMYFUNCTION("""COMPUTED_VALUE"""),"Pontão")</f>
        <v>Pontão</v>
      </c>
      <c r="B324" s="144" t="str">
        <f>IFERROR(__xludf.DUMMYFUNCTION("""COMPUTED_VALUE"""),"2º CRBM")</f>
        <v>2º CRBM</v>
      </c>
      <c r="C324" s="1" t="str">
        <f>IFERROR(__xludf.DUMMYFUNCTION("""COMPUTED_VALUE"""),"7º BBM")</f>
        <v>7º BBM</v>
      </c>
      <c r="D324" s="1" t="str">
        <f>IFERROR(__xludf.DUMMYFUNCTION("""COMPUTED_VALUE"""),"Passo Fundo")</f>
        <v>Passo Fundo</v>
      </c>
      <c r="E324" s="145" t="str">
        <f>IFERROR(__xludf.DUMMYFUNCTION("""COMPUTED_VALUE"""),"NPBM")</f>
        <v>NPBM</v>
      </c>
      <c r="F324" s="145"/>
      <c r="G324" s="145"/>
      <c r="H324" s="145"/>
    </row>
    <row r="325" customHeight="1" spans="1:8">
      <c r="A325" s="1" t="str">
        <f>IFERROR(__xludf.DUMMYFUNCTION("""COMPUTED_VALUE"""),"Ponte Preta")</f>
        <v>Ponte Preta</v>
      </c>
      <c r="B325" s="144" t="str">
        <f>IFERROR(__xludf.DUMMYFUNCTION("""COMPUTED_VALUE"""),"2º CRBM")</f>
        <v>2º CRBM</v>
      </c>
      <c r="C325" s="1" t="str">
        <f>IFERROR(__xludf.DUMMYFUNCTION("""COMPUTED_VALUE"""),"7º BBM")</f>
        <v>7º BBM</v>
      </c>
      <c r="D325" s="1" t="str">
        <f>IFERROR(__xludf.DUMMYFUNCTION("""COMPUTED_VALUE"""),"Erechim")</f>
        <v>Erechim</v>
      </c>
      <c r="E325" s="145" t="str">
        <f>IFERROR(__xludf.DUMMYFUNCTION("""COMPUTED_VALUE"""),"NPBM")</f>
        <v>NPBM</v>
      </c>
      <c r="F325" s="145"/>
      <c r="G325" s="145"/>
      <c r="H325" s="145"/>
    </row>
    <row r="326" customHeight="1" spans="1:8">
      <c r="A326" s="1" t="str">
        <f>IFERROR(__xludf.DUMMYFUNCTION("""COMPUTED_VALUE"""),"Portão")</f>
        <v>Portão</v>
      </c>
      <c r="B326" s="144" t="str">
        <f>IFERROR(__xludf.DUMMYFUNCTION("""COMPUTED_VALUE"""),"2º CRBM")</f>
        <v>2º CRBM</v>
      </c>
      <c r="C326" s="1" t="str">
        <f>IFERROR(__xludf.DUMMYFUNCTION("""COMPUTED_VALUE"""),"2º BBM")</f>
        <v>2º BBM</v>
      </c>
      <c r="D326" s="1" t="str">
        <f>IFERROR(__xludf.DUMMYFUNCTION("""COMPUTED_VALUE"""),"Portão")</f>
        <v>Portão</v>
      </c>
      <c r="E326" s="145" t="str">
        <f>IFERROR(__xludf.DUMMYFUNCTION("""COMPUTED_VALUE"""),"Comunitário")</f>
        <v>Comunitário</v>
      </c>
      <c r="F326" s="145"/>
      <c r="G326" s="145"/>
      <c r="H326" s="145"/>
    </row>
    <row r="327" customHeight="1" spans="1:8">
      <c r="A327" s="1" t="str">
        <f>IFERROR(__xludf.DUMMYFUNCTION("""COMPUTED_VALUE"""),"Porto Alegre")</f>
        <v>Porto Alegre</v>
      </c>
      <c r="B327" s="144" t="str">
        <f>IFERROR(__xludf.DUMMYFUNCTION("""COMPUTED_VALUE"""),"1º CRBM")</f>
        <v>1º CRBM</v>
      </c>
      <c r="C327" s="1" t="str">
        <f>IFERROR(__xludf.DUMMYFUNCTION("""COMPUTED_VALUE"""),"1º BBM")</f>
        <v>1º BBM</v>
      </c>
      <c r="D327" s="1" t="str">
        <f>IFERROR(__xludf.DUMMYFUNCTION("""COMPUTED_VALUE"""),"Porto Alegre")</f>
        <v>Porto Alegre</v>
      </c>
      <c r="E327" s="145" t="str">
        <f>IFERROR(__xludf.DUMMYFUNCTION("""COMPUTED_VALUE"""),"Militar")</f>
        <v>Militar</v>
      </c>
      <c r="F327" s="145"/>
      <c r="G327" s="145"/>
      <c r="H327" s="145"/>
    </row>
    <row r="328" customHeight="1" spans="1:8">
      <c r="A328" s="1" t="str">
        <f>IFERROR(__xludf.DUMMYFUNCTION("""COMPUTED_VALUE"""),"Porto Lucena")</f>
        <v>Porto Lucena</v>
      </c>
      <c r="B328" s="144" t="str">
        <f>IFERROR(__xludf.DUMMYFUNCTION("""COMPUTED_VALUE"""),"4º CRBM")</f>
        <v>4º CRBM</v>
      </c>
      <c r="C328" s="1" t="str">
        <f>IFERROR(__xludf.DUMMYFUNCTION("""COMPUTED_VALUE"""),"11º BBM")</f>
        <v>11º BBM</v>
      </c>
      <c r="D328" s="1" t="str">
        <f>IFERROR(__xludf.DUMMYFUNCTION("""COMPUTED_VALUE"""),"Santa Rosa")</f>
        <v>Santa Rosa</v>
      </c>
      <c r="E328" s="145" t="str">
        <f>IFERROR(__xludf.DUMMYFUNCTION("""COMPUTED_VALUE"""),"NPBM")</f>
        <v>NPBM</v>
      </c>
      <c r="F328" s="145"/>
      <c r="G328" s="145"/>
      <c r="H328" s="145"/>
    </row>
    <row r="329" customHeight="1" spans="1:8">
      <c r="A329" s="1" t="str">
        <f>IFERROR(__xludf.DUMMYFUNCTION("""COMPUTED_VALUE"""),"Porto Mauá")</f>
        <v>Porto Mauá</v>
      </c>
      <c r="B329" s="144" t="str">
        <f>IFERROR(__xludf.DUMMYFUNCTION("""COMPUTED_VALUE"""),"4º CRBM")</f>
        <v>4º CRBM</v>
      </c>
      <c r="C329" s="1" t="str">
        <f>IFERROR(__xludf.DUMMYFUNCTION("""COMPUTED_VALUE"""),"11º BBM")</f>
        <v>11º BBM</v>
      </c>
      <c r="D329" s="1" t="str">
        <f>IFERROR(__xludf.DUMMYFUNCTION("""COMPUTED_VALUE"""),"Santa Rosa")</f>
        <v>Santa Rosa</v>
      </c>
      <c r="E329" s="145" t="str">
        <f>IFERROR(__xludf.DUMMYFUNCTION("""COMPUTED_VALUE"""),"NPBM")</f>
        <v>NPBM</v>
      </c>
      <c r="F329" s="145"/>
      <c r="G329" s="145"/>
      <c r="H329" s="145"/>
    </row>
    <row r="330" customHeight="1" spans="1:8">
      <c r="A330" s="1" t="str">
        <f>IFERROR(__xludf.DUMMYFUNCTION("""COMPUTED_VALUE"""),"Porto Vera Cruz")</f>
        <v>Porto Vera Cruz</v>
      </c>
      <c r="B330" s="144" t="str">
        <f>IFERROR(__xludf.DUMMYFUNCTION("""COMPUTED_VALUE"""),"4º CRBM")</f>
        <v>4º CRBM</v>
      </c>
      <c r="C330" s="1" t="str">
        <f>IFERROR(__xludf.DUMMYFUNCTION("""COMPUTED_VALUE"""),"11º BBM")</f>
        <v>11º BBM</v>
      </c>
      <c r="D330" s="1" t="str">
        <f>IFERROR(__xludf.DUMMYFUNCTION("""COMPUTED_VALUE"""),"Santa Rosa")</f>
        <v>Santa Rosa</v>
      </c>
      <c r="E330" s="145" t="str">
        <f>IFERROR(__xludf.DUMMYFUNCTION("""COMPUTED_VALUE"""),"NPBM")</f>
        <v>NPBM</v>
      </c>
      <c r="F330" s="145"/>
      <c r="G330" s="145"/>
      <c r="H330" s="145"/>
    </row>
    <row r="331" customHeight="1" spans="1:8">
      <c r="A331" s="1" t="str">
        <f>IFERROR(__xludf.DUMMYFUNCTION("""COMPUTED_VALUE"""),"Porto Xavier")</f>
        <v>Porto Xavier</v>
      </c>
      <c r="B331" s="144" t="str">
        <f>IFERROR(__xludf.DUMMYFUNCTION("""COMPUTED_VALUE"""),"4º CRBM")</f>
        <v>4º CRBM</v>
      </c>
      <c r="C331" s="1" t="str">
        <f>IFERROR(__xludf.DUMMYFUNCTION("""COMPUTED_VALUE"""),"11º BBM")</f>
        <v>11º BBM</v>
      </c>
      <c r="D331" s="1" t="str">
        <f>IFERROR(__xludf.DUMMYFUNCTION("""COMPUTED_VALUE"""),"São Luiz Gonzaga")</f>
        <v>São Luiz Gonzaga</v>
      </c>
      <c r="E331" s="145" t="str">
        <f>IFERROR(__xludf.DUMMYFUNCTION("""COMPUTED_VALUE"""),"Voluntersul")</f>
        <v>Voluntersul</v>
      </c>
      <c r="F331" s="145"/>
      <c r="G331" s="145"/>
      <c r="H331" s="145"/>
    </row>
    <row r="332" customHeight="1" spans="1:8">
      <c r="A332" s="1" t="str">
        <f>IFERROR(__xludf.DUMMYFUNCTION("""COMPUTED_VALUE"""),"Pouso Novo")</f>
        <v>Pouso Novo</v>
      </c>
      <c r="B332" s="144" t="str">
        <f>IFERROR(__xludf.DUMMYFUNCTION("""COMPUTED_VALUE"""),"4º CRBM")</f>
        <v>4º CRBM</v>
      </c>
      <c r="C332" s="1" t="str">
        <f>IFERROR(__xludf.DUMMYFUNCTION("""COMPUTED_VALUE"""),"6º BBM")</f>
        <v>6º BBM</v>
      </c>
      <c r="D332" s="1" t="str">
        <f>IFERROR(__xludf.DUMMYFUNCTION("""COMPUTED_VALUE"""),"Lajeado")</f>
        <v>Lajeado</v>
      </c>
      <c r="E332" s="145" t="str">
        <f>IFERROR(__xludf.DUMMYFUNCTION("""COMPUTED_VALUE"""),"NPBM")</f>
        <v>NPBM</v>
      </c>
      <c r="F332" s="145"/>
      <c r="G332" s="145"/>
      <c r="H332" s="145"/>
    </row>
    <row r="333" customHeight="1" spans="1:8">
      <c r="A333" s="1" t="str">
        <f>IFERROR(__xludf.DUMMYFUNCTION("""COMPUTED_VALUE"""),"Presidente Lucena")</f>
        <v>Presidente Lucena</v>
      </c>
      <c r="B333" s="144" t="str">
        <f>IFERROR(__xludf.DUMMYFUNCTION("""COMPUTED_VALUE"""),"2º CRBM")</f>
        <v>2º CRBM</v>
      </c>
      <c r="C333" s="1" t="str">
        <f>IFERROR(__xludf.DUMMYFUNCTION("""COMPUTED_VALUE"""),"2º BBM")</f>
        <v>2º BBM</v>
      </c>
      <c r="D333" s="1" t="str">
        <f>IFERROR(__xludf.DUMMYFUNCTION("""COMPUTED_VALUE"""),"Ivoti")</f>
        <v>Ivoti</v>
      </c>
      <c r="E333" s="145" t="str">
        <f>IFERROR(__xludf.DUMMYFUNCTION("""COMPUTED_VALUE"""),"NPBM")</f>
        <v>NPBM</v>
      </c>
      <c r="F333" s="145"/>
      <c r="G333" s="145"/>
      <c r="H333" s="145"/>
    </row>
    <row r="334" customHeight="1" spans="1:8">
      <c r="A334" s="1" t="str">
        <f>IFERROR(__xludf.DUMMYFUNCTION("""COMPUTED_VALUE"""),"Progresso")</f>
        <v>Progresso</v>
      </c>
      <c r="B334" s="144" t="str">
        <f>IFERROR(__xludf.DUMMYFUNCTION("""COMPUTED_VALUE"""),"4º CRBM")</f>
        <v>4º CRBM</v>
      </c>
      <c r="C334" s="1" t="str">
        <f>IFERROR(__xludf.DUMMYFUNCTION("""COMPUTED_VALUE"""),"6º BBM")</f>
        <v>6º BBM</v>
      </c>
      <c r="D334" s="1" t="str">
        <f>IFERROR(__xludf.DUMMYFUNCTION("""COMPUTED_VALUE"""),"Lajeado")</f>
        <v>Lajeado</v>
      </c>
      <c r="E334" s="145" t="str">
        <f>IFERROR(__xludf.DUMMYFUNCTION("""COMPUTED_VALUE"""),"NPBM")</f>
        <v>NPBM</v>
      </c>
      <c r="F334" s="145"/>
      <c r="G334" s="145"/>
      <c r="H334" s="145"/>
    </row>
    <row r="335" customHeight="1" spans="1:8">
      <c r="A335" s="1" t="str">
        <f>IFERROR(__xludf.DUMMYFUNCTION("""COMPUTED_VALUE"""),"Protásio Alves")</f>
        <v>Protásio Alves</v>
      </c>
      <c r="B335" s="144" t="str">
        <f>IFERROR(__xludf.DUMMYFUNCTION("""COMPUTED_VALUE"""),"2º CRBM")</f>
        <v>2º CRBM</v>
      </c>
      <c r="C335" s="1" t="str">
        <f>IFERROR(__xludf.DUMMYFUNCTION("""COMPUTED_VALUE"""),"5º BBM")</f>
        <v>5º BBM</v>
      </c>
      <c r="D335" s="1" t="str">
        <f>IFERROR(__xludf.DUMMYFUNCTION("""COMPUTED_VALUE"""),"Veranópolis")</f>
        <v>Veranópolis</v>
      </c>
      <c r="E335" s="145" t="str">
        <f>IFERROR(__xludf.DUMMYFUNCTION("""COMPUTED_VALUE"""),"NPBM")</f>
        <v>NPBM</v>
      </c>
      <c r="F335" s="145"/>
      <c r="G335" s="145"/>
      <c r="H335" s="145"/>
    </row>
    <row r="336" customHeight="1" spans="1:8">
      <c r="A336" s="1" t="str">
        <f>IFERROR(__xludf.DUMMYFUNCTION("""COMPUTED_VALUE"""),"Putinga")</f>
        <v>Putinga</v>
      </c>
      <c r="B336" s="144" t="str">
        <f>IFERROR(__xludf.DUMMYFUNCTION("""COMPUTED_VALUE"""),"2º CRBM")</f>
        <v>2º CRBM</v>
      </c>
      <c r="C336" s="1" t="str">
        <f>IFERROR(__xludf.DUMMYFUNCTION("""COMPUTED_VALUE"""),"7º BBM")</f>
        <v>7º BBM</v>
      </c>
      <c r="D336" s="1" t="str">
        <f>IFERROR(__xludf.DUMMYFUNCTION("""COMPUTED_VALUE"""),"Encantado")</f>
        <v>Encantado</v>
      </c>
      <c r="E336" s="145" t="str">
        <f>IFERROR(__xludf.DUMMYFUNCTION("""COMPUTED_VALUE"""),"NPBM")</f>
        <v>NPBM</v>
      </c>
      <c r="F336" s="145"/>
      <c r="G336" s="145"/>
      <c r="H336" s="145"/>
    </row>
    <row r="337" customHeight="1" spans="1:8">
      <c r="A337" s="1" t="str">
        <f>IFERROR(__xludf.DUMMYFUNCTION("""COMPUTED_VALUE"""),"Quaraí")</f>
        <v>Quaraí</v>
      </c>
      <c r="B337" s="144" t="str">
        <f>IFERROR(__xludf.DUMMYFUNCTION("""COMPUTED_VALUE"""),"3º CRBM")</f>
        <v>3º CRBM</v>
      </c>
      <c r="C337" s="1" t="str">
        <f>IFERROR(__xludf.DUMMYFUNCTION("""COMPUTED_VALUE"""),"10º BBM")</f>
        <v>10º BBM</v>
      </c>
      <c r="D337" s="1" t="str">
        <f>IFERROR(__xludf.DUMMYFUNCTION("""COMPUTED_VALUE"""),"Quaraí")</f>
        <v>Quaraí</v>
      </c>
      <c r="E337" s="145" t="str">
        <f>IFERROR(__xludf.DUMMYFUNCTION("""COMPUTED_VALUE"""),"Militar")</f>
        <v>Militar</v>
      </c>
      <c r="F337" s="145"/>
      <c r="G337" s="145"/>
      <c r="H337" s="145"/>
    </row>
    <row r="338" customHeight="1" spans="1:8">
      <c r="A338" s="1" t="str">
        <f>IFERROR(__xludf.DUMMYFUNCTION("""COMPUTED_VALUE"""),"Quatro Irmãos")</f>
        <v>Quatro Irmãos</v>
      </c>
      <c r="B338" s="144" t="str">
        <f>IFERROR(__xludf.DUMMYFUNCTION("""COMPUTED_VALUE"""),"2º CRBM")</f>
        <v>2º CRBM</v>
      </c>
      <c r="C338" s="1" t="str">
        <f>IFERROR(__xludf.DUMMYFUNCTION("""COMPUTED_VALUE"""),"7º BBM")</f>
        <v>7º BBM</v>
      </c>
      <c r="D338" s="1" t="str">
        <f>IFERROR(__xludf.DUMMYFUNCTION("""COMPUTED_VALUE"""),"Erechim")</f>
        <v>Erechim</v>
      </c>
      <c r="E338" s="145" t="str">
        <f>IFERROR(__xludf.DUMMYFUNCTION("""COMPUTED_VALUE"""),"NPBM")</f>
        <v>NPBM</v>
      </c>
      <c r="F338" s="145"/>
      <c r="G338" s="145"/>
      <c r="H338" s="145"/>
    </row>
    <row r="339" customHeight="1" spans="1:8">
      <c r="A339" s="1" t="str">
        <f>IFERROR(__xludf.DUMMYFUNCTION("""COMPUTED_VALUE"""),"Quevedos")</f>
        <v>Quevedos</v>
      </c>
      <c r="B339" s="144" t="str">
        <f>IFERROR(__xludf.DUMMYFUNCTION("""COMPUTED_VALUE"""),"4º CRBM")</f>
        <v>4º CRBM</v>
      </c>
      <c r="C339" s="1" t="str">
        <f>IFERROR(__xludf.DUMMYFUNCTION("""COMPUTED_VALUE"""),"4º BBM")</f>
        <v>4º BBM</v>
      </c>
      <c r="D339" s="1" t="str">
        <f>IFERROR(__xludf.DUMMYFUNCTION("""COMPUTED_VALUE"""),"São Pedro do Sul")</f>
        <v>São Pedro do Sul</v>
      </c>
      <c r="E339" s="145" t="str">
        <f>IFERROR(__xludf.DUMMYFUNCTION("""COMPUTED_VALUE"""),"NPBM")</f>
        <v>NPBM</v>
      </c>
      <c r="F339" s="145"/>
      <c r="G339" s="145"/>
      <c r="H339" s="145"/>
    </row>
    <row r="340" customHeight="1" spans="1:8">
      <c r="A340" s="1" t="str">
        <f>IFERROR(__xludf.DUMMYFUNCTION("""COMPUTED_VALUE"""),"Quinze de Novembro")</f>
        <v>Quinze de Novembro</v>
      </c>
      <c r="B340" s="144" t="str">
        <f>IFERROR(__xludf.DUMMYFUNCTION("""COMPUTED_VALUE"""),"4º CRBM")</f>
        <v>4º CRBM</v>
      </c>
      <c r="C340" s="1" t="str">
        <f>IFERROR(__xludf.DUMMYFUNCTION("""COMPUTED_VALUE"""),"12º BBM")</f>
        <v>12º BBM</v>
      </c>
      <c r="D340" s="1" t="str">
        <f>IFERROR(__xludf.DUMMYFUNCTION("""COMPUTED_VALUE"""),"Ibirubá")</f>
        <v>Ibirubá</v>
      </c>
      <c r="E340" s="145" t="str">
        <f>IFERROR(__xludf.DUMMYFUNCTION("""COMPUTED_VALUE"""),"SCAB")</f>
        <v>SCAB</v>
      </c>
      <c r="F340" s="145"/>
      <c r="G340" s="145"/>
      <c r="H340" s="145"/>
    </row>
    <row r="341" customHeight="1" spans="1:8">
      <c r="A341" s="1" t="str">
        <f>IFERROR(__xludf.DUMMYFUNCTION("""COMPUTED_VALUE"""),"Redentora")</f>
        <v>Redentora</v>
      </c>
      <c r="B341" s="144" t="str">
        <f>IFERROR(__xludf.DUMMYFUNCTION("""COMPUTED_VALUE"""),"4º CRBM")</f>
        <v>4º CRBM</v>
      </c>
      <c r="C341" s="1" t="str">
        <f>IFERROR(__xludf.DUMMYFUNCTION("""COMPUTED_VALUE"""),"11º BBM")</f>
        <v>11º BBM</v>
      </c>
      <c r="D341" s="1" t="str">
        <f>IFERROR(__xludf.DUMMYFUNCTION("""COMPUTED_VALUE"""),"Três Passos")</f>
        <v>Três Passos</v>
      </c>
      <c r="E341" s="145" t="str">
        <f>IFERROR(__xludf.DUMMYFUNCTION("""COMPUTED_VALUE"""),"NPBM")</f>
        <v>NPBM</v>
      </c>
      <c r="F341" s="145"/>
      <c r="G341" s="145"/>
      <c r="H341" s="145"/>
    </row>
    <row r="342" customHeight="1" spans="1:8">
      <c r="A342" s="1" t="str">
        <f>IFERROR(__xludf.DUMMYFUNCTION("""COMPUTED_VALUE"""),"Relvado")</f>
        <v>Relvado</v>
      </c>
      <c r="B342" s="144" t="str">
        <f>IFERROR(__xludf.DUMMYFUNCTION("""COMPUTED_VALUE"""),"4º CRBM")</f>
        <v>4º CRBM</v>
      </c>
      <c r="C342" s="1" t="str">
        <f>IFERROR(__xludf.DUMMYFUNCTION("""COMPUTED_VALUE"""),"6º BBM")</f>
        <v>6º BBM</v>
      </c>
      <c r="D342" s="1" t="str">
        <f>IFERROR(__xludf.DUMMYFUNCTION("""COMPUTED_VALUE"""),"Encantado")</f>
        <v>Encantado</v>
      </c>
      <c r="E342" s="145" t="str">
        <f>IFERROR(__xludf.DUMMYFUNCTION("""COMPUTED_VALUE"""),"NPBM")</f>
        <v>NPBM</v>
      </c>
      <c r="F342" s="145"/>
      <c r="G342" s="145"/>
      <c r="H342" s="145"/>
    </row>
    <row r="343" customHeight="1" spans="1:8">
      <c r="A343" s="1" t="str">
        <f>IFERROR(__xludf.DUMMYFUNCTION("""COMPUTED_VALUE"""),"Restinga Sêca")</f>
        <v>Restinga Sêca</v>
      </c>
      <c r="B343" s="144" t="str">
        <f>IFERROR(__xludf.DUMMYFUNCTION("""COMPUTED_VALUE"""),"4º CRBM")</f>
        <v>4º CRBM</v>
      </c>
      <c r="C343" s="1" t="str">
        <f>IFERROR(__xludf.DUMMYFUNCTION("""COMPUTED_VALUE"""),"4º BBM")</f>
        <v>4º BBM</v>
      </c>
      <c r="D343" s="1" t="str">
        <f>IFERROR(__xludf.DUMMYFUNCTION("""COMPUTED_VALUE"""),"Restinga Sêca")</f>
        <v>Restinga Sêca</v>
      </c>
      <c r="E343" s="145" t="str">
        <f>IFERROR(__xludf.DUMMYFUNCTION("""COMPUTED_VALUE"""),"Comunitário")</f>
        <v>Comunitário</v>
      </c>
      <c r="F343" s="145"/>
      <c r="G343" s="145"/>
      <c r="H343" s="145"/>
    </row>
    <row r="344" customHeight="1" spans="1:8">
      <c r="A344" s="1" t="str">
        <f>IFERROR(__xludf.DUMMYFUNCTION("""COMPUTED_VALUE"""),"Rio dos Índios")</f>
        <v>Rio dos Índios</v>
      </c>
      <c r="B344" s="144" t="str">
        <f>IFERROR(__xludf.DUMMYFUNCTION("""COMPUTED_VALUE"""),"2º CRBM")</f>
        <v>2º CRBM</v>
      </c>
      <c r="C344" s="1" t="str">
        <f>IFERROR(__xludf.DUMMYFUNCTION("""COMPUTED_VALUE"""),"7º BBM")</f>
        <v>7º BBM</v>
      </c>
      <c r="D344" s="1" t="str">
        <f>IFERROR(__xludf.DUMMYFUNCTION("""COMPUTED_VALUE"""),"Nonoai")</f>
        <v>Nonoai</v>
      </c>
      <c r="E344" s="145" t="str">
        <f>IFERROR(__xludf.DUMMYFUNCTION("""COMPUTED_VALUE"""),"NPBM")</f>
        <v>NPBM</v>
      </c>
      <c r="F344" s="145"/>
      <c r="G344" s="145"/>
      <c r="H344" s="145"/>
    </row>
    <row r="345" customHeight="1" spans="1:8">
      <c r="A345" s="1" t="str">
        <f>IFERROR(__xludf.DUMMYFUNCTION("""COMPUTED_VALUE"""),"Rio Grande")</f>
        <v>Rio Grande</v>
      </c>
      <c r="B345" s="144" t="str">
        <f>IFERROR(__xludf.DUMMYFUNCTION("""COMPUTED_VALUE"""),"3º CRBM")</f>
        <v>3º CRBM</v>
      </c>
      <c r="C345" s="1" t="str">
        <f>IFERROR(__xludf.DUMMYFUNCTION("""COMPUTED_VALUE"""),"3º BBM")</f>
        <v>3º BBM</v>
      </c>
      <c r="D345" s="1" t="str">
        <f>IFERROR(__xludf.DUMMYFUNCTION("""COMPUTED_VALUE"""),"Rio Grande")</f>
        <v>Rio Grande</v>
      </c>
      <c r="E345" s="145" t="str">
        <f>IFERROR(__xludf.DUMMYFUNCTION("""COMPUTED_VALUE"""),"Militar")</f>
        <v>Militar</v>
      </c>
      <c r="F345" s="145"/>
      <c r="G345" s="145"/>
      <c r="H345" s="145"/>
    </row>
    <row r="346" customHeight="1" spans="1:8">
      <c r="A346" s="1" t="str">
        <f>IFERROR(__xludf.DUMMYFUNCTION("""COMPUTED_VALUE"""),"Rio Pardo")</f>
        <v>Rio Pardo</v>
      </c>
      <c r="B346" s="144" t="str">
        <f>IFERROR(__xludf.DUMMYFUNCTION("""COMPUTED_VALUE"""),"4º CRBM")</f>
        <v>4º CRBM</v>
      </c>
      <c r="C346" s="1" t="str">
        <f>IFERROR(__xludf.DUMMYFUNCTION("""COMPUTED_VALUE"""),"6º BBM")</f>
        <v>6º BBM</v>
      </c>
      <c r="D346" s="1" t="str">
        <f>IFERROR(__xludf.DUMMYFUNCTION("""COMPUTED_VALUE"""),"Rio Pardo")</f>
        <v>Rio Pardo</v>
      </c>
      <c r="E346" s="145" t="str">
        <f>IFERROR(__xludf.DUMMYFUNCTION("""COMPUTED_VALUE"""),"Militar")</f>
        <v>Militar</v>
      </c>
      <c r="F346" s="145"/>
      <c r="G346" s="145"/>
      <c r="H346" s="145"/>
    </row>
    <row r="347" customHeight="1" spans="1:8">
      <c r="A347" s="1" t="str">
        <f>IFERROR(__xludf.DUMMYFUNCTION("""COMPUTED_VALUE"""),"Riozinho")</f>
        <v>Riozinho</v>
      </c>
      <c r="B347" s="144" t="str">
        <f>IFERROR(__xludf.DUMMYFUNCTION("""COMPUTED_VALUE"""),"2º CRBM")</f>
        <v>2º CRBM</v>
      </c>
      <c r="C347" s="1" t="str">
        <f>IFERROR(__xludf.DUMMYFUNCTION("""COMPUTED_VALUE"""),"5º BBM")</f>
        <v>5º BBM</v>
      </c>
      <c r="D347" s="1" t="str">
        <f>IFERROR(__xludf.DUMMYFUNCTION("""COMPUTED_VALUE"""),"Taquara")</f>
        <v>Taquara</v>
      </c>
      <c r="E347" s="145" t="str">
        <f>IFERROR(__xludf.DUMMYFUNCTION("""COMPUTED_VALUE"""),"NPBM")</f>
        <v>NPBM</v>
      </c>
      <c r="F347" s="145"/>
      <c r="G347" s="145"/>
      <c r="H347" s="145"/>
    </row>
    <row r="348" customHeight="1" spans="1:8">
      <c r="A348" s="1" t="str">
        <f>IFERROR(__xludf.DUMMYFUNCTION("""COMPUTED_VALUE"""),"Roca Sales")</f>
        <v>Roca Sales</v>
      </c>
      <c r="B348" s="144" t="str">
        <f>IFERROR(__xludf.DUMMYFUNCTION("""COMPUTED_VALUE"""),"4º CRBM")</f>
        <v>4º CRBM</v>
      </c>
      <c r="C348" s="1" t="str">
        <f>IFERROR(__xludf.DUMMYFUNCTION("""COMPUTED_VALUE"""),"6º BBM")</f>
        <v>6º BBM</v>
      </c>
      <c r="D348" s="1" t="str">
        <f>IFERROR(__xludf.DUMMYFUNCTION("""COMPUTED_VALUE"""),"Encantado")</f>
        <v>Encantado</v>
      </c>
      <c r="E348" s="145" t="str">
        <f>IFERROR(__xludf.DUMMYFUNCTION("""COMPUTED_VALUE"""),"NPBM")</f>
        <v>NPBM</v>
      </c>
      <c r="F348" s="145"/>
      <c r="G348" s="145"/>
      <c r="H348" s="145"/>
    </row>
    <row r="349" customHeight="1" spans="1:8">
      <c r="A349" s="1" t="str">
        <f>IFERROR(__xludf.DUMMYFUNCTION("""COMPUTED_VALUE"""),"Rodeio Bonito")</f>
        <v>Rodeio Bonito</v>
      </c>
      <c r="B349" s="144" t="str">
        <f>IFERROR(__xludf.DUMMYFUNCTION("""COMPUTED_VALUE"""),"4º CRBM")</f>
        <v>4º CRBM</v>
      </c>
      <c r="C349" s="1" t="str">
        <f>IFERROR(__xludf.DUMMYFUNCTION("""COMPUTED_VALUE"""),"12º BBM")</f>
        <v>12º BBM</v>
      </c>
      <c r="D349" s="1" t="str">
        <f>IFERROR(__xludf.DUMMYFUNCTION("""COMPUTED_VALUE"""),"Frederico Westphalen")</f>
        <v>Frederico Westphalen</v>
      </c>
      <c r="E349" s="145" t="str">
        <f>IFERROR(__xludf.DUMMYFUNCTION("""COMPUTED_VALUE"""),"NPBM")</f>
        <v>NPBM</v>
      </c>
      <c r="F349" s="145"/>
      <c r="G349" s="145"/>
      <c r="H349" s="145"/>
    </row>
    <row r="350" customHeight="1" spans="1:8">
      <c r="A350" s="1" t="str">
        <f>IFERROR(__xludf.DUMMYFUNCTION("""COMPUTED_VALUE"""),"Rolador")</f>
        <v>Rolador</v>
      </c>
      <c r="B350" s="144" t="str">
        <f>IFERROR(__xludf.DUMMYFUNCTION("""COMPUTED_VALUE"""),"4º CRBM")</f>
        <v>4º CRBM</v>
      </c>
      <c r="C350" s="1" t="str">
        <f>IFERROR(__xludf.DUMMYFUNCTION("""COMPUTED_VALUE"""),"11º BBM")</f>
        <v>11º BBM</v>
      </c>
      <c r="D350" s="1" t="str">
        <f>IFERROR(__xludf.DUMMYFUNCTION("""COMPUTED_VALUE"""),"São Luiz Gonzaga")</f>
        <v>São Luiz Gonzaga</v>
      </c>
      <c r="E350" s="145" t="str">
        <f>IFERROR(__xludf.DUMMYFUNCTION("""COMPUTED_VALUE"""),"NPBM")</f>
        <v>NPBM</v>
      </c>
      <c r="F350" s="145"/>
      <c r="G350" s="145"/>
      <c r="H350" s="145"/>
    </row>
    <row r="351" customHeight="1" spans="1:8">
      <c r="A351" s="1" t="str">
        <f>IFERROR(__xludf.DUMMYFUNCTION("""COMPUTED_VALUE"""),"Rolante")</f>
        <v>Rolante</v>
      </c>
      <c r="B351" s="144" t="str">
        <f>IFERROR(__xludf.DUMMYFUNCTION("""COMPUTED_VALUE"""),"2º CRBM")</f>
        <v>2º CRBM</v>
      </c>
      <c r="C351" s="1" t="str">
        <f>IFERROR(__xludf.DUMMYFUNCTION("""COMPUTED_VALUE"""),"5º BBM")</f>
        <v>5º BBM</v>
      </c>
      <c r="D351" s="1" t="str">
        <f>IFERROR(__xludf.DUMMYFUNCTION("""COMPUTED_VALUE"""),"Taquara")</f>
        <v>Taquara</v>
      </c>
      <c r="E351" s="145" t="str">
        <f>IFERROR(__xludf.DUMMYFUNCTION("""COMPUTED_VALUE"""),"Voluntersul")</f>
        <v>Voluntersul</v>
      </c>
      <c r="F351" s="145"/>
      <c r="G351" s="145"/>
      <c r="H351" s="145"/>
    </row>
    <row r="352" customHeight="1" spans="1:8">
      <c r="A352" s="1" t="str">
        <f>IFERROR(__xludf.DUMMYFUNCTION("""COMPUTED_VALUE"""),"Ronda Alta")</f>
        <v>Ronda Alta</v>
      </c>
      <c r="B352" s="144" t="str">
        <f>IFERROR(__xludf.DUMMYFUNCTION("""COMPUTED_VALUE"""),"2º CRBM")</f>
        <v>2º CRBM</v>
      </c>
      <c r="C352" s="1" t="str">
        <f>IFERROR(__xludf.DUMMYFUNCTION("""COMPUTED_VALUE"""),"7º BBM")</f>
        <v>7º BBM</v>
      </c>
      <c r="D352" s="1" t="str">
        <f>IFERROR(__xludf.DUMMYFUNCTION("""COMPUTED_VALUE"""),"Sarandi")</f>
        <v>Sarandi</v>
      </c>
      <c r="E352" s="145" t="str">
        <f>IFERROR(__xludf.DUMMYFUNCTION("""COMPUTED_VALUE"""),"NPBM")</f>
        <v>NPBM</v>
      </c>
      <c r="F352" s="145"/>
      <c r="G352" s="145"/>
      <c r="H352" s="145"/>
    </row>
    <row r="353" customHeight="1" spans="1:8">
      <c r="A353" s="1" t="str">
        <f>IFERROR(__xludf.DUMMYFUNCTION("""COMPUTED_VALUE"""),"Rondinha")</f>
        <v>Rondinha</v>
      </c>
      <c r="B353" s="144" t="str">
        <f>IFERROR(__xludf.DUMMYFUNCTION("""COMPUTED_VALUE"""),"2º CRBM")</f>
        <v>2º CRBM</v>
      </c>
      <c r="C353" s="1" t="str">
        <f>IFERROR(__xludf.DUMMYFUNCTION("""COMPUTED_VALUE"""),"7º BBM")</f>
        <v>7º BBM</v>
      </c>
      <c r="D353" s="1" t="str">
        <f>IFERROR(__xludf.DUMMYFUNCTION("""COMPUTED_VALUE"""),"Sarandi")</f>
        <v>Sarandi</v>
      </c>
      <c r="E353" s="145" t="str">
        <f>IFERROR(__xludf.DUMMYFUNCTION("""COMPUTED_VALUE"""),"NPBM")</f>
        <v>NPBM</v>
      </c>
      <c r="F353" s="145"/>
      <c r="G353" s="145"/>
      <c r="H353" s="145"/>
    </row>
    <row r="354" customHeight="1" spans="1:8">
      <c r="A354" s="1" t="str">
        <f>IFERROR(__xludf.DUMMYFUNCTION("""COMPUTED_VALUE"""),"Roque Gonzales")</f>
        <v>Roque Gonzales</v>
      </c>
      <c r="B354" s="144" t="str">
        <f>IFERROR(__xludf.DUMMYFUNCTION("""COMPUTED_VALUE"""),"4º CRBM")</f>
        <v>4º CRBM</v>
      </c>
      <c r="C354" s="1" t="str">
        <f>IFERROR(__xludf.DUMMYFUNCTION("""COMPUTED_VALUE"""),"11º BBM")</f>
        <v>11º BBM</v>
      </c>
      <c r="D354" s="1" t="str">
        <f>IFERROR(__xludf.DUMMYFUNCTION("""COMPUTED_VALUE"""),"São Luiz Gonzaga")</f>
        <v>São Luiz Gonzaga</v>
      </c>
      <c r="E354" s="145" t="str">
        <f>IFERROR(__xludf.DUMMYFUNCTION("""COMPUTED_VALUE"""),"NPBM")</f>
        <v>NPBM</v>
      </c>
      <c r="F354" s="145"/>
      <c r="G354" s="145"/>
      <c r="H354" s="145"/>
    </row>
    <row r="355" customHeight="1" spans="1:8">
      <c r="A355" s="1" t="str">
        <f>IFERROR(__xludf.DUMMYFUNCTION("""COMPUTED_VALUE"""),"Rosário do Sul")</f>
        <v>Rosário do Sul</v>
      </c>
      <c r="B355" s="144" t="str">
        <f>IFERROR(__xludf.DUMMYFUNCTION("""COMPUTED_VALUE"""),"3º CRBM")</f>
        <v>3º CRBM</v>
      </c>
      <c r="C355" s="1" t="str">
        <f>IFERROR(__xludf.DUMMYFUNCTION("""COMPUTED_VALUE"""),"10º BBM")</f>
        <v>10º BBM</v>
      </c>
      <c r="D355" s="1" t="str">
        <f>IFERROR(__xludf.DUMMYFUNCTION("""COMPUTED_VALUE"""),"Rosário do Sul")</f>
        <v>Rosário do Sul</v>
      </c>
      <c r="E355" s="145" t="str">
        <f>IFERROR(__xludf.DUMMYFUNCTION("""COMPUTED_VALUE"""),"Militar")</f>
        <v>Militar</v>
      </c>
      <c r="F355" s="145"/>
      <c r="G355" s="145"/>
      <c r="H355" s="145"/>
    </row>
    <row r="356" customHeight="1" spans="1:8">
      <c r="A356" s="1" t="str">
        <f>IFERROR(__xludf.DUMMYFUNCTION("""COMPUTED_VALUE"""),"Sagrada Família")</f>
        <v>Sagrada Família</v>
      </c>
      <c r="B356" s="144" t="str">
        <f>IFERROR(__xludf.DUMMYFUNCTION("""COMPUTED_VALUE"""),"4º CRBM")</f>
        <v>4º CRBM</v>
      </c>
      <c r="C356" s="1" t="str">
        <f>IFERROR(__xludf.DUMMYFUNCTION("""COMPUTED_VALUE"""),"12º BBM")</f>
        <v>12º BBM</v>
      </c>
      <c r="D356" s="1" t="str">
        <f>IFERROR(__xludf.DUMMYFUNCTION("""COMPUTED_VALUE"""),"Sarandi")</f>
        <v>Sarandi</v>
      </c>
      <c r="E356" s="145" t="str">
        <f>IFERROR(__xludf.DUMMYFUNCTION("""COMPUTED_VALUE"""),"NPBM")</f>
        <v>NPBM</v>
      </c>
      <c r="F356" s="145"/>
      <c r="G356" s="145"/>
      <c r="H356" s="145"/>
    </row>
    <row r="357" customHeight="1" spans="1:8">
      <c r="A357" s="1" t="str">
        <f>IFERROR(__xludf.DUMMYFUNCTION("""COMPUTED_VALUE"""),"Saldanha Marinho")</f>
        <v>Saldanha Marinho</v>
      </c>
      <c r="B357" s="144" t="str">
        <f>IFERROR(__xludf.DUMMYFUNCTION("""COMPUTED_VALUE"""),"4º CRBM")</f>
        <v>4º CRBM</v>
      </c>
      <c r="C357" s="1" t="str">
        <f>IFERROR(__xludf.DUMMYFUNCTION("""COMPUTED_VALUE"""),"12º BBM")</f>
        <v>12º BBM</v>
      </c>
      <c r="D357" s="1" t="str">
        <f>IFERROR(__xludf.DUMMYFUNCTION("""COMPUTED_VALUE"""),"Carazinho")</f>
        <v>Carazinho</v>
      </c>
      <c r="E357" s="145" t="str">
        <f>IFERROR(__xludf.DUMMYFUNCTION("""COMPUTED_VALUE"""),"NPBM")</f>
        <v>NPBM</v>
      </c>
      <c r="F357" s="145"/>
      <c r="G357" s="145"/>
      <c r="H357" s="145"/>
    </row>
    <row r="358" customHeight="1" spans="1:8">
      <c r="A358" s="1" t="str">
        <f>IFERROR(__xludf.DUMMYFUNCTION("""COMPUTED_VALUE"""),"Salto do Jacuí")</f>
        <v>Salto do Jacuí</v>
      </c>
      <c r="B358" s="144" t="str">
        <f>IFERROR(__xludf.DUMMYFUNCTION("""COMPUTED_VALUE"""),"4º CRBM")</f>
        <v>4º CRBM</v>
      </c>
      <c r="C358" s="1" t="str">
        <f>IFERROR(__xludf.DUMMYFUNCTION("""COMPUTED_VALUE"""),"12º BBM")</f>
        <v>12º BBM</v>
      </c>
      <c r="D358" s="1" t="str">
        <f>IFERROR(__xludf.DUMMYFUNCTION("""COMPUTED_VALUE"""),"Cruz Alta")</f>
        <v>Cruz Alta</v>
      </c>
      <c r="E358" s="145" t="str">
        <f>IFERROR(__xludf.DUMMYFUNCTION("""COMPUTED_VALUE"""),"SCAB")</f>
        <v>SCAB</v>
      </c>
      <c r="F358" s="145"/>
      <c r="G358" s="145"/>
      <c r="H358" s="145"/>
    </row>
    <row r="359" customHeight="1" spans="1:8">
      <c r="A359" s="1" t="str">
        <f>IFERROR(__xludf.DUMMYFUNCTION("""COMPUTED_VALUE"""),"Salvador das Missões")</f>
        <v>Salvador das Missões</v>
      </c>
      <c r="B359" s="144" t="str">
        <f>IFERROR(__xludf.DUMMYFUNCTION("""COMPUTED_VALUE"""),"4º CRBM")</f>
        <v>4º CRBM</v>
      </c>
      <c r="C359" s="1" t="str">
        <f>IFERROR(__xludf.DUMMYFUNCTION("""COMPUTED_VALUE"""),"11º BBM")</f>
        <v>11º BBM</v>
      </c>
      <c r="D359" s="1" t="str">
        <f>IFERROR(__xludf.DUMMYFUNCTION("""COMPUTED_VALUE"""),"São Luiz Gonzaga")</f>
        <v>São Luiz Gonzaga</v>
      </c>
      <c r="E359" s="145" t="str">
        <f>IFERROR(__xludf.DUMMYFUNCTION("""COMPUTED_VALUE"""),"NPBM")</f>
        <v>NPBM</v>
      </c>
      <c r="F359" s="145"/>
      <c r="G359" s="145"/>
      <c r="H359" s="145"/>
    </row>
    <row r="360" customHeight="1" spans="1:8">
      <c r="A360" s="1" t="str">
        <f>IFERROR(__xludf.DUMMYFUNCTION("""COMPUTED_VALUE"""),"Salvador do Sul")</f>
        <v>Salvador do Sul</v>
      </c>
      <c r="B360" s="144" t="str">
        <f>IFERROR(__xludf.DUMMYFUNCTION("""COMPUTED_VALUE"""),"2º CRBM")</f>
        <v>2º CRBM</v>
      </c>
      <c r="C360" s="1" t="str">
        <f>IFERROR(__xludf.DUMMYFUNCTION("""COMPUTED_VALUE"""),"2º BBM")</f>
        <v>2º BBM</v>
      </c>
      <c r="D360" s="1" t="str">
        <f>IFERROR(__xludf.DUMMYFUNCTION("""COMPUTED_VALUE"""),"Montenegro")</f>
        <v>Montenegro</v>
      </c>
      <c r="E360" s="145" t="str">
        <f>IFERROR(__xludf.DUMMYFUNCTION("""COMPUTED_VALUE"""),"Voluntersul")</f>
        <v>Voluntersul</v>
      </c>
      <c r="F360" s="145"/>
      <c r="G360" s="145"/>
      <c r="H360" s="145"/>
    </row>
    <row r="361" customHeight="1" spans="1:8">
      <c r="A361" s="1" t="str">
        <f>IFERROR(__xludf.DUMMYFUNCTION("""COMPUTED_VALUE"""),"Sananduva")</f>
        <v>Sananduva</v>
      </c>
      <c r="B361" s="144" t="str">
        <f>IFERROR(__xludf.DUMMYFUNCTION("""COMPUTED_VALUE"""),"2º CRBM")</f>
        <v>2º CRBM</v>
      </c>
      <c r="C361" s="1" t="str">
        <f>IFERROR(__xludf.DUMMYFUNCTION("""COMPUTED_VALUE"""),"5º BBM")</f>
        <v>5º BBM</v>
      </c>
      <c r="D361" s="1" t="str">
        <f>IFERROR(__xludf.DUMMYFUNCTION("""COMPUTED_VALUE"""),"Lagoa Vermelha")</f>
        <v>Lagoa Vermelha</v>
      </c>
      <c r="E361" s="145" t="str">
        <f>IFERROR(__xludf.DUMMYFUNCTION("""COMPUTED_VALUE"""),"SCAB")</f>
        <v>SCAB</v>
      </c>
      <c r="F361" s="145"/>
      <c r="G361" s="145"/>
      <c r="H361" s="145"/>
    </row>
    <row r="362" customHeight="1" spans="1:8">
      <c r="A362" s="1" t="str">
        <f>IFERROR(__xludf.DUMMYFUNCTION("""COMPUTED_VALUE"""),"Santa Bárbara do Sul")</f>
        <v>Santa Bárbara do Sul</v>
      </c>
      <c r="B362" s="144" t="str">
        <f>IFERROR(__xludf.DUMMYFUNCTION("""COMPUTED_VALUE"""),"4º CRBM")</f>
        <v>4º CRBM</v>
      </c>
      <c r="C362" s="1" t="str">
        <f>IFERROR(__xludf.DUMMYFUNCTION("""COMPUTED_VALUE"""),"12º BBM")</f>
        <v>12º BBM</v>
      </c>
      <c r="D362" s="1" t="str">
        <f>IFERROR(__xludf.DUMMYFUNCTION("""COMPUTED_VALUE"""),"Panambi")</f>
        <v>Panambi</v>
      </c>
      <c r="E362" s="145" t="str">
        <f>IFERROR(__xludf.DUMMYFUNCTION("""COMPUTED_VALUE"""),"SCAB")</f>
        <v>SCAB</v>
      </c>
      <c r="F362" s="145"/>
      <c r="G362" s="145"/>
      <c r="H362" s="145"/>
    </row>
    <row r="363" customHeight="1" spans="1:8">
      <c r="A363" s="1" t="str">
        <f>IFERROR(__xludf.DUMMYFUNCTION("""COMPUTED_VALUE"""),"Santa Cecília do Sul")</f>
        <v>Santa Cecília do Sul</v>
      </c>
      <c r="B363" s="144" t="str">
        <f>IFERROR(__xludf.DUMMYFUNCTION("""COMPUTED_VALUE"""),"2º CRBM")</f>
        <v>2º CRBM</v>
      </c>
      <c r="C363" s="1" t="str">
        <f>IFERROR(__xludf.DUMMYFUNCTION("""COMPUTED_VALUE"""),"7º BBM")</f>
        <v>7º BBM</v>
      </c>
      <c r="D363" s="1" t="str">
        <f>IFERROR(__xludf.DUMMYFUNCTION("""COMPUTED_VALUE"""),"Getúlio Vargas")</f>
        <v>Getúlio Vargas</v>
      </c>
      <c r="E363" s="145" t="str">
        <f>IFERROR(__xludf.DUMMYFUNCTION("""COMPUTED_VALUE"""),"NPBM")</f>
        <v>NPBM</v>
      </c>
      <c r="F363" s="145"/>
      <c r="G363" s="145"/>
      <c r="H363" s="145"/>
    </row>
    <row r="364" customHeight="1" spans="1:8">
      <c r="A364" s="1" t="str">
        <f>IFERROR(__xludf.DUMMYFUNCTION("""COMPUTED_VALUE"""),"Santa Clara do Sul")</f>
        <v>Santa Clara do Sul</v>
      </c>
      <c r="B364" s="144" t="str">
        <f>IFERROR(__xludf.DUMMYFUNCTION("""COMPUTED_VALUE"""),"4º CRBM")</f>
        <v>4º CRBM</v>
      </c>
      <c r="C364" s="1" t="str">
        <f>IFERROR(__xludf.DUMMYFUNCTION("""COMPUTED_VALUE"""),"6º BBM")</f>
        <v>6º BBM</v>
      </c>
      <c r="D364" s="1" t="str">
        <f>IFERROR(__xludf.DUMMYFUNCTION("""COMPUTED_VALUE"""),"Lajeado")</f>
        <v>Lajeado</v>
      </c>
      <c r="E364" s="145" t="str">
        <f>IFERROR(__xludf.DUMMYFUNCTION("""COMPUTED_VALUE"""),"NPBM")</f>
        <v>NPBM</v>
      </c>
      <c r="F364" s="145"/>
      <c r="G364" s="145"/>
      <c r="H364" s="145"/>
    </row>
    <row r="365" customHeight="1" spans="1:8">
      <c r="A365" s="1" t="str">
        <f>IFERROR(__xludf.DUMMYFUNCTION("""COMPUTED_VALUE"""),"Santa Cruz do Sul")</f>
        <v>Santa Cruz do Sul</v>
      </c>
      <c r="B365" s="144" t="str">
        <f>IFERROR(__xludf.DUMMYFUNCTION("""COMPUTED_VALUE"""),"4º CRBM")</f>
        <v>4º CRBM</v>
      </c>
      <c r="C365" s="1" t="str">
        <f>IFERROR(__xludf.DUMMYFUNCTION("""COMPUTED_VALUE"""),"6º BBM")</f>
        <v>6º BBM</v>
      </c>
      <c r="D365" s="1" t="str">
        <f>IFERROR(__xludf.DUMMYFUNCTION("""COMPUTED_VALUE"""),"Santa Cruz do Sul")</f>
        <v>Santa Cruz do Sul</v>
      </c>
      <c r="E365" s="145" t="str">
        <f>IFERROR(__xludf.DUMMYFUNCTION("""COMPUTED_VALUE"""),"Militar")</f>
        <v>Militar</v>
      </c>
      <c r="F365" s="145"/>
      <c r="G365" s="145"/>
      <c r="H365" s="145"/>
    </row>
    <row r="366" customHeight="1" spans="1:8">
      <c r="A366" s="1" t="str">
        <f>IFERROR(__xludf.DUMMYFUNCTION("""COMPUTED_VALUE"""),"Santa Margarida do Sul")</f>
        <v>Santa Margarida do Sul</v>
      </c>
      <c r="B366" s="144" t="str">
        <f>IFERROR(__xludf.DUMMYFUNCTION("""COMPUTED_VALUE"""),"3º CRBM")</f>
        <v>3º CRBM</v>
      </c>
      <c r="C366" s="1" t="str">
        <f>IFERROR(__xludf.DUMMYFUNCTION("""COMPUTED_VALUE"""),"10º BBM")</f>
        <v>10º BBM</v>
      </c>
      <c r="D366" s="1" t="str">
        <f>IFERROR(__xludf.DUMMYFUNCTION("""COMPUTED_VALUE"""),"São Gabriel")</f>
        <v>São Gabriel</v>
      </c>
      <c r="E366" s="145" t="str">
        <f>IFERROR(__xludf.DUMMYFUNCTION("""COMPUTED_VALUE"""),"NPBM")</f>
        <v>NPBM</v>
      </c>
      <c r="F366" s="145"/>
      <c r="G366" s="145"/>
      <c r="H366" s="145"/>
    </row>
    <row r="367" customHeight="1" spans="1:8">
      <c r="A367" s="1" t="str">
        <f>IFERROR(__xludf.DUMMYFUNCTION("""COMPUTED_VALUE"""),"Santa Maria")</f>
        <v>Santa Maria</v>
      </c>
      <c r="B367" s="144" t="str">
        <f>IFERROR(__xludf.DUMMYFUNCTION("""COMPUTED_VALUE"""),"4º CRBM")</f>
        <v>4º CRBM</v>
      </c>
      <c r="C367" s="1" t="str">
        <f>IFERROR(__xludf.DUMMYFUNCTION("""COMPUTED_VALUE"""),"4º BBM")</f>
        <v>4º BBM</v>
      </c>
      <c r="D367" s="1" t="str">
        <f>IFERROR(__xludf.DUMMYFUNCTION("""COMPUTED_VALUE"""),"Santa Maria")</f>
        <v>Santa Maria</v>
      </c>
      <c r="E367" s="145" t="str">
        <f>IFERROR(__xludf.DUMMYFUNCTION("""COMPUTED_VALUE"""),"Militar")</f>
        <v>Militar</v>
      </c>
      <c r="F367" s="145"/>
      <c r="G367" s="145"/>
      <c r="H367" s="145"/>
    </row>
    <row r="368" customHeight="1" spans="1:8">
      <c r="A368" s="1" t="str">
        <f>IFERROR(__xludf.DUMMYFUNCTION("""COMPUTED_VALUE"""),"Santa Maria do Herval")</f>
        <v>Santa Maria do Herval</v>
      </c>
      <c r="B368" s="144" t="str">
        <f>IFERROR(__xludf.DUMMYFUNCTION("""COMPUTED_VALUE"""),"2º CRBM")</f>
        <v>2º CRBM</v>
      </c>
      <c r="C368" s="1" t="str">
        <f>IFERROR(__xludf.DUMMYFUNCTION("""COMPUTED_VALUE"""),"2º BBM")</f>
        <v>2º BBM</v>
      </c>
      <c r="D368" s="1" t="str">
        <f>IFERROR(__xludf.DUMMYFUNCTION("""COMPUTED_VALUE"""),"Dois Irmãos")</f>
        <v>Dois Irmãos</v>
      </c>
      <c r="E368" s="145" t="str">
        <f>IFERROR(__xludf.DUMMYFUNCTION("""COMPUTED_VALUE"""),"NPBM")</f>
        <v>NPBM</v>
      </c>
      <c r="F368" s="145"/>
      <c r="G368" s="145"/>
      <c r="H368" s="145"/>
    </row>
    <row r="369" customHeight="1" spans="1:8">
      <c r="A369" s="1" t="str">
        <f>IFERROR(__xludf.DUMMYFUNCTION("""COMPUTED_VALUE"""),"Santa Rosa")</f>
        <v>Santa Rosa</v>
      </c>
      <c r="B369" s="144" t="str">
        <f>IFERROR(__xludf.DUMMYFUNCTION("""COMPUTED_VALUE"""),"4º CRBM")</f>
        <v>4º CRBM</v>
      </c>
      <c r="C369" s="1" t="str">
        <f>IFERROR(__xludf.DUMMYFUNCTION("""COMPUTED_VALUE"""),"11º BBM")</f>
        <v>11º BBM</v>
      </c>
      <c r="D369" s="1" t="str">
        <f>IFERROR(__xludf.DUMMYFUNCTION("""COMPUTED_VALUE"""),"Santa Rosa")</f>
        <v>Santa Rosa</v>
      </c>
      <c r="E369" s="145" t="str">
        <f>IFERROR(__xludf.DUMMYFUNCTION("""COMPUTED_VALUE"""),"Militar")</f>
        <v>Militar</v>
      </c>
      <c r="F369" s="145"/>
      <c r="G369" s="145"/>
      <c r="H369" s="145"/>
    </row>
    <row r="370" customHeight="1" spans="1:8">
      <c r="A370" s="1" t="str">
        <f>IFERROR(__xludf.DUMMYFUNCTION("""COMPUTED_VALUE"""),"Santa Tereza")</f>
        <v>Santa Tereza</v>
      </c>
      <c r="B370" s="144" t="str">
        <f>IFERROR(__xludf.DUMMYFUNCTION("""COMPUTED_VALUE"""),"2º CRBM")</f>
        <v>2º CRBM</v>
      </c>
      <c r="C370" s="1" t="str">
        <f>IFERROR(__xludf.DUMMYFUNCTION("""COMPUTED_VALUE"""),"5º BBM")</f>
        <v>5º BBM</v>
      </c>
      <c r="D370" s="1" t="str">
        <f>IFERROR(__xludf.DUMMYFUNCTION("""COMPUTED_VALUE"""),"Bento Gonçalves")</f>
        <v>Bento Gonçalves</v>
      </c>
      <c r="E370" s="145" t="str">
        <f>IFERROR(__xludf.DUMMYFUNCTION("""COMPUTED_VALUE"""),"NPBM")</f>
        <v>NPBM</v>
      </c>
      <c r="F370" s="145"/>
      <c r="G370" s="145"/>
      <c r="H370" s="145"/>
    </row>
    <row r="371" customHeight="1" spans="1:8">
      <c r="A371" s="1" t="str">
        <f>IFERROR(__xludf.DUMMYFUNCTION("""COMPUTED_VALUE"""),"Santa Vitória do Palmar")</f>
        <v>Santa Vitória do Palmar</v>
      </c>
      <c r="B371" s="144" t="str">
        <f>IFERROR(__xludf.DUMMYFUNCTION("""COMPUTED_VALUE"""),"3º CRBM")</f>
        <v>3º CRBM</v>
      </c>
      <c r="C371" s="1" t="str">
        <f>IFERROR(__xludf.DUMMYFUNCTION("""COMPUTED_VALUE"""),"3º BBM")</f>
        <v>3º BBM</v>
      </c>
      <c r="D371" s="1" t="str">
        <f>IFERROR(__xludf.DUMMYFUNCTION("""COMPUTED_VALUE"""),"Santa Vitória do Palmar")</f>
        <v>Santa Vitória do Palmar</v>
      </c>
      <c r="E371" s="145" t="str">
        <f>IFERROR(__xludf.DUMMYFUNCTION("""COMPUTED_VALUE"""),"Militar")</f>
        <v>Militar</v>
      </c>
      <c r="F371" s="145"/>
      <c r="G371" s="145"/>
      <c r="H371" s="145"/>
    </row>
    <row r="372" customHeight="1" spans="1:8">
      <c r="A372" s="1" t="str">
        <f>IFERROR(__xludf.DUMMYFUNCTION("""COMPUTED_VALUE"""),"Santana da Boa Vista")</f>
        <v>Santana da Boa Vista</v>
      </c>
      <c r="B372" s="144" t="str">
        <f>IFERROR(__xludf.DUMMYFUNCTION("""COMPUTED_VALUE"""),"4º CRBM")</f>
        <v>4º CRBM</v>
      </c>
      <c r="C372" s="1" t="str">
        <f>IFERROR(__xludf.DUMMYFUNCTION("""COMPUTED_VALUE"""),"4º BBM")</f>
        <v>4º BBM</v>
      </c>
      <c r="D372" s="1" t="str">
        <f>IFERROR(__xludf.DUMMYFUNCTION("""COMPUTED_VALUE"""),"Caçapava do Sul")</f>
        <v>Caçapava do Sul</v>
      </c>
      <c r="E372" s="145" t="str">
        <f>IFERROR(__xludf.DUMMYFUNCTION("""COMPUTED_VALUE"""),"NPBM")</f>
        <v>NPBM</v>
      </c>
      <c r="F372" s="145"/>
      <c r="G372" s="145"/>
      <c r="H372" s="145"/>
    </row>
    <row r="373" customHeight="1" spans="1:8">
      <c r="A373" s="1" t="str">
        <f>IFERROR(__xludf.DUMMYFUNCTION("""COMPUTED_VALUE"""),"Santana do Livramento")</f>
        <v>Santana do Livramento</v>
      </c>
      <c r="B373" s="144" t="str">
        <f>IFERROR(__xludf.DUMMYFUNCTION("""COMPUTED_VALUE"""),"3º CRBM")</f>
        <v>3º CRBM</v>
      </c>
      <c r="C373" s="1" t="str">
        <f>IFERROR(__xludf.DUMMYFUNCTION("""COMPUTED_VALUE"""),"10º BBM")</f>
        <v>10º BBM</v>
      </c>
      <c r="D373" s="1" t="str">
        <f>IFERROR(__xludf.DUMMYFUNCTION("""COMPUTED_VALUE"""),"Santana do Livramento")</f>
        <v>Santana do Livramento</v>
      </c>
      <c r="E373" s="145" t="str">
        <f>IFERROR(__xludf.DUMMYFUNCTION("""COMPUTED_VALUE"""),"Militar")</f>
        <v>Militar</v>
      </c>
      <c r="F373" s="145"/>
      <c r="G373" s="145"/>
      <c r="H373" s="145"/>
    </row>
    <row r="374" customHeight="1" spans="1:8">
      <c r="A374" s="1" t="str">
        <f>IFERROR(__xludf.DUMMYFUNCTION("""COMPUTED_VALUE"""),"Santiago")</f>
        <v>Santiago</v>
      </c>
      <c r="B374" s="144" t="str">
        <f>IFERROR(__xludf.DUMMYFUNCTION("""COMPUTED_VALUE"""),"3º CRBM")</f>
        <v>3º CRBM</v>
      </c>
      <c r="C374" s="1" t="str">
        <f>IFERROR(__xludf.DUMMYFUNCTION("""COMPUTED_VALUE"""),"13º BBM")</f>
        <v>13º BBM</v>
      </c>
      <c r="D374" s="1" t="str">
        <f>IFERROR(__xludf.DUMMYFUNCTION("""COMPUTED_VALUE"""),"Santiago")</f>
        <v>Santiago</v>
      </c>
      <c r="E374" s="145" t="str">
        <f>IFERROR(__xludf.DUMMYFUNCTION("""COMPUTED_VALUE"""),"Militar")</f>
        <v>Militar</v>
      </c>
      <c r="F374" s="145"/>
      <c r="G374" s="145"/>
      <c r="H374" s="145"/>
    </row>
    <row r="375" customHeight="1" spans="1:8">
      <c r="A375" s="1" t="str">
        <f>IFERROR(__xludf.DUMMYFUNCTION("""COMPUTED_VALUE"""),"Santo Ângelo")</f>
        <v>Santo Ângelo</v>
      </c>
      <c r="B375" s="144" t="str">
        <f>IFERROR(__xludf.DUMMYFUNCTION("""COMPUTED_VALUE"""),"4º CRBM")</f>
        <v>4º CRBM</v>
      </c>
      <c r="C375" s="1" t="str">
        <f>IFERROR(__xludf.DUMMYFUNCTION("""COMPUTED_VALUE"""),"11º BBM")</f>
        <v>11º BBM</v>
      </c>
      <c r="D375" s="1" t="str">
        <f>IFERROR(__xludf.DUMMYFUNCTION("""COMPUTED_VALUE"""),"Santo Ângelo")</f>
        <v>Santo Ângelo</v>
      </c>
      <c r="E375" s="145" t="str">
        <f>IFERROR(__xludf.DUMMYFUNCTION("""COMPUTED_VALUE"""),"Militar")</f>
        <v>Militar</v>
      </c>
      <c r="F375" s="145"/>
      <c r="G375" s="145"/>
      <c r="H375" s="145"/>
    </row>
    <row r="376" customHeight="1" spans="1:8">
      <c r="A376" s="1" t="str">
        <f>IFERROR(__xludf.DUMMYFUNCTION("""COMPUTED_VALUE"""),"Santo Antônio da Patrulha")</f>
        <v>Santo Antônio da Patrulha</v>
      </c>
      <c r="B376" s="144" t="str">
        <f>IFERROR(__xludf.DUMMYFUNCTION("""COMPUTED_VALUE"""),"1º CRBM")</f>
        <v>1º CRBM</v>
      </c>
      <c r="C376" s="1" t="str">
        <f>IFERROR(__xludf.DUMMYFUNCTION("""COMPUTED_VALUE"""),"9º BBM")</f>
        <v>9º BBM</v>
      </c>
      <c r="D376" s="1" t="str">
        <f>IFERROR(__xludf.DUMMYFUNCTION("""COMPUTED_VALUE"""),"Santo Antônio da Patrulha")</f>
        <v>Santo Antônio da Patrulha</v>
      </c>
      <c r="E376" s="145" t="str">
        <f>IFERROR(__xludf.DUMMYFUNCTION("""COMPUTED_VALUE"""),"Militar")</f>
        <v>Militar</v>
      </c>
      <c r="F376" s="145"/>
      <c r="G376" s="145"/>
      <c r="H376" s="145"/>
    </row>
    <row r="377" customHeight="1" spans="1:8">
      <c r="A377" s="1" t="str">
        <f>IFERROR(__xludf.DUMMYFUNCTION("""COMPUTED_VALUE"""),"Santo Antônio das Missões")</f>
        <v>Santo Antônio das Missões</v>
      </c>
      <c r="B377" s="144" t="str">
        <f>IFERROR(__xludf.DUMMYFUNCTION("""COMPUTED_VALUE"""),"4º CRBM")</f>
        <v>4º CRBM</v>
      </c>
      <c r="C377" s="1" t="str">
        <f>IFERROR(__xludf.DUMMYFUNCTION("""COMPUTED_VALUE"""),"11º BBM")</f>
        <v>11º BBM</v>
      </c>
      <c r="D377" s="1" t="str">
        <f>IFERROR(__xludf.DUMMYFUNCTION("""COMPUTED_VALUE"""),"São Luiz Gonzaga")</f>
        <v>São Luiz Gonzaga</v>
      </c>
      <c r="E377" s="145" t="str">
        <f>IFERROR(__xludf.DUMMYFUNCTION("""COMPUTED_VALUE"""),"NPBM")</f>
        <v>NPBM</v>
      </c>
      <c r="F377" s="145"/>
      <c r="G377" s="145"/>
      <c r="H377" s="145"/>
    </row>
    <row r="378" customHeight="1" spans="1:8">
      <c r="A378" s="1" t="str">
        <f>IFERROR(__xludf.DUMMYFUNCTION("""COMPUTED_VALUE"""),"Santo Antônio do Palma")</f>
        <v>Santo Antônio do Palma</v>
      </c>
      <c r="B378" s="144" t="str">
        <f>IFERROR(__xludf.DUMMYFUNCTION("""COMPUTED_VALUE"""),"2º CRBM")</f>
        <v>2º CRBM</v>
      </c>
      <c r="C378" s="1" t="str">
        <f>IFERROR(__xludf.DUMMYFUNCTION("""COMPUTED_VALUE"""),"7º BBM")</f>
        <v>7º BBM</v>
      </c>
      <c r="D378" s="1" t="str">
        <f>IFERROR(__xludf.DUMMYFUNCTION("""COMPUTED_VALUE"""),"Guaporé")</f>
        <v>Guaporé</v>
      </c>
      <c r="E378" s="145" t="str">
        <f>IFERROR(__xludf.DUMMYFUNCTION("""COMPUTED_VALUE"""),"NPBM")</f>
        <v>NPBM</v>
      </c>
      <c r="F378" s="145"/>
      <c r="G378" s="145"/>
      <c r="H378" s="145"/>
    </row>
    <row r="379" customHeight="1" spans="1:8">
      <c r="A379" s="1" t="str">
        <f>IFERROR(__xludf.DUMMYFUNCTION("""COMPUTED_VALUE"""),"Santo Antônio do Planalto")</f>
        <v>Santo Antônio do Planalto</v>
      </c>
      <c r="B379" s="144" t="str">
        <f>IFERROR(__xludf.DUMMYFUNCTION("""COMPUTED_VALUE"""),"2º CRBM")</f>
        <v>2º CRBM</v>
      </c>
      <c r="C379" s="1" t="str">
        <f>IFERROR(__xludf.DUMMYFUNCTION("""COMPUTED_VALUE"""),"7º BBM")</f>
        <v>7º BBM</v>
      </c>
      <c r="D379" s="1" t="str">
        <f>IFERROR(__xludf.DUMMYFUNCTION("""COMPUTED_VALUE"""),"Carazinho")</f>
        <v>Carazinho</v>
      </c>
      <c r="E379" s="145" t="str">
        <f>IFERROR(__xludf.DUMMYFUNCTION("""COMPUTED_VALUE"""),"NPBM")</f>
        <v>NPBM</v>
      </c>
      <c r="F379" s="145"/>
      <c r="G379" s="145"/>
      <c r="H379" s="145"/>
    </row>
    <row r="380" customHeight="1" spans="1:8">
      <c r="A380" s="1" t="str">
        <f>IFERROR(__xludf.DUMMYFUNCTION("""COMPUTED_VALUE"""),"Santo Augusto")</f>
        <v>Santo Augusto</v>
      </c>
      <c r="B380" s="144" t="str">
        <f>IFERROR(__xludf.DUMMYFUNCTION("""COMPUTED_VALUE"""),"4º CRBM")</f>
        <v>4º CRBM</v>
      </c>
      <c r="C380" s="1" t="str">
        <f>IFERROR(__xludf.DUMMYFUNCTION("""COMPUTED_VALUE"""),"12º BBM")</f>
        <v>12º BBM</v>
      </c>
      <c r="D380" s="1" t="str">
        <f>IFERROR(__xludf.DUMMYFUNCTION("""COMPUTED_VALUE"""),"Ijuí")</f>
        <v>Ijuí</v>
      </c>
      <c r="E380" s="145" t="str">
        <f>IFERROR(__xludf.DUMMYFUNCTION("""COMPUTED_VALUE"""),"SCAB")</f>
        <v>SCAB</v>
      </c>
      <c r="F380" s="145"/>
      <c r="G380" s="145"/>
      <c r="H380" s="145"/>
    </row>
    <row r="381" customHeight="1" spans="1:8">
      <c r="A381" s="1" t="str">
        <f>IFERROR(__xludf.DUMMYFUNCTION("""COMPUTED_VALUE"""),"Santo Cristo")</f>
        <v>Santo Cristo</v>
      </c>
      <c r="B381" s="144" t="str">
        <f>IFERROR(__xludf.DUMMYFUNCTION("""COMPUTED_VALUE"""),"4º CRBM")</f>
        <v>4º CRBM</v>
      </c>
      <c r="C381" s="1" t="str">
        <f>IFERROR(__xludf.DUMMYFUNCTION("""COMPUTED_VALUE"""),"11º BBM")</f>
        <v>11º BBM</v>
      </c>
      <c r="D381" s="1" t="str">
        <f>IFERROR(__xludf.DUMMYFUNCTION("""COMPUTED_VALUE"""),"Santa Rosa")</f>
        <v>Santa Rosa</v>
      </c>
      <c r="E381" s="145" t="str">
        <f>IFERROR(__xludf.DUMMYFUNCTION("""COMPUTED_VALUE"""),"SCAB")</f>
        <v>SCAB</v>
      </c>
      <c r="F381" s="145"/>
      <c r="G381" s="145"/>
      <c r="H381" s="145"/>
    </row>
    <row r="382" customHeight="1" spans="1:8">
      <c r="A382" s="1" t="str">
        <f>IFERROR(__xludf.DUMMYFUNCTION("""COMPUTED_VALUE"""),"Santo Expedito do Sul")</f>
        <v>Santo Expedito do Sul</v>
      </c>
      <c r="B382" s="144" t="str">
        <f>IFERROR(__xludf.DUMMYFUNCTION("""COMPUTED_VALUE"""),"2º CRBM")</f>
        <v>2º CRBM</v>
      </c>
      <c r="C382" s="1" t="str">
        <f>IFERROR(__xludf.DUMMYFUNCTION("""COMPUTED_VALUE"""),"5º BBM")</f>
        <v>5º BBM</v>
      </c>
      <c r="D382" s="1" t="str">
        <f>IFERROR(__xludf.DUMMYFUNCTION("""COMPUTED_VALUE"""),"Lagoa Vermelha")</f>
        <v>Lagoa Vermelha</v>
      </c>
      <c r="E382" s="145" t="str">
        <f>IFERROR(__xludf.DUMMYFUNCTION("""COMPUTED_VALUE"""),"SCAB")</f>
        <v>SCAB</v>
      </c>
      <c r="F382" s="145"/>
      <c r="G382" s="145"/>
      <c r="H382" s="145"/>
    </row>
    <row r="383" customHeight="1" spans="1:8">
      <c r="A383" s="1" t="str">
        <f>IFERROR(__xludf.DUMMYFUNCTION("""COMPUTED_VALUE"""),"São Borja")</f>
        <v>São Borja</v>
      </c>
      <c r="B383" s="144" t="str">
        <f>IFERROR(__xludf.DUMMYFUNCTION("""COMPUTED_VALUE"""),"3º CRBM")</f>
        <v>3º CRBM</v>
      </c>
      <c r="C383" s="1" t="str">
        <f>IFERROR(__xludf.DUMMYFUNCTION("""COMPUTED_VALUE"""),"13º BBM")</f>
        <v>13º BBM</v>
      </c>
      <c r="D383" s="1" t="str">
        <f>IFERROR(__xludf.DUMMYFUNCTION("""COMPUTED_VALUE"""),"São Borja")</f>
        <v>São Borja</v>
      </c>
      <c r="E383" s="145" t="str">
        <f>IFERROR(__xludf.DUMMYFUNCTION("""COMPUTED_VALUE"""),"Militar")</f>
        <v>Militar</v>
      </c>
      <c r="F383" s="145"/>
      <c r="G383" s="145"/>
      <c r="H383" s="145"/>
    </row>
    <row r="384" customHeight="1" spans="1:8">
      <c r="A384" s="1" t="str">
        <f>IFERROR(__xludf.DUMMYFUNCTION("""COMPUTED_VALUE"""),"São Domingos do Sul")</f>
        <v>São Domingos do Sul</v>
      </c>
      <c r="B384" s="144" t="str">
        <f>IFERROR(__xludf.DUMMYFUNCTION("""COMPUTED_VALUE"""),"2º CRBM")</f>
        <v>2º CRBM</v>
      </c>
      <c r="C384" s="1" t="str">
        <f>IFERROR(__xludf.DUMMYFUNCTION("""COMPUTED_VALUE"""),"7º BBM")</f>
        <v>7º BBM</v>
      </c>
      <c r="D384" s="1" t="str">
        <f>IFERROR(__xludf.DUMMYFUNCTION("""COMPUTED_VALUE"""),"Guaporé")</f>
        <v>Guaporé</v>
      </c>
      <c r="E384" s="145" t="str">
        <f>IFERROR(__xludf.DUMMYFUNCTION("""COMPUTED_VALUE"""),"NPBM")</f>
        <v>NPBM</v>
      </c>
      <c r="F384" s="145"/>
      <c r="G384" s="145"/>
      <c r="H384" s="145"/>
    </row>
    <row r="385" customHeight="1" spans="1:8">
      <c r="A385" s="1" t="str">
        <f>IFERROR(__xludf.DUMMYFUNCTION("""COMPUTED_VALUE"""),"São Francisco de Assis")</f>
        <v>São Francisco de Assis</v>
      </c>
      <c r="B385" s="144" t="str">
        <f>IFERROR(__xludf.DUMMYFUNCTION("""COMPUTED_VALUE"""),"3º CRBM")</f>
        <v>3º CRBM</v>
      </c>
      <c r="C385" s="1" t="str">
        <f>IFERROR(__xludf.DUMMYFUNCTION("""COMPUTED_VALUE"""),"13º BBM")</f>
        <v>13º BBM</v>
      </c>
      <c r="D385" s="1" t="str">
        <f>IFERROR(__xludf.DUMMYFUNCTION("""COMPUTED_VALUE"""),"Santiago")</f>
        <v>Santiago</v>
      </c>
      <c r="E385" s="145" t="str">
        <f>IFERROR(__xludf.DUMMYFUNCTION("""COMPUTED_VALUE"""),"NPBM")</f>
        <v>NPBM</v>
      </c>
      <c r="F385" s="145"/>
      <c r="G385" s="145"/>
      <c r="H385" s="145"/>
    </row>
    <row r="386" customHeight="1" spans="1:8">
      <c r="A386" s="1" t="str">
        <f>IFERROR(__xludf.DUMMYFUNCTION("""COMPUTED_VALUE"""),"São Francisco de Paula")</f>
        <v>São Francisco de Paula</v>
      </c>
      <c r="B386" s="144" t="str">
        <f>IFERROR(__xludf.DUMMYFUNCTION("""COMPUTED_VALUE"""),"2º CRBM")</f>
        <v>2º CRBM</v>
      </c>
      <c r="C386" s="1" t="str">
        <f>IFERROR(__xludf.DUMMYFUNCTION("""COMPUTED_VALUE"""),"5º BBM")</f>
        <v>5º BBM</v>
      </c>
      <c r="D386" s="1" t="str">
        <f>IFERROR(__xludf.DUMMYFUNCTION("""COMPUTED_VALUE"""),"Canela")</f>
        <v>Canela</v>
      </c>
      <c r="E386" s="145" t="str">
        <f>IFERROR(__xludf.DUMMYFUNCTION("""COMPUTED_VALUE"""),"Voluntersul")</f>
        <v>Voluntersul</v>
      </c>
      <c r="F386" s="145"/>
      <c r="G386" s="145"/>
      <c r="H386" s="145"/>
    </row>
    <row r="387" customHeight="1" spans="1:8">
      <c r="A387" s="1" t="str">
        <f>IFERROR(__xludf.DUMMYFUNCTION("""COMPUTED_VALUE"""),"São Gabriel")</f>
        <v>São Gabriel</v>
      </c>
      <c r="B387" s="144" t="str">
        <f>IFERROR(__xludf.DUMMYFUNCTION("""COMPUTED_VALUE"""),"3º CRBM")</f>
        <v>3º CRBM</v>
      </c>
      <c r="C387" s="1" t="str">
        <f>IFERROR(__xludf.DUMMYFUNCTION("""COMPUTED_VALUE"""),"10º BBM")</f>
        <v>10º BBM</v>
      </c>
      <c r="D387" s="1" t="str">
        <f>IFERROR(__xludf.DUMMYFUNCTION("""COMPUTED_VALUE"""),"São Gabriel")</f>
        <v>São Gabriel</v>
      </c>
      <c r="E387" s="145" t="str">
        <f>IFERROR(__xludf.DUMMYFUNCTION("""COMPUTED_VALUE"""),"Militar")</f>
        <v>Militar</v>
      </c>
      <c r="F387" s="145"/>
      <c r="G387" s="145"/>
      <c r="H387" s="145"/>
    </row>
    <row r="388" customHeight="1" spans="1:8">
      <c r="A388" s="1" t="str">
        <f>IFERROR(__xludf.DUMMYFUNCTION("""COMPUTED_VALUE"""),"São Jerônimo")</f>
        <v>São Jerônimo</v>
      </c>
      <c r="B388" s="144" t="str">
        <f>IFERROR(__xludf.DUMMYFUNCTION("""COMPUTED_VALUE"""),"4º CRBM")</f>
        <v>4º CRBM</v>
      </c>
      <c r="C388" s="1" t="str">
        <f>IFERROR(__xludf.DUMMYFUNCTION("""COMPUTED_VALUE"""),"6º BBM")</f>
        <v>6º BBM</v>
      </c>
      <c r="D388" s="1" t="str">
        <f>IFERROR(__xludf.DUMMYFUNCTION("""COMPUTED_VALUE"""),"São Jerônimo")</f>
        <v>São Jerônimo</v>
      </c>
      <c r="E388" s="145" t="str">
        <f>IFERROR(__xludf.DUMMYFUNCTION("""COMPUTED_VALUE"""),"Militar")</f>
        <v>Militar</v>
      </c>
      <c r="F388" s="145"/>
      <c r="G388" s="145"/>
      <c r="H388" s="145"/>
    </row>
    <row r="389" customHeight="1" spans="1:8">
      <c r="A389" s="1" t="str">
        <f>IFERROR(__xludf.DUMMYFUNCTION("""COMPUTED_VALUE"""),"São João da Urtiga")</f>
        <v>São João da Urtiga</v>
      </c>
      <c r="B389" s="144" t="str">
        <f>IFERROR(__xludf.DUMMYFUNCTION("""COMPUTED_VALUE"""),"2º CRBM")</f>
        <v>2º CRBM</v>
      </c>
      <c r="C389" s="1" t="str">
        <f>IFERROR(__xludf.DUMMYFUNCTION("""COMPUTED_VALUE"""),"5º BBM")</f>
        <v>5º BBM</v>
      </c>
      <c r="D389" s="1" t="str">
        <f>IFERROR(__xludf.DUMMYFUNCTION("""COMPUTED_VALUE"""),"Lagoa Vermelha")</f>
        <v>Lagoa Vermelha</v>
      </c>
      <c r="E389" s="145" t="str">
        <f>IFERROR(__xludf.DUMMYFUNCTION("""COMPUTED_VALUE"""),"SCAB")</f>
        <v>SCAB</v>
      </c>
      <c r="F389" s="145"/>
      <c r="G389" s="145"/>
      <c r="H389" s="145"/>
    </row>
    <row r="390" customHeight="1" spans="1:8">
      <c r="A390" s="1" t="str">
        <f>IFERROR(__xludf.DUMMYFUNCTION("""COMPUTED_VALUE"""),"São João do Polêsine")</f>
        <v>São João do Polêsine</v>
      </c>
      <c r="B390" s="144" t="str">
        <f>IFERROR(__xludf.DUMMYFUNCTION("""COMPUTED_VALUE"""),"4º CRBM")</f>
        <v>4º CRBM</v>
      </c>
      <c r="C390" s="1" t="str">
        <f>IFERROR(__xludf.DUMMYFUNCTION("""COMPUTED_VALUE"""),"4º BBM")</f>
        <v>4º BBM</v>
      </c>
      <c r="D390" s="1" t="str">
        <f>IFERROR(__xludf.DUMMYFUNCTION("""COMPUTED_VALUE"""),"Restinga Sêca")</f>
        <v>Restinga Sêca</v>
      </c>
      <c r="E390" s="145" t="str">
        <f>IFERROR(__xludf.DUMMYFUNCTION("""COMPUTED_VALUE"""),"NPBM")</f>
        <v>NPBM</v>
      </c>
      <c r="F390" s="145"/>
      <c r="G390" s="145"/>
      <c r="H390" s="145"/>
    </row>
    <row r="391" customHeight="1" spans="1:8">
      <c r="A391" s="1" t="str">
        <f>IFERROR(__xludf.DUMMYFUNCTION("""COMPUTED_VALUE"""),"São Jorge")</f>
        <v>São Jorge</v>
      </c>
      <c r="B391" s="144" t="str">
        <f>IFERROR(__xludf.DUMMYFUNCTION("""COMPUTED_VALUE"""),"2º CRBM")</f>
        <v>2º CRBM</v>
      </c>
      <c r="C391" s="1" t="str">
        <f>IFERROR(__xludf.DUMMYFUNCTION("""COMPUTED_VALUE"""),"5º BBM")</f>
        <v>5º BBM</v>
      </c>
      <c r="D391" s="1" t="str">
        <f>IFERROR(__xludf.DUMMYFUNCTION("""COMPUTED_VALUE"""),"Veranópolis")</f>
        <v>Veranópolis</v>
      </c>
      <c r="E391" s="145" t="str">
        <f>IFERROR(__xludf.DUMMYFUNCTION("""COMPUTED_VALUE"""),"NPBM")</f>
        <v>NPBM</v>
      </c>
      <c r="F391" s="145"/>
      <c r="G391" s="145"/>
      <c r="H391" s="145"/>
    </row>
    <row r="392" customHeight="1" spans="1:8">
      <c r="A392" s="1" t="str">
        <f>IFERROR(__xludf.DUMMYFUNCTION("""COMPUTED_VALUE"""),"São José das Missões")</f>
        <v>São José das Missões</v>
      </c>
      <c r="B392" s="144" t="str">
        <f>IFERROR(__xludf.DUMMYFUNCTION("""COMPUTED_VALUE"""),"4º CRBM")</f>
        <v>4º CRBM</v>
      </c>
      <c r="C392" s="1" t="str">
        <f>IFERROR(__xludf.DUMMYFUNCTION("""COMPUTED_VALUE"""),"12º BBM")</f>
        <v>12º BBM</v>
      </c>
      <c r="D392" s="1" t="str">
        <f>IFERROR(__xludf.DUMMYFUNCTION("""COMPUTED_VALUE"""),"Sarandi")</f>
        <v>Sarandi</v>
      </c>
      <c r="E392" s="145" t="str">
        <f>IFERROR(__xludf.DUMMYFUNCTION("""COMPUTED_VALUE"""),"NPBM")</f>
        <v>NPBM</v>
      </c>
      <c r="F392" s="145"/>
      <c r="G392" s="145"/>
      <c r="H392" s="145"/>
    </row>
    <row r="393" customHeight="1" spans="1:8">
      <c r="A393" s="1" t="str">
        <f>IFERROR(__xludf.DUMMYFUNCTION("""COMPUTED_VALUE"""),"São José do Herval")</f>
        <v>São José do Herval</v>
      </c>
      <c r="B393" s="144" t="str">
        <f>IFERROR(__xludf.DUMMYFUNCTION("""COMPUTED_VALUE"""),"2º CRBM")</f>
        <v>2º CRBM</v>
      </c>
      <c r="C393" s="1" t="str">
        <f>IFERROR(__xludf.DUMMYFUNCTION("""COMPUTED_VALUE"""),"7º BBM")</f>
        <v>7º BBM</v>
      </c>
      <c r="D393" s="1" t="str">
        <f>IFERROR(__xludf.DUMMYFUNCTION("""COMPUTED_VALUE"""),"Soledade")</f>
        <v>Soledade</v>
      </c>
      <c r="E393" s="145" t="str">
        <f>IFERROR(__xludf.DUMMYFUNCTION("""COMPUTED_VALUE"""),"NPBM")</f>
        <v>NPBM</v>
      </c>
      <c r="F393" s="145"/>
      <c r="G393" s="145"/>
      <c r="H393" s="145"/>
    </row>
    <row r="394" customHeight="1" spans="1:8">
      <c r="A394" s="1" t="str">
        <f>IFERROR(__xludf.DUMMYFUNCTION("""COMPUTED_VALUE"""),"São José do Hortêncio")</f>
        <v>São José do Hortêncio</v>
      </c>
      <c r="B394" s="144" t="str">
        <f>IFERROR(__xludf.DUMMYFUNCTION("""COMPUTED_VALUE"""),"2º CRBM")</f>
        <v>2º CRBM</v>
      </c>
      <c r="C394" s="1" t="str">
        <f>IFERROR(__xludf.DUMMYFUNCTION("""COMPUTED_VALUE"""),"2º BBM")</f>
        <v>2º BBM</v>
      </c>
      <c r="D394" s="1" t="str">
        <f>IFERROR(__xludf.DUMMYFUNCTION("""COMPUTED_VALUE"""),"Ivoti")</f>
        <v>Ivoti</v>
      </c>
      <c r="E394" s="145" t="str">
        <f>IFERROR(__xludf.DUMMYFUNCTION("""COMPUTED_VALUE"""),"Voluntersul")</f>
        <v>Voluntersul</v>
      </c>
      <c r="F394" s="145"/>
      <c r="G394" s="145"/>
      <c r="H394" s="145"/>
    </row>
    <row r="395" customHeight="1" spans="1:8">
      <c r="A395" s="1" t="str">
        <f>IFERROR(__xludf.DUMMYFUNCTION("""COMPUTED_VALUE"""),"São José do Inhacorá")</f>
        <v>São José do Inhacorá</v>
      </c>
      <c r="B395" s="144" t="str">
        <f>IFERROR(__xludf.DUMMYFUNCTION("""COMPUTED_VALUE"""),"4º CRBM")</f>
        <v>4º CRBM</v>
      </c>
      <c r="C395" s="1" t="str">
        <f>IFERROR(__xludf.DUMMYFUNCTION("""COMPUTED_VALUE"""),"11º BBM")</f>
        <v>11º BBM</v>
      </c>
      <c r="D395" s="1" t="str">
        <f>IFERROR(__xludf.DUMMYFUNCTION("""COMPUTED_VALUE"""),"Três de Maio")</f>
        <v>Três de Maio</v>
      </c>
      <c r="E395" s="145" t="str">
        <f>IFERROR(__xludf.DUMMYFUNCTION("""COMPUTED_VALUE"""),"NPBM")</f>
        <v>NPBM</v>
      </c>
      <c r="F395" s="145"/>
      <c r="G395" s="145"/>
      <c r="H395" s="145"/>
    </row>
    <row r="396" customHeight="1" spans="1:8">
      <c r="A396" s="1" t="str">
        <f>IFERROR(__xludf.DUMMYFUNCTION("""COMPUTED_VALUE"""),"São José do Norte")</f>
        <v>São José do Norte</v>
      </c>
      <c r="B396" s="144" t="str">
        <f>IFERROR(__xludf.DUMMYFUNCTION("""COMPUTED_VALUE"""),"3º CRBM")</f>
        <v>3º CRBM</v>
      </c>
      <c r="C396" s="1" t="str">
        <f>IFERROR(__xludf.DUMMYFUNCTION("""COMPUTED_VALUE"""),"3º BBM")</f>
        <v>3º BBM</v>
      </c>
      <c r="D396" s="1" t="str">
        <f>IFERROR(__xludf.DUMMYFUNCTION("""COMPUTED_VALUE"""),"São José do Norte")</f>
        <v>São José do Norte</v>
      </c>
      <c r="E396" s="145" t="str">
        <f>IFERROR(__xludf.DUMMYFUNCTION("""COMPUTED_VALUE"""),"Militar")</f>
        <v>Militar</v>
      </c>
      <c r="F396" s="145"/>
      <c r="G396" s="145"/>
      <c r="H396" s="145"/>
    </row>
    <row r="397" customHeight="1" spans="1:8">
      <c r="A397" s="1" t="str">
        <f>IFERROR(__xludf.DUMMYFUNCTION("""COMPUTED_VALUE"""),"São José do Ouro")</f>
        <v>São José do Ouro</v>
      </c>
      <c r="B397" s="144" t="str">
        <f>IFERROR(__xludf.DUMMYFUNCTION("""COMPUTED_VALUE"""),"2º CRBM")</f>
        <v>2º CRBM</v>
      </c>
      <c r="C397" s="1" t="str">
        <f>IFERROR(__xludf.DUMMYFUNCTION("""COMPUTED_VALUE"""),"5º BBM")</f>
        <v>5º BBM</v>
      </c>
      <c r="D397" s="1" t="str">
        <f>IFERROR(__xludf.DUMMYFUNCTION("""COMPUTED_VALUE"""),"Lagoa Vermelha")</f>
        <v>Lagoa Vermelha</v>
      </c>
      <c r="E397" s="145" t="str">
        <f>IFERROR(__xludf.DUMMYFUNCTION("""COMPUTED_VALUE"""),"Voluntersul")</f>
        <v>Voluntersul</v>
      </c>
      <c r="F397" s="145"/>
      <c r="G397" s="145"/>
      <c r="H397" s="145"/>
    </row>
    <row r="398" customHeight="1" spans="1:8">
      <c r="A398" s="1" t="str">
        <f>IFERROR(__xludf.DUMMYFUNCTION("""COMPUTED_VALUE"""),"São José do Sul")</f>
        <v>São José do Sul</v>
      </c>
      <c r="B398" s="144" t="str">
        <f>IFERROR(__xludf.DUMMYFUNCTION("""COMPUTED_VALUE"""),"2º CRBM")</f>
        <v>2º CRBM</v>
      </c>
      <c r="C398" s="1" t="str">
        <f>IFERROR(__xludf.DUMMYFUNCTION("""COMPUTED_VALUE"""),"2º BBM")</f>
        <v>2º BBM</v>
      </c>
      <c r="D398" s="1" t="str">
        <f>IFERROR(__xludf.DUMMYFUNCTION("""COMPUTED_VALUE"""),"Montenegro")</f>
        <v>Montenegro</v>
      </c>
      <c r="E398" s="145" t="str">
        <f>IFERROR(__xludf.DUMMYFUNCTION("""COMPUTED_VALUE"""),"NPBM")</f>
        <v>NPBM</v>
      </c>
      <c r="F398" s="145"/>
      <c r="G398" s="145"/>
      <c r="H398" s="145"/>
    </row>
    <row r="399" customHeight="1" spans="1:8">
      <c r="A399" s="1" t="str">
        <f>IFERROR(__xludf.DUMMYFUNCTION("""COMPUTED_VALUE"""),"São José dos Ausentes")</f>
        <v>São José dos Ausentes</v>
      </c>
      <c r="B399" s="144" t="str">
        <f>IFERROR(__xludf.DUMMYFUNCTION("""COMPUTED_VALUE"""),"2º CRBM")</f>
        <v>2º CRBM</v>
      </c>
      <c r="C399" s="1" t="str">
        <f>IFERROR(__xludf.DUMMYFUNCTION("""COMPUTED_VALUE"""),"5º BBM")</f>
        <v>5º BBM</v>
      </c>
      <c r="D399" s="1" t="str">
        <f>IFERROR(__xludf.DUMMYFUNCTION("""COMPUTED_VALUE"""),"Vacaria")</f>
        <v>Vacaria</v>
      </c>
      <c r="E399" s="145" t="str">
        <f>IFERROR(__xludf.DUMMYFUNCTION("""COMPUTED_VALUE"""),"Voluntersul")</f>
        <v>Voluntersul</v>
      </c>
      <c r="F399" s="145"/>
      <c r="G399" s="145"/>
      <c r="H399" s="145"/>
    </row>
    <row r="400" customHeight="1" spans="1:8">
      <c r="A400" s="1" t="str">
        <f>IFERROR(__xludf.DUMMYFUNCTION("""COMPUTED_VALUE"""),"São Leopoldo")</f>
        <v>São Leopoldo</v>
      </c>
      <c r="B400" s="144" t="str">
        <f>IFERROR(__xludf.DUMMYFUNCTION("""COMPUTED_VALUE"""),"2º CRBM")</f>
        <v>2º CRBM</v>
      </c>
      <c r="C400" s="1" t="str">
        <f>IFERROR(__xludf.DUMMYFUNCTION("""COMPUTED_VALUE"""),"2º BBM")</f>
        <v>2º BBM</v>
      </c>
      <c r="D400" s="1" t="str">
        <f>IFERROR(__xludf.DUMMYFUNCTION("""COMPUTED_VALUE"""),"São Leopoldo")</f>
        <v>São Leopoldo</v>
      </c>
      <c r="E400" s="145" t="str">
        <f>IFERROR(__xludf.DUMMYFUNCTION("""COMPUTED_VALUE"""),"Militar")</f>
        <v>Militar</v>
      </c>
      <c r="F400" s="145"/>
      <c r="G400" s="145"/>
      <c r="H400" s="145"/>
    </row>
    <row r="401" customHeight="1" spans="1:8">
      <c r="A401" s="1" t="str">
        <f>IFERROR(__xludf.DUMMYFUNCTION("""COMPUTED_VALUE"""),"São Lourenço do Sul")</f>
        <v>São Lourenço do Sul</v>
      </c>
      <c r="B401" s="144" t="str">
        <f>IFERROR(__xludf.DUMMYFUNCTION("""COMPUTED_VALUE"""),"4º CRBM")</f>
        <v>4º CRBM</v>
      </c>
      <c r="C401" s="1" t="str">
        <f>IFERROR(__xludf.DUMMYFUNCTION("""COMPUTED_VALUE"""),"6º BBM")</f>
        <v>6º BBM</v>
      </c>
      <c r="D401" s="1" t="str">
        <f>IFERROR(__xludf.DUMMYFUNCTION("""COMPUTED_VALUE"""),"São Lourenço do Sul")</f>
        <v>São Lourenço do Sul</v>
      </c>
      <c r="E401" s="145" t="str">
        <f>IFERROR(__xludf.DUMMYFUNCTION("""COMPUTED_VALUE"""),"Militar")</f>
        <v>Militar</v>
      </c>
      <c r="F401" s="145"/>
      <c r="G401" s="145"/>
      <c r="H401" s="145"/>
    </row>
    <row r="402" customHeight="1" spans="1:8">
      <c r="A402" s="1" t="str">
        <f>IFERROR(__xludf.DUMMYFUNCTION("""COMPUTED_VALUE"""),"São Luiz Gonzaga")</f>
        <v>São Luiz Gonzaga</v>
      </c>
      <c r="B402" s="144" t="str">
        <f>IFERROR(__xludf.DUMMYFUNCTION("""COMPUTED_VALUE"""),"4º CRBM")</f>
        <v>4º CRBM</v>
      </c>
      <c r="C402" s="1" t="str">
        <f>IFERROR(__xludf.DUMMYFUNCTION("""COMPUTED_VALUE"""),"11º BBM")</f>
        <v>11º BBM</v>
      </c>
      <c r="D402" s="1" t="str">
        <f>IFERROR(__xludf.DUMMYFUNCTION("""COMPUTED_VALUE"""),"São Luiz Gonzaga")</f>
        <v>São Luiz Gonzaga</v>
      </c>
      <c r="E402" s="145" t="str">
        <f>IFERROR(__xludf.DUMMYFUNCTION("""COMPUTED_VALUE"""),"Militar")</f>
        <v>Militar</v>
      </c>
      <c r="F402" s="145"/>
      <c r="G402" s="145"/>
      <c r="H402" s="145"/>
    </row>
    <row r="403" customHeight="1" spans="1:8">
      <c r="A403" s="1" t="str">
        <f>IFERROR(__xludf.DUMMYFUNCTION("""COMPUTED_VALUE"""),"São Marcos")</f>
        <v>São Marcos</v>
      </c>
      <c r="B403" s="144" t="str">
        <f>IFERROR(__xludf.DUMMYFUNCTION("""COMPUTED_VALUE"""),"2º CRBM")</f>
        <v>2º CRBM</v>
      </c>
      <c r="C403" s="1" t="str">
        <f>IFERROR(__xludf.DUMMYFUNCTION("""COMPUTED_VALUE"""),"5º BBM")</f>
        <v>5º BBM</v>
      </c>
      <c r="D403" s="1" t="str">
        <f>IFERROR(__xludf.DUMMYFUNCTION("""COMPUTED_VALUE"""),"São Marcos")</f>
        <v>São Marcos</v>
      </c>
      <c r="E403" s="145" t="str">
        <f>IFERROR(__xludf.DUMMYFUNCTION("""COMPUTED_VALUE"""),"Comunitário")</f>
        <v>Comunitário</v>
      </c>
      <c r="F403" s="145"/>
      <c r="G403" s="145"/>
      <c r="H403" s="145"/>
    </row>
    <row r="404" customHeight="1" spans="1:8">
      <c r="A404" s="1" t="str">
        <f>IFERROR(__xludf.DUMMYFUNCTION("""COMPUTED_VALUE"""),"São Martinho")</f>
        <v>São Martinho</v>
      </c>
      <c r="B404" s="144" t="str">
        <f>IFERROR(__xludf.DUMMYFUNCTION("""COMPUTED_VALUE"""),"4º CRBM")</f>
        <v>4º CRBM</v>
      </c>
      <c r="C404" s="1" t="str">
        <f>IFERROR(__xludf.DUMMYFUNCTION("""COMPUTED_VALUE"""),"11º BBM")</f>
        <v>11º BBM</v>
      </c>
      <c r="D404" s="1" t="str">
        <f>IFERROR(__xludf.DUMMYFUNCTION("""COMPUTED_VALUE"""),"Três de Maio")</f>
        <v>Três de Maio</v>
      </c>
      <c r="E404" s="145" t="str">
        <f>IFERROR(__xludf.DUMMYFUNCTION("""COMPUTED_VALUE"""),"NPBM")</f>
        <v>NPBM</v>
      </c>
      <c r="F404" s="145"/>
      <c r="G404" s="145"/>
      <c r="H404" s="145"/>
    </row>
    <row r="405" customHeight="1" spans="1:8">
      <c r="A405" s="1" t="str">
        <f>IFERROR(__xludf.DUMMYFUNCTION("""COMPUTED_VALUE"""),"São Martinho da Serra")</f>
        <v>São Martinho da Serra</v>
      </c>
      <c r="B405" s="144" t="str">
        <f>IFERROR(__xludf.DUMMYFUNCTION("""COMPUTED_VALUE"""),"4º CRBM")</f>
        <v>4º CRBM</v>
      </c>
      <c r="C405" s="1" t="str">
        <f>IFERROR(__xludf.DUMMYFUNCTION("""COMPUTED_VALUE"""),"4º BBM")</f>
        <v>4º BBM</v>
      </c>
      <c r="D405" s="1" t="str">
        <f>IFERROR(__xludf.DUMMYFUNCTION("""COMPUTED_VALUE"""),"Santa Maria")</f>
        <v>Santa Maria</v>
      </c>
      <c r="E405" s="145" t="str">
        <f>IFERROR(__xludf.DUMMYFUNCTION("""COMPUTED_VALUE"""),"SCAB")</f>
        <v>SCAB</v>
      </c>
      <c r="F405" s="145"/>
      <c r="G405" s="145"/>
      <c r="H405" s="145"/>
    </row>
    <row r="406" customHeight="1" spans="1:8">
      <c r="A406" s="1" t="str">
        <f>IFERROR(__xludf.DUMMYFUNCTION("""COMPUTED_VALUE"""),"São Miguel das Missões")</f>
        <v>São Miguel das Missões</v>
      </c>
      <c r="B406" s="144" t="str">
        <f>IFERROR(__xludf.DUMMYFUNCTION("""COMPUTED_VALUE"""),"4º CRBM")</f>
        <v>4º CRBM</v>
      </c>
      <c r="C406" s="1" t="str">
        <f>IFERROR(__xludf.DUMMYFUNCTION("""COMPUTED_VALUE"""),"11º BBM")</f>
        <v>11º BBM</v>
      </c>
      <c r="D406" s="1" t="str">
        <f>IFERROR(__xludf.DUMMYFUNCTION("""COMPUTED_VALUE"""),"Santo Ângelo")</f>
        <v>Santo Ângelo</v>
      </c>
      <c r="E406" s="145" t="str">
        <f>IFERROR(__xludf.DUMMYFUNCTION("""COMPUTED_VALUE"""),"NPBM")</f>
        <v>NPBM</v>
      </c>
      <c r="F406" s="145"/>
      <c r="G406" s="145"/>
      <c r="H406" s="145"/>
    </row>
    <row r="407" customHeight="1" spans="1:8">
      <c r="A407" s="1" t="str">
        <f>IFERROR(__xludf.DUMMYFUNCTION("""COMPUTED_VALUE"""),"São Nicolau")</f>
        <v>São Nicolau</v>
      </c>
      <c r="B407" s="144" t="str">
        <f>IFERROR(__xludf.DUMMYFUNCTION("""COMPUTED_VALUE"""),"4º CRBM")</f>
        <v>4º CRBM</v>
      </c>
      <c r="C407" s="1" t="str">
        <f>IFERROR(__xludf.DUMMYFUNCTION("""COMPUTED_VALUE"""),"11º BBM")</f>
        <v>11º BBM</v>
      </c>
      <c r="D407" s="1" t="str">
        <f>IFERROR(__xludf.DUMMYFUNCTION("""COMPUTED_VALUE"""),"São Luiz Gonzaga")</f>
        <v>São Luiz Gonzaga</v>
      </c>
      <c r="E407" s="145" t="str">
        <f>IFERROR(__xludf.DUMMYFUNCTION("""COMPUTED_VALUE"""),"NPBM")</f>
        <v>NPBM</v>
      </c>
      <c r="F407" s="145"/>
      <c r="G407" s="145"/>
      <c r="H407" s="145"/>
    </row>
    <row r="408" customHeight="1" spans="1:8">
      <c r="A408" s="1" t="str">
        <f>IFERROR(__xludf.DUMMYFUNCTION("""COMPUTED_VALUE"""),"São Paulo das Missões")</f>
        <v>São Paulo das Missões</v>
      </c>
      <c r="B408" s="144" t="str">
        <f>IFERROR(__xludf.DUMMYFUNCTION("""COMPUTED_VALUE"""),"4º CRBM")</f>
        <v>4º CRBM</v>
      </c>
      <c r="C408" s="1" t="str">
        <f>IFERROR(__xludf.DUMMYFUNCTION("""COMPUTED_VALUE"""),"11º BBM")</f>
        <v>11º BBM</v>
      </c>
      <c r="D408" s="1" t="str">
        <f>IFERROR(__xludf.DUMMYFUNCTION("""COMPUTED_VALUE"""),"Santa Rosa")</f>
        <v>Santa Rosa</v>
      </c>
      <c r="E408" s="145" t="str">
        <f>IFERROR(__xludf.DUMMYFUNCTION("""COMPUTED_VALUE"""),"NPBM")</f>
        <v>NPBM</v>
      </c>
      <c r="F408" s="145"/>
      <c r="G408" s="145"/>
      <c r="H408" s="145"/>
    </row>
    <row r="409" customHeight="1" spans="1:8">
      <c r="A409" s="1" t="str">
        <f>IFERROR(__xludf.DUMMYFUNCTION("""COMPUTED_VALUE"""),"São Pedro da Serra")</f>
        <v>São Pedro da Serra</v>
      </c>
      <c r="B409" s="144" t="str">
        <f>IFERROR(__xludf.DUMMYFUNCTION("""COMPUTED_VALUE"""),"2º CRBM")</f>
        <v>2º CRBM</v>
      </c>
      <c r="C409" s="1" t="str">
        <f>IFERROR(__xludf.DUMMYFUNCTION("""COMPUTED_VALUE"""),"2º BBM")</f>
        <v>2º BBM</v>
      </c>
      <c r="D409" s="1" t="str">
        <f>IFERROR(__xludf.DUMMYFUNCTION("""COMPUTED_VALUE"""),"Montenegro")</f>
        <v>Montenegro</v>
      </c>
      <c r="E409" s="145" t="str">
        <f>IFERROR(__xludf.DUMMYFUNCTION("""COMPUTED_VALUE"""),"NPBM")</f>
        <v>NPBM</v>
      </c>
      <c r="F409" s="145"/>
      <c r="G409" s="145"/>
      <c r="H409" s="145"/>
    </row>
    <row r="410" customHeight="1" spans="1:8">
      <c r="A410" s="1" t="str">
        <f>IFERROR(__xludf.DUMMYFUNCTION("""COMPUTED_VALUE"""),"São Pedro das Missões")</f>
        <v>São Pedro das Missões</v>
      </c>
      <c r="B410" s="144" t="str">
        <f>IFERROR(__xludf.DUMMYFUNCTION("""COMPUTED_VALUE"""),"4º CRBM")</f>
        <v>4º CRBM</v>
      </c>
      <c r="C410" s="1" t="str">
        <f>IFERROR(__xludf.DUMMYFUNCTION("""COMPUTED_VALUE"""),"12º BBM")</f>
        <v>12º BBM</v>
      </c>
      <c r="D410" s="1" t="str">
        <f>IFERROR(__xludf.DUMMYFUNCTION("""COMPUTED_VALUE"""),"Palmeira das Missões")</f>
        <v>Palmeira das Missões</v>
      </c>
      <c r="E410" s="145" t="str">
        <f>IFERROR(__xludf.DUMMYFUNCTION("""COMPUTED_VALUE"""),"NPBM")</f>
        <v>NPBM</v>
      </c>
      <c r="F410" s="145"/>
      <c r="G410" s="145"/>
      <c r="H410" s="145"/>
    </row>
    <row r="411" customHeight="1" spans="1:8">
      <c r="A411" s="1" t="str">
        <f>IFERROR(__xludf.DUMMYFUNCTION("""COMPUTED_VALUE"""),"São Pedro do Butiá")</f>
        <v>São Pedro do Butiá</v>
      </c>
      <c r="B411" s="144" t="str">
        <f>IFERROR(__xludf.DUMMYFUNCTION("""COMPUTED_VALUE"""),"4º CRBM")</f>
        <v>4º CRBM</v>
      </c>
      <c r="C411" s="1" t="str">
        <f>IFERROR(__xludf.DUMMYFUNCTION("""COMPUTED_VALUE"""),"11º BBM")</f>
        <v>11º BBM</v>
      </c>
      <c r="D411" s="1" t="str">
        <f>IFERROR(__xludf.DUMMYFUNCTION("""COMPUTED_VALUE"""),"São Luiz Gonzaga")</f>
        <v>São Luiz Gonzaga</v>
      </c>
      <c r="E411" s="145" t="str">
        <f>IFERROR(__xludf.DUMMYFUNCTION("""COMPUTED_VALUE"""),"NPBM")</f>
        <v>NPBM</v>
      </c>
      <c r="F411" s="145"/>
      <c r="G411" s="145"/>
      <c r="H411" s="145"/>
    </row>
    <row r="412" customHeight="1" spans="1:8">
      <c r="A412" s="1" t="str">
        <f>IFERROR(__xludf.DUMMYFUNCTION("""COMPUTED_VALUE"""),"São Pedro do Sul")</f>
        <v>São Pedro do Sul</v>
      </c>
      <c r="B412" s="144" t="str">
        <f>IFERROR(__xludf.DUMMYFUNCTION("""COMPUTED_VALUE"""),"4º CRBM")</f>
        <v>4º CRBM</v>
      </c>
      <c r="C412" s="1" t="str">
        <f>IFERROR(__xludf.DUMMYFUNCTION("""COMPUTED_VALUE"""),"4º BBM")</f>
        <v>4º BBM</v>
      </c>
      <c r="D412" s="1" t="str">
        <f>IFERROR(__xludf.DUMMYFUNCTION("""COMPUTED_VALUE"""),"São Pedro do Sul")</f>
        <v>São Pedro do Sul</v>
      </c>
      <c r="E412" s="145" t="str">
        <f>IFERROR(__xludf.DUMMYFUNCTION("""COMPUTED_VALUE"""),"Militar")</f>
        <v>Militar</v>
      </c>
      <c r="F412" s="145"/>
      <c r="G412" s="145"/>
      <c r="H412" s="145"/>
    </row>
    <row r="413" customHeight="1" spans="1:8">
      <c r="A413" s="1" t="str">
        <f>IFERROR(__xludf.DUMMYFUNCTION("""COMPUTED_VALUE"""),"São Sebastião do Caí")</f>
        <v>São Sebastião do Caí</v>
      </c>
      <c r="B413" s="144" t="str">
        <f>IFERROR(__xludf.DUMMYFUNCTION("""COMPUTED_VALUE"""),"2º CRBM")</f>
        <v>2º CRBM</v>
      </c>
      <c r="C413" s="1" t="str">
        <f>IFERROR(__xludf.DUMMYFUNCTION("""COMPUTED_VALUE"""),"2º BBM")</f>
        <v>2º BBM</v>
      </c>
      <c r="D413" s="1" t="str">
        <f>IFERROR(__xludf.DUMMYFUNCTION("""COMPUTED_VALUE"""),"Portão")</f>
        <v>Portão</v>
      </c>
      <c r="E413" s="145" t="str">
        <f>IFERROR(__xludf.DUMMYFUNCTION("""COMPUTED_VALUE"""),"Voluntersul")</f>
        <v>Voluntersul</v>
      </c>
      <c r="F413" s="145"/>
      <c r="G413" s="145"/>
      <c r="H413" s="145"/>
    </row>
    <row r="414" customHeight="1" spans="1:8">
      <c r="A414" s="1" t="str">
        <f>IFERROR(__xludf.DUMMYFUNCTION("""COMPUTED_VALUE"""),"São Sepé")</f>
        <v>São Sepé</v>
      </c>
      <c r="B414" s="144" t="str">
        <f>IFERROR(__xludf.DUMMYFUNCTION("""COMPUTED_VALUE"""),"4º CRBM")</f>
        <v>4º CRBM</v>
      </c>
      <c r="C414" s="1" t="str">
        <f>IFERROR(__xludf.DUMMYFUNCTION("""COMPUTED_VALUE"""),"4º BBM")</f>
        <v>4º BBM</v>
      </c>
      <c r="D414" s="1" t="str">
        <f>IFERROR(__xludf.DUMMYFUNCTION("""COMPUTED_VALUE"""),"São Sepé")</f>
        <v>São Sepé</v>
      </c>
      <c r="E414" s="145" t="str">
        <f>IFERROR(__xludf.DUMMYFUNCTION("""COMPUTED_VALUE"""),"Comunitário")</f>
        <v>Comunitário</v>
      </c>
      <c r="F414" s="145"/>
      <c r="G414" s="145"/>
      <c r="H414" s="145"/>
    </row>
    <row r="415" customHeight="1" spans="1:8">
      <c r="A415" s="1" t="str">
        <f>IFERROR(__xludf.DUMMYFUNCTION("""COMPUTED_VALUE"""),"São Valentim")</f>
        <v>São Valentim</v>
      </c>
      <c r="B415" s="144" t="str">
        <f>IFERROR(__xludf.DUMMYFUNCTION("""COMPUTED_VALUE"""),"2º CRBM")</f>
        <v>2º CRBM</v>
      </c>
      <c r="C415" s="1" t="str">
        <f>IFERROR(__xludf.DUMMYFUNCTION("""COMPUTED_VALUE"""),"7º BBM")</f>
        <v>7º BBM</v>
      </c>
      <c r="D415" s="1" t="str">
        <f>IFERROR(__xludf.DUMMYFUNCTION("""COMPUTED_VALUE"""),"Erechim")</f>
        <v>Erechim</v>
      </c>
      <c r="E415" s="145" t="str">
        <f>IFERROR(__xludf.DUMMYFUNCTION("""COMPUTED_VALUE"""),"Voluntersul")</f>
        <v>Voluntersul</v>
      </c>
      <c r="F415" s="145"/>
      <c r="G415" s="145"/>
      <c r="H415" s="145"/>
    </row>
    <row r="416" customHeight="1" spans="1:8">
      <c r="A416" s="1" t="str">
        <f>IFERROR(__xludf.DUMMYFUNCTION("""COMPUTED_VALUE"""),"São Valentim do Sul")</f>
        <v>São Valentim do Sul</v>
      </c>
      <c r="B416" s="144" t="str">
        <f>IFERROR(__xludf.DUMMYFUNCTION("""COMPUTED_VALUE"""),"2º CRBM")</f>
        <v>2º CRBM</v>
      </c>
      <c r="C416" s="1" t="str">
        <f>IFERROR(__xludf.DUMMYFUNCTION("""COMPUTED_VALUE"""),"7º BBM")</f>
        <v>7º BBM</v>
      </c>
      <c r="D416" s="1" t="str">
        <f>IFERROR(__xludf.DUMMYFUNCTION("""COMPUTED_VALUE"""),"Guaporé")</f>
        <v>Guaporé</v>
      </c>
      <c r="E416" s="145" t="str">
        <f>IFERROR(__xludf.DUMMYFUNCTION("""COMPUTED_VALUE"""),"NPBM")</f>
        <v>NPBM</v>
      </c>
      <c r="F416" s="145"/>
      <c r="G416" s="145"/>
      <c r="H416" s="145"/>
    </row>
    <row r="417" customHeight="1" spans="1:8">
      <c r="A417" s="1" t="str">
        <f>IFERROR(__xludf.DUMMYFUNCTION("""COMPUTED_VALUE"""),"São Valério do Sul")</f>
        <v>São Valério do Sul</v>
      </c>
      <c r="B417" s="144" t="str">
        <f>IFERROR(__xludf.DUMMYFUNCTION("""COMPUTED_VALUE"""),"4º CRBM")</f>
        <v>4º CRBM</v>
      </c>
      <c r="C417" s="1" t="str">
        <f>IFERROR(__xludf.DUMMYFUNCTION("""COMPUTED_VALUE"""),"12º BBM")</f>
        <v>12º BBM</v>
      </c>
      <c r="D417" s="1" t="str">
        <f>IFERROR(__xludf.DUMMYFUNCTION("""COMPUTED_VALUE"""),"Ijuí")</f>
        <v>Ijuí</v>
      </c>
      <c r="E417" s="145" t="str">
        <f>IFERROR(__xludf.DUMMYFUNCTION("""COMPUTED_VALUE"""),"NPBM")</f>
        <v>NPBM</v>
      </c>
      <c r="F417" s="145"/>
      <c r="G417" s="145"/>
      <c r="H417" s="145"/>
    </row>
    <row r="418" customHeight="1" spans="1:8">
      <c r="A418" s="1" t="str">
        <f>IFERROR(__xludf.DUMMYFUNCTION("""COMPUTED_VALUE"""),"São Vendelino")</f>
        <v>São Vendelino</v>
      </c>
      <c r="B418" s="144" t="str">
        <f>IFERROR(__xludf.DUMMYFUNCTION("""COMPUTED_VALUE"""),"2º CRBM")</f>
        <v>2º CRBM</v>
      </c>
      <c r="C418" s="1" t="str">
        <f>IFERROR(__xludf.DUMMYFUNCTION("""COMPUTED_VALUE"""),"2º BBM")</f>
        <v>2º BBM</v>
      </c>
      <c r="D418" s="1" t="str">
        <f>IFERROR(__xludf.DUMMYFUNCTION("""COMPUTED_VALUE"""),"Farroupilha")</f>
        <v>Farroupilha</v>
      </c>
      <c r="E418" s="145" t="str">
        <f>IFERROR(__xludf.DUMMYFUNCTION("""COMPUTED_VALUE"""),"Voluntersul")</f>
        <v>Voluntersul</v>
      </c>
      <c r="F418" s="145"/>
      <c r="G418" s="145"/>
      <c r="H418" s="145"/>
    </row>
    <row r="419" customHeight="1" spans="1:8">
      <c r="A419" s="1" t="str">
        <f>IFERROR(__xludf.DUMMYFUNCTION("""COMPUTED_VALUE"""),"São Vicente do Sul")</f>
        <v>São Vicente do Sul</v>
      </c>
      <c r="B419" s="144" t="str">
        <f>IFERROR(__xludf.DUMMYFUNCTION("""COMPUTED_VALUE"""),"3º CRBM")</f>
        <v>3º CRBM</v>
      </c>
      <c r="C419" s="1" t="str">
        <f>IFERROR(__xludf.DUMMYFUNCTION("""COMPUTED_VALUE"""),"13º BBM")</f>
        <v>13º BBM</v>
      </c>
      <c r="D419" s="1" t="str">
        <f>IFERROR(__xludf.DUMMYFUNCTION("""COMPUTED_VALUE"""),"São Pedro do Sul")</f>
        <v>São Pedro do Sul</v>
      </c>
      <c r="E419" s="145" t="str">
        <f>IFERROR(__xludf.DUMMYFUNCTION("""COMPUTED_VALUE"""),"NPBM")</f>
        <v>NPBM</v>
      </c>
      <c r="F419" s="145"/>
      <c r="G419" s="145"/>
      <c r="H419" s="145"/>
    </row>
    <row r="420" customHeight="1" spans="1:8">
      <c r="A420" s="1" t="str">
        <f>IFERROR(__xludf.DUMMYFUNCTION("""COMPUTED_VALUE"""),"Sapiranga")</f>
        <v>Sapiranga</v>
      </c>
      <c r="B420" s="144" t="str">
        <f>IFERROR(__xludf.DUMMYFUNCTION("""COMPUTED_VALUE"""),"2º CRBM")</f>
        <v>2º CRBM</v>
      </c>
      <c r="C420" s="1" t="str">
        <f>IFERROR(__xludf.DUMMYFUNCTION("""COMPUTED_VALUE"""),"2º BBM")</f>
        <v>2º BBM</v>
      </c>
      <c r="D420" s="1" t="str">
        <f>IFERROR(__xludf.DUMMYFUNCTION("""COMPUTED_VALUE"""),"Sapiranga")</f>
        <v>Sapiranga</v>
      </c>
      <c r="E420" s="145" t="str">
        <f>IFERROR(__xludf.DUMMYFUNCTION("""COMPUTED_VALUE"""),"Militar")</f>
        <v>Militar</v>
      </c>
      <c r="F420" s="145"/>
      <c r="G420" s="145"/>
      <c r="H420" s="145"/>
    </row>
    <row r="421" customHeight="1" spans="1:8">
      <c r="A421" s="1" t="str">
        <f>IFERROR(__xludf.DUMMYFUNCTION("""COMPUTED_VALUE"""),"Sapucaia do Sul")</f>
        <v>Sapucaia do Sul</v>
      </c>
      <c r="B421" s="144" t="str">
        <f>IFERROR(__xludf.DUMMYFUNCTION("""COMPUTED_VALUE"""),"1º CRBM")</f>
        <v>1º CRBM</v>
      </c>
      <c r="C421" s="1" t="str">
        <f>IFERROR(__xludf.DUMMYFUNCTION("""COMPUTED_VALUE"""),"8º BBM")</f>
        <v>8º BBM</v>
      </c>
      <c r="D421" s="1" t="str">
        <f>IFERROR(__xludf.DUMMYFUNCTION("""COMPUTED_VALUE"""),"Sapucaia do Sul")</f>
        <v>Sapucaia do Sul</v>
      </c>
      <c r="E421" s="145" t="str">
        <f>IFERROR(__xludf.DUMMYFUNCTION("""COMPUTED_VALUE"""),"Militar")</f>
        <v>Militar</v>
      </c>
      <c r="F421" s="145"/>
      <c r="G421" s="145"/>
      <c r="H421" s="145"/>
    </row>
    <row r="422" customHeight="1" spans="1:8">
      <c r="A422" s="1" t="str">
        <f>IFERROR(__xludf.DUMMYFUNCTION("""COMPUTED_VALUE"""),"Sarandi")</f>
        <v>Sarandi</v>
      </c>
      <c r="B422" s="144" t="str">
        <f>IFERROR(__xludf.DUMMYFUNCTION("""COMPUTED_VALUE"""),"2º CRBM")</f>
        <v>2º CRBM</v>
      </c>
      <c r="C422" s="1" t="str">
        <f>IFERROR(__xludf.DUMMYFUNCTION("""COMPUTED_VALUE"""),"7º BBM")</f>
        <v>7º BBM</v>
      </c>
      <c r="D422" s="1" t="str">
        <f>IFERROR(__xludf.DUMMYFUNCTION("""COMPUTED_VALUE"""),"Sarandi")</f>
        <v>Sarandi</v>
      </c>
      <c r="E422" s="145" t="str">
        <f>IFERROR(__xludf.DUMMYFUNCTION("""COMPUTED_VALUE"""),"Comunitário")</f>
        <v>Comunitário</v>
      </c>
      <c r="F422" s="145"/>
      <c r="G422" s="145"/>
      <c r="H422" s="145"/>
    </row>
    <row r="423" customHeight="1" spans="1:8">
      <c r="A423" s="1" t="str">
        <f>IFERROR(__xludf.DUMMYFUNCTION("""COMPUTED_VALUE"""),"Seberi")</f>
        <v>Seberi</v>
      </c>
      <c r="B423" s="144" t="str">
        <f>IFERROR(__xludf.DUMMYFUNCTION("""COMPUTED_VALUE"""),"4º CRBM")</f>
        <v>4º CRBM</v>
      </c>
      <c r="C423" s="1" t="str">
        <f>IFERROR(__xludf.DUMMYFUNCTION("""COMPUTED_VALUE"""),"12º BBM")</f>
        <v>12º BBM</v>
      </c>
      <c r="D423" s="1" t="str">
        <f>IFERROR(__xludf.DUMMYFUNCTION("""COMPUTED_VALUE"""),"Frederico Westphalen")</f>
        <v>Frederico Westphalen</v>
      </c>
      <c r="E423" s="145" t="str">
        <f>IFERROR(__xludf.DUMMYFUNCTION("""COMPUTED_VALUE"""),"NPBM")</f>
        <v>NPBM</v>
      </c>
      <c r="F423" s="145"/>
      <c r="G423" s="145"/>
      <c r="H423" s="145"/>
    </row>
    <row r="424" customHeight="1" spans="1:8">
      <c r="A424" s="1" t="str">
        <f>IFERROR(__xludf.DUMMYFUNCTION("""COMPUTED_VALUE"""),"Sede Nova")</f>
        <v>Sede Nova</v>
      </c>
      <c r="B424" s="144" t="str">
        <f>IFERROR(__xludf.DUMMYFUNCTION("""COMPUTED_VALUE"""),"4º CRBM")</f>
        <v>4º CRBM</v>
      </c>
      <c r="C424" s="1" t="str">
        <f>IFERROR(__xludf.DUMMYFUNCTION("""COMPUTED_VALUE"""),"11º BBM")</f>
        <v>11º BBM</v>
      </c>
      <c r="D424" s="1" t="str">
        <f>IFERROR(__xludf.DUMMYFUNCTION("""COMPUTED_VALUE"""),"Três Passos")</f>
        <v>Três Passos</v>
      </c>
      <c r="E424" s="145" t="str">
        <f>IFERROR(__xludf.DUMMYFUNCTION("""COMPUTED_VALUE"""),"NPBM")</f>
        <v>NPBM</v>
      </c>
      <c r="F424" s="145"/>
      <c r="G424" s="145"/>
      <c r="H424" s="145"/>
    </row>
    <row r="425" customHeight="1" spans="1:8">
      <c r="A425" s="1" t="str">
        <f>IFERROR(__xludf.DUMMYFUNCTION("""COMPUTED_VALUE"""),"Segredo")</f>
        <v>Segredo</v>
      </c>
      <c r="B425" s="144" t="str">
        <f>IFERROR(__xludf.DUMMYFUNCTION("""COMPUTED_VALUE"""),"4º CRBM")</f>
        <v>4º CRBM</v>
      </c>
      <c r="C425" s="1" t="str">
        <f>IFERROR(__xludf.DUMMYFUNCTION("""COMPUTED_VALUE"""),"6º BBM")</f>
        <v>6º BBM</v>
      </c>
      <c r="D425" s="1" t="str">
        <f>IFERROR(__xludf.DUMMYFUNCTION("""COMPUTED_VALUE"""),"Santa Cruz do Sul")</f>
        <v>Santa Cruz do Sul</v>
      </c>
      <c r="E425" s="145" t="str">
        <f>IFERROR(__xludf.DUMMYFUNCTION("""COMPUTED_VALUE"""),"NPBM")</f>
        <v>NPBM</v>
      </c>
      <c r="F425" s="145"/>
      <c r="G425" s="145"/>
      <c r="H425" s="145"/>
    </row>
    <row r="426" customHeight="1" spans="1:8">
      <c r="A426" s="1" t="str">
        <f>IFERROR(__xludf.DUMMYFUNCTION("""COMPUTED_VALUE"""),"Selbach")</f>
        <v>Selbach</v>
      </c>
      <c r="B426" s="144" t="str">
        <f>IFERROR(__xludf.DUMMYFUNCTION("""COMPUTED_VALUE"""),"4º CRBM")</f>
        <v>4º CRBM</v>
      </c>
      <c r="C426" s="1" t="str">
        <f>IFERROR(__xludf.DUMMYFUNCTION("""COMPUTED_VALUE"""),"12º BBM")</f>
        <v>12º BBM</v>
      </c>
      <c r="D426" s="1" t="str">
        <f>IFERROR(__xludf.DUMMYFUNCTION("""COMPUTED_VALUE"""),"Tapera")</f>
        <v>Tapera</v>
      </c>
      <c r="E426" s="145" t="str">
        <f>IFERROR(__xludf.DUMMYFUNCTION("""COMPUTED_VALUE"""),"NPBM")</f>
        <v>NPBM</v>
      </c>
      <c r="F426" s="145"/>
      <c r="G426" s="145"/>
      <c r="H426" s="145"/>
    </row>
    <row r="427" customHeight="1" spans="1:8">
      <c r="A427" s="1" t="str">
        <f>IFERROR(__xludf.DUMMYFUNCTION("""COMPUTED_VALUE"""),"Senador Salgado Filho")</f>
        <v>Senador Salgado Filho</v>
      </c>
      <c r="B427" s="144" t="str">
        <f>IFERROR(__xludf.DUMMYFUNCTION("""COMPUTED_VALUE"""),"4º CRBM")</f>
        <v>4º CRBM</v>
      </c>
      <c r="C427" s="1" t="str">
        <f>IFERROR(__xludf.DUMMYFUNCTION("""COMPUTED_VALUE"""),"11º BBM")</f>
        <v>11º BBM</v>
      </c>
      <c r="D427" s="1" t="str">
        <f>IFERROR(__xludf.DUMMYFUNCTION("""COMPUTED_VALUE"""),"Giruá")</f>
        <v>Giruá</v>
      </c>
      <c r="E427" s="145" t="str">
        <f>IFERROR(__xludf.DUMMYFUNCTION("""COMPUTED_VALUE"""),"NPBM")</f>
        <v>NPBM</v>
      </c>
      <c r="F427" s="145"/>
      <c r="G427" s="145"/>
      <c r="H427" s="145"/>
    </row>
    <row r="428" customHeight="1" spans="1:8">
      <c r="A428" s="1" t="str">
        <f>IFERROR(__xludf.DUMMYFUNCTION("""COMPUTED_VALUE"""),"Sentinela do Sul")</f>
        <v>Sentinela do Sul</v>
      </c>
      <c r="B428" s="144" t="str">
        <f>IFERROR(__xludf.DUMMYFUNCTION("""COMPUTED_VALUE"""),"4º CRBM")</f>
        <v>4º CRBM</v>
      </c>
      <c r="C428" s="1" t="str">
        <f>IFERROR(__xludf.DUMMYFUNCTION("""COMPUTED_VALUE"""),"6º BBM")</f>
        <v>6º BBM</v>
      </c>
      <c r="D428" s="1" t="str">
        <f>IFERROR(__xludf.DUMMYFUNCTION("""COMPUTED_VALUE"""),"Camaquã")</f>
        <v>Camaquã</v>
      </c>
      <c r="E428" s="145" t="str">
        <f>IFERROR(__xludf.DUMMYFUNCTION("""COMPUTED_VALUE"""),"NPBM")</f>
        <v>NPBM</v>
      </c>
      <c r="F428" s="145"/>
      <c r="G428" s="145"/>
      <c r="H428" s="145"/>
    </row>
    <row r="429" customHeight="1" spans="1:8">
      <c r="A429" s="1" t="str">
        <f>IFERROR(__xludf.DUMMYFUNCTION("""COMPUTED_VALUE"""),"Serafina Corrêa")</f>
        <v>Serafina Corrêa</v>
      </c>
      <c r="B429" s="144" t="str">
        <f>IFERROR(__xludf.DUMMYFUNCTION("""COMPUTED_VALUE"""),"2º CRBM")</f>
        <v>2º CRBM</v>
      </c>
      <c r="C429" s="1" t="str">
        <f>IFERROR(__xludf.DUMMYFUNCTION("""COMPUTED_VALUE"""),"7º BBM")</f>
        <v>7º BBM</v>
      </c>
      <c r="D429" s="1" t="str">
        <f>IFERROR(__xludf.DUMMYFUNCTION("""COMPUTED_VALUE"""),"Guaporé")</f>
        <v>Guaporé</v>
      </c>
      <c r="E429" s="145" t="str">
        <f>IFERROR(__xludf.DUMMYFUNCTION("""COMPUTED_VALUE"""),"SCAB")</f>
        <v>SCAB</v>
      </c>
      <c r="F429" s="145"/>
      <c r="G429" s="145"/>
      <c r="H429" s="145"/>
    </row>
    <row r="430" customHeight="1" spans="1:8">
      <c r="A430" s="1" t="str">
        <f>IFERROR(__xludf.DUMMYFUNCTION("""COMPUTED_VALUE"""),"Sério")</f>
        <v>Sério</v>
      </c>
      <c r="B430" s="144" t="str">
        <f>IFERROR(__xludf.DUMMYFUNCTION("""COMPUTED_VALUE"""),"4º CRBM")</f>
        <v>4º CRBM</v>
      </c>
      <c r="C430" s="1" t="str">
        <f>IFERROR(__xludf.DUMMYFUNCTION("""COMPUTED_VALUE"""),"6º BBM")</f>
        <v>6º BBM</v>
      </c>
      <c r="D430" s="1" t="str">
        <f>IFERROR(__xludf.DUMMYFUNCTION("""COMPUTED_VALUE"""),"Lajeado")</f>
        <v>Lajeado</v>
      </c>
      <c r="E430" s="145" t="str">
        <f>IFERROR(__xludf.DUMMYFUNCTION("""COMPUTED_VALUE"""),"NPBM")</f>
        <v>NPBM</v>
      </c>
      <c r="F430" s="145"/>
      <c r="G430" s="145"/>
      <c r="H430" s="145"/>
    </row>
    <row r="431" customHeight="1" spans="1:8">
      <c r="A431" s="1" t="str">
        <f>IFERROR(__xludf.DUMMYFUNCTION("""COMPUTED_VALUE"""),"Sertão")</f>
        <v>Sertão</v>
      </c>
      <c r="B431" s="144" t="str">
        <f>IFERROR(__xludf.DUMMYFUNCTION("""COMPUTED_VALUE"""),"2º CRBM")</f>
        <v>2º CRBM</v>
      </c>
      <c r="C431" s="1" t="str">
        <f>IFERROR(__xludf.DUMMYFUNCTION("""COMPUTED_VALUE"""),"7º BBM")</f>
        <v>7º BBM</v>
      </c>
      <c r="D431" s="1" t="str">
        <f>IFERROR(__xludf.DUMMYFUNCTION("""COMPUTED_VALUE"""),"Getúlio Vargas")</f>
        <v>Getúlio Vargas</v>
      </c>
      <c r="E431" s="145" t="str">
        <f>IFERROR(__xludf.DUMMYFUNCTION("""COMPUTED_VALUE"""),"NPBM")</f>
        <v>NPBM</v>
      </c>
      <c r="F431" s="145"/>
      <c r="G431" s="145"/>
      <c r="H431" s="145"/>
    </row>
    <row r="432" customHeight="1" spans="1:8">
      <c r="A432" s="1" t="str">
        <f>IFERROR(__xludf.DUMMYFUNCTION("""COMPUTED_VALUE"""),"Sertão Santana")</f>
        <v>Sertão Santana</v>
      </c>
      <c r="B432" s="144" t="str">
        <f>IFERROR(__xludf.DUMMYFUNCTION("""COMPUTED_VALUE"""),"4º CRBM")</f>
        <v>4º CRBM</v>
      </c>
      <c r="C432" s="1" t="str">
        <f>IFERROR(__xludf.DUMMYFUNCTION("""COMPUTED_VALUE"""),"6º BBM")</f>
        <v>6º BBM</v>
      </c>
      <c r="D432" s="1" t="str">
        <f>IFERROR(__xludf.DUMMYFUNCTION("""COMPUTED_VALUE"""),"Guaíba")</f>
        <v>Guaíba</v>
      </c>
      <c r="E432" s="145" t="str">
        <f>IFERROR(__xludf.DUMMYFUNCTION("""COMPUTED_VALUE"""),"NPBM")</f>
        <v>NPBM</v>
      </c>
      <c r="F432" s="145"/>
      <c r="G432" s="145"/>
      <c r="H432" s="145"/>
    </row>
    <row r="433" customHeight="1" spans="1:8">
      <c r="A433" s="1" t="str">
        <f>IFERROR(__xludf.DUMMYFUNCTION("""COMPUTED_VALUE"""),"Sete de Setembro")</f>
        <v>Sete de Setembro</v>
      </c>
      <c r="B433" s="144" t="str">
        <f>IFERROR(__xludf.DUMMYFUNCTION("""COMPUTED_VALUE"""),"4º CRBM")</f>
        <v>4º CRBM</v>
      </c>
      <c r="C433" s="1" t="str">
        <f>IFERROR(__xludf.DUMMYFUNCTION("""COMPUTED_VALUE"""),"11º BBM")</f>
        <v>11º BBM</v>
      </c>
      <c r="D433" s="1" t="str">
        <f>IFERROR(__xludf.DUMMYFUNCTION("""COMPUTED_VALUE"""),"Santo Ângelo")</f>
        <v>Santo Ângelo</v>
      </c>
      <c r="E433" s="145" t="str">
        <f>IFERROR(__xludf.DUMMYFUNCTION("""COMPUTED_VALUE"""),"NPBM")</f>
        <v>NPBM</v>
      </c>
      <c r="F433" s="145"/>
      <c r="G433" s="145"/>
      <c r="H433" s="145"/>
    </row>
    <row r="434" customHeight="1" spans="1:8">
      <c r="A434" s="1" t="str">
        <f>IFERROR(__xludf.DUMMYFUNCTION("""COMPUTED_VALUE"""),"Severiano de Almeida")</f>
        <v>Severiano de Almeida</v>
      </c>
      <c r="B434" s="144" t="str">
        <f>IFERROR(__xludf.DUMMYFUNCTION("""COMPUTED_VALUE"""),"2º CRBM")</f>
        <v>2º CRBM</v>
      </c>
      <c r="C434" s="1" t="str">
        <f>IFERROR(__xludf.DUMMYFUNCTION("""COMPUTED_VALUE"""),"7º BBM")</f>
        <v>7º BBM</v>
      </c>
      <c r="D434" s="1" t="str">
        <f>IFERROR(__xludf.DUMMYFUNCTION("""COMPUTED_VALUE"""),"Erechim")</f>
        <v>Erechim</v>
      </c>
      <c r="E434" s="145" t="str">
        <f>IFERROR(__xludf.DUMMYFUNCTION("""COMPUTED_VALUE"""),"NPBM")</f>
        <v>NPBM</v>
      </c>
      <c r="F434" s="145"/>
      <c r="G434" s="145"/>
      <c r="H434" s="145"/>
    </row>
    <row r="435" customHeight="1" spans="1:8">
      <c r="A435" s="1" t="str">
        <f>IFERROR(__xludf.DUMMYFUNCTION("""COMPUTED_VALUE"""),"Silveira Martins")</f>
        <v>Silveira Martins</v>
      </c>
      <c r="B435" s="144" t="str">
        <f>IFERROR(__xludf.DUMMYFUNCTION("""COMPUTED_VALUE"""),"4º CRBM")</f>
        <v>4º CRBM</v>
      </c>
      <c r="C435" s="1" t="str">
        <f>IFERROR(__xludf.DUMMYFUNCTION("""COMPUTED_VALUE"""),"4º BBM")</f>
        <v>4º BBM</v>
      </c>
      <c r="D435" s="1" t="str">
        <f>IFERROR(__xludf.DUMMYFUNCTION("""COMPUTED_VALUE"""),"Santa Maria")</f>
        <v>Santa Maria</v>
      </c>
      <c r="E435" s="145" t="str">
        <f>IFERROR(__xludf.DUMMYFUNCTION("""COMPUTED_VALUE"""),"NPBM")</f>
        <v>NPBM</v>
      </c>
      <c r="F435" s="145"/>
      <c r="G435" s="145"/>
      <c r="H435" s="145"/>
    </row>
    <row r="436" customHeight="1" spans="1:8">
      <c r="A436" s="1" t="str">
        <f>IFERROR(__xludf.DUMMYFUNCTION("""COMPUTED_VALUE"""),"Sinimbu")</f>
        <v>Sinimbu</v>
      </c>
      <c r="B436" s="144" t="str">
        <f>IFERROR(__xludf.DUMMYFUNCTION("""COMPUTED_VALUE"""),"4º CRBM")</f>
        <v>4º CRBM</v>
      </c>
      <c r="C436" s="1" t="str">
        <f>IFERROR(__xludf.DUMMYFUNCTION("""COMPUTED_VALUE"""),"6º BBM")</f>
        <v>6º BBM</v>
      </c>
      <c r="D436" s="1" t="str">
        <f>IFERROR(__xludf.DUMMYFUNCTION("""COMPUTED_VALUE"""),"Santa Cruz do Sul")</f>
        <v>Santa Cruz do Sul</v>
      </c>
      <c r="E436" s="145" t="str">
        <f>IFERROR(__xludf.DUMMYFUNCTION("""COMPUTED_VALUE"""),"NPBM")</f>
        <v>NPBM</v>
      </c>
      <c r="F436" s="145"/>
      <c r="G436" s="145"/>
      <c r="H436" s="145"/>
    </row>
    <row r="437" customHeight="1" spans="1:8">
      <c r="A437" s="1" t="str">
        <f>IFERROR(__xludf.DUMMYFUNCTION("""COMPUTED_VALUE"""),"Sobradinho")</f>
        <v>Sobradinho</v>
      </c>
      <c r="B437" s="144" t="str">
        <f>IFERROR(__xludf.DUMMYFUNCTION("""COMPUTED_VALUE"""),"4º CRBM")</f>
        <v>4º CRBM</v>
      </c>
      <c r="C437" s="1" t="str">
        <f>IFERROR(__xludf.DUMMYFUNCTION("""COMPUTED_VALUE"""),"6º BBM")</f>
        <v>6º BBM</v>
      </c>
      <c r="D437" s="1" t="str">
        <f>IFERROR(__xludf.DUMMYFUNCTION("""COMPUTED_VALUE"""),"Santa Cruz do Sul")</f>
        <v>Santa Cruz do Sul</v>
      </c>
      <c r="E437" s="145" t="str">
        <f>IFERROR(__xludf.DUMMYFUNCTION("""COMPUTED_VALUE"""),"Voluntersul")</f>
        <v>Voluntersul</v>
      </c>
      <c r="F437" s="145"/>
      <c r="G437" s="145"/>
      <c r="H437" s="145"/>
    </row>
    <row r="438" customHeight="1" spans="1:8">
      <c r="A438" s="1" t="str">
        <f>IFERROR(__xludf.DUMMYFUNCTION("""COMPUTED_VALUE"""),"Soledade")</f>
        <v>Soledade</v>
      </c>
      <c r="B438" s="144" t="str">
        <f>IFERROR(__xludf.DUMMYFUNCTION("""COMPUTED_VALUE"""),"2º CRBM")</f>
        <v>2º CRBM</v>
      </c>
      <c r="C438" s="1" t="str">
        <f>IFERROR(__xludf.DUMMYFUNCTION("""COMPUTED_VALUE"""),"7º BBM")</f>
        <v>7º BBM</v>
      </c>
      <c r="D438" s="1" t="str">
        <f>IFERROR(__xludf.DUMMYFUNCTION("""COMPUTED_VALUE"""),"Soledade")</f>
        <v>Soledade</v>
      </c>
      <c r="E438" s="145" t="str">
        <f>IFERROR(__xludf.DUMMYFUNCTION("""COMPUTED_VALUE"""),"Comunitário")</f>
        <v>Comunitário</v>
      </c>
      <c r="F438" s="145"/>
      <c r="G438" s="145"/>
      <c r="H438" s="145"/>
    </row>
    <row r="439" customHeight="1" spans="1:8">
      <c r="A439" s="1" t="str">
        <f>IFERROR(__xludf.DUMMYFUNCTION("""COMPUTED_VALUE"""),"Tabaí")</f>
        <v>Tabaí</v>
      </c>
      <c r="B439" s="144" t="str">
        <f>IFERROR(__xludf.DUMMYFUNCTION("""COMPUTED_VALUE"""),"4º CRBM")</f>
        <v>4º CRBM</v>
      </c>
      <c r="C439" s="1" t="str">
        <f>IFERROR(__xludf.DUMMYFUNCTION("""COMPUTED_VALUE"""),"6º BBM")</f>
        <v>6º BBM</v>
      </c>
      <c r="D439" s="1" t="str">
        <f>IFERROR(__xludf.DUMMYFUNCTION("""COMPUTED_VALUE"""),"Taquari")</f>
        <v>Taquari</v>
      </c>
      <c r="E439" s="145" t="str">
        <f>IFERROR(__xludf.DUMMYFUNCTION("""COMPUTED_VALUE"""),"NPBM")</f>
        <v>NPBM</v>
      </c>
      <c r="F439" s="145"/>
      <c r="G439" s="145"/>
      <c r="H439" s="145"/>
    </row>
    <row r="440" customHeight="1" spans="1:8">
      <c r="A440" s="1" t="str">
        <f>IFERROR(__xludf.DUMMYFUNCTION("""COMPUTED_VALUE"""),"Tapejara")</f>
        <v>Tapejara</v>
      </c>
      <c r="B440" s="144" t="str">
        <f>IFERROR(__xludf.DUMMYFUNCTION("""COMPUTED_VALUE"""),"2º CRBM")</f>
        <v>2º CRBM</v>
      </c>
      <c r="C440" s="1" t="str">
        <f>IFERROR(__xludf.DUMMYFUNCTION("""COMPUTED_VALUE"""),"7º BBM")</f>
        <v>7º BBM</v>
      </c>
      <c r="D440" s="1" t="str">
        <f>IFERROR(__xludf.DUMMYFUNCTION("""COMPUTED_VALUE"""),"Getúlio Vargas")</f>
        <v>Getúlio Vargas</v>
      </c>
      <c r="E440" s="145" t="str">
        <f>IFERROR(__xludf.DUMMYFUNCTION("""COMPUTED_VALUE"""),"Voluntersul")</f>
        <v>Voluntersul</v>
      </c>
      <c r="F440" s="145"/>
      <c r="G440" s="145"/>
      <c r="H440" s="145"/>
    </row>
    <row r="441" customHeight="1" spans="1:8">
      <c r="A441" s="1" t="str">
        <f>IFERROR(__xludf.DUMMYFUNCTION("""COMPUTED_VALUE"""),"Tapera")</f>
        <v>Tapera</v>
      </c>
      <c r="B441" s="144" t="str">
        <f>IFERROR(__xludf.DUMMYFUNCTION("""COMPUTED_VALUE"""),"2º CRBM")</f>
        <v>2º CRBM</v>
      </c>
      <c r="C441" s="1" t="str">
        <f>IFERROR(__xludf.DUMMYFUNCTION("""COMPUTED_VALUE"""),"7º BBM")</f>
        <v>7º BBM</v>
      </c>
      <c r="D441" s="1" t="str">
        <f>IFERROR(__xludf.DUMMYFUNCTION("""COMPUTED_VALUE"""),"Tapera")</f>
        <v>Tapera</v>
      </c>
      <c r="E441" s="145" t="str">
        <f>IFERROR(__xludf.DUMMYFUNCTION("""COMPUTED_VALUE"""),"Comunitário")</f>
        <v>Comunitário</v>
      </c>
      <c r="F441" s="145"/>
      <c r="G441" s="145"/>
      <c r="H441" s="145"/>
    </row>
    <row r="442" customHeight="1" spans="1:8">
      <c r="A442" s="1" t="str">
        <f>IFERROR(__xludf.DUMMYFUNCTION("""COMPUTED_VALUE"""),"Tapes")</f>
        <v>Tapes</v>
      </c>
      <c r="B442" s="144" t="str">
        <f>IFERROR(__xludf.DUMMYFUNCTION("""COMPUTED_VALUE"""),"4º CRBM")</f>
        <v>4º CRBM</v>
      </c>
      <c r="C442" s="1" t="str">
        <f>IFERROR(__xludf.DUMMYFUNCTION("""COMPUTED_VALUE"""),"6º BBM")</f>
        <v>6º BBM</v>
      </c>
      <c r="D442" s="1" t="str">
        <f>IFERROR(__xludf.DUMMYFUNCTION("""COMPUTED_VALUE"""),"Camaquã")</f>
        <v>Camaquã</v>
      </c>
      <c r="E442" s="145" t="str">
        <f>IFERROR(__xludf.DUMMYFUNCTION("""COMPUTED_VALUE"""),"Voluntersul")</f>
        <v>Voluntersul</v>
      </c>
      <c r="F442" s="145"/>
      <c r="G442" s="145"/>
      <c r="H442" s="145"/>
    </row>
    <row r="443" customHeight="1" spans="1:8">
      <c r="A443" s="1" t="str">
        <f>IFERROR(__xludf.DUMMYFUNCTION("""COMPUTED_VALUE"""),"Taquara")</f>
        <v>Taquara</v>
      </c>
      <c r="B443" s="144" t="str">
        <f>IFERROR(__xludf.DUMMYFUNCTION("""COMPUTED_VALUE"""),"2º CRBM")</f>
        <v>2º CRBM</v>
      </c>
      <c r="C443" s="1" t="str">
        <f>IFERROR(__xludf.DUMMYFUNCTION("""COMPUTED_VALUE"""),"5º BBM")</f>
        <v>5º BBM</v>
      </c>
      <c r="D443" s="1" t="str">
        <f>IFERROR(__xludf.DUMMYFUNCTION("""COMPUTED_VALUE"""),"Taquara")</f>
        <v>Taquara</v>
      </c>
      <c r="E443" s="145" t="str">
        <f>IFERROR(__xludf.DUMMYFUNCTION("""COMPUTED_VALUE"""),"Militar")</f>
        <v>Militar</v>
      </c>
      <c r="F443" s="145"/>
      <c r="G443" s="145"/>
      <c r="H443" s="145"/>
    </row>
    <row r="444" customHeight="1" spans="1:8">
      <c r="A444" s="1" t="str">
        <f>IFERROR(__xludf.DUMMYFUNCTION("""COMPUTED_VALUE"""),"Taquari")</f>
        <v>Taquari</v>
      </c>
      <c r="B444" s="144" t="str">
        <f>IFERROR(__xludf.DUMMYFUNCTION("""COMPUTED_VALUE"""),"4º CRBM")</f>
        <v>4º CRBM</v>
      </c>
      <c r="C444" s="1" t="str">
        <f>IFERROR(__xludf.DUMMYFUNCTION("""COMPUTED_VALUE"""),"6º BBM")</f>
        <v>6º BBM</v>
      </c>
      <c r="D444" s="1" t="str">
        <f>IFERROR(__xludf.DUMMYFUNCTION("""COMPUTED_VALUE"""),"Taquari")</f>
        <v>Taquari</v>
      </c>
      <c r="E444" s="145" t="str">
        <f>IFERROR(__xludf.DUMMYFUNCTION("""COMPUTED_VALUE"""),"Militar")</f>
        <v>Militar</v>
      </c>
      <c r="F444" s="145"/>
      <c r="G444" s="145"/>
      <c r="H444" s="145"/>
    </row>
    <row r="445" customHeight="1" spans="1:8">
      <c r="A445" s="1" t="str">
        <f>IFERROR(__xludf.DUMMYFUNCTION("""COMPUTED_VALUE"""),"Taquaruçu do Sul")</f>
        <v>Taquaruçu do Sul</v>
      </c>
      <c r="B445" s="144" t="str">
        <f>IFERROR(__xludf.DUMMYFUNCTION("""COMPUTED_VALUE"""),"4º CRBM")</f>
        <v>4º CRBM</v>
      </c>
      <c r="C445" s="1" t="str">
        <f>IFERROR(__xludf.DUMMYFUNCTION("""COMPUTED_VALUE"""),"12º BBM")</f>
        <v>12º BBM</v>
      </c>
      <c r="D445" s="1" t="str">
        <f>IFERROR(__xludf.DUMMYFUNCTION("""COMPUTED_VALUE"""),"Frederico Westphalen")</f>
        <v>Frederico Westphalen</v>
      </c>
      <c r="E445" s="145" t="str">
        <f>IFERROR(__xludf.DUMMYFUNCTION("""COMPUTED_VALUE"""),"NPBM")</f>
        <v>NPBM</v>
      </c>
      <c r="F445" s="145"/>
      <c r="G445" s="145"/>
      <c r="H445" s="145"/>
    </row>
    <row r="446" customHeight="1" spans="1:8">
      <c r="A446" s="1" t="str">
        <f>IFERROR(__xludf.DUMMYFUNCTION("""COMPUTED_VALUE"""),"Tavares")</f>
        <v>Tavares</v>
      </c>
      <c r="B446" s="144" t="str">
        <f>IFERROR(__xludf.DUMMYFUNCTION("""COMPUTED_VALUE"""),"1º CRBM")</f>
        <v>1º CRBM</v>
      </c>
      <c r="C446" s="1" t="str">
        <f>IFERROR(__xludf.DUMMYFUNCTION("""COMPUTED_VALUE"""),"9º BBM")</f>
        <v>9º BBM</v>
      </c>
      <c r="D446" s="1" t="str">
        <f>IFERROR(__xludf.DUMMYFUNCTION("""COMPUTED_VALUE"""),"São José do Norte")</f>
        <v>São José do Norte</v>
      </c>
      <c r="E446" s="145" t="str">
        <f>IFERROR(__xludf.DUMMYFUNCTION("""COMPUTED_VALUE"""),"NPBM")</f>
        <v>NPBM</v>
      </c>
      <c r="F446" s="145"/>
      <c r="G446" s="145"/>
      <c r="H446" s="145"/>
    </row>
    <row r="447" customHeight="1" spans="1:8">
      <c r="A447" s="1" t="str">
        <f>IFERROR(__xludf.DUMMYFUNCTION("""COMPUTED_VALUE"""),"Tenente Portela")</f>
        <v>Tenente Portela</v>
      </c>
      <c r="B447" s="144" t="str">
        <f>IFERROR(__xludf.DUMMYFUNCTION("""COMPUTED_VALUE"""),"4º CRBM")</f>
        <v>4º CRBM</v>
      </c>
      <c r="C447" s="1" t="str">
        <f>IFERROR(__xludf.DUMMYFUNCTION("""COMPUTED_VALUE"""),"11º BBM")</f>
        <v>11º BBM</v>
      </c>
      <c r="D447" s="1" t="str">
        <f>IFERROR(__xludf.DUMMYFUNCTION("""COMPUTED_VALUE"""),"Três Passos")</f>
        <v>Três Passos</v>
      </c>
      <c r="E447" s="145" t="str">
        <f>IFERROR(__xludf.DUMMYFUNCTION("""COMPUTED_VALUE"""),"Voluntersul")</f>
        <v>Voluntersul</v>
      </c>
      <c r="F447" s="145"/>
      <c r="G447" s="145"/>
      <c r="H447" s="145"/>
    </row>
    <row r="448" customHeight="1" spans="1:8">
      <c r="A448" s="1" t="str">
        <f>IFERROR(__xludf.DUMMYFUNCTION("""COMPUTED_VALUE"""),"Terra de Areia")</f>
        <v>Terra de Areia</v>
      </c>
      <c r="B448" s="144" t="str">
        <f>IFERROR(__xludf.DUMMYFUNCTION("""COMPUTED_VALUE"""),"1º CRBM")</f>
        <v>1º CRBM</v>
      </c>
      <c r="C448" s="1" t="str">
        <f>IFERROR(__xludf.DUMMYFUNCTION("""COMPUTED_VALUE"""),"9º BBM")</f>
        <v>9º BBM</v>
      </c>
      <c r="D448" s="1" t="str">
        <f>IFERROR(__xludf.DUMMYFUNCTION("""COMPUTED_VALUE"""),"Terra de Areia")</f>
        <v>Terra de Areia</v>
      </c>
      <c r="E448" s="145" t="str">
        <f>IFERROR(__xludf.DUMMYFUNCTION("""COMPUTED_VALUE"""),"Militar")</f>
        <v>Militar</v>
      </c>
      <c r="F448" s="145"/>
      <c r="G448" s="145"/>
      <c r="H448" s="145"/>
    </row>
    <row r="449" customHeight="1" spans="1:8">
      <c r="A449" s="1" t="str">
        <f>IFERROR(__xludf.DUMMYFUNCTION("""COMPUTED_VALUE"""),"Teutônia")</f>
        <v>Teutônia</v>
      </c>
      <c r="B449" s="144" t="str">
        <f>IFERROR(__xludf.DUMMYFUNCTION("""COMPUTED_VALUE"""),"4º CRBM")</f>
        <v>4º CRBM</v>
      </c>
      <c r="C449" s="1" t="str">
        <f>IFERROR(__xludf.DUMMYFUNCTION("""COMPUTED_VALUE"""),"6º BBM")</f>
        <v>6º BBM</v>
      </c>
      <c r="D449" s="1" t="str">
        <f>IFERROR(__xludf.DUMMYFUNCTION("""COMPUTED_VALUE"""),"Estrela")</f>
        <v>Estrela</v>
      </c>
      <c r="E449" s="145" t="str">
        <f>IFERROR(__xludf.DUMMYFUNCTION("""COMPUTED_VALUE"""),"Voluntersul")</f>
        <v>Voluntersul</v>
      </c>
      <c r="F449" s="145"/>
      <c r="G449" s="145"/>
      <c r="H449" s="145"/>
    </row>
    <row r="450" customHeight="1" spans="1:8">
      <c r="A450" s="1" t="str">
        <f>IFERROR(__xludf.DUMMYFUNCTION("""COMPUTED_VALUE"""),"Tio Hugo")</f>
        <v>Tio Hugo</v>
      </c>
      <c r="B450" s="144" t="str">
        <f>IFERROR(__xludf.DUMMYFUNCTION("""COMPUTED_VALUE"""),"2º CRBM")</f>
        <v>2º CRBM</v>
      </c>
      <c r="C450" s="1" t="str">
        <f>IFERROR(__xludf.DUMMYFUNCTION("""COMPUTED_VALUE"""),"7º BBM")</f>
        <v>7º BBM</v>
      </c>
      <c r="D450" s="1" t="str">
        <f>IFERROR(__xludf.DUMMYFUNCTION("""COMPUTED_VALUE"""),"Tapera")</f>
        <v>Tapera</v>
      </c>
      <c r="E450" s="145" t="str">
        <f>IFERROR(__xludf.DUMMYFUNCTION("""COMPUTED_VALUE"""),"NPBM")</f>
        <v>NPBM</v>
      </c>
      <c r="F450" s="145"/>
      <c r="G450" s="145"/>
      <c r="H450" s="145"/>
    </row>
    <row r="451" customHeight="1" spans="1:8">
      <c r="A451" s="1" t="str">
        <f>IFERROR(__xludf.DUMMYFUNCTION("""COMPUTED_VALUE"""),"Tiradentes do Sul")</f>
        <v>Tiradentes do Sul</v>
      </c>
      <c r="B451" s="144" t="str">
        <f>IFERROR(__xludf.DUMMYFUNCTION("""COMPUTED_VALUE"""),"4º CRBM")</f>
        <v>4º CRBM</v>
      </c>
      <c r="C451" s="1" t="str">
        <f>IFERROR(__xludf.DUMMYFUNCTION("""COMPUTED_VALUE"""),"11º BBM")</f>
        <v>11º BBM</v>
      </c>
      <c r="D451" s="1" t="str">
        <f>IFERROR(__xludf.DUMMYFUNCTION("""COMPUTED_VALUE"""),"Três Passos")</f>
        <v>Três Passos</v>
      </c>
      <c r="E451" s="145" t="str">
        <f>IFERROR(__xludf.DUMMYFUNCTION("""COMPUTED_VALUE"""),"NPBM")</f>
        <v>NPBM</v>
      </c>
      <c r="F451" s="145"/>
      <c r="G451" s="145"/>
      <c r="H451" s="145"/>
    </row>
    <row r="452" customHeight="1" spans="1:8">
      <c r="A452" s="1" t="str">
        <f>IFERROR(__xludf.DUMMYFUNCTION("""COMPUTED_VALUE"""),"Toropi")</f>
        <v>Toropi</v>
      </c>
      <c r="B452" s="144" t="str">
        <f>IFERROR(__xludf.DUMMYFUNCTION("""COMPUTED_VALUE"""),"4º CRBM")</f>
        <v>4º CRBM</v>
      </c>
      <c r="C452" s="1" t="str">
        <f>IFERROR(__xludf.DUMMYFUNCTION("""COMPUTED_VALUE"""),"4º BBM")</f>
        <v>4º BBM</v>
      </c>
      <c r="D452" s="1" t="str">
        <f>IFERROR(__xludf.DUMMYFUNCTION("""COMPUTED_VALUE"""),"São Pedro do Sul")</f>
        <v>São Pedro do Sul</v>
      </c>
      <c r="E452" s="145" t="str">
        <f>IFERROR(__xludf.DUMMYFUNCTION("""COMPUTED_VALUE"""),"NPBM")</f>
        <v>NPBM</v>
      </c>
      <c r="F452" s="145"/>
      <c r="G452" s="145"/>
      <c r="H452" s="145"/>
    </row>
    <row r="453" customHeight="1" spans="1:8">
      <c r="A453" s="1" t="str">
        <f>IFERROR(__xludf.DUMMYFUNCTION("""COMPUTED_VALUE"""),"Torres")</f>
        <v>Torres</v>
      </c>
      <c r="B453" s="144" t="str">
        <f>IFERROR(__xludf.DUMMYFUNCTION("""COMPUTED_VALUE"""),"1º CRBM")</f>
        <v>1º CRBM</v>
      </c>
      <c r="C453" s="1" t="str">
        <f>IFERROR(__xludf.DUMMYFUNCTION("""COMPUTED_VALUE"""),"9º BBM")</f>
        <v>9º BBM</v>
      </c>
      <c r="D453" s="1" t="str">
        <f>IFERROR(__xludf.DUMMYFUNCTION("""COMPUTED_VALUE"""),"Torres")</f>
        <v>Torres</v>
      </c>
      <c r="E453" s="145" t="str">
        <f>IFERROR(__xludf.DUMMYFUNCTION("""COMPUTED_VALUE"""),"Militar")</f>
        <v>Militar</v>
      </c>
      <c r="F453" s="145"/>
      <c r="G453" s="145"/>
      <c r="H453" s="145"/>
    </row>
    <row r="454" customHeight="1" spans="1:8">
      <c r="A454" s="1" t="str">
        <f>IFERROR(__xludf.DUMMYFUNCTION("""COMPUTED_VALUE"""),"Tramandaí")</f>
        <v>Tramandaí</v>
      </c>
      <c r="B454" s="144" t="str">
        <f>IFERROR(__xludf.DUMMYFUNCTION("""COMPUTED_VALUE"""),"1º CRBM")</f>
        <v>1º CRBM</v>
      </c>
      <c r="C454" s="1" t="str">
        <f>IFERROR(__xludf.DUMMYFUNCTION("""COMPUTED_VALUE"""),"9º BBM")</f>
        <v>9º BBM</v>
      </c>
      <c r="D454" s="1" t="str">
        <f>IFERROR(__xludf.DUMMYFUNCTION("""COMPUTED_VALUE"""),"Tramandaí")</f>
        <v>Tramandaí</v>
      </c>
      <c r="E454" s="145" t="str">
        <f>IFERROR(__xludf.DUMMYFUNCTION("""COMPUTED_VALUE"""),"Militar")</f>
        <v>Militar</v>
      </c>
      <c r="F454" s="145"/>
      <c r="G454" s="145"/>
      <c r="H454" s="145"/>
    </row>
    <row r="455" customHeight="1" spans="1:8">
      <c r="A455" s="1" t="str">
        <f>IFERROR(__xludf.DUMMYFUNCTION("""COMPUTED_VALUE"""),"Travesseiro")</f>
        <v>Travesseiro</v>
      </c>
      <c r="B455" s="144" t="str">
        <f>IFERROR(__xludf.DUMMYFUNCTION("""COMPUTED_VALUE"""),"4º CRBM")</f>
        <v>4º CRBM</v>
      </c>
      <c r="C455" s="1" t="str">
        <f>IFERROR(__xludf.DUMMYFUNCTION("""COMPUTED_VALUE"""),"6º BBM")</f>
        <v>6º BBM</v>
      </c>
      <c r="D455" s="1" t="str">
        <f>IFERROR(__xludf.DUMMYFUNCTION("""COMPUTED_VALUE"""),"Lajeado")</f>
        <v>Lajeado</v>
      </c>
      <c r="E455" s="145" t="str">
        <f>IFERROR(__xludf.DUMMYFUNCTION("""COMPUTED_VALUE"""),"NPBM")</f>
        <v>NPBM</v>
      </c>
      <c r="F455" s="145"/>
      <c r="G455" s="145"/>
      <c r="H455" s="145"/>
    </row>
    <row r="456" customHeight="1" spans="1:8">
      <c r="A456" s="1" t="str">
        <f>IFERROR(__xludf.DUMMYFUNCTION("""COMPUTED_VALUE"""),"Três Arroios")</f>
        <v>Três Arroios</v>
      </c>
      <c r="B456" s="144" t="str">
        <f>IFERROR(__xludf.DUMMYFUNCTION("""COMPUTED_VALUE"""),"2º CRBM")</f>
        <v>2º CRBM</v>
      </c>
      <c r="C456" s="1" t="str">
        <f>IFERROR(__xludf.DUMMYFUNCTION("""COMPUTED_VALUE"""),"7º BBM")</f>
        <v>7º BBM</v>
      </c>
      <c r="D456" s="1" t="str">
        <f>IFERROR(__xludf.DUMMYFUNCTION("""COMPUTED_VALUE"""),"Erechim")</f>
        <v>Erechim</v>
      </c>
      <c r="E456" s="145" t="str">
        <f>IFERROR(__xludf.DUMMYFUNCTION("""COMPUTED_VALUE"""),"NPBM")</f>
        <v>NPBM</v>
      </c>
      <c r="F456" s="145"/>
      <c r="G456" s="145"/>
      <c r="H456" s="145"/>
    </row>
    <row r="457" customHeight="1" spans="1:8">
      <c r="A457" s="1" t="str">
        <f>IFERROR(__xludf.DUMMYFUNCTION("""COMPUTED_VALUE"""),"Três Cachoeiras")</f>
        <v>Três Cachoeiras</v>
      </c>
      <c r="B457" s="144" t="str">
        <f>IFERROR(__xludf.DUMMYFUNCTION("""COMPUTED_VALUE"""),"1º CRBM")</f>
        <v>1º CRBM</v>
      </c>
      <c r="C457" s="1" t="str">
        <f>IFERROR(__xludf.DUMMYFUNCTION("""COMPUTED_VALUE"""),"9º BBM")</f>
        <v>9º BBM</v>
      </c>
      <c r="D457" s="1" t="str">
        <f>IFERROR(__xludf.DUMMYFUNCTION("""COMPUTED_VALUE"""),"Terra de Areia")</f>
        <v>Terra de Areia</v>
      </c>
      <c r="E457" s="145" t="str">
        <f>IFERROR(__xludf.DUMMYFUNCTION("""COMPUTED_VALUE"""),"NPBM")</f>
        <v>NPBM</v>
      </c>
      <c r="F457" s="145"/>
      <c r="G457" s="145"/>
      <c r="H457" s="145"/>
    </row>
    <row r="458" customHeight="1" spans="1:8">
      <c r="A458" s="1" t="str">
        <f>IFERROR(__xludf.DUMMYFUNCTION("""COMPUTED_VALUE"""),"Três Coroas")</f>
        <v>Três Coroas</v>
      </c>
      <c r="B458" s="144" t="str">
        <f>IFERROR(__xludf.DUMMYFUNCTION("""COMPUTED_VALUE"""),"2º CRBM")</f>
        <v>2º CRBM</v>
      </c>
      <c r="C458" s="1" t="str">
        <f>IFERROR(__xludf.DUMMYFUNCTION("""COMPUTED_VALUE"""),"5º BBM")</f>
        <v>5º BBM</v>
      </c>
      <c r="D458" s="1" t="str">
        <f>IFERROR(__xludf.DUMMYFUNCTION("""COMPUTED_VALUE"""),"Taquara")</f>
        <v>Taquara</v>
      </c>
      <c r="E458" s="145" t="str">
        <f>IFERROR(__xludf.DUMMYFUNCTION("""COMPUTED_VALUE"""),"Voluntersul")</f>
        <v>Voluntersul</v>
      </c>
      <c r="F458" s="145"/>
      <c r="G458" s="145"/>
      <c r="H458" s="145"/>
    </row>
    <row r="459" customHeight="1" spans="1:8">
      <c r="A459" s="1" t="str">
        <f>IFERROR(__xludf.DUMMYFUNCTION("""COMPUTED_VALUE"""),"Três de Maio")</f>
        <v>Três de Maio</v>
      </c>
      <c r="B459" s="144" t="str">
        <f>IFERROR(__xludf.DUMMYFUNCTION("""COMPUTED_VALUE"""),"4º CRBM")</f>
        <v>4º CRBM</v>
      </c>
      <c r="C459" s="1" t="str">
        <f>IFERROR(__xludf.DUMMYFUNCTION("""COMPUTED_VALUE"""),"11º BBM")</f>
        <v>11º BBM</v>
      </c>
      <c r="D459" s="1" t="str">
        <f>IFERROR(__xludf.DUMMYFUNCTION("""COMPUTED_VALUE"""),"Três de Maio")</f>
        <v>Três de Maio</v>
      </c>
      <c r="E459" s="145" t="str">
        <f>IFERROR(__xludf.DUMMYFUNCTION("""COMPUTED_VALUE"""),"Comunitário")</f>
        <v>Comunitário</v>
      </c>
      <c r="F459" s="145"/>
      <c r="G459" s="145"/>
      <c r="H459" s="145"/>
    </row>
    <row r="460" customHeight="1" spans="1:8">
      <c r="A460" s="1" t="str">
        <f>IFERROR(__xludf.DUMMYFUNCTION("""COMPUTED_VALUE"""),"Três Forquilhas")</f>
        <v>Três Forquilhas</v>
      </c>
      <c r="B460" s="144" t="str">
        <f>IFERROR(__xludf.DUMMYFUNCTION("""COMPUTED_VALUE"""),"1º CRBM")</f>
        <v>1º CRBM</v>
      </c>
      <c r="C460" s="1" t="str">
        <f>IFERROR(__xludf.DUMMYFUNCTION("""COMPUTED_VALUE"""),"9º BBM")</f>
        <v>9º BBM</v>
      </c>
      <c r="D460" s="1" t="str">
        <f>IFERROR(__xludf.DUMMYFUNCTION("""COMPUTED_VALUE"""),"Terra de Areia")</f>
        <v>Terra de Areia</v>
      </c>
      <c r="E460" s="145" t="str">
        <f>IFERROR(__xludf.DUMMYFUNCTION("""COMPUTED_VALUE"""),"NPBM")</f>
        <v>NPBM</v>
      </c>
      <c r="F460" s="145"/>
      <c r="G460" s="145"/>
      <c r="H460" s="145"/>
    </row>
    <row r="461" customHeight="1" spans="1:8">
      <c r="A461" s="1" t="str">
        <f>IFERROR(__xludf.DUMMYFUNCTION("""COMPUTED_VALUE"""),"Três Palmeiras")</f>
        <v>Três Palmeiras</v>
      </c>
      <c r="B461" s="144" t="str">
        <f>IFERROR(__xludf.DUMMYFUNCTION("""COMPUTED_VALUE"""),"2º CRBM")</f>
        <v>2º CRBM</v>
      </c>
      <c r="C461" s="1" t="str">
        <f>IFERROR(__xludf.DUMMYFUNCTION("""COMPUTED_VALUE"""),"7º BBM")</f>
        <v>7º BBM</v>
      </c>
      <c r="D461" s="1" t="str">
        <f>IFERROR(__xludf.DUMMYFUNCTION("""COMPUTED_VALUE"""),"Nonoai")</f>
        <v>Nonoai</v>
      </c>
      <c r="E461" s="145" t="str">
        <f>IFERROR(__xludf.DUMMYFUNCTION("""COMPUTED_VALUE"""),"NPBM")</f>
        <v>NPBM</v>
      </c>
      <c r="F461" s="145"/>
      <c r="G461" s="145"/>
      <c r="H461" s="145"/>
    </row>
    <row r="462" customHeight="1" spans="1:8">
      <c r="A462" s="1" t="str">
        <f>IFERROR(__xludf.DUMMYFUNCTION("""COMPUTED_VALUE"""),"Três Passos")</f>
        <v>Três Passos</v>
      </c>
      <c r="B462" s="144" t="str">
        <f>IFERROR(__xludf.DUMMYFUNCTION("""COMPUTED_VALUE"""),"4º CRBM")</f>
        <v>4º CRBM</v>
      </c>
      <c r="C462" s="1" t="str">
        <f>IFERROR(__xludf.DUMMYFUNCTION("""COMPUTED_VALUE"""),"11º BBM")</f>
        <v>11º BBM</v>
      </c>
      <c r="D462" s="1" t="str">
        <f>IFERROR(__xludf.DUMMYFUNCTION("""COMPUTED_VALUE"""),"Três Passos")</f>
        <v>Três Passos</v>
      </c>
      <c r="E462" s="145" t="str">
        <f>IFERROR(__xludf.DUMMYFUNCTION("""COMPUTED_VALUE"""),"Militar")</f>
        <v>Militar</v>
      </c>
      <c r="F462" s="145"/>
      <c r="G462" s="145"/>
      <c r="H462" s="145"/>
    </row>
    <row r="463" customHeight="1" spans="1:8">
      <c r="A463" s="1" t="str">
        <f>IFERROR(__xludf.DUMMYFUNCTION("""COMPUTED_VALUE"""),"Trindade do Sul")</f>
        <v>Trindade do Sul</v>
      </c>
      <c r="B463" s="144" t="str">
        <f>IFERROR(__xludf.DUMMYFUNCTION("""COMPUTED_VALUE"""),"2º CRBM")</f>
        <v>2º CRBM</v>
      </c>
      <c r="C463" s="1" t="str">
        <f>IFERROR(__xludf.DUMMYFUNCTION("""COMPUTED_VALUE"""),"7º BBM")</f>
        <v>7º BBM</v>
      </c>
      <c r="D463" s="1" t="str">
        <f>IFERROR(__xludf.DUMMYFUNCTION("""COMPUTED_VALUE"""),"Nonoai")</f>
        <v>Nonoai</v>
      </c>
      <c r="E463" s="145" t="str">
        <f>IFERROR(__xludf.DUMMYFUNCTION("""COMPUTED_VALUE"""),"NPBM")</f>
        <v>NPBM</v>
      </c>
      <c r="F463" s="145"/>
      <c r="G463" s="145"/>
      <c r="H463" s="145"/>
    </row>
    <row r="464" customHeight="1" spans="1:8">
      <c r="A464" s="1" t="str">
        <f>IFERROR(__xludf.DUMMYFUNCTION("""COMPUTED_VALUE"""),"Triunfo")</f>
        <v>Triunfo</v>
      </c>
      <c r="B464" s="144" t="str">
        <f>IFERROR(__xludf.DUMMYFUNCTION("""COMPUTED_VALUE"""),"2º CRBM")</f>
        <v>2º CRBM</v>
      </c>
      <c r="C464" s="1" t="str">
        <f>IFERROR(__xludf.DUMMYFUNCTION("""COMPUTED_VALUE"""),"2º BBM")</f>
        <v>2º BBM</v>
      </c>
      <c r="D464" s="1" t="str">
        <f>IFERROR(__xludf.DUMMYFUNCTION("""COMPUTED_VALUE"""),"Triunfo")</f>
        <v>Triunfo</v>
      </c>
      <c r="E464" s="145" t="str">
        <f>IFERROR(__xludf.DUMMYFUNCTION("""COMPUTED_VALUE"""),"Militar")</f>
        <v>Militar</v>
      </c>
      <c r="F464" s="145"/>
      <c r="G464" s="145"/>
      <c r="H464" s="145"/>
    </row>
    <row r="465" customHeight="1" spans="1:8">
      <c r="A465" s="1" t="str">
        <f>IFERROR(__xludf.DUMMYFUNCTION("""COMPUTED_VALUE"""),"Tucunduva")</f>
        <v>Tucunduva</v>
      </c>
      <c r="B465" s="144" t="str">
        <f>IFERROR(__xludf.DUMMYFUNCTION("""COMPUTED_VALUE"""),"4º CRBM")</f>
        <v>4º CRBM</v>
      </c>
      <c r="C465" s="1" t="str">
        <f>IFERROR(__xludf.DUMMYFUNCTION("""COMPUTED_VALUE"""),"11º BBM")</f>
        <v>11º BBM</v>
      </c>
      <c r="D465" s="1" t="str">
        <f>IFERROR(__xludf.DUMMYFUNCTION("""COMPUTED_VALUE"""),"Horizontina")</f>
        <v>Horizontina</v>
      </c>
      <c r="E465" s="145" t="str">
        <f>IFERROR(__xludf.DUMMYFUNCTION("""COMPUTED_VALUE"""),"NPBM")</f>
        <v>NPBM</v>
      </c>
      <c r="F465" s="145"/>
      <c r="G465" s="145"/>
      <c r="H465" s="145"/>
    </row>
    <row r="466" customHeight="1" spans="1:8">
      <c r="A466" s="1" t="str">
        <f>IFERROR(__xludf.DUMMYFUNCTION("""COMPUTED_VALUE"""),"Tunas")</f>
        <v>Tunas</v>
      </c>
      <c r="B466" s="144" t="str">
        <f>IFERROR(__xludf.DUMMYFUNCTION("""COMPUTED_VALUE"""),"4º CRBM")</f>
        <v>4º CRBM</v>
      </c>
      <c r="C466" s="1" t="str">
        <f>IFERROR(__xludf.DUMMYFUNCTION("""COMPUTED_VALUE"""),"6º BBM")</f>
        <v>6º BBM</v>
      </c>
      <c r="D466" s="1" t="str">
        <f>IFERROR(__xludf.DUMMYFUNCTION("""COMPUTED_VALUE"""),"Tapera")</f>
        <v>Tapera</v>
      </c>
      <c r="E466" s="145" t="str">
        <f>IFERROR(__xludf.DUMMYFUNCTION("""COMPUTED_VALUE"""),"NPBM")</f>
        <v>NPBM</v>
      </c>
      <c r="F466" s="145"/>
      <c r="G466" s="145"/>
      <c r="H466" s="145"/>
    </row>
    <row r="467" customHeight="1" spans="1:8">
      <c r="A467" s="1" t="str">
        <f>IFERROR(__xludf.DUMMYFUNCTION("""COMPUTED_VALUE"""),"Tupanci do Sul")</f>
        <v>Tupanci do Sul</v>
      </c>
      <c r="B467" s="144" t="str">
        <f>IFERROR(__xludf.DUMMYFUNCTION("""COMPUTED_VALUE"""),"2º CRBM")</f>
        <v>2º CRBM</v>
      </c>
      <c r="C467" s="1" t="str">
        <f>IFERROR(__xludf.DUMMYFUNCTION("""COMPUTED_VALUE"""),"5º BBM")</f>
        <v>5º BBM</v>
      </c>
      <c r="D467" s="1" t="str">
        <f>IFERROR(__xludf.DUMMYFUNCTION("""COMPUTED_VALUE"""),"Lagoa Vermelha")</f>
        <v>Lagoa Vermelha</v>
      </c>
      <c r="E467" s="145" t="str">
        <f>IFERROR(__xludf.DUMMYFUNCTION("""COMPUTED_VALUE"""),"NPBM")</f>
        <v>NPBM</v>
      </c>
      <c r="F467" s="145"/>
      <c r="G467" s="145"/>
      <c r="H467" s="145"/>
    </row>
    <row r="468" customHeight="1" spans="1:8">
      <c r="A468" s="1" t="str">
        <f>IFERROR(__xludf.DUMMYFUNCTION("""COMPUTED_VALUE"""),"Tupanciretã")</f>
        <v>Tupanciretã</v>
      </c>
      <c r="B468" s="144" t="str">
        <f>IFERROR(__xludf.DUMMYFUNCTION("""COMPUTED_VALUE"""),"4º CRBM")</f>
        <v>4º CRBM</v>
      </c>
      <c r="C468" s="1" t="str">
        <f>IFERROR(__xludf.DUMMYFUNCTION("""COMPUTED_VALUE"""),"4º BBM")</f>
        <v>4º BBM</v>
      </c>
      <c r="D468" s="1" t="str">
        <f>IFERROR(__xludf.DUMMYFUNCTION("""COMPUTED_VALUE"""),"Júlio de Castilhos")</f>
        <v>Júlio de Castilhos</v>
      </c>
      <c r="E468" s="145" t="str">
        <f>IFERROR(__xludf.DUMMYFUNCTION("""COMPUTED_VALUE"""),"Voluntersul")</f>
        <v>Voluntersul</v>
      </c>
      <c r="F468" s="145"/>
      <c r="G468" s="145"/>
      <c r="H468" s="145"/>
    </row>
    <row r="469" customHeight="1" spans="1:8">
      <c r="A469" s="1" t="str">
        <f>IFERROR(__xludf.DUMMYFUNCTION("""COMPUTED_VALUE"""),"Tupandi")</f>
        <v>Tupandi</v>
      </c>
      <c r="B469" s="144" t="str">
        <f>IFERROR(__xludf.DUMMYFUNCTION("""COMPUTED_VALUE"""),"2º CRBM")</f>
        <v>2º CRBM</v>
      </c>
      <c r="C469" s="1" t="str">
        <f>IFERROR(__xludf.DUMMYFUNCTION("""COMPUTED_VALUE"""),"2º BBM")</f>
        <v>2º BBM</v>
      </c>
      <c r="D469" s="1" t="str">
        <f>IFERROR(__xludf.DUMMYFUNCTION("""COMPUTED_VALUE"""),"Montenegro")</f>
        <v>Montenegro</v>
      </c>
      <c r="E469" s="145" t="str">
        <f>IFERROR(__xludf.DUMMYFUNCTION("""COMPUTED_VALUE"""),"NPBM")</f>
        <v>NPBM</v>
      </c>
      <c r="F469" s="145"/>
      <c r="G469" s="145"/>
      <c r="H469" s="145"/>
    </row>
    <row r="470" customHeight="1" spans="1:8">
      <c r="A470" s="1" t="str">
        <f>IFERROR(__xludf.DUMMYFUNCTION("""COMPUTED_VALUE"""),"Tuparendi")</f>
        <v>Tuparendi</v>
      </c>
      <c r="B470" s="144" t="str">
        <f>IFERROR(__xludf.DUMMYFUNCTION("""COMPUTED_VALUE"""),"4º CRBM")</f>
        <v>4º CRBM</v>
      </c>
      <c r="C470" s="1" t="str">
        <f>IFERROR(__xludf.DUMMYFUNCTION("""COMPUTED_VALUE"""),"11º BBM")</f>
        <v>11º BBM</v>
      </c>
      <c r="D470" s="1" t="str">
        <f>IFERROR(__xludf.DUMMYFUNCTION("""COMPUTED_VALUE"""),"Santa Rosa")</f>
        <v>Santa Rosa</v>
      </c>
      <c r="E470" s="145" t="str">
        <f>IFERROR(__xludf.DUMMYFUNCTION("""COMPUTED_VALUE"""),"NPBM")</f>
        <v>NPBM</v>
      </c>
      <c r="F470" s="145"/>
      <c r="G470" s="145"/>
      <c r="H470" s="145"/>
    </row>
    <row r="471" customHeight="1" spans="1:8">
      <c r="A471" s="1" t="str">
        <f>IFERROR(__xludf.DUMMYFUNCTION("""COMPUTED_VALUE"""),"Turuçu")</f>
        <v>Turuçu</v>
      </c>
      <c r="B471" s="144" t="str">
        <f>IFERROR(__xludf.DUMMYFUNCTION("""COMPUTED_VALUE"""),"3º CRBM")</f>
        <v>3º CRBM</v>
      </c>
      <c r="C471" s="1" t="str">
        <f>IFERROR(__xludf.DUMMYFUNCTION("""COMPUTED_VALUE"""),"3º BBM")</f>
        <v>3º BBM</v>
      </c>
      <c r="D471" s="1" t="str">
        <f>IFERROR(__xludf.DUMMYFUNCTION("""COMPUTED_VALUE"""),"São Lourenço do Sul")</f>
        <v>São Lourenço do Sul</v>
      </c>
      <c r="E471" s="145" t="str">
        <f>IFERROR(__xludf.DUMMYFUNCTION("""COMPUTED_VALUE"""),"NPBM")</f>
        <v>NPBM</v>
      </c>
      <c r="F471" s="145"/>
      <c r="G471" s="145"/>
      <c r="H471" s="145"/>
    </row>
    <row r="472" customHeight="1" spans="1:8">
      <c r="A472" s="1" t="str">
        <f>IFERROR(__xludf.DUMMYFUNCTION("""COMPUTED_VALUE"""),"Ubiretama")</f>
        <v>Ubiretama</v>
      </c>
      <c r="B472" s="144" t="str">
        <f>IFERROR(__xludf.DUMMYFUNCTION("""COMPUTED_VALUE"""),"4º CRBM")</f>
        <v>4º CRBM</v>
      </c>
      <c r="C472" s="1" t="str">
        <f>IFERROR(__xludf.DUMMYFUNCTION("""COMPUTED_VALUE"""),"11º BBM")</f>
        <v>11º BBM</v>
      </c>
      <c r="D472" s="1" t="str">
        <f>IFERROR(__xludf.DUMMYFUNCTION("""COMPUTED_VALUE"""),"Giruá")</f>
        <v>Giruá</v>
      </c>
      <c r="E472" s="145" t="str">
        <f>IFERROR(__xludf.DUMMYFUNCTION("""COMPUTED_VALUE"""),"NPBM")</f>
        <v>NPBM</v>
      </c>
      <c r="F472" s="145"/>
      <c r="G472" s="145"/>
      <c r="H472" s="145"/>
    </row>
    <row r="473" customHeight="1" spans="1:8">
      <c r="A473" s="1" t="str">
        <f>IFERROR(__xludf.DUMMYFUNCTION("""COMPUTED_VALUE"""),"União da Serra")</f>
        <v>União da Serra</v>
      </c>
      <c r="B473" s="144" t="str">
        <f>IFERROR(__xludf.DUMMYFUNCTION("""COMPUTED_VALUE"""),"2º CRBM")</f>
        <v>2º CRBM</v>
      </c>
      <c r="C473" s="1" t="str">
        <f>IFERROR(__xludf.DUMMYFUNCTION("""COMPUTED_VALUE"""),"7º BBM")</f>
        <v>7º BBM</v>
      </c>
      <c r="D473" s="1" t="str">
        <f>IFERROR(__xludf.DUMMYFUNCTION("""COMPUTED_VALUE"""),"Guaporé")</f>
        <v>Guaporé</v>
      </c>
      <c r="E473" s="145" t="str">
        <f>IFERROR(__xludf.DUMMYFUNCTION("""COMPUTED_VALUE"""),"NPBM")</f>
        <v>NPBM</v>
      </c>
      <c r="F473" s="145"/>
      <c r="G473" s="145"/>
      <c r="H473" s="145"/>
    </row>
    <row r="474" customHeight="1" spans="1:8">
      <c r="A474" s="1" t="str">
        <f>IFERROR(__xludf.DUMMYFUNCTION("""COMPUTED_VALUE"""),"Unistalda")</f>
        <v>Unistalda</v>
      </c>
      <c r="B474" s="144" t="str">
        <f>IFERROR(__xludf.DUMMYFUNCTION("""COMPUTED_VALUE"""),"3º CRBM")</f>
        <v>3º CRBM</v>
      </c>
      <c r="C474" s="1" t="str">
        <f>IFERROR(__xludf.DUMMYFUNCTION("""COMPUTED_VALUE"""),"13º BBM")</f>
        <v>13º BBM</v>
      </c>
      <c r="D474" s="1" t="str">
        <f>IFERROR(__xludf.DUMMYFUNCTION("""COMPUTED_VALUE"""),"Santiago")</f>
        <v>Santiago</v>
      </c>
      <c r="E474" s="145" t="str">
        <f>IFERROR(__xludf.DUMMYFUNCTION("""COMPUTED_VALUE"""),"NPBM")</f>
        <v>NPBM</v>
      </c>
      <c r="F474" s="145"/>
      <c r="G474" s="145"/>
      <c r="H474" s="145"/>
    </row>
    <row r="475" customHeight="1" spans="1:8">
      <c r="A475" s="1" t="str">
        <f>IFERROR(__xludf.DUMMYFUNCTION("""COMPUTED_VALUE"""),"Uruguaiana")</f>
        <v>Uruguaiana</v>
      </c>
      <c r="B475" s="144" t="str">
        <f>IFERROR(__xludf.DUMMYFUNCTION("""COMPUTED_VALUE"""),"3º CRBM")</f>
        <v>3º CRBM</v>
      </c>
      <c r="C475" s="1" t="str">
        <f>IFERROR(__xludf.DUMMYFUNCTION("""COMPUTED_VALUE"""),"13º BBM")</f>
        <v>13º BBM</v>
      </c>
      <c r="D475" s="1" t="str">
        <f>IFERROR(__xludf.DUMMYFUNCTION("""COMPUTED_VALUE"""),"Uruguaiana")</f>
        <v>Uruguaiana</v>
      </c>
      <c r="E475" s="145" t="str">
        <f>IFERROR(__xludf.DUMMYFUNCTION("""COMPUTED_VALUE"""),"Militar")</f>
        <v>Militar</v>
      </c>
      <c r="F475" s="145"/>
      <c r="G475" s="145"/>
      <c r="H475" s="145"/>
    </row>
    <row r="476" customHeight="1" spans="1:8">
      <c r="A476" s="1" t="str">
        <f>IFERROR(__xludf.DUMMYFUNCTION("""COMPUTED_VALUE"""),"Vacaria")</f>
        <v>Vacaria</v>
      </c>
      <c r="B476" s="144" t="str">
        <f>IFERROR(__xludf.DUMMYFUNCTION("""COMPUTED_VALUE"""),"2º CRBM")</f>
        <v>2º CRBM</v>
      </c>
      <c r="C476" s="1" t="str">
        <f>IFERROR(__xludf.DUMMYFUNCTION("""COMPUTED_VALUE"""),"5º BBM")</f>
        <v>5º BBM</v>
      </c>
      <c r="D476" s="1" t="str">
        <f>IFERROR(__xludf.DUMMYFUNCTION("""COMPUTED_VALUE"""),"Vacaria")</f>
        <v>Vacaria</v>
      </c>
      <c r="E476" s="145" t="str">
        <f>IFERROR(__xludf.DUMMYFUNCTION("""COMPUTED_VALUE"""),"Militar")</f>
        <v>Militar</v>
      </c>
      <c r="F476" s="145"/>
      <c r="G476" s="145"/>
      <c r="H476" s="145"/>
    </row>
    <row r="477" customHeight="1" spans="1:8">
      <c r="A477" s="1" t="str">
        <f>IFERROR(__xludf.DUMMYFUNCTION("""COMPUTED_VALUE"""),"Vale do Sol")</f>
        <v>Vale do Sol</v>
      </c>
      <c r="B477" s="144" t="str">
        <f>IFERROR(__xludf.DUMMYFUNCTION("""COMPUTED_VALUE"""),"4º CRBM")</f>
        <v>4º CRBM</v>
      </c>
      <c r="C477" s="1" t="str">
        <f>IFERROR(__xludf.DUMMYFUNCTION("""COMPUTED_VALUE"""),"6º BBM")</f>
        <v>6º BBM</v>
      </c>
      <c r="D477" s="1" t="str">
        <f>IFERROR(__xludf.DUMMYFUNCTION("""COMPUTED_VALUE"""),"Vera Cruz")</f>
        <v>Vera Cruz</v>
      </c>
      <c r="E477" s="145" t="str">
        <f>IFERROR(__xludf.DUMMYFUNCTION("""COMPUTED_VALUE"""),"NPBM")</f>
        <v>NPBM</v>
      </c>
      <c r="F477" s="145"/>
      <c r="G477" s="145"/>
      <c r="H477" s="145"/>
    </row>
    <row r="478" customHeight="1" spans="1:8">
      <c r="A478" s="1" t="str">
        <f>IFERROR(__xludf.DUMMYFUNCTION("""COMPUTED_VALUE"""),"Vale Real")</f>
        <v>Vale Real</v>
      </c>
      <c r="B478" s="144" t="str">
        <f>IFERROR(__xludf.DUMMYFUNCTION("""COMPUTED_VALUE"""),"2º CRBM")</f>
        <v>2º CRBM</v>
      </c>
      <c r="C478" s="1" t="str">
        <f>IFERROR(__xludf.DUMMYFUNCTION("""COMPUTED_VALUE"""),"2º BBM")</f>
        <v>2º BBM</v>
      </c>
      <c r="D478" s="1" t="str">
        <f>IFERROR(__xludf.DUMMYFUNCTION("""COMPUTED_VALUE"""),"Caxias do Sul")</f>
        <v>Caxias do Sul</v>
      </c>
      <c r="E478" s="145" t="str">
        <f>IFERROR(__xludf.DUMMYFUNCTION("""COMPUTED_VALUE"""),"NPBM")</f>
        <v>NPBM</v>
      </c>
      <c r="F478" s="145"/>
      <c r="G478" s="145"/>
      <c r="H478" s="145"/>
    </row>
    <row r="479" customHeight="1" spans="1:8">
      <c r="A479" s="1" t="str">
        <f>IFERROR(__xludf.DUMMYFUNCTION("""COMPUTED_VALUE"""),"Vale Verde")</f>
        <v>Vale Verde</v>
      </c>
      <c r="B479" s="144" t="str">
        <f>IFERROR(__xludf.DUMMYFUNCTION("""COMPUTED_VALUE"""),"4º CRBM")</f>
        <v>4º CRBM</v>
      </c>
      <c r="C479" s="1" t="str">
        <f>IFERROR(__xludf.DUMMYFUNCTION("""COMPUTED_VALUE"""),"6º BBM")</f>
        <v>6º BBM</v>
      </c>
      <c r="D479" s="1" t="str">
        <f>IFERROR(__xludf.DUMMYFUNCTION("""COMPUTED_VALUE"""),"Santa Cruz do Sul")</f>
        <v>Santa Cruz do Sul</v>
      </c>
      <c r="E479" s="145" t="str">
        <f>IFERROR(__xludf.DUMMYFUNCTION("""COMPUTED_VALUE"""),"NPBM")</f>
        <v>NPBM</v>
      </c>
      <c r="F479" s="145"/>
      <c r="G479" s="145"/>
      <c r="H479" s="145"/>
    </row>
    <row r="480" customHeight="1" spans="1:8">
      <c r="A480" s="1" t="str">
        <f>IFERROR(__xludf.DUMMYFUNCTION("""COMPUTED_VALUE"""),"Vanini")</f>
        <v>Vanini</v>
      </c>
      <c r="B480" s="144" t="str">
        <f>IFERROR(__xludf.DUMMYFUNCTION("""COMPUTED_VALUE"""),"2º CRBM")</f>
        <v>2º CRBM</v>
      </c>
      <c r="C480" s="1" t="str">
        <f>IFERROR(__xludf.DUMMYFUNCTION("""COMPUTED_VALUE"""),"7º BBM")</f>
        <v>7º BBM</v>
      </c>
      <c r="D480" s="1" t="str">
        <f>IFERROR(__xludf.DUMMYFUNCTION("""COMPUTED_VALUE"""),"Guaporé")</f>
        <v>Guaporé</v>
      </c>
      <c r="E480" s="145" t="str">
        <f>IFERROR(__xludf.DUMMYFUNCTION("""COMPUTED_VALUE"""),"NPBM")</f>
        <v>NPBM</v>
      </c>
      <c r="F480" s="145"/>
      <c r="G480" s="145"/>
      <c r="H480" s="145"/>
    </row>
    <row r="481" customHeight="1" spans="1:8">
      <c r="A481" s="1" t="str">
        <f>IFERROR(__xludf.DUMMYFUNCTION("""COMPUTED_VALUE"""),"Venâncio Aires")</f>
        <v>Venâncio Aires</v>
      </c>
      <c r="B481" s="144" t="str">
        <f>IFERROR(__xludf.DUMMYFUNCTION("""COMPUTED_VALUE"""),"4º CRBM")</f>
        <v>4º CRBM</v>
      </c>
      <c r="C481" s="1" t="str">
        <f>IFERROR(__xludf.DUMMYFUNCTION("""COMPUTED_VALUE"""),"6º BBM")</f>
        <v>6º BBM</v>
      </c>
      <c r="D481" s="1" t="str">
        <f>IFERROR(__xludf.DUMMYFUNCTION("""COMPUTED_VALUE"""),"Venâncio Aires")</f>
        <v>Venâncio Aires</v>
      </c>
      <c r="E481" s="145" t="str">
        <f>IFERROR(__xludf.DUMMYFUNCTION("""COMPUTED_VALUE"""),"Militar")</f>
        <v>Militar</v>
      </c>
      <c r="F481" s="145"/>
      <c r="G481" s="145"/>
      <c r="H481" s="145"/>
    </row>
    <row r="482" customHeight="1" spans="1:8">
      <c r="A482" s="1" t="str">
        <f>IFERROR(__xludf.DUMMYFUNCTION("""COMPUTED_VALUE"""),"Vera Cruz")</f>
        <v>Vera Cruz</v>
      </c>
      <c r="B482" s="144" t="str">
        <f>IFERROR(__xludf.DUMMYFUNCTION("""COMPUTED_VALUE"""),"4º CRBM")</f>
        <v>4º CRBM</v>
      </c>
      <c r="C482" s="1" t="str">
        <f>IFERROR(__xludf.DUMMYFUNCTION("""COMPUTED_VALUE"""),"6º BBM")</f>
        <v>6º BBM</v>
      </c>
      <c r="D482" s="1" t="str">
        <f>IFERROR(__xludf.DUMMYFUNCTION("""COMPUTED_VALUE"""),"Vera Cruz")</f>
        <v>Vera Cruz</v>
      </c>
      <c r="E482" s="145" t="str">
        <f>IFERROR(__xludf.DUMMYFUNCTION("""COMPUTED_VALUE"""),"Comunitário")</f>
        <v>Comunitário</v>
      </c>
      <c r="F482" s="145"/>
      <c r="G482" s="145"/>
      <c r="H482" s="145"/>
    </row>
    <row r="483" customHeight="1" spans="1:8">
      <c r="A483" s="1" t="str">
        <f>IFERROR(__xludf.DUMMYFUNCTION("""COMPUTED_VALUE"""),"Veranópolis")</f>
        <v>Veranópolis</v>
      </c>
      <c r="B483" s="144" t="str">
        <f>IFERROR(__xludf.DUMMYFUNCTION("""COMPUTED_VALUE"""),"2º CRBM")</f>
        <v>2º CRBM</v>
      </c>
      <c r="C483" s="1" t="str">
        <f>IFERROR(__xludf.DUMMYFUNCTION("""COMPUTED_VALUE"""),"5º BBM")</f>
        <v>5º BBM</v>
      </c>
      <c r="D483" s="1" t="str">
        <f>IFERROR(__xludf.DUMMYFUNCTION("""COMPUTED_VALUE"""),"Veranópolis")</f>
        <v>Veranópolis</v>
      </c>
      <c r="E483" s="145" t="str">
        <f>IFERROR(__xludf.DUMMYFUNCTION("""COMPUTED_VALUE"""),"Militar")</f>
        <v>Militar</v>
      </c>
      <c r="F483" s="145"/>
      <c r="G483" s="145"/>
      <c r="H483" s="145"/>
    </row>
    <row r="484" customHeight="1" spans="1:8">
      <c r="A484" s="1" t="str">
        <f>IFERROR(__xludf.DUMMYFUNCTION("""COMPUTED_VALUE"""),"Vespasiano Corrêa")</f>
        <v>Vespasiano Corrêa</v>
      </c>
      <c r="B484" s="144" t="str">
        <f>IFERROR(__xludf.DUMMYFUNCTION("""COMPUTED_VALUE"""),"4º CRBM")</f>
        <v>4º CRBM</v>
      </c>
      <c r="C484" s="1" t="str">
        <f>IFERROR(__xludf.DUMMYFUNCTION("""COMPUTED_VALUE"""),"6º BBM")</f>
        <v>6º BBM</v>
      </c>
      <c r="D484" s="1" t="str">
        <f>IFERROR(__xludf.DUMMYFUNCTION("""COMPUTED_VALUE"""),"Encantado")</f>
        <v>Encantado</v>
      </c>
      <c r="E484" s="145" t="str">
        <f>IFERROR(__xludf.DUMMYFUNCTION("""COMPUTED_VALUE"""),"NPBM")</f>
        <v>NPBM</v>
      </c>
      <c r="F484" s="145"/>
      <c r="G484" s="145"/>
      <c r="H484" s="145"/>
    </row>
    <row r="485" customHeight="1" spans="1:8">
      <c r="A485" s="1" t="str">
        <f>IFERROR(__xludf.DUMMYFUNCTION("""COMPUTED_VALUE"""),"Viadutos")</f>
        <v>Viadutos</v>
      </c>
      <c r="B485" s="144" t="str">
        <f>IFERROR(__xludf.DUMMYFUNCTION("""COMPUTED_VALUE"""),"2º CRBM")</f>
        <v>2º CRBM</v>
      </c>
      <c r="C485" s="1" t="str">
        <f>IFERROR(__xludf.DUMMYFUNCTION("""COMPUTED_VALUE"""),"7º BBM")</f>
        <v>7º BBM</v>
      </c>
      <c r="D485" s="1" t="str">
        <f>IFERROR(__xludf.DUMMYFUNCTION("""COMPUTED_VALUE"""),"Erechim")</f>
        <v>Erechim</v>
      </c>
      <c r="E485" s="145" t="str">
        <f>IFERROR(__xludf.DUMMYFUNCTION("""COMPUTED_VALUE"""),"SCAB")</f>
        <v>SCAB</v>
      </c>
      <c r="F485" s="145"/>
      <c r="G485" s="145"/>
      <c r="H485" s="145"/>
    </row>
    <row r="486" customHeight="1" spans="1:8">
      <c r="A486" s="1" t="str">
        <f>IFERROR(__xludf.DUMMYFUNCTION("""COMPUTED_VALUE"""),"Viamão")</f>
        <v>Viamão</v>
      </c>
      <c r="B486" s="144" t="str">
        <f>IFERROR(__xludf.DUMMYFUNCTION("""COMPUTED_VALUE"""),"1º CRBM")</f>
        <v>1º CRBM</v>
      </c>
      <c r="C486" s="1" t="str">
        <f>IFERROR(__xludf.DUMMYFUNCTION("""COMPUTED_VALUE"""),"8º BBM")</f>
        <v>8º BBM</v>
      </c>
      <c r="D486" s="1" t="str">
        <f>IFERROR(__xludf.DUMMYFUNCTION("""COMPUTED_VALUE"""),"Viamão")</f>
        <v>Viamão</v>
      </c>
      <c r="E486" s="145" t="str">
        <f>IFERROR(__xludf.DUMMYFUNCTION("""COMPUTED_VALUE"""),"Militar")</f>
        <v>Militar</v>
      </c>
      <c r="F486" s="145"/>
      <c r="G486" s="145"/>
      <c r="H486" s="145"/>
    </row>
    <row r="487" customHeight="1" spans="1:8">
      <c r="A487" s="1" t="str">
        <f>IFERROR(__xludf.DUMMYFUNCTION("""COMPUTED_VALUE"""),"Vicente Dutra")</f>
        <v>Vicente Dutra</v>
      </c>
      <c r="B487" s="144" t="str">
        <f>IFERROR(__xludf.DUMMYFUNCTION("""COMPUTED_VALUE"""),"4º CRBM")</f>
        <v>4º CRBM</v>
      </c>
      <c r="C487" s="1" t="str">
        <f>IFERROR(__xludf.DUMMYFUNCTION("""COMPUTED_VALUE"""),"12º BBM")</f>
        <v>12º BBM</v>
      </c>
      <c r="D487" s="1" t="str">
        <f>IFERROR(__xludf.DUMMYFUNCTION("""COMPUTED_VALUE"""),"Frederico Westphalen")</f>
        <v>Frederico Westphalen</v>
      </c>
      <c r="E487" s="145" t="str">
        <f>IFERROR(__xludf.DUMMYFUNCTION("""COMPUTED_VALUE"""),"NPBM")</f>
        <v>NPBM</v>
      </c>
      <c r="F487" s="145"/>
      <c r="G487" s="145"/>
      <c r="H487" s="145"/>
    </row>
    <row r="488" customHeight="1" spans="1:8">
      <c r="A488" s="1" t="str">
        <f>IFERROR(__xludf.DUMMYFUNCTION("""COMPUTED_VALUE"""),"Victor Graeff")</f>
        <v>Victor Graeff</v>
      </c>
      <c r="B488" s="144" t="str">
        <f>IFERROR(__xludf.DUMMYFUNCTION("""COMPUTED_VALUE"""),"2º CRBM")</f>
        <v>2º CRBM</v>
      </c>
      <c r="C488" s="1" t="str">
        <f>IFERROR(__xludf.DUMMYFUNCTION("""COMPUTED_VALUE"""),"7º BBM")</f>
        <v>7º BBM</v>
      </c>
      <c r="D488" s="1" t="str">
        <f>IFERROR(__xludf.DUMMYFUNCTION("""COMPUTED_VALUE"""),"Tapera")</f>
        <v>Tapera</v>
      </c>
      <c r="E488" s="145" t="str">
        <f>IFERROR(__xludf.DUMMYFUNCTION("""COMPUTED_VALUE"""),"NPBM")</f>
        <v>NPBM</v>
      </c>
      <c r="F488" s="145"/>
      <c r="G488" s="145"/>
      <c r="H488" s="145"/>
    </row>
    <row r="489" customHeight="1" spans="1:8">
      <c r="A489" s="1" t="str">
        <f>IFERROR(__xludf.DUMMYFUNCTION("""COMPUTED_VALUE"""),"Vila Flores")</f>
        <v>Vila Flores</v>
      </c>
      <c r="B489" s="144" t="str">
        <f>IFERROR(__xludf.DUMMYFUNCTION("""COMPUTED_VALUE"""),"2º CRBM")</f>
        <v>2º CRBM</v>
      </c>
      <c r="C489" s="1" t="str">
        <f>IFERROR(__xludf.DUMMYFUNCTION("""COMPUTED_VALUE"""),"5º BBM")</f>
        <v>5º BBM</v>
      </c>
      <c r="D489" s="1" t="str">
        <f>IFERROR(__xludf.DUMMYFUNCTION("""COMPUTED_VALUE"""),"Veranópolis")</f>
        <v>Veranópolis</v>
      </c>
      <c r="E489" s="145" t="str">
        <f>IFERROR(__xludf.DUMMYFUNCTION("""COMPUTED_VALUE"""),"NPBM")</f>
        <v>NPBM</v>
      </c>
      <c r="F489" s="145"/>
      <c r="G489" s="145"/>
      <c r="H489" s="145"/>
    </row>
    <row r="490" customHeight="1" spans="1:8">
      <c r="A490" s="1" t="str">
        <f>IFERROR(__xludf.DUMMYFUNCTION("""COMPUTED_VALUE"""),"Vila Lângaro")</f>
        <v>Vila Lângaro</v>
      </c>
      <c r="B490" s="144" t="str">
        <f>IFERROR(__xludf.DUMMYFUNCTION("""COMPUTED_VALUE"""),"2º CRBM")</f>
        <v>2º CRBM</v>
      </c>
      <c r="C490" s="1" t="str">
        <f>IFERROR(__xludf.DUMMYFUNCTION("""COMPUTED_VALUE"""),"7º BBM")</f>
        <v>7º BBM</v>
      </c>
      <c r="D490" s="1" t="str">
        <f>IFERROR(__xludf.DUMMYFUNCTION("""COMPUTED_VALUE"""),"Passo Fundo")</f>
        <v>Passo Fundo</v>
      </c>
      <c r="E490" s="145" t="str">
        <f>IFERROR(__xludf.DUMMYFUNCTION("""COMPUTED_VALUE"""),"NPBM")</f>
        <v>NPBM</v>
      </c>
      <c r="F490" s="145"/>
      <c r="G490" s="145"/>
      <c r="H490" s="145"/>
    </row>
    <row r="491" customHeight="1" spans="1:8">
      <c r="A491" s="1" t="str">
        <f>IFERROR(__xludf.DUMMYFUNCTION("""COMPUTED_VALUE"""),"Vila Maria")</f>
        <v>Vila Maria</v>
      </c>
      <c r="B491" s="144" t="str">
        <f>IFERROR(__xludf.DUMMYFUNCTION("""COMPUTED_VALUE"""),"2º CRBM")</f>
        <v>2º CRBM</v>
      </c>
      <c r="C491" s="1" t="str">
        <f>IFERROR(__xludf.DUMMYFUNCTION("""COMPUTED_VALUE"""),"7º BBM")</f>
        <v>7º BBM</v>
      </c>
      <c r="D491" s="1" t="str">
        <f>IFERROR(__xludf.DUMMYFUNCTION("""COMPUTED_VALUE"""),"Passo Fundo")</f>
        <v>Passo Fundo</v>
      </c>
      <c r="E491" s="145" t="str">
        <f>IFERROR(__xludf.DUMMYFUNCTION("""COMPUTED_VALUE"""),"NPBM")</f>
        <v>NPBM</v>
      </c>
      <c r="F491" s="145"/>
      <c r="G491" s="145"/>
      <c r="H491" s="145"/>
    </row>
    <row r="492" customHeight="1" spans="1:8">
      <c r="A492" s="1" t="str">
        <f>IFERROR(__xludf.DUMMYFUNCTION("""COMPUTED_VALUE"""),"Vila Nova do Sul")</f>
        <v>Vila Nova do Sul</v>
      </c>
      <c r="B492" s="144" t="str">
        <f>IFERROR(__xludf.DUMMYFUNCTION("""COMPUTED_VALUE"""),"3º CRBM")</f>
        <v>3º CRBM</v>
      </c>
      <c r="C492" s="1" t="str">
        <f>IFERROR(__xludf.DUMMYFUNCTION("""COMPUTED_VALUE"""),"10º BBM")</f>
        <v>10º BBM</v>
      </c>
      <c r="D492" s="1" t="str">
        <f>IFERROR(__xludf.DUMMYFUNCTION("""COMPUTED_VALUE"""),"São Gabriel")</f>
        <v>São Gabriel</v>
      </c>
      <c r="E492" s="145" t="str">
        <f>IFERROR(__xludf.DUMMYFUNCTION("""COMPUTED_VALUE"""),"NPBM")</f>
        <v>NPBM</v>
      </c>
      <c r="F492" s="145"/>
      <c r="G492" s="145"/>
      <c r="H492" s="145"/>
    </row>
    <row r="493" customHeight="1" spans="1:8">
      <c r="A493" s="1" t="str">
        <f>IFERROR(__xludf.DUMMYFUNCTION("""COMPUTED_VALUE"""),"Vista Alegre")</f>
        <v>Vista Alegre</v>
      </c>
      <c r="B493" s="144" t="str">
        <f>IFERROR(__xludf.DUMMYFUNCTION("""COMPUTED_VALUE"""),"4º CRBM")</f>
        <v>4º CRBM</v>
      </c>
      <c r="C493" s="1" t="str">
        <f>IFERROR(__xludf.DUMMYFUNCTION("""COMPUTED_VALUE"""),"12º BBM")</f>
        <v>12º BBM</v>
      </c>
      <c r="D493" s="1" t="str">
        <f>IFERROR(__xludf.DUMMYFUNCTION("""COMPUTED_VALUE"""),"Frederico Westphalen")</f>
        <v>Frederico Westphalen</v>
      </c>
      <c r="E493" s="145" t="str">
        <f>IFERROR(__xludf.DUMMYFUNCTION("""COMPUTED_VALUE"""),"NPBM")</f>
        <v>NPBM</v>
      </c>
      <c r="F493" s="145"/>
      <c r="G493" s="145"/>
      <c r="H493" s="145"/>
    </row>
    <row r="494" customHeight="1" spans="1:8">
      <c r="A494" s="1" t="str">
        <f>IFERROR(__xludf.DUMMYFUNCTION("""COMPUTED_VALUE"""),"Vista Alegre do Prata")</f>
        <v>Vista Alegre do Prata</v>
      </c>
      <c r="B494" s="144" t="str">
        <f>IFERROR(__xludf.DUMMYFUNCTION("""COMPUTED_VALUE"""),"2º CRBM")</f>
        <v>2º CRBM</v>
      </c>
      <c r="C494" s="1" t="str">
        <f>IFERROR(__xludf.DUMMYFUNCTION("""COMPUTED_VALUE"""),"5º BBM")</f>
        <v>5º BBM</v>
      </c>
      <c r="D494" s="1" t="str">
        <f>IFERROR(__xludf.DUMMYFUNCTION("""COMPUTED_VALUE"""),"Guaporé")</f>
        <v>Guaporé</v>
      </c>
      <c r="E494" s="145" t="str">
        <f>IFERROR(__xludf.DUMMYFUNCTION("""COMPUTED_VALUE"""),"NPBM")</f>
        <v>NPBM</v>
      </c>
      <c r="F494" s="145"/>
      <c r="G494" s="145"/>
      <c r="H494" s="145"/>
    </row>
    <row r="495" customHeight="1" spans="1:8">
      <c r="A495" s="1" t="str">
        <f>IFERROR(__xludf.DUMMYFUNCTION("""COMPUTED_VALUE"""),"Vista Gaúcha")</f>
        <v>Vista Gaúcha</v>
      </c>
      <c r="B495" s="144" t="str">
        <f>IFERROR(__xludf.DUMMYFUNCTION("""COMPUTED_VALUE"""),"4º CRBM")</f>
        <v>4º CRBM</v>
      </c>
      <c r="C495" s="1" t="str">
        <f>IFERROR(__xludf.DUMMYFUNCTION("""COMPUTED_VALUE"""),"11º BBM")</f>
        <v>11º BBM</v>
      </c>
      <c r="D495" s="1" t="str">
        <f>IFERROR(__xludf.DUMMYFUNCTION("""COMPUTED_VALUE"""),"Três Passos")</f>
        <v>Três Passos</v>
      </c>
      <c r="E495" s="145" t="str">
        <f>IFERROR(__xludf.DUMMYFUNCTION("""COMPUTED_VALUE"""),"NPBM")</f>
        <v>NPBM</v>
      </c>
      <c r="F495" s="145"/>
      <c r="G495" s="145"/>
      <c r="H495" s="145"/>
    </row>
    <row r="496" customHeight="1" spans="1:8">
      <c r="A496" s="1" t="str">
        <f>IFERROR(__xludf.DUMMYFUNCTION("""COMPUTED_VALUE"""),"Vitória das Missões")</f>
        <v>Vitória das Missões</v>
      </c>
      <c r="B496" s="144" t="str">
        <f>IFERROR(__xludf.DUMMYFUNCTION("""COMPUTED_VALUE"""),"4º CRBM")</f>
        <v>4º CRBM</v>
      </c>
      <c r="C496" s="1" t="str">
        <f>IFERROR(__xludf.DUMMYFUNCTION("""COMPUTED_VALUE"""),"11º BBM")</f>
        <v>11º BBM</v>
      </c>
      <c r="D496" s="1" t="str">
        <f>IFERROR(__xludf.DUMMYFUNCTION("""COMPUTED_VALUE"""),"Santo Ângelo")</f>
        <v>Santo Ângelo</v>
      </c>
      <c r="E496" s="145" t="str">
        <f>IFERROR(__xludf.DUMMYFUNCTION("""COMPUTED_VALUE"""),"NPBM")</f>
        <v>NPBM</v>
      </c>
      <c r="F496" s="145"/>
      <c r="G496" s="145"/>
      <c r="H496" s="145"/>
    </row>
    <row r="497" customHeight="1" spans="1:8">
      <c r="A497" s="1" t="str">
        <f>IFERROR(__xludf.DUMMYFUNCTION("""COMPUTED_VALUE"""),"Westfália")</f>
        <v>Westfália</v>
      </c>
      <c r="B497" s="144" t="str">
        <f>IFERROR(__xludf.DUMMYFUNCTION("""COMPUTED_VALUE"""),"4º CRBM")</f>
        <v>4º CRBM</v>
      </c>
      <c r="C497" s="1" t="str">
        <f>IFERROR(__xludf.DUMMYFUNCTION("""COMPUTED_VALUE"""),"6º BBM")</f>
        <v>6º BBM</v>
      </c>
      <c r="D497" s="1" t="str">
        <f>IFERROR(__xludf.DUMMYFUNCTION("""COMPUTED_VALUE"""),"Estrela")</f>
        <v>Estrela</v>
      </c>
      <c r="E497" s="145" t="str">
        <f>IFERROR(__xludf.DUMMYFUNCTION("""COMPUTED_VALUE"""),"NPBM")</f>
        <v>NPBM</v>
      </c>
      <c r="F497" s="145"/>
      <c r="G497" s="145"/>
      <c r="H497" s="145"/>
    </row>
    <row r="498" customHeight="1" spans="1:8">
      <c r="A498" s="1" t="str">
        <f>IFERROR(__xludf.DUMMYFUNCTION("""COMPUTED_VALUE"""),"Xangri-lá")</f>
        <v>Xangri-lá</v>
      </c>
      <c r="B498" s="144" t="str">
        <f>IFERROR(__xludf.DUMMYFUNCTION("""COMPUTED_VALUE"""),"1º CRBM")</f>
        <v>1º CRBM</v>
      </c>
      <c r="C498" s="1" t="str">
        <f>IFERROR(__xludf.DUMMYFUNCTION("""COMPUTED_VALUE"""),"9º BBM")</f>
        <v>9º BBM</v>
      </c>
      <c r="D498" s="1" t="str">
        <f>IFERROR(__xludf.DUMMYFUNCTION("""COMPUTED_VALUE"""),"Capão da Canoa")</f>
        <v>Capão da Canoa</v>
      </c>
      <c r="E498" s="145" t="str">
        <f>IFERROR(__xludf.DUMMYFUNCTION("""COMPUTED_VALUE"""),"NPBM")</f>
        <v>NPBM</v>
      </c>
      <c r="F498" s="145"/>
      <c r="G498" s="145"/>
      <c r="H498" s="145"/>
    </row>
    <row r="499" customHeight="1" spans="5:8">
      <c r="E499" s="145"/>
      <c r="F499" s="145"/>
      <c r="G499" s="145"/>
      <c r="H499" s="145"/>
    </row>
    <row r="500" customHeight="1" spans="5:8">
      <c r="E500" s="145"/>
      <c r="F500" s="145"/>
      <c r="G500" s="145"/>
      <c r="H500" s="145"/>
    </row>
    <row r="501" customHeight="1" spans="5:8">
      <c r="E501" s="145"/>
      <c r="F501" s="145"/>
      <c r="G501" s="145"/>
      <c r="H501" s="145"/>
    </row>
    <row r="502" customHeight="1" spans="5:8">
      <c r="E502" s="145"/>
      <c r="F502" s="145"/>
      <c r="G502" s="145"/>
      <c r="H502" s="145"/>
    </row>
    <row r="503" customHeight="1" spans="5:8">
      <c r="E503" s="145"/>
      <c r="F503" s="145"/>
      <c r="G503" s="145"/>
      <c r="H503" s="145"/>
    </row>
    <row r="504" customHeight="1" spans="5:8">
      <c r="E504" s="145"/>
      <c r="F504" s="145"/>
      <c r="G504" s="145"/>
      <c r="H504" s="145"/>
    </row>
    <row r="505" customHeight="1" spans="5:8">
      <c r="E505" s="145"/>
      <c r="F505" s="145"/>
      <c r="G505" s="145"/>
      <c r="H505" s="145"/>
    </row>
    <row r="506" customHeight="1" spans="5:8">
      <c r="E506" s="145"/>
      <c r="F506" s="145"/>
      <c r="G506" s="145"/>
      <c r="H506" s="145"/>
    </row>
    <row r="507" customHeight="1" spans="5:8">
      <c r="E507" s="145"/>
      <c r="F507" s="145"/>
      <c r="G507" s="145"/>
      <c r="H507" s="145"/>
    </row>
    <row r="508" customHeight="1" spans="5:8">
      <c r="E508" s="145"/>
      <c r="F508" s="145"/>
      <c r="G508" s="145"/>
      <c r="H508" s="145"/>
    </row>
    <row r="509" customHeight="1" spans="5:8">
      <c r="E509" s="145"/>
      <c r="F509" s="145"/>
      <c r="G509" s="145"/>
      <c r="H509" s="145"/>
    </row>
    <row r="510" customHeight="1" spans="5:8">
      <c r="E510" s="145"/>
      <c r="F510" s="145"/>
      <c r="G510" s="145"/>
      <c r="H510" s="145"/>
    </row>
    <row r="511" customHeight="1" spans="5:8">
      <c r="E511" s="145"/>
      <c r="F511" s="145"/>
      <c r="G511" s="145"/>
      <c r="H511" s="145"/>
    </row>
    <row r="512" customHeight="1" spans="5:8">
      <c r="E512" s="145"/>
      <c r="F512" s="145"/>
      <c r="G512" s="145"/>
      <c r="H512" s="145"/>
    </row>
    <row r="513" customHeight="1" spans="5:8">
      <c r="E513" s="145"/>
      <c r="F513" s="145"/>
      <c r="G513" s="145"/>
      <c r="H513" s="145"/>
    </row>
    <row r="514" customHeight="1" spans="5:8">
      <c r="E514" s="145"/>
      <c r="F514" s="145"/>
      <c r="G514" s="145"/>
      <c r="H514" s="145"/>
    </row>
    <row r="515" customHeight="1" spans="5:8">
      <c r="E515" s="145"/>
      <c r="F515" s="145"/>
      <c r="G515" s="145"/>
      <c r="H515" s="145"/>
    </row>
    <row r="516" customHeight="1" spans="5:8">
      <c r="E516" s="145"/>
      <c r="F516" s="145"/>
      <c r="G516" s="145"/>
      <c r="H516" s="145"/>
    </row>
    <row r="517" customHeight="1" spans="5:8">
      <c r="E517" s="145"/>
      <c r="F517" s="145"/>
      <c r="G517" s="145"/>
      <c r="H517" s="145"/>
    </row>
    <row r="518" customHeight="1" spans="5:8">
      <c r="E518" s="145"/>
      <c r="F518" s="145"/>
      <c r="G518" s="145"/>
      <c r="H518" s="145"/>
    </row>
    <row r="519" customHeight="1" spans="5:8">
      <c r="E519" s="145"/>
      <c r="F519" s="145"/>
      <c r="G519" s="145"/>
      <c r="H519" s="145"/>
    </row>
    <row r="520" customHeight="1" spans="5:8">
      <c r="E520" s="145"/>
      <c r="F520" s="145"/>
      <c r="G520" s="145"/>
      <c r="H520" s="145"/>
    </row>
    <row r="521" customHeight="1" spans="5:8">
      <c r="E521" s="145"/>
      <c r="F521" s="145"/>
      <c r="G521" s="145"/>
      <c r="H521" s="145"/>
    </row>
    <row r="522" customHeight="1" spans="5:8">
      <c r="E522" s="145"/>
      <c r="F522" s="145"/>
      <c r="G522" s="145"/>
      <c r="H522" s="145"/>
    </row>
    <row r="523" customHeight="1" spans="5:8">
      <c r="E523" s="145"/>
      <c r="F523" s="145"/>
      <c r="G523" s="145"/>
      <c r="H523" s="145"/>
    </row>
    <row r="524" customHeight="1" spans="5:8">
      <c r="E524" s="145"/>
      <c r="F524" s="145"/>
      <c r="G524" s="145"/>
      <c r="H524" s="145"/>
    </row>
    <row r="525" customHeight="1" spans="5:8">
      <c r="E525" s="145"/>
      <c r="F525" s="145"/>
      <c r="G525" s="145"/>
      <c r="H525" s="145"/>
    </row>
    <row r="526" customHeight="1" spans="5:8">
      <c r="E526" s="145"/>
      <c r="F526" s="145"/>
      <c r="G526" s="145"/>
      <c r="H526" s="145"/>
    </row>
    <row r="527" customHeight="1" spans="5:8">
      <c r="E527" s="145"/>
      <c r="F527" s="145"/>
      <c r="G527" s="145"/>
      <c r="H527" s="145"/>
    </row>
    <row r="528" customHeight="1" spans="5:8">
      <c r="E528" s="145"/>
      <c r="F528" s="145"/>
      <c r="G528" s="145"/>
      <c r="H528" s="145"/>
    </row>
    <row r="529" customHeight="1" spans="5:8">
      <c r="E529" s="145"/>
      <c r="F529" s="145"/>
      <c r="G529" s="145"/>
      <c r="H529" s="145"/>
    </row>
    <row r="530" customHeight="1" spans="5:8">
      <c r="E530" s="145"/>
      <c r="F530" s="145"/>
      <c r="G530" s="145"/>
      <c r="H530" s="145"/>
    </row>
    <row r="531" customHeight="1" spans="5:8">
      <c r="E531" s="145"/>
      <c r="F531" s="145"/>
      <c r="G531" s="145"/>
      <c r="H531" s="145"/>
    </row>
    <row r="532" customHeight="1" spans="5:8">
      <c r="E532" s="145"/>
      <c r="F532" s="145"/>
      <c r="G532" s="145"/>
      <c r="H532" s="145"/>
    </row>
    <row r="533" customHeight="1" spans="5:8">
      <c r="E533" s="145"/>
      <c r="F533" s="145"/>
      <c r="G533" s="145"/>
      <c r="H533" s="145"/>
    </row>
    <row r="534" customHeight="1" spans="5:8">
      <c r="E534" s="145"/>
      <c r="F534" s="145"/>
      <c r="G534" s="145"/>
      <c r="H534" s="145"/>
    </row>
    <row r="535" customHeight="1" spans="5:8">
      <c r="E535" s="145"/>
      <c r="F535" s="145"/>
      <c r="G535" s="145"/>
      <c r="H535" s="145"/>
    </row>
    <row r="536" customHeight="1" spans="5:8">
      <c r="E536" s="145"/>
      <c r="F536" s="145"/>
      <c r="G536" s="145"/>
      <c r="H536" s="145"/>
    </row>
    <row r="537" customHeight="1" spans="5:8">
      <c r="E537" s="145"/>
      <c r="F537" s="145"/>
      <c r="G537" s="145"/>
      <c r="H537" s="145"/>
    </row>
    <row r="538" customHeight="1" spans="5:8">
      <c r="E538" s="145"/>
      <c r="F538" s="145"/>
      <c r="G538" s="145"/>
      <c r="H538" s="145"/>
    </row>
    <row r="539" customHeight="1" spans="5:8">
      <c r="E539" s="145"/>
      <c r="F539" s="145"/>
      <c r="G539" s="145"/>
      <c r="H539" s="145"/>
    </row>
    <row r="540" customHeight="1" spans="5:8">
      <c r="E540" s="145"/>
      <c r="F540" s="145"/>
      <c r="G540" s="145"/>
      <c r="H540" s="145"/>
    </row>
    <row r="541" customHeight="1" spans="5:8">
      <c r="E541" s="145"/>
      <c r="F541" s="145"/>
      <c r="G541" s="145"/>
      <c r="H541" s="145"/>
    </row>
    <row r="542" customHeight="1" spans="5:8">
      <c r="E542" s="145"/>
      <c r="F542" s="145"/>
      <c r="G542" s="145"/>
      <c r="H542" s="145"/>
    </row>
    <row r="543" customHeight="1" spans="5:8">
      <c r="E543" s="145"/>
      <c r="F543" s="145"/>
      <c r="G543" s="145"/>
      <c r="H543" s="145"/>
    </row>
    <row r="544" customHeight="1" spans="5:8">
      <c r="E544" s="145"/>
      <c r="F544" s="145"/>
      <c r="G544" s="145"/>
      <c r="H544" s="145"/>
    </row>
    <row r="545" customHeight="1" spans="5:8">
      <c r="E545" s="145"/>
      <c r="F545" s="145"/>
      <c r="G545" s="145"/>
      <c r="H545" s="145"/>
    </row>
    <row r="546" customHeight="1" spans="5:8">
      <c r="E546" s="145"/>
      <c r="F546" s="145"/>
      <c r="G546" s="145"/>
      <c r="H546" s="145"/>
    </row>
    <row r="547" customHeight="1" spans="5:8">
      <c r="E547" s="145"/>
      <c r="F547" s="145"/>
      <c r="G547" s="145"/>
      <c r="H547" s="145"/>
    </row>
    <row r="548" customHeight="1" spans="5:8">
      <c r="E548" s="145"/>
      <c r="F548" s="145"/>
      <c r="G548" s="145"/>
      <c r="H548" s="145"/>
    </row>
    <row r="549" customHeight="1" spans="5:8">
      <c r="E549" s="145"/>
      <c r="F549" s="145"/>
      <c r="G549" s="145"/>
      <c r="H549" s="145"/>
    </row>
    <row r="550" customHeight="1" spans="5:8">
      <c r="E550" s="145"/>
      <c r="F550" s="145"/>
      <c r="G550" s="145"/>
      <c r="H550" s="145"/>
    </row>
    <row r="551" customHeight="1" spans="5:8">
      <c r="E551" s="145"/>
      <c r="F551" s="145"/>
      <c r="G551" s="145"/>
      <c r="H551" s="145"/>
    </row>
    <row r="552" customHeight="1" spans="5:8">
      <c r="E552" s="145"/>
      <c r="F552" s="145"/>
      <c r="G552" s="145"/>
      <c r="H552" s="145"/>
    </row>
    <row r="553" customHeight="1" spans="5:8">
      <c r="E553" s="145"/>
      <c r="F553" s="145"/>
      <c r="G553" s="145"/>
      <c r="H553" s="145"/>
    </row>
    <row r="554" customHeight="1" spans="5:8">
      <c r="E554" s="145"/>
      <c r="F554" s="145"/>
      <c r="G554" s="145"/>
      <c r="H554" s="145"/>
    </row>
    <row r="555" customHeight="1" spans="5:8">
      <c r="E555" s="145"/>
      <c r="F555" s="145"/>
      <c r="G555" s="145"/>
      <c r="H555" s="145"/>
    </row>
    <row r="556" customHeight="1" spans="5:8">
      <c r="E556" s="145"/>
      <c r="F556" s="145"/>
      <c r="G556" s="145"/>
      <c r="H556" s="145"/>
    </row>
    <row r="557" customHeight="1" spans="5:8">
      <c r="E557" s="145"/>
      <c r="F557" s="145"/>
      <c r="G557" s="145"/>
      <c r="H557" s="145"/>
    </row>
    <row r="558" customHeight="1" spans="5:8">
      <c r="E558" s="145"/>
      <c r="F558" s="145"/>
      <c r="G558" s="145"/>
      <c r="H558" s="145"/>
    </row>
    <row r="559" customHeight="1" spans="5:8">
      <c r="E559" s="145"/>
      <c r="F559" s="145"/>
      <c r="G559" s="145"/>
      <c r="H559" s="145"/>
    </row>
    <row r="560" customHeight="1" spans="5:8">
      <c r="E560" s="145"/>
      <c r="F560" s="145"/>
      <c r="G560" s="145"/>
      <c r="H560" s="145"/>
    </row>
    <row r="561" customHeight="1" spans="5:8">
      <c r="E561" s="145"/>
      <c r="F561" s="145"/>
      <c r="G561" s="145"/>
      <c r="H561" s="145"/>
    </row>
    <row r="562" customHeight="1" spans="5:8">
      <c r="E562" s="145"/>
      <c r="F562" s="145"/>
      <c r="G562" s="145"/>
      <c r="H562" s="145"/>
    </row>
    <row r="563" customHeight="1" spans="5:8">
      <c r="E563" s="145"/>
      <c r="F563" s="145"/>
      <c r="G563" s="145"/>
      <c r="H563" s="145"/>
    </row>
    <row r="564" customHeight="1" spans="5:8">
      <c r="E564" s="145"/>
      <c r="F564" s="145"/>
      <c r="G564" s="145"/>
      <c r="H564" s="145"/>
    </row>
    <row r="565" customHeight="1" spans="5:8">
      <c r="E565" s="145"/>
      <c r="F565" s="145"/>
      <c r="G565" s="145"/>
      <c r="H565" s="145"/>
    </row>
    <row r="566" customHeight="1" spans="5:8">
      <c r="E566" s="145"/>
      <c r="F566" s="145"/>
      <c r="G566" s="145"/>
      <c r="H566" s="145"/>
    </row>
    <row r="567" customHeight="1" spans="5:8">
      <c r="E567" s="145"/>
      <c r="F567" s="145"/>
      <c r="G567" s="145"/>
      <c r="H567" s="145"/>
    </row>
    <row r="568" customHeight="1" spans="5:8">
      <c r="E568" s="145"/>
      <c r="F568" s="145"/>
      <c r="G568" s="145"/>
      <c r="H568" s="145"/>
    </row>
    <row r="569" customHeight="1" spans="5:8">
      <c r="E569" s="145"/>
      <c r="F569" s="145"/>
      <c r="G569" s="145"/>
      <c r="H569" s="145"/>
    </row>
    <row r="570" customHeight="1" spans="5:8">
      <c r="E570" s="145"/>
      <c r="F570" s="145"/>
      <c r="G570" s="145"/>
      <c r="H570" s="145"/>
    </row>
    <row r="571" customHeight="1" spans="5:8">
      <c r="E571" s="145"/>
      <c r="F571" s="145"/>
      <c r="G571" s="145"/>
      <c r="H571" s="145"/>
    </row>
    <row r="572" customHeight="1" spans="5:8">
      <c r="E572" s="145"/>
      <c r="F572" s="145"/>
      <c r="G572" s="145"/>
      <c r="H572" s="145"/>
    </row>
    <row r="573" customHeight="1" spans="5:8">
      <c r="E573" s="145"/>
      <c r="F573" s="145"/>
      <c r="G573" s="145"/>
      <c r="H573" s="145"/>
    </row>
    <row r="574" customHeight="1" spans="5:8">
      <c r="E574" s="145"/>
      <c r="F574" s="145"/>
      <c r="G574" s="145"/>
      <c r="H574" s="145"/>
    </row>
    <row r="575" customHeight="1" spans="5:8">
      <c r="E575" s="145"/>
      <c r="F575" s="145"/>
      <c r="G575" s="145"/>
      <c r="H575" s="145"/>
    </row>
    <row r="576" customHeight="1" spans="5:8">
      <c r="E576" s="145"/>
      <c r="F576" s="145"/>
      <c r="G576" s="145"/>
      <c r="H576" s="145"/>
    </row>
    <row r="577" customHeight="1" spans="5:8">
      <c r="E577" s="145"/>
      <c r="F577" s="145"/>
      <c r="G577" s="145"/>
      <c r="H577" s="145"/>
    </row>
    <row r="578" customHeight="1" spans="5:8">
      <c r="E578" s="145"/>
      <c r="F578" s="145"/>
      <c r="G578" s="145"/>
      <c r="H578" s="145"/>
    </row>
    <row r="579" customHeight="1" spans="5:8">
      <c r="E579" s="145"/>
      <c r="F579" s="145"/>
      <c r="G579" s="145"/>
      <c r="H579" s="145"/>
    </row>
    <row r="580" customHeight="1" spans="5:8">
      <c r="E580" s="145"/>
      <c r="F580" s="145"/>
      <c r="G580" s="145"/>
      <c r="H580" s="145"/>
    </row>
    <row r="581" customHeight="1" spans="5:8">
      <c r="E581" s="145"/>
      <c r="F581" s="145"/>
      <c r="G581" s="145"/>
      <c r="H581" s="145"/>
    </row>
    <row r="582" customHeight="1" spans="5:8">
      <c r="E582" s="145"/>
      <c r="F582" s="145"/>
      <c r="G582" s="145"/>
      <c r="H582" s="145"/>
    </row>
    <row r="583" customHeight="1" spans="5:8">
      <c r="E583" s="145"/>
      <c r="F583" s="145"/>
      <c r="G583" s="145"/>
      <c r="H583" s="145"/>
    </row>
    <row r="584" customHeight="1" spans="5:8">
      <c r="E584" s="145"/>
      <c r="F584" s="145"/>
      <c r="G584" s="145"/>
      <c r="H584" s="145"/>
    </row>
    <row r="585" customHeight="1" spans="5:8">
      <c r="E585" s="145"/>
      <c r="F585" s="145"/>
      <c r="G585" s="145"/>
      <c r="H585" s="145"/>
    </row>
    <row r="586" customHeight="1" spans="5:8">
      <c r="E586" s="145"/>
      <c r="F586" s="145"/>
      <c r="G586" s="145"/>
      <c r="H586" s="145"/>
    </row>
    <row r="587" customHeight="1" spans="5:8">
      <c r="E587" s="145"/>
      <c r="F587" s="145"/>
      <c r="G587" s="145"/>
      <c r="H587" s="145"/>
    </row>
    <row r="588" customHeight="1" spans="5:8">
      <c r="E588" s="145"/>
      <c r="F588" s="145"/>
      <c r="G588" s="145"/>
      <c r="H588" s="145"/>
    </row>
    <row r="589" customHeight="1" spans="5:8">
      <c r="E589" s="145"/>
      <c r="F589" s="145"/>
      <c r="G589" s="145"/>
      <c r="H589" s="145"/>
    </row>
    <row r="590" customHeight="1" spans="5:8">
      <c r="E590" s="145"/>
      <c r="F590" s="145"/>
      <c r="G590" s="145"/>
      <c r="H590" s="145"/>
    </row>
    <row r="591" customHeight="1" spans="5:8">
      <c r="E591" s="145"/>
      <c r="F591" s="145"/>
      <c r="G591" s="145"/>
      <c r="H591" s="145"/>
    </row>
    <row r="592" customHeight="1" spans="5:8">
      <c r="E592" s="145"/>
      <c r="F592" s="145"/>
      <c r="G592" s="145"/>
      <c r="H592" s="145"/>
    </row>
    <row r="593" customHeight="1" spans="5:8">
      <c r="E593" s="145"/>
      <c r="F593" s="145"/>
      <c r="G593" s="145"/>
      <c r="H593" s="145"/>
    </row>
    <row r="594" customHeight="1" spans="5:8">
      <c r="E594" s="145"/>
      <c r="F594" s="145"/>
      <c r="G594" s="145"/>
      <c r="H594" s="145"/>
    </row>
    <row r="595" customHeight="1" spans="5:8">
      <c r="E595" s="145"/>
      <c r="F595" s="145"/>
      <c r="G595" s="145"/>
      <c r="H595" s="145"/>
    </row>
    <row r="596" customHeight="1" spans="5:8">
      <c r="E596" s="145"/>
      <c r="F596" s="145"/>
      <c r="G596" s="145"/>
      <c r="H596" s="145"/>
    </row>
    <row r="597" customHeight="1" spans="5:8">
      <c r="E597" s="145"/>
      <c r="F597" s="145"/>
      <c r="G597" s="145"/>
      <c r="H597" s="145"/>
    </row>
    <row r="598" customHeight="1" spans="5:8">
      <c r="E598" s="145"/>
      <c r="F598" s="145"/>
      <c r="G598" s="145"/>
      <c r="H598" s="145"/>
    </row>
    <row r="599" customHeight="1" spans="5:8">
      <c r="E599" s="145"/>
      <c r="F599" s="145"/>
      <c r="G599" s="145"/>
      <c r="H599" s="145"/>
    </row>
    <row r="600" customHeight="1" spans="5:8">
      <c r="E600" s="145"/>
      <c r="F600" s="145"/>
      <c r="G600" s="145"/>
      <c r="H600" s="145"/>
    </row>
    <row r="601" customHeight="1" spans="5:8">
      <c r="E601" s="145"/>
      <c r="F601" s="145"/>
      <c r="G601" s="145"/>
      <c r="H601" s="145"/>
    </row>
    <row r="602" customHeight="1" spans="5:8">
      <c r="E602" s="145"/>
      <c r="F602" s="145"/>
      <c r="G602" s="145"/>
      <c r="H602" s="145"/>
    </row>
    <row r="603" customHeight="1" spans="5:8">
      <c r="E603" s="145"/>
      <c r="F603" s="145"/>
      <c r="G603" s="145"/>
      <c r="H603" s="145"/>
    </row>
    <row r="604" customHeight="1" spans="5:8">
      <c r="E604" s="145"/>
      <c r="F604" s="145"/>
      <c r="G604" s="145"/>
      <c r="H604" s="145"/>
    </row>
    <row r="605" customHeight="1" spans="5:8">
      <c r="E605" s="145"/>
      <c r="F605" s="145"/>
      <c r="G605" s="145"/>
      <c r="H605" s="145"/>
    </row>
    <row r="606" customHeight="1" spans="5:8">
      <c r="E606" s="145"/>
      <c r="F606" s="145"/>
      <c r="G606" s="145"/>
      <c r="H606" s="145"/>
    </row>
    <row r="607" customHeight="1" spans="5:8">
      <c r="E607" s="145"/>
      <c r="F607" s="145"/>
      <c r="G607" s="145"/>
      <c r="H607" s="145"/>
    </row>
    <row r="608" customHeight="1" spans="5:8">
      <c r="E608" s="145"/>
      <c r="F608" s="145"/>
      <c r="G608" s="145"/>
      <c r="H608" s="145"/>
    </row>
    <row r="609" customHeight="1" spans="5:8">
      <c r="E609" s="145"/>
      <c r="F609" s="145"/>
      <c r="G609" s="145"/>
      <c r="H609" s="145"/>
    </row>
    <row r="610" customHeight="1" spans="5:8">
      <c r="E610" s="145"/>
      <c r="F610" s="145"/>
      <c r="G610" s="145"/>
      <c r="H610" s="145"/>
    </row>
    <row r="611" customHeight="1" spans="5:8">
      <c r="E611" s="145"/>
      <c r="F611" s="145"/>
      <c r="G611" s="145"/>
      <c r="H611" s="145"/>
    </row>
    <row r="612" customHeight="1" spans="5:8">
      <c r="E612" s="145"/>
      <c r="F612" s="145"/>
      <c r="G612" s="145"/>
      <c r="H612" s="145"/>
    </row>
    <row r="613" customHeight="1" spans="5:8">
      <c r="E613" s="145"/>
      <c r="F613" s="145"/>
      <c r="G613" s="145"/>
      <c r="H613" s="145"/>
    </row>
    <row r="614" customHeight="1" spans="5:8">
      <c r="E614" s="145"/>
      <c r="F614" s="145"/>
      <c r="G614" s="145"/>
      <c r="H614" s="145"/>
    </row>
    <row r="615" customHeight="1" spans="5:8">
      <c r="E615" s="145"/>
      <c r="F615" s="145"/>
      <c r="G615" s="145"/>
      <c r="H615" s="145"/>
    </row>
    <row r="616" customHeight="1" spans="5:8">
      <c r="E616" s="145"/>
      <c r="F616" s="145"/>
      <c r="G616" s="145"/>
      <c r="H616" s="145"/>
    </row>
    <row r="617" customHeight="1" spans="5:8">
      <c r="E617" s="145"/>
      <c r="F617" s="145"/>
      <c r="G617" s="145"/>
      <c r="H617" s="145"/>
    </row>
    <row r="618" customHeight="1" spans="5:8">
      <c r="E618" s="145"/>
      <c r="F618" s="145"/>
      <c r="G618" s="145"/>
      <c r="H618" s="145"/>
    </row>
    <row r="619" customHeight="1" spans="5:8">
      <c r="E619" s="145"/>
      <c r="F619" s="145"/>
      <c r="G619" s="145"/>
      <c r="H619" s="145"/>
    </row>
    <row r="620" customHeight="1" spans="5:8">
      <c r="E620" s="145"/>
      <c r="F620" s="145"/>
      <c r="G620" s="145"/>
      <c r="H620" s="145"/>
    </row>
    <row r="621" customHeight="1" spans="5:8">
      <c r="E621" s="145"/>
      <c r="F621" s="145"/>
      <c r="G621" s="145"/>
      <c r="H621" s="145"/>
    </row>
    <row r="622" customHeight="1" spans="5:8">
      <c r="E622" s="145"/>
      <c r="F622" s="145"/>
      <c r="G622" s="145"/>
      <c r="H622" s="145"/>
    </row>
    <row r="623" customHeight="1" spans="5:8">
      <c r="E623" s="145"/>
      <c r="F623" s="145"/>
      <c r="G623" s="145"/>
      <c r="H623" s="145"/>
    </row>
    <row r="624" customHeight="1" spans="5:8">
      <c r="E624" s="145"/>
      <c r="F624" s="145"/>
      <c r="G624" s="145"/>
      <c r="H624" s="145"/>
    </row>
    <row r="625" customHeight="1" spans="5:8">
      <c r="E625" s="145"/>
      <c r="F625" s="145"/>
      <c r="G625" s="145"/>
      <c r="H625" s="145"/>
    </row>
    <row r="626" customHeight="1" spans="5:8">
      <c r="E626" s="145"/>
      <c r="F626" s="145"/>
      <c r="G626" s="145"/>
      <c r="H626" s="145"/>
    </row>
    <row r="627" customHeight="1" spans="5:8">
      <c r="E627" s="145"/>
      <c r="F627" s="145"/>
      <c r="G627" s="145"/>
      <c r="H627" s="145"/>
    </row>
    <row r="628" customHeight="1" spans="5:8">
      <c r="E628" s="145"/>
      <c r="F628" s="145"/>
      <c r="G628" s="145"/>
      <c r="H628" s="145"/>
    </row>
    <row r="629" customHeight="1" spans="5:8">
      <c r="E629" s="145"/>
      <c r="F629" s="145"/>
      <c r="G629" s="145"/>
      <c r="H629" s="145"/>
    </row>
    <row r="630" customHeight="1" spans="5:8">
      <c r="E630" s="145"/>
      <c r="F630" s="145"/>
      <c r="G630" s="145"/>
      <c r="H630" s="145"/>
    </row>
    <row r="631" customHeight="1" spans="5:8">
      <c r="E631" s="145"/>
      <c r="F631" s="145"/>
      <c r="G631" s="145"/>
      <c r="H631" s="145"/>
    </row>
    <row r="632" customHeight="1" spans="5:8">
      <c r="E632" s="145"/>
      <c r="F632" s="145"/>
      <c r="G632" s="145"/>
      <c r="H632" s="145"/>
    </row>
    <row r="633" customHeight="1" spans="5:8">
      <c r="E633" s="145"/>
      <c r="F633" s="145"/>
      <c r="G633" s="145"/>
      <c r="H633" s="145"/>
    </row>
    <row r="634" customHeight="1" spans="5:8">
      <c r="E634" s="145"/>
      <c r="F634" s="145"/>
      <c r="G634" s="145"/>
      <c r="H634" s="145"/>
    </row>
    <row r="635" customHeight="1" spans="5:8">
      <c r="E635" s="145"/>
      <c r="F635" s="145"/>
      <c r="G635" s="145"/>
      <c r="H635" s="145"/>
    </row>
    <row r="636" customHeight="1" spans="5:8">
      <c r="E636" s="145"/>
      <c r="F636" s="145"/>
      <c r="G636" s="145"/>
      <c r="H636" s="145"/>
    </row>
    <row r="637" customHeight="1" spans="5:8">
      <c r="E637" s="145"/>
      <c r="F637" s="145"/>
      <c r="G637" s="145"/>
      <c r="H637" s="145"/>
    </row>
    <row r="638" customHeight="1" spans="5:8">
      <c r="E638" s="145"/>
      <c r="F638" s="145"/>
      <c r="G638" s="145"/>
      <c r="H638" s="145"/>
    </row>
    <row r="639" customHeight="1" spans="5:8">
      <c r="E639" s="145"/>
      <c r="F639" s="145"/>
      <c r="G639" s="145"/>
      <c r="H639" s="145"/>
    </row>
    <row r="640" customHeight="1" spans="5:8">
      <c r="E640" s="145"/>
      <c r="F640" s="145"/>
      <c r="G640" s="145"/>
      <c r="H640" s="145"/>
    </row>
    <row r="641" customHeight="1" spans="5:8">
      <c r="E641" s="145"/>
      <c r="F641" s="145"/>
      <c r="G641" s="145"/>
      <c r="H641" s="145"/>
    </row>
    <row r="642" customHeight="1" spans="5:8">
      <c r="E642" s="145"/>
      <c r="F642" s="145"/>
      <c r="G642" s="145"/>
      <c r="H642" s="145"/>
    </row>
    <row r="643" customHeight="1" spans="5:8">
      <c r="E643" s="145"/>
      <c r="F643" s="145"/>
      <c r="G643" s="145"/>
      <c r="H643" s="145"/>
    </row>
    <row r="644" customHeight="1" spans="5:8">
      <c r="E644" s="145"/>
      <c r="F644" s="145"/>
      <c r="G644" s="145"/>
      <c r="H644" s="145"/>
    </row>
    <row r="645" customHeight="1" spans="5:8">
      <c r="E645" s="145"/>
      <c r="F645" s="145"/>
      <c r="G645" s="145"/>
      <c r="H645" s="145"/>
    </row>
    <row r="646" customHeight="1" spans="5:8">
      <c r="E646" s="145"/>
      <c r="F646" s="145"/>
      <c r="G646" s="145"/>
      <c r="H646" s="145"/>
    </row>
    <row r="647" customHeight="1" spans="5:8">
      <c r="E647" s="145"/>
      <c r="F647" s="145"/>
      <c r="G647" s="145"/>
      <c r="H647" s="145"/>
    </row>
    <row r="648" customHeight="1" spans="5:8">
      <c r="E648" s="145"/>
      <c r="F648" s="145"/>
      <c r="G648" s="145"/>
      <c r="H648" s="145"/>
    </row>
    <row r="649" customHeight="1" spans="5:8">
      <c r="E649" s="145"/>
      <c r="F649" s="145"/>
      <c r="G649" s="145"/>
      <c r="H649" s="145"/>
    </row>
    <row r="650" customHeight="1" spans="5:8">
      <c r="E650" s="145"/>
      <c r="F650" s="145"/>
      <c r="G650" s="145"/>
      <c r="H650" s="145"/>
    </row>
    <row r="651" customHeight="1" spans="5:8">
      <c r="E651" s="145"/>
      <c r="F651" s="145"/>
      <c r="G651" s="145"/>
      <c r="H651" s="145"/>
    </row>
    <row r="652" customHeight="1" spans="5:8">
      <c r="E652" s="145"/>
      <c r="F652" s="145"/>
      <c r="G652" s="145"/>
      <c r="H652" s="145"/>
    </row>
    <row r="653" customHeight="1" spans="5:8">
      <c r="E653" s="145"/>
      <c r="F653" s="145"/>
      <c r="G653" s="145"/>
      <c r="H653" s="145"/>
    </row>
    <row r="654" customHeight="1" spans="5:8">
      <c r="E654" s="145"/>
      <c r="F654" s="145"/>
      <c r="G654" s="145"/>
      <c r="H654" s="145"/>
    </row>
    <row r="655" customHeight="1" spans="5:8">
      <c r="E655" s="145"/>
      <c r="F655" s="145"/>
      <c r="G655" s="145"/>
      <c r="H655" s="145"/>
    </row>
    <row r="656" customHeight="1" spans="5:8">
      <c r="E656" s="145"/>
      <c r="F656" s="145"/>
      <c r="G656" s="145"/>
      <c r="H656" s="145"/>
    </row>
    <row r="657" customHeight="1" spans="5:8">
      <c r="E657" s="145"/>
      <c r="F657" s="145"/>
      <c r="G657" s="145"/>
      <c r="H657" s="145"/>
    </row>
    <row r="658" customHeight="1" spans="5:8">
      <c r="E658" s="145"/>
      <c r="F658" s="145"/>
      <c r="G658" s="145"/>
      <c r="H658" s="145"/>
    </row>
    <row r="659" customHeight="1" spans="5:8">
      <c r="E659" s="145"/>
      <c r="F659" s="145"/>
      <c r="G659" s="145"/>
      <c r="H659" s="145"/>
    </row>
    <row r="660" customHeight="1" spans="5:8">
      <c r="E660" s="145"/>
      <c r="F660" s="145"/>
      <c r="G660" s="145"/>
      <c r="H660" s="145"/>
    </row>
    <row r="661" customHeight="1" spans="5:8">
      <c r="E661" s="145"/>
      <c r="F661" s="145"/>
      <c r="G661" s="145"/>
      <c r="H661" s="145"/>
    </row>
    <row r="662" customHeight="1" spans="5:8">
      <c r="E662" s="145"/>
      <c r="F662" s="145"/>
      <c r="G662" s="145"/>
      <c r="H662" s="145"/>
    </row>
    <row r="663" customHeight="1" spans="5:8">
      <c r="E663" s="145"/>
      <c r="F663" s="145"/>
      <c r="G663" s="145"/>
      <c r="H663" s="145"/>
    </row>
    <row r="664" customHeight="1" spans="5:8">
      <c r="E664" s="145"/>
      <c r="F664" s="145"/>
      <c r="G664" s="145"/>
      <c r="H664" s="145"/>
    </row>
    <row r="665" customHeight="1" spans="5:8">
      <c r="E665" s="145"/>
      <c r="F665" s="145"/>
      <c r="G665" s="145"/>
      <c r="H665" s="145"/>
    </row>
    <row r="666" customHeight="1" spans="5:8">
      <c r="E666" s="145"/>
      <c r="F666" s="145"/>
      <c r="G666" s="145"/>
      <c r="H666" s="145"/>
    </row>
    <row r="667" customHeight="1" spans="5:8">
      <c r="E667" s="145"/>
      <c r="F667" s="145"/>
      <c r="G667" s="145"/>
      <c r="H667" s="145"/>
    </row>
    <row r="668" customHeight="1" spans="5:8">
      <c r="E668" s="145"/>
      <c r="F668" s="145"/>
      <c r="G668" s="145"/>
      <c r="H668" s="145"/>
    </row>
    <row r="669" customHeight="1" spans="5:8">
      <c r="E669" s="145"/>
      <c r="F669" s="145"/>
      <c r="G669" s="145"/>
      <c r="H669" s="145"/>
    </row>
    <row r="670" customHeight="1" spans="5:8">
      <c r="E670" s="145"/>
      <c r="F670" s="145"/>
      <c r="G670" s="145"/>
      <c r="H670" s="145"/>
    </row>
    <row r="671" customHeight="1" spans="5:8">
      <c r="E671" s="145"/>
      <c r="F671" s="145"/>
      <c r="G671" s="145"/>
      <c r="H671" s="145"/>
    </row>
    <row r="672" customHeight="1" spans="5:8">
      <c r="E672" s="145"/>
      <c r="F672" s="145"/>
      <c r="G672" s="145"/>
      <c r="H672" s="145"/>
    </row>
    <row r="673" customHeight="1" spans="5:8">
      <c r="E673" s="145"/>
      <c r="F673" s="145"/>
      <c r="G673" s="145"/>
      <c r="H673" s="145"/>
    </row>
    <row r="674" customHeight="1" spans="5:8">
      <c r="E674" s="145"/>
      <c r="F674" s="145"/>
      <c r="G674" s="145"/>
      <c r="H674" s="145"/>
    </row>
    <row r="675" customHeight="1" spans="5:8">
      <c r="E675" s="145"/>
      <c r="F675" s="145"/>
      <c r="G675" s="145"/>
      <c r="H675" s="145"/>
    </row>
    <row r="676" customHeight="1" spans="5:8">
      <c r="E676" s="145"/>
      <c r="F676" s="145"/>
      <c r="G676" s="145"/>
      <c r="H676" s="145"/>
    </row>
    <row r="677" customHeight="1" spans="5:8">
      <c r="E677" s="145"/>
      <c r="F677" s="145"/>
      <c r="G677" s="145"/>
      <c r="H677" s="145"/>
    </row>
    <row r="678" customHeight="1" spans="5:8">
      <c r="E678" s="145"/>
      <c r="F678" s="145"/>
      <c r="G678" s="145"/>
      <c r="H678" s="145"/>
    </row>
    <row r="679" customHeight="1" spans="5:8">
      <c r="E679" s="145"/>
      <c r="F679" s="145"/>
      <c r="G679" s="145"/>
      <c r="H679" s="145"/>
    </row>
    <row r="680" customHeight="1" spans="5:8">
      <c r="E680" s="145"/>
      <c r="F680" s="145"/>
      <c r="G680" s="145"/>
      <c r="H680" s="145"/>
    </row>
    <row r="681" customHeight="1" spans="5:8">
      <c r="E681" s="145"/>
      <c r="F681" s="145"/>
      <c r="G681" s="145"/>
      <c r="H681" s="145"/>
    </row>
    <row r="682" customHeight="1" spans="5:8">
      <c r="E682" s="145"/>
      <c r="F682" s="145"/>
      <c r="G682" s="145"/>
      <c r="H682" s="145"/>
    </row>
    <row r="683" customHeight="1" spans="5:8">
      <c r="E683" s="145"/>
      <c r="F683" s="145"/>
      <c r="G683" s="145"/>
      <c r="H683" s="145"/>
    </row>
    <row r="684" customHeight="1" spans="5:8">
      <c r="E684" s="145"/>
      <c r="F684" s="145"/>
      <c r="G684" s="145"/>
      <c r="H684" s="145"/>
    </row>
    <row r="685" customHeight="1" spans="5:8">
      <c r="E685" s="145"/>
      <c r="F685" s="145"/>
      <c r="G685" s="145"/>
      <c r="H685" s="145"/>
    </row>
    <row r="686" customHeight="1" spans="5:8">
      <c r="E686" s="145"/>
      <c r="F686" s="145"/>
      <c r="G686" s="145"/>
      <c r="H686" s="145"/>
    </row>
    <row r="687" customHeight="1" spans="5:8">
      <c r="E687" s="145"/>
      <c r="F687" s="145"/>
      <c r="G687" s="145"/>
      <c r="H687" s="145"/>
    </row>
    <row r="688" customHeight="1" spans="5:8">
      <c r="E688" s="145"/>
      <c r="F688" s="145"/>
      <c r="G688" s="145"/>
      <c r="H688" s="145"/>
    </row>
    <row r="689" customHeight="1" spans="5:8">
      <c r="E689" s="145"/>
      <c r="F689" s="145"/>
      <c r="G689" s="145"/>
      <c r="H689" s="145"/>
    </row>
    <row r="690" customHeight="1" spans="5:8">
      <c r="E690" s="145"/>
      <c r="F690" s="145"/>
      <c r="G690" s="145"/>
      <c r="H690" s="145"/>
    </row>
    <row r="691" customHeight="1" spans="5:8">
      <c r="E691" s="145"/>
      <c r="F691" s="145"/>
      <c r="G691" s="145"/>
      <c r="H691" s="145"/>
    </row>
    <row r="692" customHeight="1" spans="5:8">
      <c r="E692" s="145"/>
      <c r="F692" s="145"/>
      <c r="G692" s="145"/>
      <c r="H692" s="145"/>
    </row>
    <row r="693" customHeight="1" spans="5:8">
      <c r="E693" s="145"/>
      <c r="F693" s="145"/>
      <c r="G693" s="145"/>
      <c r="H693" s="145"/>
    </row>
    <row r="694" customHeight="1" spans="5:8">
      <c r="E694" s="145"/>
      <c r="F694" s="145"/>
      <c r="G694" s="145"/>
      <c r="H694" s="145"/>
    </row>
    <row r="695" customHeight="1" spans="5:8">
      <c r="E695" s="145"/>
      <c r="F695" s="145"/>
      <c r="G695" s="145"/>
      <c r="H695" s="145"/>
    </row>
    <row r="696" customHeight="1" spans="5:8">
      <c r="E696" s="145"/>
      <c r="F696" s="145"/>
      <c r="G696" s="145"/>
      <c r="H696" s="145"/>
    </row>
    <row r="697" customHeight="1" spans="5:8">
      <c r="E697" s="145"/>
      <c r="F697" s="145"/>
      <c r="G697" s="145"/>
      <c r="H697" s="145"/>
    </row>
    <row r="698" customHeight="1" spans="5:8">
      <c r="E698" s="145"/>
      <c r="F698" s="145"/>
      <c r="G698" s="145"/>
      <c r="H698" s="145"/>
    </row>
    <row r="699" customHeight="1" spans="5:8">
      <c r="E699" s="145"/>
      <c r="F699" s="145"/>
      <c r="G699" s="145"/>
      <c r="H699" s="145"/>
    </row>
    <row r="700" customHeight="1" spans="5:8">
      <c r="E700" s="145"/>
      <c r="F700" s="145"/>
      <c r="G700" s="145"/>
      <c r="H700" s="145"/>
    </row>
    <row r="701" customHeight="1" spans="5:8">
      <c r="E701" s="145"/>
      <c r="F701" s="145"/>
      <c r="G701" s="145"/>
      <c r="H701" s="145"/>
    </row>
    <row r="702" customHeight="1" spans="5:8">
      <c r="E702" s="145"/>
      <c r="F702" s="145"/>
      <c r="G702" s="145"/>
      <c r="H702" s="145"/>
    </row>
    <row r="703" customHeight="1" spans="5:8">
      <c r="E703" s="145"/>
      <c r="F703" s="145"/>
      <c r="G703" s="145"/>
      <c r="H703" s="145"/>
    </row>
    <row r="704" customHeight="1" spans="5:8">
      <c r="E704" s="145"/>
      <c r="F704" s="145"/>
      <c r="G704" s="145"/>
      <c r="H704" s="145"/>
    </row>
    <row r="705" customHeight="1" spans="5:8">
      <c r="E705" s="145"/>
      <c r="F705" s="145"/>
      <c r="G705" s="145"/>
      <c r="H705" s="145"/>
    </row>
    <row r="706" customHeight="1" spans="5:8">
      <c r="E706" s="145"/>
      <c r="F706" s="145"/>
      <c r="G706" s="145"/>
      <c r="H706" s="145"/>
    </row>
    <row r="707" customHeight="1" spans="5:8">
      <c r="E707" s="145"/>
      <c r="F707" s="145"/>
      <c r="G707" s="145"/>
      <c r="H707" s="145"/>
    </row>
    <row r="708" customHeight="1" spans="5:8">
      <c r="E708" s="145"/>
      <c r="F708" s="145"/>
      <c r="G708" s="145"/>
      <c r="H708" s="145"/>
    </row>
    <row r="709" customHeight="1" spans="5:8">
      <c r="E709" s="145"/>
      <c r="F709" s="145"/>
      <c r="G709" s="145"/>
      <c r="H709" s="145"/>
    </row>
    <row r="710" customHeight="1" spans="5:8">
      <c r="E710" s="145"/>
      <c r="F710" s="145"/>
      <c r="G710" s="145"/>
      <c r="H710" s="145"/>
    </row>
    <row r="711" customHeight="1" spans="5:8">
      <c r="E711" s="145"/>
      <c r="F711" s="145"/>
      <c r="G711" s="145"/>
      <c r="H711" s="145"/>
    </row>
    <row r="712" customHeight="1" spans="5:8">
      <c r="E712" s="145"/>
      <c r="F712" s="145"/>
      <c r="G712" s="145"/>
      <c r="H712" s="145"/>
    </row>
    <row r="713" customHeight="1" spans="5:8">
      <c r="E713" s="145"/>
      <c r="F713" s="145"/>
      <c r="G713" s="145"/>
      <c r="H713" s="145"/>
    </row>
    <row r="714" customHeight="1" spans="5:8">
      <c r="E714" s="145"/>
      <c r="F714" s="145"/>
      <c r="G714" s="145"/>
      <c r="H714" s="145"/>
    </row>
    <row r="715" customHeight="1" spans="5:8">
      <c r="E715" s="145"/>
      <c r="F715" s="145"/>
      <c r="G715" s="145"/>
      <c r="H715" s="145"/>
    </row>
    <row r="716" customHeight="1" spans="5:8">
      <c r="E716" s="145"/>
      <c r="F716" s="145"/>
      <c r="G716" s="145"/>
      <c r="H716" s="145"/>
    </row>
    <row r="717" customHeight="1" spans="5:8">
      <c r="E717" s="145"/>
      <c r="F717" s="145"/>
      <c r="G717" s="145"/>
      <c r="H717" s="145"/>
    </row>
    <row r="718" customHeight="1" spans="5:8">
      <c r="E718" s="145"/>
      <c r="F718" s="145"/>
      <c r="G718" s="145"/>
      <c r="H718" s="145"/>
    </row>
    <row r="719" customHeight="1" spans="5:8">
      <c r="E719" s="145"/>
      <c r="F719" s="145"/>
      <c r="G719" s="145"/>
      <c r="H719" s="145"/>
    </row>
    <row r="720" customHeight="1" spans="5:8">
      <c r="E720" s="145"/>
      <c r="F720" s="145"/>
      <c r="G720" s="145"/>
      <c r="H720" s="145"/>
    </row>
    <row r="721" customHeight="1" spans="5:8">
      <c r="E721" s="145"/>
      <c r="F721" s="145"/>
      <c r="G721" s="145"/>
      <c r="H721" s="145"/>
    </row>
    <row r="722" customHeight="1" spans="5:8">
      <c r="E722" s="145"/>
      <c r="F722" s="145"/>
      <c r="G722" s="145"/>
      <c r="H722" s="145"/>
    </row>
    <row r="723" customHeight="1" spans="5:8">
      <c r="E723" s="145"/>
      <c r="F723" s="145"/>
      <c r="G723" s="145"/>
      <c r="H723" s="145"/>
    </row>
    <row r="724" customHeight="1" spans="5:8">
      <c r="E724" s="145"/>
      <c r="F724" s="145"/>
      <c r="G724" s="145"/>
      <c r="H724" s="145"/>
    </row>
    <row r="725" customHeight="1" spans="5:8">
      <c r="E725" s="145"/>
      <c r="F725" s="145"/>
      <c r="G725" s="145"/>
      <c r="H725" s="145"/>
    </row>
    <row r="726" customHeight="1" spans="5:8">
      <c r="E726" s="145"/>
      <c r="F726" s="145"/>
      <c r="G726" s="145"/>
      <c r="H726" s="145"/>
    </row>
    <row r="727" customHeight="1" spans="5:8">
      <c r="E727" s="145"/>
      <c r="F727" s="145"/>
      <c r="G727" s="145"/>
      <c r="H727" s="145"/>
    </row>
    <row r="728" customHeight="1" spans="5:8">
      <c r="E728" s="145"/>
      <c r="F728" s="145"/>
      <c r="G728" s="145"/>
      <c r="H728" s="145"/>
    </row>
    <row r="729" customHeight="1" spans="5:8">
      <c r="E729" s="145"/>
      <c r="F729" s="145"/>
      <c r="G729" s="145"/>
      <c r="H729" s="145"/>
    </row>
    <row r="730" customHeight="1" spans="5:8">
      <c r="E730" s="145"/>
      <c r="F730" s="145"/>
      <c r="G730" s="145"/>
      <c r="H730" s="145"/>
    </row>
    <row r="731" customHeight="1" spans="5:8">
      <c r="E731" s="145"/>
      <c r="F731" s="145"/>
      <c r="G731" s="145"/>
      <c r="H731" s="145"/>
    </row>
    <row r="732" customHeight="1" spans="5:8">
      <c r="E732" s="145"/>
      <c r="F732" s="145"/>
      <c r="G732" s="145"/>
      <c r="H732" s="145"/>
    </row>
    <row r="733" customHeight="1" spans="5:8">
      <c r="E733" s="145"/>
      <c r="F733" s="145"/>
      <c r="G733" s="145"/>
      <c r="H733" s="145"/>
    </row>
    <row r="734" customHeight="1" spans="5:8">
      <c r="E734" s="145"/>
      <c r="F734" s="145"/>
      <c r="G734" s="145"/>
      <c r="H734" s="145"/>
    </row>
    <row r="735" customHeight="1" spans="5:8">
      <c r="E735" s="145"/>
      <c r="F735" s="145"/>
      <c r="G735" s="145"/>
      <c r="H735" s="145"/>
    </row>
    <row r="736" customHeight="1" spans="5:8">
      <c r="E736" s="145"/>
      <c r="F736" s="145"/>
      <c r="G736" s="145"/>
      <c r="H736" s="145"/>
    </row>
    <row r="737" customHeight="1" spans="5:8">
      <c r="E737" s="145"/>
      <c r="F737" s="145"/>
      <c r="G737" s="145"/>
      <c r="H737" s="145"/>
    </row>
    <row r="738" customHeight="1" spans="5:8">
      <c r="E738" s="145"/>
      <c r="F738" s="145"/>
      <c r="G738" s="145"/>
      <c r="H738" s="145"/>
    </row>
    <row r="739" customHeight="1" spans="5:8">
      <c r="E739" s="145"/>
      <c r="F739" s="145"/>
      <c r="G739" s="145"/>
      <c r="H739" s="145"/>
    </row>
    <row r="740" customHeight="1" spans="5:8">
      <c r="E740" s="145"/>
      <c r="F740" s="145"/>
      <c r="G740" s="145"/>
      <c r="H740" s="145"/>
    </row>
    <row r="741" customHeight="1" spans="5:8">
      <c r="E741" s="145"/>
      <c r="F741" s="145"/>
      <c r="G741" s="145"/>
      <c r="H741" s="145"/>
    </row>
    <row r="742" customHeight="1" spans="5:8">
      <c r="E742" s="145"/>
      <c r="F742" s="145"/>
      <c r="G742" s="145"/>
      <c r="H742" s="145"/>
    </row>
    <row r="743" customHeight="1" spans="5:8">
      <c r="E743" s="145"/>
      <c r="F743" s="145"/>
      <c r="G743" s="145"/>
      <c r="H743" s="145"/>
    </row>
    <row r="744" customHeight="1" spans="5:8">
      <c r="E744" s="145"/>
      <c r="F744" s="145"/>
      <c r="G744" s="145"/>
      <c r="H744" s="145"/>
    </row>
    <row r="745" customHeight="1" spans="5:8">
      <c r="E745" s="145"/>
      <c r="F745" s="145"/>
      <c r="G745" s="145"/>
      <c r="H745" s="145"/>
    </row>
    <row r="746" customHeight="1" spans="5:8">
      <c r="E746" s="145"/>
      <c r="F746" s="145"/>
      <c r="G746" s="145"/>
      <c r="H746" s="145"/>
    </row>
    <row r="747" customHeight="1" spans="5:8">
      <c r="E747" s="145"/>
      <c r="F747" s="145"/>
      <c r="G747" s="145"/>
      <c r="H747" s="145"/>
    </row>
    <row r="748" customHeight="1" spans="5:8">
      <c r="E748" s="145"/>
      <c r="F748" s="145"/>
      <c r="G748" s="145"/>
      <c r="H748" s="145"/>
    </row>
    <row r="749" customHeight="1" spans="5:8">
      <c r="E749" s="145"/>
      <c r="F749" s="145"/>
      <c r="G749" s="145"/>
      <c r="H749" s="145"/>
    </row>
    <row r="750" customHeight="1" spans="5:8">
      <c r="E750" s="145"/>
      <c r="F750" s="145"/>
      <c r="G750" s="145"/>
      <c r="H750" s="145"/>
    </row>
    <row r="751" customHeight="1" spans="5:8">
      <c r="E751" s="145"/>
      <c r="F751" s="145"/>
      <c r="G751" s="145"/>
      <c r="H751" s="145"/>
    </row>
    <row r="752" customHeight="1" spans="5:8">
      <c r="E752" s="145"/>
      <c r="F752" s="145"/>
      <c r="G752" s="145"/>
      <c r="H752" s="145"/>
    </row>
    <row r="753" customHeight="1" spans="5:8">
      <c r="E753" s="145"/>
      <c r="F753" s="145"/>
      <c r="G753" s="145"/>
      <c r="H753" s="145"/>
    </row>
    <row r="754" customHeight="1" spans="5:8">
      <c r="E754" s="145"/>
      <c r="F754" s="145"/>
      <c r="G754" s="145"/>
      <c r="H754" s="145"/>
    </row>
    <row r="755" customHeight="1" spans="5:8">
      <c r="E755" s="145"/>
      <c r="F755" s="145"/>
      <c r="G755" s="145"/>
      <c r="H755" s="145"/>
    </row>
    <row r="756" customHeight="1" spans="5:8">
      <c r="E756" s="145"/>
      <c r="F756" s="145"/>
      <c r="G756" s="145"/>
      <c r="H756" s="145"/>
    </row>
    <row r="757" customHeight="1" spans="5:8">
      <c r="E757" s="145"/>
      <c r="F757" s="145"/>
      <c r="G757" s="145"/>
      <c r="H757" s="145"/>
    </row>
    <row r="758" customHeight="1" spans="5:8">
      <c r="E758" s="145"/>
      <c r="F758" s="145"/>
      <c r="G758" s="145"/>
      <c r="H758" s="145"/>
    </row>
    <row r="759" customHeight="1" spans="5:8">
      <c r="E759" s="145"/>
      <c r="F759" s="145"/>
      <c r="G759" s="145"/>
      <c r="H759" s="145"/>
    </row>
    <row r="760" customHeight="1" spans="5:8">
      <c r="E760" s="145"/>
      <c r="F760" s="145"/>
      <c r="G760" s="145"/>
      <c r="H760" s="145"/>
    </row>
    <row r="761" customHeight="1" spans="5:8">
      <c r="E761" s="145"/>
      <c r="F761" s="145"/>
      <c r="G761" s="145"/>
      <c r="H761" s="145"/>
    </row>
    <row r="762" customHeight="1" spans="5:8">
      <c r="E762" s="145"/>
      <c r="F762" s="145"/>
      <c r="G762" s="145"/>
      <c r="H762" s="145"/>
    </row>
    <row r="763" customHeight="1" spans="5:8">
      <c r="E763" s="145"/>
      <c r="F763" s="145"/>
      <c r="G763" s="145"/>
      <c r="H763" s="145"/>
    </row>
    <row r="764" customHeight="1" spans="5:8">
      <c r="E764" s="145"/>
      <c r="F764" s="145"/>
      <c r="G764" s="145"/>
      <c r="H764" s="145"/>
    </row>
    <row r="765" customHeight="1" spans="5:8">
      <c r="E765" s="145"/>
      <c r="F765" s="145"/>
      <c r="G765" s="145"/>
      <c r="H765" s="145"/>
    </row>
    <row r="766" customHeight="1" spans="5:8">
      <c r="E766" s="145"/>
      <c r="F766" s="145"/>
      <c r="G766" s="145"/>
      <c r="H766" s="145"/>
    </row>
    <row r="767" customHeight="1" spans="5:8">
      <c r="E767" s="145"/>
      <c r="F767" s="145"/>
      <c r="G767" s="145"/>
      <c r="H767" s="145"/>
    </row>
    <row r="768" customHeight="1" spans="5:8">
      <c r="E768" s="145"/>
      <c r="F768" s="145"/>
      <c r="G768" s="145"/>
      <c r="H768" s="145"/>
    </row>
    <row r="769" customHeight="1" spans="5:8">
      <c r="E769" s="145"/>
      <c r="F769" s="145"/>
      <c r="G769" s="145"/>
      <c r="H769" s="145"/>
    </row>
    <row r="770" customHeight="1" spans="5:8">
      <c r="E770" s="145"/>
      <c r="F770" s="145"/>
      <c r="G770" s="145"/>
      <c r="H770" s="145"/>
    </row>
    <row r="771" customHeight="1" spans="5:8">
      <c r="E771" s="145"/>
      <c r="F771" s="145"/>
      <c r="G771" s="145"/>
      <c r="H771" s="145"/>
    </row>
    <row r="772" customHeight="1" spans="5:8">
      <c r="E772" s="145"/>
      <c r="F772" s="145"/>
      <c r="G772" s="145"/>
      <c r="H772" s="145"/>
    </row>
    <row r="773" customHeight="1" spans="5:8">
      <c r="E773" s="145"/>
      <c r="F773" s="145"/>
      <c r="G773" s="145"/>
      <c r="H773" s="145"/>
    </row>
    <row r="774" customHeight="1" spans="5:8">
      <c r="E774" s="145"/>
      <c r="F774" s="145"/>
      <c r="G774" s="145"/>
      <c r="H774" s="145"/>
    </row>
    <row r="775" customHeight="1" spans="5:8">
      <c r="E775" s="145"/>
      <c r="F775" s="145"/>
      <c r="G775" s="145"/>
      <c r="H775" s="145"/>
    </row>
    <row r="776" customHeight="1" spans="5:8">
      <c r="E776" s="145"/>
      <c r="F776" s="145"/>
      <c r="G776" s="145"/>
      <c r="H776" s="145"/>
    </row>
    <row r="777" customHeight="1" spans="5:8">
      <c r="E777" s="145"/>
      <c r="F777" s="145"/>
      <c r="G777" s="145"/>
      <c r="H777" s="145"/>
    </row>
    <row r="778" customHeight="1" spans="5:8">
      <c r="E778" s="145"/>
      <c r="F778" s="145"/>
      <c r="G778" s="145"/>
      <c r="H778" s="145"/>
    </row>
    <row r="779" customHeight="1" spans="5:8">
      <c r="E779" s="145"/>
      <c r="F779" s="145"/>
      <c r="G779" s="145"/>
      <c r="H779" s="145"/>
    </row>
    <row r="780" customHeight="1" spans="5:8">
      <c r="E780" s="145"/>
      <c r="F780" s="145"/>
      <c r="G780" s="145"/>
      <c r="H780" s="145"/>
    </row>
    <row r="781" customHeight="1" spans="5:8">
      <c r="E781" s="145"/>
      <c r="F781" s="145"/>
      <c r="G781" s="145"/>
      <c r="H781" s="145"/>
    </row>
    <row r="782" customHeight="1" spans="5:8">
      <c r="E782" s="145"/>
      <c r="F782" s="145"/>
      <c r="G782" s="145"/>
      <c r="H782" s="145"/>
    </row>
    <row r="783" customHeight="1" spans="5:8">
      <c r="E783" s="145"/>
      <c r="F783" s="145"/>
      <c r="G783" s="145"/>
      <c r="H783" s="145"/>
    </row>
    <row r="784" customHeight="1" spans="5:8">
      <c r="E784" s="145"/>
      <c r="F784" s="145"/>
      <c r="G784" s="145"/>
      <c r="H784" s="145"/>
    </row>
    <row r="785" customHeight="1" spans="5:8">
      <c r="E785" s="145"/>
      <c r="F785" s="145"/>
      <c r="G785" s="145"/>
      <c r="H785" s="145"/>
    </row>
    <row r="786" customHeight="1" spans="5:8">
      <c r="E786" s="145"/>
      <c r="F786" s="145"/>
      <c r="G786" s="145"/>
      <c r="H786" s="145"/>
    </row>
    <row r="787" customHeight="1" spans="5:8">
      <c r="E787" s="145"/>
      <c r="F787" s="145"/>
      <c r="G787" s="145"/>
      <c r="H787" s="145"/>
    </row>
    <row r="788" customHeight="1" spans="5:8">
      <c r="E788" s="145"/>
      <c r="F788" s="145"/>
      <c r="G788" s="145"/>
      <c r="H788" s="145"/>
    </row>
    <row r="789" customHeight="1" spans="5:8">
      <c r="E789" s="145"/>
      <c r="F789" s="145"/>
      <c r="G789" s="145"/>
      <c r="H789" s="145"/>
    </row>
    <row r="790" customHeight="1" spans="5:8">
      <c r="E790" s="145"/>
      <c r="F790" s="145"/>
      <c r="G790" s="145"/>
      <c r="H790" s="145"/>
    </row>
    <row r="791" customHeight="1" spans="5:8">
      <c r="E791" s="145"/>
      <c r="F791" s="145"/>
      <c r="G791" s="145"/>
      <c r="H791" s="145"/>
    </row>
    <row r="792" customHeight="1" spans="5:8">
      <c r="E792" s="145"/>
      <c r="F792" s="145"/>
      <c r="G792" s="145"/>
      <c r="H792" s="145"/>
    </row>
    <row r="793" customHeight="1" spans="5:8">
      <c r="E793" s="145"/>
      <c r="F793" s="145"/>
      <c r="G793" s="145"/>
      <c r="H793" s="145"/>
    </row>
    <row r="794" customHeight="1" spans="5:8">
      <c r="E794" s="145"/>
      <c r="F794" s="145"/>
      <c r="G794" s="145"/>
      <c r="H794" s="145"/>
    </row>
    <row r="795" customHeight="1" spans="5:8">
      <c r="E795" s="145"/>
      <c r="F795" s="145"/>
      <c r="G795" s="145"/>
      <c r="H795" s="145"/>
    </row>
    <row r="796" customHeight="1" spans="5:8">
      <c r="E796" s="145"/>
      <c r="F796" s="145"/>
      <c r="G796" s="145"/>
      <c r="H796" s="145"/>
    </row>
    <row r="797" customHeight="1" spans="5:8">
      <c r="E797" s="145"/>
      <c r="F797" s="145"/>
      <c r="G797" s="145"/>
      <c r="H797" s="145"/>
    </row>
    <row r="798" customHeight="1" spans="5:8">
      <c r="E798" s="145"/>
      <c r="F798" s="145"/>
      <c r="G798" s="145"/>
      <c r="H798" s="145"/>
    </row>
    <row r="799" customHeight="1" spans="5:8">
      <c r="E799" s="145"/>
      <c r="F799" s="145"/>
      <c r="G799" s="145"/>
      <c r="H799" s="145"/>
    </row>
    <row r="800" customHeight="1" spans="5:8">
      <c r="E800" s="145"/>
      <c r="F800" s="145"/>
      <c r="G800" s="145"/>
      <c r="H800" s="145"/>
    </row>
    <row r="801" customHeight="1" spans="5:8">
      <c r="E801" s="145"/>
      <c r="F801" s="145"/>
      <c r="G801" s="145"/>
      <c r="H801" s="145"/>
    </row>
    <row r="802" customHeight="1" spans="5:8">
      <c r="E802" s="145"/>
      <c r="F802" s="145"/>
      <c r="G802" s="145"/>
      <c r="H802" s="145"/>
    </row>
    <row r="803" customHeight="1" spans="5:8">
      <c r="E803" s="145"/>
      <c r="F803" s="145"/>
      <c r="G803" s="145"/>
      <c r="H803" s="145"/>
    </row>
    <row r="804" customHeight="1" spans="5:8">
      <c r="E804" s="145"/>
      <c r="F804" s="145"/>
      <c r="G804" s="145"/>
      <c r="H804" s="145"/>
    </row>
    <row r="805" customHeight="1" spans="5:8">
      <c r="E805" s="145"/>
      <c r="F805" s="145"/>
      <c r="G805" s="145"/>
      <c r="H805" s="145"/>
    </row>
    <row r="806" customHeight="1" spans="5:8">
      <c r="E806" s="145"/>
      <c r="F806" s="145"/>
      <c r="G806" s="145"/>
      <c r="H806" s="145"/>
    </row>
    <row r="807" customHeight="1" spans="5:8">
      <c r="E807" s="145"/>
      <c r="F807" s="145"/>
      <c r="G807" s="145"/>
      <c r="H807" s="145"/>
    </row>
    <row r="808" customHeight="1" spans="5:8">
      <c r="E808" s="145"/>
      <c r="F808" s="145"/>
      <c r="G808" s="145"/>
      <c r="H808" s="145"/>
    </row>
    <row r="809" customHeight="1" spans="5:8">
      <c r="E809" s="145"/>
      <c r="F809" s="145"/>
      <c r="G809" s="145"/>
      <c r="H809" s="145"/>
    </row>
    <row r="810" customHeight="1" spans="5:8">
      <c r="E810" s="145"/>
      <c r="F810" s="145"/>
      <c r="G810" s="145"/>
      <c r="H810" s="145"/>
    </row>
    <row r="811" customHeight="1" spans="5:8">
      <c r="E811" s="145"/>
      <c r="F811" s="145"/>
      <c r="G811" s="145"/>
      <c r="H811" s="145"/>
    </row>
    <row r="812" customHeight="1" spans="5:8">
      <c r="E812" s="145"/>
      <c r="F812" s="145"/>
      <c r="G812" s="145"/>
      <c r="H812" s="145"/>
    </row>
    <row r="813" customHeight="1" spans="5:8">
      <c r="E813" s="145"/>
      <c r="F813" s="145"/>
      <c r="G813" s="145"/>
      <c r="H813" s="145"/>
    </row>
    <row r="814" customHeight="1" spans="5:8">
      <c r="E814" s="145"/>
      <c r="F814" s="145"/>
      <c r="G814" s="145"/>
      <c r="H814" s="145"/>
    </row>
    <row r="815" customHeight="1" spans="5:8">
      <c r="E815" s="145"/>
      <c r="F815" s="145"/>
      <c r="G815" s="145"/>
      <c r="H815" s="145"/>
    </row>
    <row r="816" customHeight="1" spans="5:8">
      <c r="E816" s="145"/>
      <c r="F816" s="145"/>
      <c r="G816" s="145"/>
      <c r="H816" s="145"/>
    </row>
    <row r="817" customHeight="1" spans="5:8">
      <c r="E817" s="145"/>
      <c r="F817" s="145"/>
      <c r="G817" s="145"/>
      <c r="H817" s="145"/>
    </row>
    <row r="818" customHeight="1" spans="5:8">
      <c r="E818" s="145"/>
      <c r="F818" s="145"/>
      <c r="G818" s="145"/>
      <c r="H818" s="145"/>
    </row>
    <row r="819" customHeight="1" spans="5:8">
      <c r="E819" s="145"/>
      <c r="F819" s="145"/>
      <c r="G819" s="145"/>
      <c r="H819" s="145"/>
    </row>
    <row r="820" customHeight="1" spans="5:8">
      <c r="E820" s="145"/>
      <c r="F820" s="145"/>
      <c r="G820" s="145"/>
      <c r="H820" s="145"/>
    </row>
    <row r="821" customHeight="1" spans="5:8">
      <c r="E821" s="145"/>
      <c r="F821" s="145"/>
      <c r="G821" s="145"/>
      <c r="H821" s="145"/>
    </row>
    <row r="822" customHeight="1" spans="5:8">
      <c r="E822" s="145"/>
      <c r="F822" s="145"/>
      <c r="G822" s="145"/>
      <c r="H822" s="145"/>
    </row>
    <row r="823" customHeight="1" spans="5:8">
      <c r="E823" s="145"/>
      <c r="F823" s="145"/>
      <c r="G823" s="145"/>
      <c r="H823" s="145"/>
    </row>
    <row r="824" customHeight="1" spans="5:8">
      <c r="E824" s="145"/>
      <c r="F824" s="145"/>
      <c r="G824" s="145"/>
      <c r="H824" s="145"/>
    </row>
    <row r="825" customHeight="1" spans="5:8">
      <c r="E825" s="145"/>
      <c r="F825" s="145"/>
      <c r="G825" s="145"/>
      <c r="H825" s="145"/>
    </row>
    <row r="826" customHeight="1" spans="5:8">
      <c r="E826" s="145"/>
      <c r="F826" s="145"/>
      <c r="G826" s="145"/>
      <c r="H826" s="145"/>
    </row>
    <row r="827" customHeight="1" spans="5:8">
      <c r="E827" s="145"/>
      <c r="F827" s="145"/>
      <c r="G827" s="145"/>
      <c r="H827" s="145"/>
    </row>
    <row r="828" customHeight="1" spans="5:8">
      <c r="E828" s="145"/>
      <c r="F828" s="145"/>
      <c r="G828" s="145"/>
      <c r="H828" s="145"/>
    </row>
    <row r="829" customHeight="1" spans="5:8">
      <c r="E829" s="145"/>
      <c r="F829" s="145"/>
      <c r="G829" s="145"/>
      <c r="H829" s="145"/>
    </row>
    <row r="830" customHeight="1" spans="5:8">
      <c r="E830" s="145"/>
      <c r="F830" s="145"/>
      <c r="G830" s="145"/>
      <c r="H830" s="145"/>
    </row>
    <row r="831" customHeight="1" spans="5:8">
      <c r="E831" s="145"/>
      <c r="F831" s="145"/>
      <c r="G831" s="145"/>
      <c r="H831" s="145"/>
    </row>
    <row r="832" customHeight="1" spans="5:8">
      <c r="E832" s="145"/>
      <c r="F832" s="145"/>
      <c r="G832" s="145"/>
      <c r="H832" s="145"/>
    </row>
    <row r="833" customHeight="1" spans="5:8">
      <c r="E833" s="145"/>
      <c r="F833" s="145"/>
      <c r="G833" s="145"/>
      <c r="H833" s="145"/>
    </row>
    <row r="834" customHeight="1" spans="5:8">
      <c r="E834" s="145"/>
      <c r="F834" s="145"/>
      <c r="G834" s="145"/>
      <c r="H834" s="145"/>
    </row>
    <row r="835" customHeight="1" spans="5:8">
      <c r="E835" s="145"/>
      <c r="F835" s="145"/>
      <c r="G835" s="145"/>
      <c r="H835" s="145"/>
    </row>
    <row r="836" customHeight="1" spans="5:8">
      <c r="E836" s="145"/>
      <c r="F836" s="145"/>
      <c r="G836" s="145"/>
      <c r="H836" s="145"/>
    </row>
    <row r="837" customHeight="1" spans="5:8">
      <c r="E837" s="145"/>
      <c r="F837" s="145"/>
      <c r="G837" s="145"/>
      <c r="H837" s="145"/>
    </row>
    <row r="838" customHeight="1" spans="5:8">
      <c r="E838" s="145"/>
      <c r="F838" s="145"/>
      <c r="G838" s="145"/>
      <c r="H838" s="145"/>
    </row>
    <row r="839" customHeight="1" spans="5:8">
      <c r="E839" s="145"/>
      <c r="F839" s="145"/>
      <c r="G839" s="145"/>
      <c r="H839" s="145"/>
    </row>
    <row r="840" customHeight="1" spans="5:8">
      <c r="E840" s="145"/>
      <c r="F840" s="145"/>
      <c r="G840" s="145"/>
      <c r="H840" s="145"/>
    </row>
    <row r="841" customHeight="1" spans="5:8">
      <c r="E841" s="145"/>
      <c r="F841" s="145"/>
      <c r="G841" s="145"/>
      <c r="H841" s="145"/>
    </row>
    <row r="842" customHeight="1" spans="5:8">
      <c r="E842" s="145"/>
      <c r="F842" s="145"/>
      <c r="G842" s="145"/>
      <c r="H842" s="145"/>
    </row>
    <row r="843" customHeight="1" spans="5:8">
      <c r="E843" s="145"/>
      <c r="F843" s="145"/>
      <c r="G843" s="145"/>
      <c r="H843" s="145"/>
    </row>
    <row r="844" customHeight="1" spans="5:8">
      <c r="E844" s="145"/>
      <c r="F844" s="145"/>
      <c r="G844" s="145"/>
      <c r="H844" s="145"/>
    </row>
    <row r="845" customHeight="1" spans="5:8">
      <c r="E845" s="145"/>
      <c r="F845" s="145"/>
      <c r="G845" s="145"/>
      <c r="H845" s="145"/>
    </row>
    <row r="846" customHeight="1" spans="5:8">
      <c r="E846" s="145"/>
      <c r="F846" s="145"/>
      <c r="G846" s="145"/>
      <c r="H846" s="145"/>
    </row>
    <row r="847" customHeight="1" spans="5:8">
      <c r="E847" s="145"/>
      <c r="F847" s="145"/>
      <c r="G847" s="145"/>
      <c r="H847" s="145"/>
    </row>
    <row r="848" customHeight="1" spans="5:8">
      <c r="E848" s="145"/>
      <c r="F848" s="145"/>
      <c r="G848" s="145"/>
      <c r="H848" s="145"/>
    </row>
    <row r="849" customHeight="1" spans="5:8">
      <c r="E849" s="145"/>
      <c r="F849" s="145"/>
      <c r="G849" s="145"/>
      <c r="H849" s="145"/>
    </row>
    <row r="850" customHeight="1" spans="5:8">
      <c r="E850" s="145"/>
      <c r="F850" s="145"/>
      <c r="G850" s="145"/>
      <c r="H850" s="145"/>
    </row>
    <row r="851" customHeight="1" spans="5:8">
      <c r="E851" s="145"/>
      <c r="F851" s="145"/>
      <c r="G851" s="145"/>
      <c r="H851" s="145"/>
    </row>
    <row r="852" customHeight="1" spans="5:8">
      <c r="E852" s="145"/>
      <c r="F852" s="145"/>
      <c r="G852" s="145"/>
      <c r="H852" s="145"/>
    </row>
    <row r="853" customHeight="1" spans="5:8">
      <c r="E853" s="145"/>
      <c r="F853" s="145"/>
      <c r="G853" s="145"/>
      <c r="H853" s="145"/>
    </row>
    <row r="854" customHeight="1" spans="5:8">
      <c r="E854" s="145"/>
      <c r="F854" s="145"/>
      <c r="G854" s="145"/>
      <c r="H854" s="145"/>
    </row>
    <row r="855" customHeight="1" spans="5:8">
      <c r="E855" s="145"/>
      <c r="F855" s="145"/>
      <c r="G855" s="145"/>
      <c r="H855" s="145"/>
    </row>
    <row r="856" customHeight="1" spans="5:8">
      <c r="E856" s="145"/>
      <c r="F856" s="145"/>
      <c r="G856" s="145"/>
      <c r="H856" s="145"/>
    </row>
    <row r="857" customHeight="1" spans="5:8">
      <c r="E857" s="145"/>
      <c r="F857" s="145"/>
      <c r="G857" s="145"/>
      <c r="H857" s="145"/>
    </row>
    <row r="858" customHeight="1" spans="5:8">
      <c r="E858" s="145"/>
      <c r="F858" s="145"/>
      <c r="G858" s="145"/>
      <c r="H858" s="145"/>
    </row>
    <row r="859" customHeight="1" spans="5:8">
      <c r="E859" s="145"/>
      <c r="F859" s="145"/>
      <c r="G859" s="145"/>
      <c r="H859" s="145"/>
    </row>
    <row r="860" customHeight="1" spans="5:8">
      <c r="E860" s="145"/>
      <c r="F860" s="145"/>
      <c r="G860" s="145"/>
      <c r="H860" s="145"/>
    </row>
    <row r="861" customHeight="1" spans="5:8">
      <c r="E861" s="145"/>
      <c r="F861" s="145"/>
      <c r="G861" s="145"/>
      <c r="H861" s="145"/>
    </row>
    <row r="862" customHeight="1" spans="5:8">
      <c r="E862" s="145"/>
      <c r="F862" s="145"/>
      <c r="G862" s="145"/>
      <c r="H862" s="145"/>
    </row>
    <row r="863" customHeight="1" spans="5:8">
      <c r="E863" s="145"/>
      <c r="F863" s="145"/>
      <c r="G863" s="145"/>
      <c r="H863" s="145"/>
    </row>
    <row r="864" customHeight="1" spans="5:8">
      <c r="E864" s="145"/>
      <c r="F864" s="145"/>
      <c r="G864" s="145"/>
      <c r="H864" s="145"/>
    </row>
    <row r="865" customHeight="1" spans="5:8">
      <c r="E865" s="145"/>
      <c r="F865" s="145"/>
      <c r="G865" s="145"/>
      <c r="H865" s="145"/>
    </row>
    <row r="866" customHeight="1" spans="5:8">
      <c r="E866" s="145"/>
      <c r="F866" s="145"/>
      <c r="G866" s="145"/>
      <c r="H866" s="145"/>
    </row>
    <row r="867" customHeight="1" spans="5:8">
      <c r="E867" s="145"/>
      <c r="F867" s="145"/>
      <c r="G867" s="145"/>
      <c r="H867" s="145"/>
    </row>
    <row r="868" customHeight="1" spans="5:8">
      <c r="E868" s="145"/>
      <c r="F868" s="145"/>
      <c r="G868" s="145"/>
      <c r="H868" s="145"/>
    </row>
    <row r="869" customHeight="1" spans="5:8">
      <c r="E869" s="145"/>
      <c r="F869" s="145"/>
      <c r="G869" s="145"/>
      <c r="H869" s="145"/>
    </row>
    <row r="870" customHeight="1" spans="5:8">
      <c r="E870" s="145"/>
      <c r="F870" s="145"/>
      <c r="G870" s="145"/>
      <c r="H870" s="145"/>
    </row>
    <row r="871" customHeight="1" spans="5:8">
      <c r="E871" s="145"/>
      <c r="F871" s="145"/>
      <c r="G871" s="145"/>
      <c r="H871" s="145"/>
    </row>
    <row r="872" customHeight="1" spans="5:8">
      <c r="E872" s="145"/>
      <c r="F872" s="145"/>
      <c r="G872" s="145"/>
      <c r="H872" s="145"/>
    </row>
    <row r="873" customHeight="1" spans="5:8">
      <c r="E873" s="145"/>
      <c r="F873" s="145"/>
      <c r="G873" s="145"/>
      <c r="H873" s="145"/>
    </row>
    <row r="874" customHeight="1" spans="5:8">
      <c r="E874" s="145"/>
      <c r="F874" s="145"/>
      <c r="G874" s="145"/>
      <c r="H874" s="145"/>
    </row>
    <row r="875" customHeight="1" spans="5:8">
      <c r="E875" s="145"/>
      <c r="F875" s="145"/>
      <c r="G875" s="145"/>
      <c r="H875" s="145"/>
    </row>
    <row r="876" customHeight="1" spans="5:8">
      <c r="E876" s="145"/>
      <c r="F876" s="145"/>
      <c r="G876" s="145"/>
      <c r="H876" s="145"/>
    </row>
    <row r="877" customHeight="1" spans="5:8">
      <c r="E877" s="145"/>
      <c r="F877" s="145"/>
      <c r="G877" s="145"/>
      <c r="H877" s="145"/>
    </row>
    <row r="878" customHeight="1" spans="5:8">
      <c r="E878" s="145"/>
      <c r="F878" s="145"/>
      <c r="G878" s="145"/>
      <c r="H878" s="145"/>
    </row>
    <row r="879" customHeight="1" spans="5:8">
      <c r="E879" s="145"/>
      <c r="F879" s="145"/>
      <c r="G879" s="145"/>
      <c r="H879" s="145"/>
    </row>
    <row r="880" customHeight="1" spans="5:8">
      <c r="E880" s="145"/>
      <c r="F880" s="145"/>
      <c r="G880" s="145"/>
      <c r="H880" s="145"/>
    </row>
    <row r="881" customHeight="1" spans="5:8">
      <c r="E881" s="145"/>
      <c r="F881" s="145"/>
      <c r="G881" s="145"/>
      <c r="H881" s="145"/>
    </row>
    <row r="882" customHeight="1" spans="5:8">
      <c r="E882" s="145"/>
      <c r="F882" s="145"/>
      <c r="G882" s="145"/>
      <c r="H882" s="145"/>
    </row>
    <row r="883" customHeight="1" spans="5:8">
      <c r="E883" s="145"/>
      <c r="F883" s="145"/>
      <c r="G883" s="145"/>
      <c r="H883" s="145"/>
    </row>
    <row r="884" customHeight="1" spans="5:8">
      <c r="E884" s="145"/>
      <c r="F884" s="145"/>
      <c r="G884" s="145"/>
      <c r="H884" s="145"/>
    </row>
    <row r="885" customHeight="1" spans="5:8">
      <c r="E885" s="145"/>
      <c r="F885" s="145"/>
      <c r="G885" s="145"/>
      <c r="H885" s="145"/>
    </row>
    <row r="886" customHeight="1" spans="5:8">
      <c r="E886" s="145"/>
      <c r="F886" s="145"/>
      <c r="G886" s="145"/>
      <c r="H886" s="145"/>
    </row>
    <row r="887" customHeight="1" spans="5:8">
      <c r="E887" s="145"/>
      <c r="F887" s="145"/>
      <c r="G887" s="145"/>
      <c r="H887" s="145"/>
    </row>
    <row r="888" customHeight="1" spans="5:8">
      <c r="E888" s="145"/>
      <c r="F888" s="145"/>
      <c r="G888" s="145"/>
      <c r="H888" s="145"/>
    </row>
    <row r="889" customHeight="1" spans="5:8">
      <c r="E889" s="145"/>
      <c r="F889" s="145"/>
      <c r="G889" s="145"/>
      <c r="H889" s="145"/>
    </row>
    <row r="890" customHeight="1" spans="5:8">
      <c r="E890" s="145"/>
      <c r="F890" s="145"/>
      <c r="G890" s="145"/>
      <c r="H890" s="145"/>
    </row>
    <row r="891" customHeight="1" spans="5:8">
      <c r="E891" s="145"/>
      <c r="F891" s="145"/>
      <c r="G891" s="145"/>
      <c r="H891" s="145"/>
    </row>
    <row r="892" customHeight="1" spans="5:8">
      <c r="E892" s="145"/>
      <c r="F892" s="145"/>
      <c r="G892" s="145"/>
      <c r="H892" s="145"/>
    </row>
    <row r="893" customHeight="1" spans="5:8">
      <c r="E893" s="145"/>
      <c r="F893" s="145"/>
      <c r="G893" s="145"/>
      <c r="H893" s="145"/>
    </row>
    <row r="894" customHeight="1" spans="5:8">
      <c r="E894" s="145"/>
      <c r="F894" s="145"/>
      <c r="G894" s="145"/>
      <c r="H894" s="145"/>
    </row>
    <row r="895" customHeight="1" spans="5:8">
      <c r="E895" s="145"/>
      <c r="F895" s="145"/>
      <c r="G895" s="145"/>
      <c r="H895" s="145"/>
    </row>
    <row r="896" customHeight="1" spans="5:8">
      <c r="E896" s="145"/>
      <c r="F896" s="145"/>
      <c r="G896" s="145"/>
      <c r="H896" s="145"/>
    </row>
    <row r="897" customHeight="1" spans="5:8">
      <c r="E897" s="145"/>
      <c r="F897" s="145"/>
      <c r="G897" s="145"/>
      <c r="H897" s="145"/>
    </row>
    <row r="898" customHeight="1" spans="5:8">
      <c r="E898" s="145"/>
      <c r="F898" s="145"/>
      <c r="G898" s="145"/>
      <c r="H898" s="145"/>
    </row>
    <row r="899" customHeight="1" spans="5:8">
      <c r="E899" s="145"/>
      <c r="F899" s="145"/>
      <c r="G899" s="145"/>
      <c r="H899" s="145"/>
    </row>
    <row r="900" customHeight="1" spans="5:8">
      <c r="E900" s="145"/>
      <c r="F900" s="145"/>
      <c r="G900" s="145"/>
      <c r="H900" s="145"/>
    </row>
    <row r="901" customHeight="1" spans="5:8">
      <c r="E901" s="145"/>
      <c r="F901" s="145"/>
      <c r="G901" s="145"/>
      <c r="H901" s="145"/>
    </row>
    <row r="902" customHeight="1" spans="5:8">
      <c r="E902" s="145"/>
      <c r="F902" s="145"/>
      <c r="G902" s="145"/>
      <c r="H902" s="145"/>
    </row>
    <row r="903" customHeight="1" spans="5:8">
      <c r="E903" s="145"/>
      <c r="F903" s="145"/>
      <c r="G903" s="145"/>
      <c r="H903" s="145"/>
    </row>
    <row r="904" customHeight="1" spans="5:8">
      <c r="E904" s="145"/>
      <c r="F904" s="145"/>
      <c r="G904" s="145"/>
      <c r="H904" s="145"/>
    </row>
    <row r="905" customHeight="1" spans="5:8">
      <c r="E905" s="145"/>
      <c r="F905" s="145"/>
      <c r="G905" s="145"/>
      <c r="H905" s="145"/>
    </row>
    <row r="906" customHeight="1" spans="5:8">
      <c r="E906" s="145"/>
      <c r="F906" s="145"/>
      <c r="G906" s="145"/>
      <c r="H906" s="145"/>
    </row>
    <row r="907" customHeight="1" spans="5:8">
      <c r="E907" s="145"/>
      <c r="F907" s="145"/>
      <c r="G907" s="145"/>
      <c r="H907" s="145"/>
    </row>
    <row r="908" customHeight="1" spans="5:8">
      <c r="E908" s="145"/>
      <c r="F908" s="145"/>
      <c r="G908" s="145"/>
      <c r="H908" s="145"/>
    </row>
    <row r="909" customHeight="1" spans="5:8">
      <c r="E909" s="145"/>
      <c r="F909" s="145"/>
      <c r="G909" s="145"/>
      <c r="H909" s="145"/>
    </row>
    <row r="910" customHeight="1" spans="5:8">
      <c r="E910" s="145"/>
      <c r="F910" s="145"/>
      <c r="G910" s="145"/>
      <c r="H910" s="145"/>
    </row>
    <row r="911" customHeight="1" spans="5:8">
      <c r="E911" s="145"/>
      <c r="F911" s="145"/>
      <c r="G911" s="145"/>
      <c r="H911" s="145"/>
    </row>
    <row r="912" customHeight="1" spans="5:8">
      <c r="E912" s="145"/>
      <c r="F912" s="145"/>
      <c r="G912" s="145"/>
      <c r="H912" s="145"/>
    </row>
    <row r="913" customHeight="1" spans="5:8">
      <c r="E913" s="145"/>
      <c r="F913" s="145"/>
      <c r="G913" s="145"/>
      <c r="H913" s="145"/>
    </row>
    <row r="914" customHeight="1" spans="5:8">
      <c r="E914" s="145"/>
      <c r="F914" s="145"/>
      <c r="G914" s="145"/>
      <c r="H914" s="145"/>
    </row>
    <row r="915" customHeight="1" spans="5:8">
      <c r="E915" s="145"/>
      <c r="F915" s="145"/>
      <c r="G915" s="145"/>
      <c r="H915" s="145"/>
    </row>
    <row r="916" customHeight="1" spans="5:8">
      <c r="E916" s="145"/>
      <c r="F916" s="145"/>
      <c r="G916" s="145"/>
      <c r="H916" s="145"/>
    </row>
    <row r="917" customHeight="1" spans="5:8">
      <c r="E917" s="145"/>
      <c r="F917" s="145"/>
      <c r="G917" s="145"/>
      <c r="H917" s="145"/>
    </row>
    <row r="918" customHeight="1" spans="5:8">
      <c r="E918" s="145"/>
      <c r="F918" s="145"/>
      <c r="G918" s="145"/>
      <c r="H918" s="145"/>
    </row>
    <row r="919" customHeight="1" spans="5:8">
      <c r="E919" s="145"/>
      <c r="F919" s="145"/>
      <c r="G919" s="145"/>
      <c r="H919" s="145"/>
    </row>
    <row r="920" customHeight="1" spans="5:8">
      <c r="E920" s="145"/>
      <c r="F920" s="145"/>
      <c r="G920" s="145"/>
      <c r="H920" s="145"/>
    </row>
    <row r="921" customHeight="1" spans="5:8">
      <c r="E921" s="145"/>
      <c r="F921" s="145"/>
      <c r="G921" s="145"/>
      <c r="H921" s="145"/>
    </row>
    <row r="922" customHeight="1" spans="5:8">
      <c r="E922" s="145"/>
      <c r="F922" s="145"/>
      <c r="G922" s="145"/>
      <c r="H922" s="145"/>
    </row>
    <row r="923" customHeight="1" spans="5:8">
      <c r="E923" s="145"/>
      <c r="F923" s="145"/>
      <c r="G923" s="145"/>
      <c r="H923" s="145"/>
    </row>
    <row r="924" customHeight="1" spans="5:8">
      <c r="E924" s="145"/>
      <c r="F924" s="145"/>
      <c r="G924" s="145"/>
      <c r="H924" s="145"/>
    </row>
    <row r="925" customHeight="1" spans="5:8">
      <c r="E925" s="145"/>
      <c r="F925" s="145"/>
      <c r="G925" s="145"/>
      <c r="H925" s="145"/>
    </row>
    <row r="926" customHeight="1" spans="5:8">
      <c r="E926" s="145"/>
      <c r="F926" s="145"/>
      <c r="G926" s="145"/>
      <c r="H926" s="145"/>
    </row>
    <row r="927" customHeight="1" spans="5:8">
      <c r="E927" s="145"/>
      <c r="F927" s="145"/>
      <c r="G927" s="145"/>
      <c r="H927" s="145"/>
    </row>
    <row r="928" customHeight="1" spans="5:8">
      <c r="E928" s="145"/>
      <c r="F928" s="145"/>
      <c r="G928" s="145"/>
      <c r="H928" s="145"/>
    </row>
    <row r="929" customHeight="1" spans="5:8">
      <c r="E929" s="145"/>
      <c r="F929" s="145"/>
      <c r="G929" s="145"/>
      <c r="H929" s="145"/>
    </row>
    <row r="930" customHeight="1" spans="5:8">
      <c r="E930" s="145"/>
      <c r="F930" s="145"/>
      <c r="G930" s="145"/>
      <c r="H930" s="145"/>
    </row>
    <row r="931" customHeight="1" spans="5:8">
      <c r="E931" s="145"/>
      <c r="F931" s="145"/>
      <c r="G931" s="145"/>
      <c r="H931" s="145"/>
    </row>
    <row r="932" customHeight="1" spans="5:8">
      <c r="E932" s="145"/>
      <c r="F932" s="145"/>
      <c r="G932" s="145"/>
      <c r="H932" s="145"/>
    </row>
    <row r="933" customHeight="1" spans="5:8">
      <c r="E933" s="145"/>
      <c r="F933" s="145"/>
      <c r="G933" s="145"/>
      <c r="H933" s="145"/>
    </row>
    <row r="934" customHeight="1" spans="5:8">
      <c r="E934" s="145"/>
      <c r="F934" s="145"/>
      <c r="G934" s="145"/>
      <c r="H934" s="145"/>
    </row>
    <row r="935" customHeight="1" spans="5:8">
      <c r="E935" s="145"/>
      <c r="F935" s="145"/>
      <c r="G935" s="145"/>
      <c r="H935" s="145"/>
    </row>
    <row r="936" customHeight="1" spans="5:8">
      <c r="E936" s="145"/>
      <c r="F936" s="145"/>
      <c r="G936" s="145"/>
      <c r="H936" s="145"/>
    </row>
    <row r="937" customHeight="1" spans="5:8">
      <c r="E937" s="145"/>
      <c r="F937" s="145"/>
      <c r="G937" s="145"/>
      <c r="H937" s="145"/>
    </row>
    <row r="938" customHeight="1" spans="5:8">
      <c r="E938" s="145"/>
      <c r="F938" s="145"/>
      <c r="G938" s="145"/>
      <c r="H938" s="145"/>
    </row>
    <row r="939" customHeight="1" spans="5:8">
      <c r="E939" s="145"/>
      <c r="F939" s="145"/>
      <c r="G939" s="145"/>
      <c r="H939" s="145"/>
    </row>
    <row r="940" customHeight="1" spans="5:8">
      <c r="E940" s="145"/>
      <c r="F940" s="145"/>
      <c r="G940" s="145"/>
      <c r="H940" s="145"/>
    </row>
    <row r="941" customHeight="1" spans="5:8">
      <c r="E941" s="145"/>
      <c r="F941" s="145"/>
      <c r="G941" s="145"/>
      <c r="H941" s="145"/>
    </row>
    <row r="942" customHeight="1" spans="5:8">
      <c r="E942" s="145"/>
      <c r="F942" s="145"/>
      <c r="G942" s="145"/>
      <c r="H942" s="145"/>
    </row>
    <row r="943" customHeight="1" spans="5:8">
      <c r="E943" s="145"/>
      <c r="F943" s="145"/>
      <c r="G943" s="145"/>
      <c r="H943" s="145"/>
    </row>
    <row r="944" customHeight="1" spans="5:8">
      <c r="E944" s="145"/>
      <c r="F944" s="145"/>
      <c r="G944" s="145"/>
      <c r="H944" s="145"/>
    </row>
    <row r="945" customHeight="1" spans="5:8">
      <c r="E945" s="145"/>
      <c r="F945" s="145"/>
      <c r="G945" s="145"/>
      <c r="H945" s="145"/>
    </row>
    <row r="946" customHeight="1" spans="5:8">
      <c r="E946" s="145"/>
      <c r="F946" s="145"/>
      <c r="G946" s="145"/>
      <c r="H946" s="145"/>
    </row>
    <row r="947" customHeight="1" spans="5:8">
      <c r="E947" s="145"/>
      <c r="F947" s="145"/>
      <c r="G947" s="145"/>
      <c r="H947" s="145"/>
    </row>
    <row r="948" customHeight="1" spans="5:8">
      <c r="E948" s="145"/>
      <c r="F948" s="145"/>
      <c r="G948" s="145"/>
      <c r="H948" s="145"/>
    </row>
    <row r="949" customHeight="1" spans="5:8">
      <c r="E949" s="145"/>
      <c r="F949" s="145"/>
      <c r="G949" s="145"/>
      <c r="H949" s="145"/>
    </row>
    <row r="950" customHeight="1" spans="5:8">
      <c r="E950" s="145"/>
      <c r="F950" s="145"/>
      <c r="G950" s="145"/>
      <c r="H950" s="145"/>
    </row>
    <row r="951" customHeight="1" spans="5:8">
      <c r="E951" s="145"/>
      <c r="F951" s="145"/>
      <c r="G951" s="145"/>
      <c r="H951" s="145"/>
    </row>
    <row r="952" customHeight="1" spans="5:8">
      <c r="E952" s="145"/>
      <c r="F952" s="145"/>
      <c r="G952" s="145"/>
      <c r="H952" s="145"/>
    </row>
    <row r="953" customHeight="1" spans="5:8">
      <c r="E953" s="145"/>
      <c r="F953" s="145"/>
      <c r="G953" s="145"/>
      <c r="H953" s="145"/>
    </row>
    <row r="954" customHeight="1" spans="5:8">
      <c r="E954" s="145"/>
      <c r="F954" s="145"/>
      <c r="G954" s="145"/>
      <c r="H954" s="145"/>
    </row>
    <row r="955" customHeight="1" spans="5:8">
      <c r="E955" s="145"/>
      <c r="F955" s="145"/>
      <c r="G955" s="145"/>
      <c r="H955" s="145"/>
    </row>
    <row r="956" customHeight="1" spans="5:8">
      <c r="E956" s="145"/>
      <c r="F956" s="145"/>
      <c r="G956" s="145"/>
      <c r="H956" s="145"/>
    </row>
    <row r="957" customHeight="1" spans="5:8">
      <c r="E957" s="145"/>
      <c r="F957" s="145"/>
      <c r="G957" s="145"/>
      <c r="H957" s="145"/>
    </row>
    <row r="958" customHeight="1" spans="5:8">
      <c r="E958" s="145"/>
      <c r="F958" s="145"/>
      <c r="G958" s="145"/>
      <c r="H958" s="145"/>
    </row>
    <row r="959" customHeight="1" spans="5:8">
      <c r="E959" s="145"/>
      <c r="F959" s="145"/>
      <c r="G959" s="145"/>
      <c r="H959" s="145"/>
    </row>
    <row r="960" customHeight="1" spans="5:8">
      <c r="E960" s="145"/>
      <c r="F960" s="145"/>
      <c r="G960" s="145"/>
      <c r="H960" s="145"/>
    </row>
    <row r="961" customHeight="1" spans="5:8">
      <c r="E961" s="145"/>
      <c r="F961" s="145"/>
      <c r="G961" s="145"/>
      <c r="H961" s="145"/>
    </row>
    <row r="962" customHeight="1" spans="5:8">
      <c r="E962" s="145"/>
      <c r="F962" s="145"/>
      <c r="G962" s="145"/>
      <c r="H962" s="145"/>
    </row>
    <row r="963" customHeight="1" spans="5:8">
      <c r="E963" s="145"/>
      <c r="F963" s="145"/>
      <c r="G963" s="145"/>
      <c r="H963" s="145"/>
    </row>
    <row r="964" customHeight="1" spans="5:8">
      <c r="E964" s="145"/>
      <c r="F964" s="145"/>
      <c r="G964" s="145"/>
      <c r="H964" s="145"/>
    </row>
    <row r="965" customHeight="1" spans="5:8">
      <c r="E965" s="145"/>
      <c r="F965" s="145"/>
      <c r="G965" s="145"/>
      <c r="H965" s="145"/>
    </row>
    <row r="966" customHeight="1" spans="5:8">
      <c r="E966" s="145"/>
      <c r="F966" s="145"/>
      <c r="G966" s="145"/>
      <c r="H966" s="145"/>
    </row>
    <row r="967" customHeight="1" spans="5:8">
      <c r="E967" s="145"/>
      <c r="F967" s="145"/>
      <c r="G967" s="145"/>
      <c r="H967" s="145"/>
    </row>
    <row r="968" customHeight="1" spans="5:8">
      <c r="E968" s="145"/>
      <c r="F968" s="145"/>
      <c r="G968" s="145"/>
      <c r="H968" s="145"/>
    </row>
    <row r="969" customHeight="1" spans="5:8">
      <c r="E969" s="145"/>
      <c r="F969" s="145"/>
      <c r="G969" s="145"/>
      <c r="H969" s="145"/>
    </row>
    <row r="970" customHeight="1" spans="5:8">
      <c r="E970" s="145"/>
      <c r="F970" s="145"/>
      <c r="G970" s="145"/>
      <c r="H970" s="145"/>
    </row>
    <row r="971" customHeight="1" spans="5:8">
      <c r="E971" s="145"/>
      <c r="F971" s="145"/>
      <c r="G971" s="145"/>
      <c r="H971" s="145"/>
    </row>
    <row r="972" customHeight="1" spans="5:8">
      <c r="E972" s="145"/>
      <c r="F972" s="145"/>
      <c r="G972" s="145"/>
      <c r="H972" s="145"/>
    </row>
    <row r="973" customHeight="1" spans="5:8">
      <c r="E973" s="145"/>
      <c r="F973" s="145"/>
      <c r="G973" s="145"/>
      <c r="H973" s="145"/>
    </row>
    <row r="974" customHeight="1" spans="5:8">
      <c r="E974" s="145"/>
      <c r="F974" s="145"/>
      <c r="G974" s="145"/>
      <c r="H974" s="145"/>
    </row>
    <row r="975" customHeight="1" spans="5:8">
      <c r="E975" s="145"/>
      <c r="F975" s="145"/>
      <c r="G975" s="145"/>
      <c r="H975" s="145"/>
    </row>
    <row r="976" customHeight="1" spans="5:8">
      <c r="E976" s="145"/>
      <c r="F976" s="145"/>
      <c r="G976" s="145"/>
      <c r="H976" s="145"/>
    </row>
    <row r="977" customHeight="1" spans="5:8">
      <c r="E977" s="145"/>
      <c r="F977" s="145"/>
      <c r="G977" s="145"/>
      <c r="H977" s="145"/>
    </row>
    <row r="978" customHeight="1" spans="5:8">
      <c r="E978" s="145"/>
      <c r="F978" s="145"/>
      <c r="G978" s="145"/>
      <c r="H978" s="145"/>
    </row>
    <row r="979" customHeight="1" spans="5:8">
      <c r="E979" s="145"/>
      <c r="F979" s="145"/>
      <c r="G979" s="145"/>
      <c r="H979" s="145"/>
    </row>
    <row r="980" customHeight="1" spans="5:8">
      <c r="E980" s="145"/>
      <c r="F980" s="145"/>
      <c r="G980" s="145"/>
      <c r="H980" s="145"/>
    </row>
    <row r="981" customHeight="1" spans="5:8">
      <c r="E981" s="145"/>
      <c r="F981" s="145"/>
      <c r="G981" s="145"/>
      <c r="H981" s="145"/>
    </row>
    <row r="982" customHeight="1" spans="5:8">
      <c r="E982" s="145"/>
      <c r="F982" s="145"/>
      <c r="G982" s="145"/>
      <c r="H982" s="145"/>
    </row>
    <row r="983" customHeight="1" spans="5:8">
      <c r="E983" s="145"/>
      <c r="F983" s="145"/>
      <c r="G983" s="145"/>
      <c r="H983" s="145"/>
    </row>
    <row r="984" customHeight="1" spans="5:8">
      <c r="E984" s="145"/>
      <c r="F984" s="145"/>
      <c r="G984" s="145"/>
      <c r="H984" s="145"/>
    </row>
    <row r="985" customHeight="1" spans="5:8">
      <c r="E985" s="145"/>
      <c r="F985" s="145"/>
      <c r="G985" s="145"/>
      <c r="H985" s="145"/>
    </row>
    <row r="986" customHeight="1" spans="5:8">
      <c r="E986" s="145"/>
      <c r="F986" s="145"/>
      <c r="G986" s="145"/>
      <c r="H986" s="145"/>
    </row>
    <row r="987" customHeight="1" spans="5:8">
      <c r="E987" s="145"/>
      <c r="F987" s="145"/>
      <c r="G987" s="145"/>
      <c r="H987" s="145"/>
    </row>
    <row r="988" customHeight="1" spans="5:8">
      <c r="E988" s="145"/>
      <c r="F988" s="145"/>
      <c r="G988" s="145"/>
      <c r="H988" s="145"/>
    </row>
    <row r="989" customHeight="1" spans="5:8">
      <c r="E989" s="145"/>
      <c r="F989" s="145"/>
      <c r="G989" s="145"/>
      <c r="H989" s="145"/>
    </row>
    <row r="990" customHeight="1" spans="5:8">
      <c r="E990" s="145"/>
      <c r="F990" s="145"/>
      <c r="G990" s="145"/>
      <c r="H990" s="145"/>
    </row>
    <row r="991" customHeight="1" spans="5:8">
      <c r="E991" s="145"/>
      <c r="F991" s="145"/>
      <c r="G991" s="145"/>
      <c r="H991" s="145"/>
    </row>
    <row r="992" customHeight="1" spans="5:8">
      <c r="E992" s="145"/>
      <c r="F992" s="145"/>
      <c r="G992" s="145"/>
      <c r="H992" s="145"/>
    </row>
    <row r="993" customHeight="1" spans="5:8">
      <c r="E993" s="145"/>
      <c r="F993" s="145"/>
      <c r="G993" s="145"/>
      <c r="H993" s="145"/>
    </row>
    <row r="994" customHeight="1" spans="5:8">
      <c r="E994" s="145"/>
      <c r="F994" s="145"/>
      <c r="G994" s="145"/>
      <c r="H994" s="145"/>
    </row>
    <row r="995" customHeight="1" spans="5:8">
      <c r="E995" s="145"/>
      <c r="F995" s="145"/>
      <c r="G995" s="145"/>
      <c r="H995" s="145"/>
    </row>
    <row r="996" customHeight="1" spans="5:8">
      <c r="E996" s="145"/>
      <c r="F996" s="145"/>
      <c r="G996" s="145"/>
      <c r="H996" s="145"/>
    </row>
    <row r="997" customHeight="1" spans="5:8">
      <c r="E997" s="145"/>
      <c r="F997" s="145"/>
      <c r="G997" s="145"/>
      <c r="H997" s="145"/>
    </row>
    <row r="998" customHeight="1" spans="5:8">
      <c r="E998" s="145"/>
      <c r="F998" s="145"/>
      <c r="G998" s="145"/>
      <c r="H998" s="145"/>
    </row>
    <row r="999" customHeight="1" spans="5:8">
      <c r="E999" s="145"/>
      <c r="F999" s="145"/>
      <c r="G999" s="145"/>
      <c r="H999" s="145"/>
    </row>
    <row r="1000" customHeight="1" spans="5:8">
      <c r="E1000" s="145"/>
      <c r="F1000" s="145"/>
      <c r="G1000" s="145"/>
      <c r="H1000" s="145"/>
    </row>
  </sheetData>
  <pageMargins left="0.511811024" right="0.511811024" top="0.787401575" bottom="0.787401575" header="0.31496062" footer="0.31496062"/>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3C47D"/>
    <outlinePr summaryBelow="0" summaryRight="0"/>
  </sheetPr>
  <dimension ref="A1:K91"/>
  <sheetViews>
    <sheetView workbookViewId="0">
      <pane ySplit="1" topLeftCell="A2" activePane="bottomLeft" state="frozen"/>
      <selection/>
      <selection pane="bottomLeft" activeCell="B3" sqref="B3"/>
    </sheetView>
  </sheetViews>
  <sheetFormatPr defaultColWidth="14.4380952380952" defaultRowHeight="15" customHeight="1"/>
  <cols>
    <col min="1" max="1" width="22.1047619047619" customWidth="1"/>
    <col min="2" max="2" width="16.6666666666667" customWidth="1"/>
    <col min="3" max="3" width="15.1047619047619" customWidth="1"/>
    <col min="4" max="4" width="16.3333333333333" customWidth="1"/>
    <col min="5" max="5" width="10.6666666666667" customWidth="1"/>
    <col min="6" max="6" width="27.1047619047619" customWidth="1"/>
    <col min="7" max="7" width="14.3333333333333" customWidth="1"/>
    <col min="8" max="8" width="9.88571428571429" customWidth="1"/>
    <col min="9" max="9" width="13.3333333333333" customWidth="1"/>
    <col min="10" max="10" width="17" customWidth="1"/>
    <col min="11" max="11" width="30.552380952381" customWidth="1"/>
  </cols>
  <sheetData>
    <row r="1" customHeight="1" spans="1:11">
      <c r="A1" s="131" t="s">
        <v>495</v>
      </c>
      <c r="B1" s="132" t="s">
        <v>2</v>
      </c>
      <c r="C1" s="133" t="s">
        <v>666</v>
      </c>
      <c r="D1" s="133" t="s">
        <v>410</v>
      </c>
      <c r="E1" s="133" t="s">
        <v>496</v>
      </c>
      <c r="F1" s="134" t="s">
        <v>667</v>
      </c>
      <c r="G1" s="134" t="s">
        <v>668</v>
      </c>
      <c r="H1" s="134" t="s">
        <v>669</v>
      </c>
      <c r="I1" s="134" t="s">
        <v>670</v>
      </c>
      <c r="J1" s="134" t="s">
        <v>671</v>
      </c>
      <c r="K1" s="134" t="s">
        <v>672</v>
      </c>
    </row>
    <row r="2" customHeight="1" spans="1:11">
      <c r="A2" s="134" t="s">
        <v>499</v>
      </c>
      <c r="B2" s="135" t="s">
        <v>673</v>
      </c>
      <c r="C2" s="136" t="str">
        <f t="array" ref="C2">_xlfn.XLOOKUP($A2,articul!$A:$A,articul!$D:$D)</f>
        <v>Ijuí</v>
      </c>
      <c r="D2" s="136" t="str">
        <f t="array" ref="D2">_xlfn.XLOOKUP($A2,articul!$A:$A,articul!$C:$C)</f>
        <v>12º BBM</v>
      </c>
      <c r="E2" s="136" t="str">
        <f t="array" ref="E2">_xlfn.XLOOKUP($A2,articul!$A:$A,articul!$B:$B)</f>
        <v>4º CRBM</v>
      </c>
      <c r="F2" s="134" t="s">
        <v>674</v>
      </c>
      <c r="G2" s="134" t="s">
        <v>675</v>
      </c>
      <c r="H2" s="134">
        <v>1975</v>
      </c>
      <c r="I2" s="134"/>
      <c r="J2" s="134"/>
      <c r="K2" s="134" t="s">
        <v>676</v>
      </c>
    </row>
    <row r="3" customHeight="1" spans="1:11">
      <c r="A3" s="134" t="s">
        <v>503</v>
      </c>
      <c r="B3" s="135" t="s">
        <v>673</v>
      </c>
      <c r="C3" s="136" t="str">
        <f t="array" ref="C3">_xlfn.XLOOKUP($A3,articul!$A:$A,articul!$D:$D)</f>
        <v>Camaquã</v>
      </c>
      <c r="D3" s="136" t="str">
        <f t="array" ref="D3">_xlfn.XLOOKUP($A3,articul!$A:$A,articul!$C:$C)</f>
        <v>6º BBM</v>
      </c>
      <c r="E3" s="136" t="str">
        <f t="array" ref="E3">_xlfn.XLOOKUP($A3,articul!$A:$A,articul!$B:$B)</f>
        <v>4º CRBM</v>
      </c>
      <c r="F3" s="134" t="s">
        <v>677</v>
      </c>
      <c r="G3" s="134" t="s">
        <v>678</v>
      </c>
      <c r="H3" s="134" t="s">
        <v>679</v>
      </c>
      <c r="I3" s="134" t="s">
        <v>680</v>
      </c>
      <c r="J3" s="134" t="s">
        <v>681</v>
      </c>
      <c r="K3" s="134" t="s">
        <v>682</v>
      </c>
    </row>
    <row r="4" customHeight="1" spans="1:11">
      <c r="A4" s="134" t="s">
        <v>503</v>
      </c>
      <c r="B4" s="135" t="s">
        <v>673</v>
      </c>
      <c r="C4" s="136" t="str">
        <f t="array" ref="C4">_xlfn.XLOOKUP($A4,articul!$A:$A,articul!$D:$D)</f>
        <v>Camaquã</v>
      </c>
      <c r="D4" s="136" t="str">
        <f t="array" ref="D4">_xlfn.XLOOKUP($A4,articul!$A:$A,articul!$C:$C)</f>
        <v>6º BBM</v>
      </c>
      <c r="E4" s="136" t="str">
        <f t="array" ref="E4">_xlfn.XLOOKUP($A4,articul!$A:$A,articul!$B:$B)</f>
        <v>4º CRBM</v>
      </c>
      <c r="F4" s="134" t="s">
        <v>683</v>
      </c>
      <c r="G4" s="134" t="s">
        <v>684</v>
      </c>
      <c r="H4" s="134" t="s">
        <v>685</v>
      </c>
      <c r="I4" s="134" t="s">
        <v>686</v>
      </c>
      <c r="J4" s="134" t="s">
        <v>687</v>
      </c>
      <c r="K4" s="134" t="s">
        <v>682</v>
      </c>
    </row>
    <row r="5" customHeight="1" spans="1:11">
      <c r="A5" s="134" t="s">
        <v>506</v>
      </c>
      <c r="B5" s="135" t="s">
        <v>673</v>
      </c>
      <c r="C5" s="136" t="str">
        <f t="array" ref="C5">_xlfn.XLOOKUP($A5,articul!$A:$A,articul!$D:$D)</f>
        <v>Sapiranga</v>
      </c>
      <c r="D5" s="136" t="str">
        <f t="array" ref="D5">_xlfn.XLOOKUP($A5,articul!$A:$A,articul!$C:$C)</f>
        <v>2º BBM</v>
      </c>
      <c r="E5" s="136" t="str">
        <f t="array" ref="E5">_xlfn.XLOOKUP($A5,articul!$A:$A,articul!$B:$B)</f>
        <v>2º CRBM</v>
      </c>
      <c r="F5" s="134" t="s">
        <v>688</v>
      </c>
      <c r="G5" s="134" t="s">
        <v>689</v>
      </c>
      <c r="H5" s="134">
        <v>2008</v>
      </c>
      <c r="I5" s="134"/>
      <c r="J5" s="134"/>
      <c r="K5" s="134" t="s">
        <v>682</v>
      </c>
    </row>
    <row r="6" customHeight="1" spans="1:11">
      <c r="A6" s="134" t="s">
        <v>506</v>
      </c>
      <c r="B6" s="135" t="s">
        <v>673</v>
      </c>
      <c r="C6" s="136" t="str">
        <f t="array" ref="C6">_xlfn.XLOOKUP($A6,articul!$A:$A,articul!$D:$D)</f>
        <v>Sapiranga</v>
      </c>
      <c r="D6" s="136" t="str">
        <f t="array" ref="D6">_xlfn.XLOOKUP($A6,articul!$A:$A,articul!$C:$C)</f>
        <v>2º BBM</v>
      </c>
      <c r="E6" s="136" t="str">
        <f t="array" ref="E6">_xlfn.XLOOKUP($A6,articul!$A:$A,articul!$B:$B)</f>
        <v>2º CRBM</v>
      </c>
      <c r="F6" s="134" t="s">
        <v>690</v>
      </c>
      <c r="G6" s="134" t="s">
        <v>691</v>
      </c>
      <c r="H6" s="134">
        <v>1997</v>
      </c>
      <c r="I6" s="134"/>
      <c r="J6" s="134"/>
      <c r="K6" s="134" t="s">
        <v>682</v>
      </c>
    </row>
    <row r="7" customHeight="1" spans="1:11">
      <c r="A7" s="134" t="s">
        <v>506</v>
      </c>
      <c r="B7" s="135" t="s">
        <v>673</v>
      </c>
      <c r="C7" s="136" t="str">
        <f t="array" ref="C7">_xlfn.XLOOKUP($A7,articul!$A:$A,articul!$D:$D)</f>
        <v>Sapiranga</v>
      </c>
      <c r="D7" s="136" t="str">
        <f t="array" ref="D7">_xlfn.XLOOKUP($A7,articul!$A:$A,articul!$C:$C)</f>
        <v>2º BBM</v>
      </c>
      <c r="E7" s="136" t="str">
        <f t="array" ref="E7">_xlfn.XLOOKUP($A7,articul!$A:$A,articul!$B:$B)</f>
        <v>2º CRBM</v>
      </c>
      <c r="F7" s="134" t="s">
        <v>692</v>
      </c>
      <c r="G7" s="134" t="s">
        <v>693</v>
      </c>
      <c r="H7" s="134">
        <v>2000</v>
      </c>
      <c r="I7" s="134"/>
      <c r="J7" s="134"/>
      <c r="K7" s="134" t="s">
        <v>682</v>
      </c>
    </row>
    <row r="8" customHeight="1" spans="1:11">
      <c r="A8" s="134" t="s">
        <v>506</v>
      </c>
      <c r="B8" s="135" t="s">
        <v>673</v>
      </c>
      <c r="C8" s="136" t="str">
        <f t="array" ref="C8">_xlfn.XLOOKUP($A8,articul!$A:$A,articul!$D:$D)</f>
        <v>Sapiranga</v>
      </c>
      <c r="D8" s="136" t="str">
        <f t="array" ref="D8">_xlfn.XLOOKUP($A8,articul!$A:$A,articul!$C:$C)</f>
        <v>2º BBM</v>
      </c>
      <c r="E8" s="136" t="str">
        <f t="array" ref="E8">_xlfn.XLOOKUP($A8,articul!$A:$A,articul!$B:$B)</f>
        <v>2º CRBM</v>
      </c>
      <c r="F8" s="134" t="s">
        <v>694</v>
      </c>
      <c r="G8" s="134" t="s">
        <v>695</v>
      </c>
      <c r="H8" s="134">
        <v>2000</v>
      </c>
      <c r="I8" s="134"/>
      <c r="J8" s="134"/>
      <c r="K8" s="134" t="s">
        <v>696</v>
      </c>
    </row>
    <row r="9" customHeight="1" spans="1:11">
      <c r="A9" s="134" t="s">
        <v>506</v>
      </c>
      <c r="B9" s="135" t="s">
        <v>673</v>
      </c>
      <c r="C9" s="136" t="str">
        <f t="array" ref="C9">_xlfn.XLOOKUP($A9,articul!$A:$A,articul!$D:$D)</f>
        <v>Sapiranga</v>
      </c>
      <c r="D9" s="136" t="str">
        <f t="array" ref="D9">_xlfn.XLOOKUP($A9,articul!$A:$A,articul!$C:$C)</f>
        <v>2º BBM</v>
      </c>
      <c r="E9" s="136" t="str">
        <f t="array" ref="E9">_xlfn.XLOOKUP($A9,articul!$A:$A,articul!$B:$B)</f>
        <v>2º CRBM</v>
      </c>
      <c r="F9" s="134" t="s">
        <v>697</v>
      </c>
      <c r="G9" s="134" t="s">
        <v>698</v>
      </c>
      <c r="H9" s="134">
        <v>2012</v>
      </c>
      <c r="I9" s="134"/>
      <c r="J9" s="134"/>
      <c r="K9" s="134" t="s">
        <v>682</v>
      </c>
    </row>
    <row r="10" customHeight="1" spans="1:11">
      <c r="A10" s="134" t="s">
        <v>509</v>
      </c>
      <c r="B10" s="135" t="s">
        <v>673</v>
      </c>
      <c r="C10" s="136" t="str">
        <f t="array" ref="C10">_xlfn.XLOOKUP($A10,articul!$A:$A,articul!$D:$D)</f>
        <v>Erechim</v>
      </c>
      <c r="D10" s="136" t="str">
        <f t="array" ref="D10">_xlfn.XLOOKUP($A10,articul!$A:$A,articul!$C:$C)</f>
        <v>7º BBM</v>
      </c>
      <c r="E10" s="136" t="str">
        <f t="array" ref="E10">_xlfn.XLOOKUP($A10,articul!$A:$A,articul!$B:$B)</f>
        <v>2º CRBM</v>
      </c>
      <c r="F10" s="134" t="s">
        <v>699</v>
      </c>
      <c r="G10" s="134" t="s">
        <v>700</v>
      </c>
      <c r="H10" s="134">
        <v>1989</v>
      </c>
      <c r="I10" s="134"/>
      <c r="J10" s="134"/>
      <c r="K10" s="134"/>
    </row>
    <row r="11" customHeight="1" spans="1:11">
      <c r="A11" s="134" t="s">
        <v>509</v>
      </c>
      <c r="B11" s="135" t="s">
        <v>673</v>
      </c>
      <c r="C11" s="136" t="str">
        <f t="array" ref="C11">_xlfn.XLOOKUP($A11,articul!$A:$A,articul!$D:$D)</f>
        <v>Erechim</v>
      </c>
      <c r="D11" s="136" t="str">
        <f t="array" ref="D11">_xlfn.XLOOKUP($A11,articul!$A:$A,articul!$C:$C)</f>
        <v>7º BBM</v>
      </c>
      <c r="E11" s="136" t="str">
        <f t="array" ref="E11">_xlfn.XLOOKUP($A11,articul!$A:$A,articul!$B:$B)</f>
        <v>2º CRBM</v>
      </c>
      <c r="F11" s="134" t="s">
        <v>701</v>
      </c>
      <c r="G11" s="134" t="s">
        <v>702</v>
      </c>
      <c r="H11" s="134">
        <v>2014</v>
      </c>
      <c r="I11" s="134"/>
      <c r="J11" s="134"/>
      <c r="K11" s="134"/>
    </row>
    <row r="12" customHeight="1" spans="1:11">
      <c r="A12" s="134" t="s">
        <v>421</v>
      </c>
      <c r="B12" s="135" t="s">
        <v>673</v>
      </c>
      <c r="C12" s="136" t="str">
        <f t="array" ref="C12">_xlfn.XLOOKUP($A12,articul!$A:$A,articul!$D:$D)</f>
        <v>Lajeado</v>
      </c>
      <c r="D12" s="136" t="str">
        <f t="array" ref="D12">_xlfn.XLOOKUP($A12,articul!$A:$A,articul!$C:$C)</f>
        <v>6º BBM</v>
      </c>
      <c r="E12" s="136" t="str">
        <f t="array" ref="E12">_xlfn.XLOOKUP($A12,articul!$A:$A,articul!$B:$B)</f>
        <v>4º CRBM</v>
      </c>
      <c r="F12" s="134"/>
      <c r="G12" s="134"/>
      <c r="H12" s="134"/>
      <c r="I12" s="134"/>
      <c r="J12" s="134"/>
      <c r="K12" s="134"/>
    </row>
    <row r="13" customHeight="1" spans="1:11">
      <c r="A13" s="134" t="s">
        <v>415</v>
      </c>
      <c r="B13" s="135" t="s">
        <v>673</v>
      </c>
      <c r="C13" s="136" t="str">
        <f t="array" ref="C13">_xlfn.XLOOKUP($A13,articul!$A:$A,articul!$D:$D)</f>
        <v>Torres</v>
      </c>
      <c r="D13" s="136" t="str">
        <f t="array" ref="D13">_xlfn.XLOOKUP($A13,articul!$A:$A,articul!$C:$C)</f>
        <v>9º BBM</v>
      </c>
      <c r="E13" s="136" t="str">
        <f t="array" ref="E13">_xlfn.XLOOKUP($A13,articul!$A:$A,articul!$B:$B)</f>
        <v>1º CRBM</v>
      </c>
      <c r="F13" s="134" t="s">
        <v>703</v>
      </c>
      <c r="G13" s="134" t="s">
        <v>704</v>
      </c>
      <c r="H13" s="134" t="s">
        <v>705</v>
      </c>
      <c r="I13" s="134" t="s">
        <v>706</v>
      </c>
      <c r="J13" s="134" t="s">
        <v>707</v>
      </c>
      <c r="K13" s="134" t="s">
        <v>682</v>
      </c>
    </row>
    <row r="14" customHeight="1" spans="1:11">
      <c r="A14" s="134" t="s">
        <v>415</v>
      </c>
      <c r="B14" s="135" t="s">
        <v>673</v>
      </c>
      <c r="C14" s="136" t="str">
        <f t="array" ref="C14">_xlfn.XLOOKUP($A14,articul!$A:$A,articul!$D:$D)</f>
        <v>Torres</v>
      </c>
      <c r="D14" s="136" t="str">
        <f t="array" ref="D14">_xlfn.XLOOKUP($A14,articul!$A:$A,articul!$C:$C)</f>
        <v>9º BBM</v>
      </c>
      <c r="E14" s="136" t="str">
        <f t="array" ref="E14">_xlfn.XLOOKUP($A14,articul!$A:$A,articul!$B:$B)</f>
        <v>1º CRBM</v>
      </c>
      <c r="F14" s="134" t="s">
        <v>708</v>
      </c>
      <c r="G14" s="134" t="s">
        <v>709</v>
      </c>
      <c r="H14" s="134">
        <v>2005</v>
      </c>
      <c r="I14" s="134" t="s">
        <v>710</v>
      </c>
      <c r="J14" s="134"/>
      <c r="K14" s="134" t="s">
        <v>682</v>
      </c>
    </row>
    <row r="15" customHeight="1" spans="1:11">
      <c r="A15" s="134" t="s">
        <v>415</v>
      </c>
      <c r="B15" s="135" t="s">
        <v>673</v>
      </c>
      <c r="C15" s="136" t="str">
        <f t="array" ref="C15">_xlfn.XLOOKUP($A15,articul!$A:$A,articul!$D:$D)</f>
        <v>Torres</v>
      </c>
      <c r="D15" s="136" t="str">
        <f t="array" ref="D15">_xlfn.XLOOKUP($A15,articul!$A:$A,articul!$C:$C)</f>
        <v>9º BBM</v>
      </c>
      <c r="E15" s="136" t="str">
        <f t="array" ref="E15">_xlfn.XLOOKUP($A15,articul!$A:$A,articul!$B:$B)</f>
        <v>1º CRBM</v>
      </c>
      <c r="F15" s="134" t="s">
        <v>711</v>
      </c>
      <c r="G15" s="134" t="s">
        <v>712</v>
      </c>
      <c r="H15" s="134">
        <v>2008</v>
      </c>
      <c r="I15" s="134" t="s">
        <v>713</v>
      </c>
      <c r="J15" s="134"/>
      <c r="K15" s="134" t="s">
        <v>682</v>
      </c>
    </row>
    <row r="16" customHeight="1" spans="1:11">
      <c r="A16" s="134" t="s">
        <v>415</v>
      </c>
      <c r="B16" s="135" t="s">
        <v>673</v>
      </c>
      <c r="C16" s="136" t="str">
        <f t="array" ref="C16">_xlfn.XLOOKUP($A16,articul!$A:$A,articul!$D:$D)</f>
        <v>Torres</v>
      </c>
      <c r="D16" s="136" t="str">
        <f t="array" ref="D16">_xlfn.XLOOKUP($A16,articul!$A:$A,articul!$C:$C)</f>
        <v>9º BBM</v>
      </c>
      <c r="E16" s="136" t="str">
        <f t="array" ref="E16">_xlfn.XLOOKUP($A16,articul!$A:$A,articul!$B:$B)</f>
        <v>1º CRBM</v>
      </c>
      <c r="F16" s="134" t="s">
        <v>714</v>
      </c>
      <c r="G16" s="134" t="s">
        <v>715</v>
      </c>
      <c r="H16" s="134">
        <v>2004</v>
      </c>
      <c r="I16" s="134" t="s">
        <v>716</v>
      </c>
      <c r="J16" s="134"/>
      <c r="K16" s="134" t="s">
        <v>682</v>
      </c>
    </row>
    <row r="17" customHeight="1" spans="1:11">
      <c r="A17" s="134" t="s">
        <v>516</v>
      </c>
      <c r="B17" s="135" t="s">
        <v>673</v>
      </c>
      <c r="C17" s="136" t="str">
        <f t="array" ref="C17">_xlfn.XLOOKUP($A17,articul!$A:$A,articul!$D:$D)</f>
        <v>Jaguarão</v>
      </c>
      <c r="D17" s="136" t="str">
        <f t="array" ref="D17">_xlfn.XLOOKUP($A17,articul!$A:$A,articul!$C:$C)</f>
        <v>3º BBM</v>
      </c>
      <c r="E17" s="136" t="str">
        <f t="array" ref="E17">_xlfn.XLOOKUP($A17,articul!$A:$A,articul!$B:$B)</f>
        <v>3º CRBM</v>
      </c>
      <c r="F17" s="134" t="s">
        <v>717</v>
      </c>
      <c r="G17" s="134" t="s">
        <v>718</v>
      </c>
      <c r="H17" s="134" t="s">
        <v>705</v>
      </c>
      <c r="I17" s="134" t="s">
        <v>719</v>
      </c>
      <c r="J17" s="134" t="s">
        <v>720</v>
      </c>
      <c r="K17" s="134" t="s">
        <v>721</v>
      </c>
    </row>
    <row r="18" customHeight="1" spans="1:11">
      <c r="A18" s="134" t="s">
        <v>516</v>
      </c>
      <c r="B18" s="135" t="s">
        <v>673</v>
      </c>
      <c r="C18" s="136" t="str">
        <f t="array" ref="C18">_xlfn.XLOOKUP($A18,articul!$A:$A,articul!$D:$D)</f>
        <v>Jaguarão</v>
      </c>
      <c r="D18" s="136" t="str">
        <f t="array" ref="D18">_xlfn.XLOOKUP($A18,articul!$A:$A,articul!$C:$C)</f>
        <v>3º BBM</v>
      </c>
      <c r="E18" s="136" t="str">
        <f t="array" ref="E18">_xlfn.XLOOKUP($A18,articul!$A:$A,articul!$B:$B)</f>
        <v>3º CRBM</v>
      </c>
      <c r="F18" s="134" t="s">
        <v>722</v>
      </c>
      <c r="G18" s="134" t="s">
        <v>723</v>
      </c>
      <c r="H18" s="134">
        <v>1979</v>
      </c>
      <c r="I18" s="134"/>
      <c r="J18" s="134"/>
      <c r="K18" s="134"/>
    </row>
    <row r="19" customHeight="1" spans="1:11">
      <c r="A19" s="134" t="s">
        <v>520</v>
      </c>
      <c r="B19" s="135" t="s">
        <v>673</v>
      </c>
      <c r="C19" s="136" t="str">
        <f t="array" ref="C19">_xlfn.XLOOKUP($A19,articul!$A:$A,articul!$D:$D)</f>
        <v>Getúlio Vargas</v>
      </c>
      <c r="D19" s="136" t="str">
        <f t="array" ref="D19">_xlfn.XLOOKUP($A19,articul!$A:$A,articul!$C:$C)</f>
        <v>7º BBM</v>
      </c>
      <c r="E19" s="136" t="str">
        <f t="array" ref="E19">_xlfn.XLOOKUP($A19,articul!$A:$A,articul!$B:$B)</f>
        <v>2º CRBM</v>
      </c>
      <c r="F19" s="134"/>
      <c r="G19" s="134"/>
      <c r="H19" s="134"/>
      <c r="I19" s="134"/>
      <c r="J19" s="134"/>
      <c r="K19" s="134"/>
    </row>
    <row r="20" customHeight="1" spans="1:11">
      <c r="A20" s="134" t="s">
        <v>427</v>
      </c>
      <c r="B20" s="135" t="s">
        <v>673</v>
      </c>
      <c r="C20" s="136" t="str">
        <f t="array" ref="C20">_xlfn.XLOOKUP($A20,articul!$A:$A,articul!$D:$D)</f>
        <v>Cidreira</v>
      </c>
      <c r="D20" s="136" t="str">
        <f t="array" ref="D20">_xlfn.XLOOKUP($A20,articul!$A:$A,articul!$C:$C)</f>
        <v>9º BBM</v>
      </c>
      <c r="E20" s="136" t="str">
        <f t="array" ref="E20">_xlfn.XLOOKUP($A20,articul!$A:$A,articul!$B:$B)</f>
        <v>1º CRBM</v>
      </c>
      <c r="F20" s="134" t="s">
        <v>724</v>
      </c>
      <c r="G20" s="134" t="s">
        <v>725</v>
      </c>
      <c r="H20" s="134">
        <v>2005</v>
      </c>
      <c r="I20" s="134" t="s">
        <v>726</v>
      </c>
      <c r="J20" s="134"/>
      <c r="K20" s="134" t="s">
        <v>682</v>
      </c>
    </row>
    <row r="21" customHeight="1" spans="1:11">
      <c r="A21" s="134" t="s">
        <v>427</v>
      </c>
      <c r="B21" s="135" t="s">
        <v>673</v>
      </c>
      <c r="C21" s="136" t="str">
        <f t="array" ref="C21">_xlfn.XLOOKUP($A21,articul!$A:$A,articul!$D:$D)</f>
        <v>Cidreira</v>
      </c>
      <c r="D21" s="136" t="str">
        <f t="array" ref="D21">_xlfn.XLOOKUP($A21,articul!$A:$A,articul!$C:$C)</f>
        <v>9º BBM</v>
      </c>
      <c r="E21" s="136" t="str">
        <f t="array" ref="E21">_xlfn.XLOOKUP($A21,articul!$A:$A,articul!$B:$B)</f>
        <v>1º CRBM</v>
      </c>
      <c r="F21" s="134" t="s">
        <v>727</v>
      </c>
      <c r="G21" s="134" t="s">
        <v>728</v>
      </c>
      <c r="H21" s="134">
        <v>1998</v>
      </c>
      <c r="I21" s="134" t="s">
        <v>729</v>
      </c>
      <c r="J21" s="134" t="s">
        <v>730</v>
      </c>
      <c r="K21" s="134" t="s">
        <v>682</v>
      </c>
    </row>
    <row r="22" customHeight="1" spans="1:11">
      <c r="A22" s="134" t="s">
        <v>427</v>
      </c>
      <c r="B22" s="135" t="s">
        <v>673</v>
      </c>
      <c r="C22" s="136" t="str">
        <f t="array" ref="C22">_xlfn.XLOOKUP($A22,articul!$A:$A,articul!$D:$D)</f>
        <v>Cidreira</v>
      </c>
      <c r="D22" s="136" t="str">
        <f t="array" ref="D22">_xlfn.XLOOKUP($A22,articul!$A:$A,articul!$C:$C)</f>
        <v>9º BBM</v>
      </c>
      <c r="E22" s="136" t="str">
        <f t="array" ref="E22">_xlfn.XLOOKUP($A22,articul!$A:$A,articul!$B:$B)</f>
        <v>1º CRBM</v>
      </c>
      <c r="F22" s="134" t="s">
        <v>731</v>
      </c>
      <c r="G22" s="134" t="s">
        <v>732</v>
      </c>
      <c r="H22" s="134">
        <v>2014</v>
      </c>
      <c r="I22" s="134" t="s">
        <v>733</v>
      </c>
      <c r="J22" s="134"/>
      <c r="K22" s="134" t="s">
        <v>682</v>
      </c>
    </row>
    <row r="23" customHeight="1" spans="1:11">
      <c r="A23" s="134" t="s">
        <v>427</v>
      </c>
      <c r="B23" s="135" t="s">
        <v>673</v>
      </c>
      <c r="C23" s="136" t="str">
        <f t="array" ref="C23">_xlfn.XLOOKUP($A23,articul!$A:$A,articul!$D:$D)</f>
        <v>Cidreira</v>
      </c>
      <c r="D23" s="136" t="str">
        <f t="array" ref="D23">_xlfn.XLOOKUP($A23,articul!$A:$A,articul!$C:$C)</f>
        <v>9º BBM</v>
      </c>
      <c r="E23" s="136" t="str">
        <f t="array" ref="E23">_xlfn.XLOOKUP($A23,articul!$A:$A,articul!$B:$B)</f>
        <v>1º CRBM</v>
      </c>
      <c r="F23" s="134" t="s">
        <v>734</v>
      </c>
      <c r="G23" s="134" t="s">
        <v>735</v>
      </c>
      <c r="H23" s="134">
        <v>2006</v>
      </c>
      <c r="I23" s="134" t="s">
        <v>736</v>
      </c>
      <c r="J23" s="134"/>
      <c r="K23" s="134" t="s">
        <v>682</v>
      </c>
    </row>
    <row r="24" customHeight="1" spans="1:11">
      <c r="A24" s="134" t="s">
        <v>427</v>
      </c>
      <c r="B24" s="135" t="s">
        <v>673</v>
      </c>
      <c r="C24" s="136" t="str">
        <f t="array" ref="C24">_xlfn.XLOOKUP($A24,articul!$A:$A,articul!$D:$D)</f>
        <v>Cidreira</v>
      </c>
      <c r="D24" s="136" t="str">
        <f t="array" ref="D24">_xlfn.XLOOKUP($A24,articul!$A:$A,articul!$C:$C)</f>
        <v>9º BBM</v>
      </c>
      <c r="E24" s="136" t="str">
        <f t="array" ref="E24">_xlfn.XLOOKUP($A24,articul!$A:$A,articul!$B:$B)</f>
        <v>1º CRBM</v>
      </c>
      <c r="F24" s="134" t="s">
        <v>737</v>
      </c>
      <c r="G24" s="134" t="s">
        <v>738</v>
      </c>
      <c r="H24" s="134">
        <v>1996</v>
      </c>
      <c r="I24" s="134" t="s">
        <v>739</v>
      </c>
      <c r="J24" s="134"/>
      <c r="K24" s="134" t="s">
        <v>696</v>
      </c>
    </row>
    <row r="25" customHeight="1" spans="1:11">
      <c r="A25" s="134" t="s">
        <v>427</v>
      </c>
      <c r="B25" s="135" t="s">
        <v>673</v>
      </c>
      <c r="C25" s="136" t="str">
        <f t="array" ref="C25">_xlfn.XLOOKUP($A25,articul!$A:$A,articul!$D:$D)</f>
        <v>Cidreira</v>
      </c>
      <c r="D25" s="136" t="str">
        <f t="array" ref="D25">_xlfn.XLOOKUP($A25,articul!$A:$A,articul!$C:$C)</f>
        <v>9º BBM</v>
      </c>
      <c r="E25" s="136" t="str">
        <f t="array" ref="E25">_xlfn.XLOOKUP($A25,articul!$A:$A,articul!$B:$B)</f>
        <v>1º CRBM</v>
      </c>
      <c r="F25" s="134" t="s">
        <v>740</v>
      </c>
      <c r="G25" s="134" t="s">
        <v>741</v>
      </c>
      <c r="H25" s="134">
        <v>2005</v>
      </c>
      <c r="I25" s="134" t="s">
        <v>742</v>
      </c>
      <c r="J25" s="134"/>
      <c r="K25" s="134"/>
    </row>
    <row r="26" customHeight="1" spans="1:11">
      <c r="A26" s="134" t="s">
        <v>427</v>
      </c>
      <c r="B26" s="135" t="s">
        <v>673</v>
      </c>
      <c r="C26" s="136" t="str">
        <f t="array" ref="C26">_xlfn.XLOOKUP($A26,articul!$A:$A,articul!$D:$D)</f>
        <v>Cidreira</v>
      </c>
      <c r="D26" s="136" t="str">
        <f t="array" ref="D26">_xlfn.XLOOKUP($A26,articul!$A:$A,articul!$C:$C)</f>
        <v>9º BBM</v>
      </c>
      <c r="E26" s="136" t="str">
        <f t="array" ref="E26">_xlfn.XLOOKUP($A26,articul!$A:$A,articul!$B:$B)</f>
        <v>1º CRBM</v>
      </c>
      <c r="F26" s="134" t="s">
        <v>743</v>
      </c>
      <c r="G26" s="134" t="s">
        <v>744</v>
      </c>
      <c r="H26" s="134"/>
      <c r="I26" s="134"/>
      <c r="J26" s="134"/>
      <c r="K26" s="134"/>
    </row>
    <row r="27" customHeight="1" spans="1:11">
      <c r="A27" s="134" t="s">
        <v>523</v>
      </c>
      <c r="B27" s="135" t="s">
        <v>673</v>
      </c>
      <c r="C27" s="136" t="str">
        <f t="array" ref="C27">_xlfn.XLOOKUP($A27,articul!$A:$A,articul!$D:$D)</f>
        <v>Erechim</v>
      </c>
      <c r="D27" s="136" t="str">
        <f t="array" ref="D27">_xlfn.XLOOKUP($A27,articul!$A:$A,articul!$C:$C)</f>
        <v>7º BBM</v>
      </c>
      <c r="E27" s="136" t="str">
        <f t="array" ref="E27">_xlfn.XLOOKUP($A27,articul!$A:$A,articul!$B:$B)</f>
        <v>2º CRBM</v>
      </c>
      <c r="F27" s="134" t="s">
        <v>745</v>
      </c>
      <c r="G27" s="134" t="s">
        <v>746</v>
      </c>
      <c r="H27" s="134">
        <v>1979</v>
      </c>
      <c r="I27" s="134" t="s">
        <v>747</v>
      </c>
      <c r="J27" s="134" t="s">
        <v>748</v>
      </c>
      <c r="K27" s="134" t="s">
        <v>682</v>
      </c>
    </row>
    <row r="28" customHeight="1" spans="1:11">
      <c r="A28" s="134" t="s">
        <v>523</v>
      </c>
      <c r="B28" s="135" t="s">
        <v>673</v>
      </c>
      <c r="C28" s="136" t="str">
        <f t="array" ref="C28">_xlfn.XLOOKUP($A28,articul!$A:$A,articul!$D:$D)</f>
        <v>Erechim</v>
      </c>
      <c r="D28" s="136" t="str">
        <f t="array" ref="D28">_xlfn.XLOOKUP($A28,articul!$A:$A,articul!$C:$C)</f>
        <v>7º BBM</v>
      </c>
      <c r="E28" s="136" t="str">
        <f t="array" ref="E28">_xlfn.XLOOKUP($A28,articul!$A:$A,articul!$B:$B)</f>
        <v>2º CRBM</v>
      </c>
      <c r="F28" s="134" t="s">
        <v>749</v>
      </c>
      <c r="G28" s="134" t="s">
        <v>750</v>
      </c>
      <c r="H28" s="134">
        <v>2005</v>
      </c>
      <c r="I28" s="134" t="s">
        <v>751</v>
      </c>
      <c r="J28" s="134"/>
      <c r="K28" s="134"/>
    </row>
    <row r="29" customHeight="1" spans="1:11">
      <c r="A29" s="134" t="s">
        <v>523</v>
      </c>
      <c r="B29" s="135" t="s">
        <v>673</v>
      </c>
      <c r="C29" s="136" t="str">
        <f t="array" ref="C29">_xlfn.XLOOKUP($A29,articul!$A:$A,articul!$D:$D)</f>
        <v>Erechim</v>
      </c>
      <c r="D29" s="136" t="str">
        <f t="array" ref="D29">_xlfn.XLOOKUP($A29,articul!$A:$A,articul!$C:$C)</f>
        <v>7º BBM</v>
      </c>
      <c r="E29" s="136" t="str">
        <f t="array" ref="E29">_xlfn.XLOOKUP($A29,articul!$A:$A,articul!$B:$B)</f>
        <v>2º CRBM</v>
      </c>
      <c r="F29" s="134" t="s">
        <v>752</v>
      </c>
      <c r="G29" s="134" t="s">
        <v>753</v>
      </c>
      <c r="H29" s="134">
        <v>2002</v>
      </c>
      <c r="I29" s="134"/>
      <c r="J29" s="134"/>
      <c r="K29" s="134"/>
    </row>
    <row r="30" customHeight="1" spans="1:11">
      <c r="A30" s="134" t="s">
        <v>524</v>
      </c>
      <c r="B30" s="135" t="s">
        <v>673</v>
      </c>
      <c r="C30" s="136" t="str">
        <f t="array" ref="C30">_xlfn.XLOOKUP($A30,articul!$A:$A,articul!$D:$D)</f>
        <v>Soledade</v>
      </c>
      <c r="D30" s="136" t="str">
        <f t="array" ref="D30">_xlfn.XLOOKUP($A30,articul!$A:$A,articul!$C:$C)</f>
        <v>7º BBM</v>
      </c>
      <c r="E30" s="136" t="str">
        <f t="array" ref="E30">_xlfn.XLOOKUP($A30,articul!$A:$A,articul!$B:$B)</f>
        <v>2º CRBM</v>
      </c>
      <c r="F30" s="134"/>
      <c r="G30" s="134"/>
      <c r="H30" s="134"/>
      <c r="I30" s="134"/>
      <c r="J30" s="134"/>
      <c r="K30" s="134"/>
    </row>
    <row r="31" customHeight="1" spans="1:11">
      <c r="A31" s="134" t="s">
        <v>529</v>
      </c>
      <c r="B31" s="135" t="s">
        <v>673</v>
      </c>
      <c r="C31" s="136" t="str">
        <f t="array" ref="C31">_xlfn.XLOOKUP($A31,articul!$A:$A,articul!$D:$D)</f>
        <v>Rosário do Sul</v>
      </c>
      <c r="D31" s="136" t="str">
        <f t="array" ref="D31">_xlfn.XLOOKUP($A31,articul!$A:$A,articul!$C:$C)</f>
        <v>10º BBM</v>
      </c>
      <c r="E31" s="136" t="str">
        <f t="array" ref="E31">_xlfn.XLOOKUP($A31,articul!$A:$A,articul!$B:$B)</f>
        <v>3º CRBM</v>
      </c>
      <c r="F31" s="134" t="s">
        <v>754</v>
      </c>
      <c r="G31" s="134" t="s">
        <v>755</v>
      </c>
      <c r="H31" s="134" t="s">
        <v>756</v>
      </c>
      <c r="I31" s="134">
        <v>8725</v>
      </c>
      <c r="J31" s="134" t="s">
        <v>757</v>
      </c>
      <c r="K31" s="134" t="s">
        <v>758</v>
      </c>
    </row>
    <row r="32" customHeight="1" spans="1:11">
      <c r="A32" s="134" t="s">
        <v>529</v>
      </c>
      <c r="B32" s="135" t="s">
        <v>673</v>
      </c>
      <c r="C32" s="136" t="str">
        <f t="array" ref="C32">_xlfn.XLOOKUP($A32,articul!$A:$A,articul!$D:$D)</f>
        <v>Rosário do Sul</v>
      </c>
      <c r="D32" s="136" t="str">
        <f t="array" ref="D32">_xlfn.XLOOKUP($A32,articul!$A:$A,articul!$C:$C)</f>
        <v>10º BBM</v>
      </c>
      <c r="E32" s="136" t="str">
        <f t="array" ref="E32">_xlfn.XLOOKUP($A32,articul!$A:$A,articul!$B:$B)</f>
        <v>3º CRBM</v>
      </c>
      <c r="F32" s="134" t="s">
        <v>759</v>
      </c>
      <c r="G32" s="134" t="s">
        <v>760</v>
      </c>
      <c r="H32" s="134">
        <v>1982</v>
      </c>
      <c r="I32" s="134"/>
      <c r="J32" s="134" t="s">
        <v>761</v>
      </c>
      <c r="K32" s="134" t="s">
        <v>758</v>
      </c>
    </row>
    <row r="33" customHeight="1" spans="1:11">
      <c r="A33" s="134" t="s">
        <v>532</v>
      </c>
      <c r="B33" s="135" t="s">
        <v>673</v>
      </c>
      <c r="C33" s="136" t="str">
        <f t="array" ref="C33">_xlfn.XLOOKUP($A33,articul!$A:$A,articul!$D:$D)</f>
        <v>Canela</v>
      </c>
      <c r="D33" s="136" t="str">
        <f t="array" ref="D33">_xlfn.XLOOKUP($A33,articul!$A:$A,articul!$C:$C)</f>
        <v>5º BBM</v>
      </c>
      <c r="E33" s="136" t="str">
        <f t="array" ref="E33">_xlfn.XLOOKUP($A33,articul!$A:$A,articul!$B:$B)</f>
        <v>2º CRBM</v>
      </c>
      <c r="F33" s="134"/>
      <c r="G33" s="134"/>
      <c r="H33" s="134"/>
      <c r="I33" s="134"/>
      <c r="J33" s="134"/>
      <c r="K33" s="134"/>
    </row>
    <row r="34" customHeight="1" spans="1:11">
      <c r="A34" s="134" t="s">
        <v>534</v>
      </c>
      <c r="B34" s="135" t="s">
        <v>673</v>
      </c>
      <c r="C34" s="136" t="str">
        <f t="array" ref="C34">_xlfn.XLOOKUP($A34,articul!$A:$A,articul!$D:$D)</f>
        <v>Tapera</v>
      </c>
      <c r="D34" s="136" t="str">
        <f t="array" ref="D34">_xlfn.XLOOKUP($A34,articul!$A:$A,articul!$C:$C)</f>
        <v>7º BBM</v>
      </c>
      <c r="E34" s="136" t="str">
        <f t="array" ref="E34">_xlfn.XLOOKUP($A34,articul!$A:$A,articul!$B:$B)</f>
        <v>2º CRBM</v>
      </c>
      <c r="F34" s="134" t="s">
        <v>762</v>
      </c>
      <c r="G34" s="134"/>
      <c r="H34" s="134" t="s">
        <v>763</v>
      </c>
      <c r="I34" s="134">
        <v>1320</v>
      </c>
      <c r="J34" s="134" t="s">
        <v>764</v>
      </c>
      <c r="K34" s="134" t="s">
        <v>682</v>
      </c>
    </row>
    <row r="35" customHeight="1" spans="1:11">
      <c r="A35" s="134" t="s">
        <v>536</v>
      </c>
      <c r="B35" s="135" t="s">
        <v>673</v>
      </c>
      <c r="C35" s="137" t="str">
        <f t="array" ref="C35">_xlfn.XLOOKUP($A35,articul!$A:$A,articul!$D:$D)</f>
        <v>Guaporé</v>
      </c>
      <c r="D35" s="137" t="str">
        <f t="array" ref="D35">_xlfn.XLOOKUP($A35,articul!$A:$A,articul!$C:$C)</f>
        <v>7º BBM</v>
      </c>
      <c r="E35" s="138" t="str">
        <f t="array" ref="E35">_xlfn.XLOOKUP($A35,articul!$A:$A,articul!$B:$B)</f>
        <v>2º CRBM</v>
      </c>
      <c r="F35" s="134"/>
      <c r="G35" s="134"/>
      <c r="H35" s="134"/>
      <c r="I35" s="134"/>
      <c r="J35" s="134"/>
      <c r="K35" s="134"/>
    </row>
    <row r="36" customHeight="1" spans="1:11">
      <c r="A36" s="134" t="s">
        <v>538</v>
      </c>
      <c r="B36" s="135" t="s">
        <v>673</v>
      </c>
      <c r="C36" s="136" t="str">
        <f t="array" ref="C36">_xlfn.XLOOKUP($A36,articul!$A:$A,articul!$D:$D)</f>
        <v>Santo Ângelo</v>
      </c>
      <c r="D36" s="136" t="str">
        <f t="array" ref="D36">_xlfn.XLOOKUP($A36,articul!$A:$A,articul!$C:$C)</f>
        <v>11º BBM</v>
      </c>
      <c r="E36" s="136" t="str">
        <f t="array" ref="E36">_xlfn.XLOOKUP($A36,articul!$A:$A,articul!$B:$B)</f>
        <v>4º CRBM</v>
      </c>
      <c r="F36" s="134" t="s">
        <v>765</v>
      </c>
      <c r="G36" s="134" t="s">
        <v>766</v>
      </c>
      <c r="H36" s="134" t="s">
        <v>679</v>
      </c>
      <c r="I36" s="134">
        <v>4890</v>
      </c>
      <c r="J36" s="134" t="s">
        <v>767</v>
      </c>
      <c r="K36" s="134" t="s">
        <v>682</v>
      </c>
    </row>
    <row r="37" customHeight="1" spans="1:11">
      <c r="A37" s="134" t="s">
        <v>538</v>
      </c>
      <c r="B37" s="135" t="s">
        <v>673</v>
      </c>
      <c r="C37" s="136" t="str">
        <f t="array" ref="C37">_xlfn.XLOOKUP($A37,articul!$A:$A,articul!$D:$D)</f>
        <v>Santo Ângelo</v>
      </c>
      <c r="D37" s="136" t="str">
        <f t="array" ref="D37">_xlfn.XLOOKUP($A37,articul!$A:$A,articul!$C:$C)</f>
        <v>11º BBM</v>
      </c>
      <c r="E37" s="136" t="str">
        <f t="array" ref="E37">_xlfn.XLOOKUP($A37,articul!$A:$A,articul!$B:$B)</f>
        <v>4º CRBM</v>
      </c>
      <c r="F37" s="134" t="s">
        <v>768</v>
      </c>
      <c r="G37" s="134" t="s">
        <v>769</v>
      </c>
      <c r="H37" s="134">
        <v>1978</v>
      </c>
      <c r="I37" s="134"/>
      <c r="J37" s="134"/>
      <c r="K37" s="134"/>
    </row>
    <row r="38" customHeight="1" spans="1:11">
      <c r="A38" s="134" t="s">
        <v>538</v>
      </c>
      <c r="B38" s="135" t="s">
        <v>673</v>
      </c>
      <c r="C38" s="136" t="str">
        <f t="array" ref="C38">_xlfn.XLOOKUP($A38,articul!$A:$A,articul!$D:$D)</f>
        <v>Santo Ângelo</v>
      </c>
      <c r="D38" s="136" t="str">
        <f t="array" ref="D38">_xlfn.XLOOKUP($A38,articul!$A:$A,articul!$C:$C)</f>
        <v>11º BBM</v>
      </c>
      <c r="E38" s="136" t="str">
        <f t="array" ref="E38">_xlfn.XLOOKUP($A38,articul!$A:$A,articul!$B:$B)</f>
        <v>4º CRBM</v>
      </c>
      <c r="F38" s="134" t="s">
        <v>770</v>
      </c>
      <c r="G38" s="134" t="s">
        <v>771</v>
      </c>
      <c r="H38" s="134">
        <v>2011</v>
      </c>
      <c r="I38" s="134"/>
      <c r="J38" s="134"/>
      <c r="K38" s="134"/>
    </row>
    <row r="39" customHeight="1" spans="1:11">
      <c r="A39" s="134" t="s">
        <v>541</v>
      </c>
      <c r="B39" s="135" t="s">
        <v>673</v>
      </c>
      <c r="C39" s="136" t="str">
        <f t="array" ref="C39">_xlfn.XLOOKUP($A39,articul!$A:$A,articul!$D:$D)</f>
        <v>Ijuí</v>
      </c>
      <c r="D39" s="136" t="str">
        <f t="array" ref="D39">_xlfn.XLOOKUP($A39,articul!$A:$A,articul!$C:$C)</f>
        <v>12º BBM</v>
      </c>
      <c r="E39" s="136" t="str">
        <f t="array" ref="E39">_xlfn.XLOOKUP($A39,articul!$A:$A,articul!$B:$B)</f>
        <v>4º CRBM</v>
      </c>
      <c r="F39" s="134" t="s">
        <v>772</v>
      </c>
      <c r="G39" s="134" t="s">
        <v>773</v>
      </c>
      <c r="H39" s="134">
        <v>1982</v>
      </c>
      <c r="I39" s="134">
        <v>1138</v>
      </c>
      <c r="J39" s="134" t="s">
        <v>774</v>
      </c>
      <c r="K39" s="134" t="s">
        <v>682</v>
      </c>
    </row>
    <row r="40" customHeight="1" spans="1:11">
      <c r="A40" s="134" t="s">
        <v>542</v>
      </c>
      <c r="B40" s="135" t="s">
        <v>673</v>
      </c>
      <c r="C40" s="136" t="str">
        <f t="array" ref="C40">_xlfn.XLOOKUP($A40,articul!$A:$A,articul!$D:$D)</f>
        <v>Sarandi</v>
      </c>
      <c r="D40" s="136" t="str">
        <f t="array" ref="D40">_xlfn.XLOOKUP($A40,articul!$A:$A,articul!$C:$C)</f>
        <v>7º BBM</v>
      </c>
      <c r="E40" s="136" t="str">
        <f t="array" ref="E40">_xlfn.XLOOKUP($A40,articul!$A:$A,articul!$B:$B)</f>
        <v>2º CRBM</v>
      </c>
      <c r="F40" s="134"/>
      <c r="G40" s="134"/>
      <c r="H40" s="134"/>
      <c r="I40" s="134"/>
      <c r="J40" s="134"/>
      <c r="K40" s="134"/>
    </row>
    <row r="41" customHeight="1" spans="1:11">
      <c r="A41" s="134" t="s">
        <v>548</v>
      </c>
      <c r="B41" s="135" t="s">
        <v>673</v>
      </c>
      <c r="C41" s="136" t="str">
        <f t="array" ref="C41">_xlfn.XLOOKUP($A41,articul!$A:$A,articul!$D:$D)</f>
        <v>Nonoai</v>
      </c>
      <c r="D41" s="136" t="str">
        <f t="array" ref="D41">_xlfn.XLOOKUP($A41,articul!$A:$A,articul!$C:$C)</f>
        <v>7º BBM</v>
      </c>
      <c r="E41" s="136" t="str">
        <f t="array" ref="E41">_xlfn.XLOOKUP($A41,articul!$A:$A,articul!$B:$B)</f>
        <v>2º CRBM</v>
      </c>
      <c r="F41" s="134" t="s">
        <v>775</v>
      </c>
      <c r="G41" s="134" t="s">
        <v>776</v>
      </c>
      <c r="H41" s="134">
        <v>1989</v>
      </c>
      <c r="I41" s="134"/>
      <c r="J41" s="134"/>
      <c r="K41" s="134" t="s">
        <v>777</v>
      </c>
    </row>
    <row r="42" customHeight="1" spans="1:11">
      <c r="A42" s="134" t="s">
        <v>549</v>
      </c>
      <c r="B42" s="135" t="s">
        <v>673</v>
      </c>
      <c r="C42" s="136" t="str">
        <f t="array" ref="C42">_xlfn.XLOOKUP($A42,articul!$A:$A,articul!$D:$D)</f>
        <v>Farroupilha</v>
      </c>
      <c r="D42" s="136" t="str">
        <f t="array" ref="D42">_xlfn.XLOOKUP($A42,articul!$A:$A,articul!$C:$C)</f>
        <v>2º BBM</v>
      </c>
      <c r="E42" s="136" t="str">
        <f t="array" ref="E42">_xlfn.XLOOKUP($A42,articul!$A:$A,articul!$B:$B)</f>
        <v>2º CRBM</v>
      </c>
      <c r="F42" s="134"/>
      <c r="G42" s="134"/>
      <c r="H42" s="134"/>
      <c r="I42" s="134"/>
      <c r="J42" s="134"/>
      <c r="K42" s="134"/>
    </row>
    <row r="43" customHeight="1" spans="1:11">
      <c r="A43" s="134" t="s">
        <v>551</v>
      </c>
      <c r="B43" s="135" t="s">
        <v>673</v>
      </c>
      <c r="C43" s="136" t="str">
        <f t="array" ref="C43">_xlfn.XLOOKUP($A43,articul!$A:$A,articul!$D:$D)</f>
        <v>Erechim</v>
      </c>
      <c r="D43" s="136" t="str">
        <f t="array" ref="D43">_xlfn.XLOOKUP($A43,articul!$A:$A,articul!$C:$C)</f>
        <v>7º BBM</v>
      </c>
      <c r="E43" s="136" t="str">
        <f t="array" ref="E43">_xlfn.XLOOKUP($A43,articul!$A:$A,articul!$B:$B)</f>
        <v>2º CRBM</v>
      </c>
      <c r="F43" s="134" t="s">
        <v>778</v>
      </c>
      <c r="G43" s="134" t="s">
        <v>779</v>
      </c>
      <c r="H43" s="134">
        <v>1981</v>
      </c>
      <c r="I43" s="134"/>
      <c r="J43" s="134"/>
      <c r="K43" s="134" t="s">
        <v>682</v>
      </c>
    </row>
    <row r="44" customHeight="1" spans="1:11">
      <c r="A44" s="134" t="s">
        <v>551</v>
      </c>
      <c r="B44" s="135" t="s">
        <v>673</v>
      </c>
      <c r="C44" s="136" t="str">
        <f t="array" ref="C44">_xlfn.XLOOKUP($A44,articul!$A:$A,articul!$D:$D)</f>
        <v>Erechim</v>
      </c>
      <c r="D44" s="136" t="str">
        <f t="array" ref="D44">_xlfn.XLOOKUP($A44,articul!$A:$A,articul!$C:$C)</f>
        <v>7º BBM</v>
      </c>
      <c r="E44" s="136" t="str">
        <f t="array" ref="E44">_xlfn.XLOOKUP($A44,articul!$A:$A,articul!$B:$B)</f>
        <v>2º CRBM</v>
      </c>
      <c r="F44" s="134" t="s">
        <v>780</v>
      </c>
      <c r="G44" s="134" t="s">
        <v>781</v>
      </c>
      <c r="H44" s="134">
        <v>1986</v>
      </c>
      <c r="I44" s="134"/>
      <c r="J44" s="134"/>
      <c r="K44" s="134" t="s">
        <v>682</v>
      </c>
    </row>
    <row r="45" customHeight="1" spans="1:11">
      <c r="A45" s="134" t="s">
        <v>551</v>
      </c>
      <c r="B45" s="135" t="s">
        <v>673</v>
      </c>
      <c r="C45" s="136" t="str">
        <f t="array" ref="C45">_xlfn.XLOOKUP($A45,articul!$A:$A,articul!$D:$D)</f>
        <v>Erechim</v>
      </c>
      <c r="D45" s="136" t="str">
        <f t="array" ref="D45">_xlfn.XLOOKUP($A45,articul!$A:$A,articul!$C:$C)</f>
        <v>7º BBM</v>
      </c>
      <c r="E45" s="136" t="str">
        <f t="array" ref="E45">_xlfn.XLOOKUP($A45,articul!$A:$A,articul!$B:$B)</f>
        <v>2º CRBM</v>
      </c>
      <c r="F45" s="134" t="s">
        <v>782</v>
      </c>
      <c r="G45" s="134" t="s">
        <v>783</v>
      </c>
      <c r="H45" s="134">
        <v>2002</v>
      </c>
      <c r="I45" s="134"/>
      <c r="J45" s="134"/>
      <c r="K45" s="134"/>
    </row>
    <row r="46" customHeight="1" spans="1:11">
      <c r="A46" s="134" t="s">
        <v>551</v>
      </c>
      <c r="B46" s="135" t="s">
        <v>673</v>
      </c>
      <c r="C46" s="136" t="str">
        <f t="array" ref="C46">_xlfn.XLOOKUP($A46,articul!$A:$A,articul!$D:$D)</f>
        <v>Erechim</v>
      </c>
      <c r="D46" s="136" t="str">
        <f t="array" ref="D46">_xlfn.XLOOKUP($A46,articul!$A:$A,articul!$C:$C)</f>
        <v>7º BBM</v>
      </c>
      <c r="E46" s="136" t="str">
        <f t="array" ref="E46">_xlfn.XLOOKUP($A46,articul!$A:$A,articul!$B:$B)</f>
        <v>2º CRBM</v>
      </c>
      <c r="F46" s="134" t="s">
        <v>784</v>
      </c>
      <c r="G46" s="134" t="s">
        <v>785</v>
      </c>
      <c r="H46" s="134">
        <v>2008</v>
      </c>
      <c r="I46" s="134"/>
      <c r="J46" s="134"/>
      <c r="K46" s="134" t="s">
        <v>682</v>
      </c>
    </row>
    <row r="47" customHeight="1" spans="1:11">
      <c r="A47" s="134" t="s">
        <v>552</v>
      </c>
      <c r="B47" s="135" t="s">
        <v>673</v>
      </c>
      <c r="C47" s="136" t="str">
        <f t="array" ref="C47">_xlfn.XLOOKUP($A47,articul!$A:$A,articul!$D:$D)</f>
        <v>Erechim</v>
      </c>
      <c r="D47" s="136" t="str">
        <f t="array" ref="D47">_xlfn.XLOOKUP($A47,articul!$A:$A,articul!$C:$C)</f>
        <v>7º BBM</v>
      </c>
      <c r="E47" s="136" t="str">
        <f t="array" ref="E47">_xlfn.XLOOKUP($A47,articul!$A:$A,articul!$B:$B)</f>
        <v>2º CRBM</v>
      </c>
      <c r="F47" s="134" t="s">
        <v>786</v>
      </c>
      <c r="G47" s="134" t="s">
        <v>787</v>
      </c>
      <c r="H47" s="134">
        <v>1988</v>
      </c>
      <c r="I47" s="134"/>
      <c r="J47" s="134" t="s">
        <v>788</v>
      </c>
      <c r="K47" s="134"/>
    </row>
    <row r="48" customHeight="1" spans="1:11">
      <c r="A48" s="134" t="s">
        <v>552</v>
      </c>
      <c r="B48" s="135" t="s">
        <v>673</v>
      </c>
      <c r="C48" s="136" t="str">
        <f t="array" ref="C48">_xlfn.XLOOKUP($A48,articul!$A:$A,articul!$D:$D)</f>
        <v>Erechim</v>
      </c>
      <c r="D48" s="136" t="str">
        <f t="array" ref="D48">_xlfn.XLOOKUP($A48,articul!$A:$A,articul!$C:$C)</f>
        <v>7º BBM</v>
      </c>
      <c r="E48" s="136" t="str">
        <f t="array" ref="E48">_xlfn.XLOOKUP($A48,articul!$A:$A,articul!$B:$B)</f>
        <v>2º CRBM</v>
      </c>
      <c r="F48" s="134" t="s">
        <v>789</v>
      </c>
      <c r="G48" s="134" t="s">
        <v>790</v>
      </c>
      <c r="H48" s="134">
        <v>2013</v>
      </c>
      <c r="I48" s="134"/>
      <c r="J48" s="134"/>
      <c r="K48" s="134"/>
    </row>
    <row r="49" customHeight="1" spans="1:11">
      <c r="A49" s="134" t="s">
        <v>552</v>
      </c>
      <c r="B49" s="135" t="s">
        <v>673</v>
      </c>
      <c r="C49" s="136" t="str">
        <f t="array" ref="C49">_xlfn.XLOOKUP($A49,articul!$A:$A,articul!$D:$D)</f>
        <v>Erechim</v>
      </c>
      <c r="D49" s="136" t="str">
        <f t="array" ref="D49">_xlfn.XLOOKUP($A49,articul!$A:$A,articul!$C:$C)</f>
        <v>7º BBM</v>
      </c>
      <c r="E49" s="136" t="str">
        <f t="array" ref="E49">_xlfn.XLOOKUP($A49,articul!$A:$A,articul!$B:$B)</f>
        <v>2º CRBM</v>
      </c>
      <c r="F49" s="134" t="s">
        <v>791</v>
      </c>
      <c r="G49" s="134" t="s">
        <v>792</v>
      </c>
      <c r="H49" s="134">
        <v>2012</v>
      </c>
      <c r="I49" s="134"/>
      <c r="J49" s="134"/>
      <c r="K49" s="134"/>
    </row>
    <row r="50" customHeight="1" spans="1:11">
      <c r="A50" s="134" t="s">
        <v>552</v>
      </c>
      <c r="B50" s="135" t="s">
        <v>673</v>
      </c>
      <c r="C50" s="136" t="str">
        <f t="array" ref="C50">_xlfn.XLOOKUP($A50,articul!$A:$A,articul!$D:$D)</f>
        <v>Erechim</v>
      </c>
      <c r="D50" s="136" t="str">
        <f t="array" ref="D50">_xlfn.XLOOKUP($A50,articul!$A:$A,articul!$C:$C)</f>
        <v>7º BBM</v>
      </c>
      <c r="E50" s="136" t="str">
        <f t="array" ref="E50">_xlfn.XLOOKUP($A50,articul!$A:$A,articul!$B:$B)</f>
        <v>2º CRBM</v>
      </c>
      <c r="F50" s="134" t="s">
        <v>793</v>
      </c>
      <c r="G50" s="134" t="s">
        <v>794</v>
      </c>
      <c r="H50" s="134">
        <v>2011</v>
      </c>
      <c r="I50" s="134"/>
      <c r="J50" s="134">
        <v>21120700008026</v>
      </c>
      <c r="K50" s="134"/>
    </row>
    <row r="51" customHeight="1" spans="1:11">
      <c r="A51" s="134" t="s">
        <v>553</v>
      </c>
      <c r="B51" s="135" t="s">
        <v>673</v>
      </c>
      <c r="C51" s="136" t="str">
        <f t="array" ref="C51">_xlfn.XLOOKUP($A51,articul!$A:$A,articul!$D:$D)</f>
        <v>Montenegro</v>
      </c>
      <c r="D51" s="136" t="str">
        <f t="array" ref="D51">_xlfn.XLOOKUP($A51,articul!$A:$A,articul!$C:$C)</f>
        <v>2º BBM</v>
      </c>
      <c r="E51" s="136" t="str">
        <f t="array" ref="E51">_xlfn.XLOOKUP($A51,articul!$A:$A,articul!$B:$B)</f>
        <v>2º CRBM</v>
      </c>
      <c r="F51" s="134" t="s">
        <v>795</v>
      </c>
      <c r="G51" s="134" t="s">
        <v>796</v>
      </c>
      <c r="H51" s="134">
        <v>1998</v>
      </c>
      <c r="I51" s="134" t="s">
        <v>797</v>
      </c>
      <c r="J51" s="134"/>
      <c r="K51" s="134" t="s">
        <v>798</v>
      </c>
    </row>
    <row r="52" customHeight="1" spans="1:11">
      <c r="A52" s="134" t="s">
        <v>553</v>
      </c>
      <c r="B52" s="135" t="s">
        <v>673</v>
      </c>
      <c r="C52" s="136" t="str">
        <f t="array" ref="C52">_xlfn.XLOOKUP($A52,articul!$A:$A,articul!$D:$D)</f>
        <v>Montenegro</v>
      </c>
      <c r="D52" s="136" t="str">
        <f t="array" ref="D52">_xlfn.XLOOKUP($A52,articul!$A:$A,articul!$C:$C)</f>
        <v>2º BBM</v>
      </c>
      <c r="E52" s="136" t="str">
        <f t="array" ref="E52">_xlfn.XLOOKUP($A52,articul!$A:$A,articul!$B:$B)</f>
        <v>2º CRBM</v>
      </c>
      <c r="F52" s="134" t="s">
        <v>799</v>
      </c>
      <c r="G52" s="134" t="s">
        <v>800</v>
      </c>
      <c r="H52" s="134">
        <v>1982</v>
      </c>
      <c r="I52" s="134" t="s">
        <v>801</v>
      </c>
      <c r="J52" s="134" t="s">
        <v>802</v>
      </c>
      <c r="K52" s="134" t="s">
        <v>803</v>
      </c>
    </row>
    <row r="53" customHeight="1" spans="1:11">
      <c r="A53" s="134" t="s">
        <v>553</v>
      </c>
      <c r="B53" s="135" t="s">
        <v>673</v>
      </c>
      <c r="C53" s="136" t="str">
        <f t="array" ref="C53">_xlfn.XLOOKUP($A53,articul!$A:$A,articul!$D:$D)</f>
        <v>Montenegro</v>
      </c>
      <c r="D53" s="136" t="str">
        <f t="array" ref="D53">_xlfn.XLOOKUP($A53,articul!$A:$A,articul!$C:$C)</f>
        <v>2º BBM</v>
      </c>
      <c r="E53" s="136" t="str">
        <f t="array" ref="E53">_xlfn.XLOOKUP($A53,articul!$A:$A,articul!$B:$B)</f>
        <v>2º CRBM</v>
      </c>
      <c r="F53" s="134" t="s">
        <v>804</v>
      </c>
      <c r="G53" s="134" t="s">
        <v>805</v>
      </c>
      <c r="H53" s="134">
        <v>1993</v>
      </c>
      <c r="I53" s="134">
        <v>6025</v>
      </c>
      <c r="J53" s="134" t="s">
        <v>806</v>
      </c>
      <c r="K53" s="134" t="s">
        <v>758</v>
      </c>
    </row>
    <row r="54" customHeight="1" spans="1:11">
      <c r="A54" s="134" t="s">
        <v>553</v>
      </c>
      <c r="B54" s="135" t="s">
        <v>673</v>
      </c>
      <c r="C54" s="136" t="str">
        <f t="array" ref="C54">_xlfn.XLOOKUP($A54,articul!$A:$A,articul!$D:$D)</f>
        <v>Montenegro</v>
      </c>
      <c r="D54" s="136" t="str">
        <f t="array" ref="D54">_xlfn.XLOOKUP($A54,articul!$A:$A,articul!$C:$C)</f>
        <v>2º BBM</v>
      </c>
      <c r="E54" s="136" t="str">
        <f t="array" ref="E54">_xlfn.XLOOKUP($A54,articul!$A:$A,articul!$B:$B)</f>
        <v>2º CRBM</v>
      </c>
      <c r="F54" s="134" t="s">
        <v>674</v>
      </c>
      <c r="G54" s="134" t="s">
        <v>807</v>
      </c>
      <c r="H54" s="134">
        <v>1984</v>
      </c>
      <c r="I54" s="134">
        <v>1936</v>
      </c>
      <c r="J54" s="134"/>
      <c r="K54" s="134" t="s">
        <v>758</v>
      </c>
    </row>
    <row r="55" customHeight="1" spans="1:11">
      <c r="A55" s="134" t="s">
        <v>555</v>
      </c>
      <c r="B55" s="135" t="s">
        <v>673</v>
      </c>
      <c r="C55" s="136" t="str">
        <f t="array" ref="C55">_xlfn.XLOOKUP($A55,articul!$A:$A,articul!$D:$D)</f>
        <v>Guaporé</v>
      </c>
      <c r="D55" s="136" t="str">
        <f t="array" ref="D55">_xlfn.XLOOKUP($A55,articul!$A:$A,articul!$C:$C)</f>
        <v>7º BBM</v>
      </c>
      <c r="E55" s="136" t="str">
        <f t="array" ref="E55">_xlfn.XLOOKUP($A55,articul!$A:$A,articul!$B:$B)</f>
        <v>2º CRBM</v>
      </c>
      <c r="F55" s="134"/>
      <c r="G55" s="134"/>
      <c r="H55" s="134"/>
      <c r="I55" s="134"/>
      <c r="J55" s="134"/>
      <c r="K55" s="134"/>
    </row>
    <row r="56" customHeight="1" spans="1:11">
      <c r="A56" s="134" t="s">
        <v>557</v>
      </c>
      <c r="B56" s="135" t="s">
        <v>673</v>
      </c>
      <c r="C56" s="136" t="str">
        <f t="array" ref="C56">_xlfn.XLOOKUP($A56,articul!$A:$A,articul!$D:$D)</f>
        <v>Vacaria</v>
      </c>
      <c r="D56" s="136" t="str">
        <f t="array" ref="D56">_xlfn.XLOOKUP($A56,articul!$A:$A,articul!$C:$C)</f>
        <v>5º BBM</v>
      </c>
      <c r="E56" s="136" t="str">
        <f t="array" ref="E56">_xlfn.XLOOKUP($A56,articul!$A:$A,articul!$B:$B)</f>
        <v>2º CRBM</v>
      </c>
      <c r="F56" s="134"/>
      <c r="G56" s="134"/>
      <c r="H56" s="134"/>
      <c r="I56" s="134"/>
      <c r="J56" s="134"/>
      <c r="K56" s="134"/>
    </row>
    <row r="57" customHeight="1" spans="1:11">
      <c r="A57" s="134" t="s">
        <v>558</v>
      </c>
      <c r="B57" s="135" t="s">
        <v>673</v>
      </c>
      <c r="C57" s="136" t="str">
        <f t="array" ref="C57">_xlfn.XLOOKUP($A57,articul!$A:$A,articul!$D:$D)</f>
        <v>Carazinho</v>
      </c>
      <c r="D57" s="136" t="str">
        <f t="array" ref="D57">_xlfn.XLOOKUP($A57,articul!$A:$A,articul!$C:$C)</f>
        <v>7º BBM</v>
      </c>
      <c r="E57" s="136" t="str">
        <f t="array" ref="E57">_xlfn.XLOOKUP($A57,articul!$A:$A,articul!$B:$B)</f>
        <v>2º CRBM</v>
      </c>
      <c r="F57" s="134" t="s">
        <v>808</v>
      </c>
      <c r="G57" s="134" t="s">
        <v>809</v>
      </c>
      <c r="H57" s="134">
        <v>2015</v>
      </c>
      <c r="I57" s="134"/>
      <c r="J57" s="134"/>
      <c r="K57" s="134" t="s">
        <v>758</v>
      </c>
    </row>
    <row r="58" customHeight="1" spans="1:11">
      <c r="A58" s="134" t="s">
        <v>560</v>
      </c>
      <c r="B58" s="135" t="s">
        <v>673</v>
      </c>
      <c r="C58" s="136" t="str">
        <f t="array" ref="C58">_xlfn.XLOOKUP($A58,articul!$A:$A,articul!$D:$D)</f>
        <v>Ibirubá</v>
      </c>
      <c r="D58" s="136" t="str">
        <f t="array" ref="D58">_xlfn.XLOOKUP($A58,articul!$A:$A,articul!$C:$C)</f>
        <v>12º BBM</v>
      </c>
      <c r="E58" s="136" t="str">
        <f t="array" ref="E58">_xlfn.XLOOKUP($A58,articul!$A:$A,articul!$B:$B)</f>
        <v>4º CRBM</v>
      </c>
      <c r="F58" s="134" t="s">
        <v>810</v>
      </c>
      <c r="G58" s="134" t="s">
        <v>811</v>
      </c>
      <c r="H58" s="134">
        <v>2011</v>
      </c>
      <c r="I58" s="134"/>
      <c r="J58" s="134"/>
      <c r="K58" s="134"/>
    </row>
    <row r="59" customHeight="1" spans="1:11">
      <c r="A59" s="134" t="s">
        <v>562</v>
      </c>
      <c r="B59" s="135" t="s">
        <v>673</v>
      </c>
      <c r="C59" s="136" t="str">
        <f t="array" ref="C59">_xlfn.XLOOKUP($A59,articul!$A:$A,articul!$D:$D)</f>
        <v>Cruz Alta</v>
      </c>
      <c r="D59" s="136" t="str">
        <f t="array" ref="D59">_xlfn.XLOOKUP($A59,articul!$A:$A,articul!$C:$C)</f>
        <v>12º BBM</v>
      </c>
      <c r="E59" s="136" t="str">
        <f t="array" ref="E59">_xlfn.XLOOKUP($A59,articul!$A:$A,articul!$B:$B)</f>
        <v>4º CRBM</v>
      </c>
      <c r="F59" s="134" t="s">
        <v>812</v>
      </c>
      <c r="G59" s="134" t="s">
        <v>813</v>
      </c>
      <c r="H59" s="134">
        <v>1982</v>
      </c>
      <c r="I59" s="134">
        <v>1946</v>
      </c>
      <c r="J59" s="134"/>
      <c r="K59" s="134" t="s">
        <v>814</v>
      </c>
    </row>
    <row r="60" customHeight="1" spans="1:11">
      <c r="A60" s="134" t="s">
        <v>564</v>
      </c>
      <c r="B60" s="135" t="s">
        <v>673</v>
      </c>
      <c r="C60" s="136" t="str">
        <f t="array" ref="C60">_xlfn.XLOOKUP($A60,articul!$A:$A,articul!$D:$D)</f>
        <v>Lagoa Vermelha</v>
      </c>
      <c r="D60" s="136" t="str">
        <f t="array" ref="D60">_xlfn.XLOOKUP($A60,articul!$A:$A,articul!$C:$C)</f>
        <v>5º BBM</v>
      </c>
      <c r="E60" s="136" t="str">
        <f t="array" ref="E60">_xlfn.XLOOKUP($A60,articul!$A:$A,articul!$B:$B)</f>
        <v>2º CRBM</v>
      </c>
      <c r="F60" s="134" t="s">
        <v>815</v>
      </c>
      <c r="G60" s="134" t="s">
        <v>816</v>
      </c>
      <c r="H60" s="134" t="s">
        <v>817</v>
      </c>
      <c r="I60" s="134">
        <v>1957</v>
      </c>
      <c r="J60" s="134" t="s">
        <v>818</v>
      </c>
      <c r="K60" s="134" t="s">
        <v>814</v>
      </c>
    </row>
    <row r="61" customHeight="1" spans="1:11">
      <c r="A61" s="134" t="s">
        <v>564</v>
      </c>
      <c r="B61" s="135" t="s">
        <v>673</v>
      </c>
      <c r="C61" s="136" t="str">
        <f t="array" ref="C61">_xlfn.XLOOKUP($A61,articul!$A:$A,articul!$D:$D)</f>
        <v>Lagoa Vermelha</v>
      </c>
      <c r="D61" s="136" t="str">
        <f t="array" ref="D61">_xlfn.XLOOKUP($A61,articul!$A:$A,articul!$C:$C)</f>
        <v>5º BBM</v>
      </c>
      <c r="E61" s="136" t="str">
        <f t="array" ref="E61">_xlfn.XLOOKUP($A61,articul!$A:$A,articul!$B:$B)</f>
        <v>2º CRBM</v>
      </c>
      <c r="F61" s="134" t="s">
        <v>819</v>
      </c>
      <c r="G61" s="134" t="s">
        <v>820</v>
      </c>
      <c r="H61" s="134">
        <v>2009</v>
      </c>
      <c r="I61" s="134" t="s">
        <v>751</v>
      </c>
      <c r="J61" s="134"/>
      <c r="K61" s="134" t="s">
        <v>676</v>
      </c>
    </row>
    <row r="62" customHeight="1" spans="1:11">
      <c r="A62" s="134" t="s">
        <v>564</v>
      </c>
      <c r="B62" s="135" t="s">
        <v>673</v>
      </c>
      <c r="C62" s="136" t="str">
        <f t="array" ref="C62">_xlfn.XLOOKUP($A62,articul!$A:$A,articul!$D:$D)</f>
        <v>Lagoa Vermelha</v>
      </c>
      <c r="D62" s="136" t="str">
        <f t="array" ref="D62">_xlfn.XLOOKUP($A62,articul!$A:$A,articul!$C:$C)</f>
        <v>5º BBM</v>
      </c>
      <c r="E62" s="136" t="str">
        <f t="array" ref="E62">_xlfn.XLOOKUP($A62,articul!$A:$A,articul!$B:$B)</f>
        <v>2º CRBM</v>
      </c>
      <c r="F62" s="134" t="s">
        <v>821</v>
      </c>
      <c r="G62" s="134" t="s">
        <v>822</v>
      </c>
      <c r="H62" s="134">
        <v>2009</v>
      </c>
      <c r="I62" s="134" t="s">
        <v>823</v>
      </c>
      <c r="J62" s="134"/>
      <c r="K62" s="134" t="s">
        <v>676</v>
      </c>
    </row>
    <row r="63" customHeight="1" spans="1:11">
      <c r="A63" s="134" t="s">
        <v>564</v>
      </c>
      <c r="B63" s="135" t="s">
        <v>673</v>
      </c>
      <c r="C63" s="136" t="str">
        <f t="array" ref="C63">_xlfn.XLOOKUP($A63,articul!$A:$A,articul!$D:$D)</f>
        <v>Lagoa Vermelha</v>
      </c>
      <c r="D63" s="136" t="str">
        <f t="array" ref="D63">_xlfn.XLOOKUP($A63,articul!$A:$A,articul!$C:$C)</f>
        <v>5º BBM</v>
      </c>
      <c r="E63" s="136" t="str">
        <f t="array" ref="E63">_xlfn.XLOOKUP($A63,articul!$A:$A,articul!$B:$B)</f>
        <v>2º CRBM</v>
      </c>
      <c r="F63" s="134" t="s">
        <v>824</v>
      </c>
      <c r="G63" s="134" t="s">
        <v>825</v>
      </c>
      <c r="H63" s="134">
        <v>2009</v>
      </c>
      <c r="I63" s="134" t="s">
        <v>826</v>
      </c>
      <c r="J63" s="134"/>
      <c r="K63" s="134" t="s">
        <v>676</v>
      </c>
    </row>
    <row r="64" customHeight="1" spans="1:11">
      <c r="A64" s="134" t="s">
        <v>564</v>
      </c>
      <c r="B64" s="135" t="s">
        <v>673</v>
      </c>
      <c r="C64" s="136" t="str">
        <f t="array" ref="C64">_xlfn.XLOOKUP($A64,articul!$A:$A,articul!$D:$D)</f>
        <v>Lagoa Vermelha</v>
      </c>
      <c r="D64" s="136" t="str">
        <f t="array" ref="D64">_xlfn.XLOOKUP($A64,articul!$A:$A,articul!$C:$C)</f>
        <v>5º BBM</v>
      </c>
      <c r="E64" s="136" t="str">
        <f t="array" ref="E64">_xlfn.XLOOKUP($A64,articul!$A:$A,articul!$B:$B)</f>
        <v>2º CRBM</v>
      </c>
      <c r="F64" s="134" t="s">
        <v>827</v>
      </c>
      <c r="G64" s="134" t="s">
        <v>828</v>
      </c>
      <c r="H64" s="134">
        <v>1995</v>
      </c>
      <c r="I64" s="134" t="s">
        <v>829</v>
      </c>
      <c r="J64" s="134"/>
      <c r="K64" s="134" t="s">
        <v>676</v>
      </c>
    </row>
    <row r="65" customHeight="1" spans="1:11">
      <c r="A65" s="134" t="s">
        <v>564</v>
      </c>
      <c r="B65" s="135" t="s">
        <v>673</v>
      </c>
      <c r="C65" s="136" t="str">
        <f t="array" ref="C65">_xlfn.XLOOKUP($A65,articul!$A:$A,articul!$D:$D)</f>
        <v>Lagoa Vermelha</v>
      </c>
      <c r="D65" s="136" t="str">
        <f t="array" ref="D65">_xlfn.XLOOKUP($A65,articul!$A:$A,articul!$C:$C)</f>
        <v>5º BBM</v>
      </c>
      <c r="E65" s="136" t="str">
        <f t="array" ref="E65">_xlfn.XLOOKUP($A65,articul!$A:$A,articul!$B:$B)</f>
        <v>2º CRBM</v>
      </c>
      <c r="F65" s="134" t="s">
        <v>830</v>
      </c>
      <c r="G65" s="134" t="s">
        <v>831</v>
      </c>
      <c r="H65" s="134">
        <v>2009</v>
      </c>
      <c r="I65" s="134" t="s">
        <v>832</v>
      </c>
      <c r="J65" s="134"/>
      <c r="K65" s="134" t="s">
        <v>676</v>
      </c>
    </row>
    <row r="66" customHeight="1" spans="1:11">
      <c r="A66" s="134" t="s">
        <v>566</v>
      </c>
      <c r="B66" s="135" t="s">
        <v>673</v>
      </c>
      <c r="C66" s="136" t="str">
        <f t="array" ref="C66">_xlfn.XLOOKUP($A66,articul!$A:$A,articul!$D:$D)</f>
        <v>Panambi</v>
      </c>
      <c r="D66" s="136" t="str">
        <f t="array" ref="D66">_xlfn.XLOOKUP($A66,articul!$A:$A,articul!$C:$C)</f>
        <v>12º BBM</v>
      </c>
      <c r="E66" s="136" t="str">
        <f t="array" ref="E66">_xlfn.XLOOKUP($A66,articul!$A:$A,articul!$B:$B)</f>
        <v>4º CRBM</v>
      </c>
      <c r="F66" s="134"/>
      <c r="G66" s="134" t="s">
        <v>833</v>
      </c>
      <c r="H66" s="134">
        <v>1973</v>
      </c>
      <c r="I66" s="134">
        <v>828</v>
      </c>
      <c r="J66" s="134"/>
      <c r="K66" s="134" t="s">
        <v>676</v>
      </c>
    </row>
    <row r="67" customHeight="1" spans="1:11">
      <c r="A67" s="134" t="s">
        <v>568</v>
      </c>
      <c r="B67" s="135" t="s">
        <v>673</v>
      </c>
      <c r="C67" s="136" t="str">
        <f t="array" ref="C67">_xlfn.XLOOKUP($A67,articul!$A:$A,articul!$D:$D)</f>
        <v>Ijuí</v>
      </c>
      <c r="D67" s="136" t="str">
        <f t="array" ref="D67">_xlfn.XLOOKUP($A67,articul!$A:$A,articul!$C:$C)</f>
        <v>12º BBM</v>
      </c>
      <c r="E67" s="136" t="str">
        <f t="array" ref="E67">_xlfn.XLOOKUP($A67,articul!$A:$A,articul!$B:$B)</f>
        <v>4º CRBM</v>
      </c>
      <c r="F67" s="134" t="s">
        <v>703</v>
      </c>
      <c r="G67" s="134" t="s">
        <v>833</v>
      </c>
      <c r="H67" s="134" t="s">
        <v>705</v>
      </c>
      <c r="I67" s="134" t="s">
        <v>834</v>
      </c>
      <c r="J67" s="134" t="s">
        <v>835</v>
      </c>
      <c r="K67" s="134" t="s">
        <v>676</v>
      </c>
    </row>
    <row r="68" customHeight="1" spans="1:11">
      <c r="A68" s="134" t="s">
        <v>569</v>
      </c>
      <c r="B68" s="135" t="s">
        <v>673</v>
      </c>
      <c r="C68" s="136" t="str">
        <f t="array" ref="C68">_xlfn.XLOOKUP($A68,articul!$A:$A,articul!$D:$D)</f>
        <v>Santa Rosa</v>
      </c>
      <c r="D68" s="136" t="str">
        <f t="array" ref="D68">_xlfn.XLOOKUP($A68,articul!$A:$A,articul!$C:$C)</f>
        <v>11º BBM</v>
      </c>
      <c r="E68" s="136" t="str">
        <f t="array" ref="E68">_xlfn.XLOOKUP($A68,articul!$A:$A,articul!$B:$B)</f>
        <v>4º CRBM</v>
      </c>
      <c r="F68" s="134" t="s">
        <v>836</v>
      </c>
      <c r="G68" s="134" t="s">
        <v>837</v>
      </c>
      <c r="H68" s="134">
        <v>36892</v>
      </c>
      <c r="I68" s="134">
        <v>3836</v>
      </c>
      <c r="J68" s="134" t="s">
        <v>838</v>
      </c>
      <c r="K68" s="134" t="s">
        <v>676</v>
      </c>
    </row>
    <row r="69" customHeight="1" spans="1:11">
      <c r="A69" s="134" t="s">
        <v>569</v>
      </c>
      <c r="B69" s="135" t="s">
        <v>673</v>
      </c>
      <c r="C69" s="136" t="str">
        <f t="array" ref="C69">_xlfn.XLOOKUP($A69,articul!$A:$A,articul!$D:$D)</f>
        <v>Santa Rosa</v>
      </c>
      <c r="D69" s="136" t="str">
        <f t="array" ref="D69">_xlfn.XLOOKUP($A69,articul!$A:$A,articul!$C:$C)</f>
        <v>11º BBM</v>
      </c>
      <c r="E69" s="136" t="str">
        <f t="array" ref="E69">_xlfn.XLOOKUP($A69,articul!$A:$A,articul!$B:$B)</f>
        <v>4º CRBM</v>
      </c>
      <c r="F69" s="134" t="s">
        <v>839</v>
      </c>
      <c r="G69" s="134" t="s">
        <v>840</v>
      </c>
      <c r="H69" s="134" t="s">
        <v>705</v>
      </c>
      <c r="I69" s="134" t="s">
        <v>841</v>
      </c>
      <c r="J69" s="134" t="s">
        <v>842</v>
      </c>
      <c r="K69" s="134" t="s">
        <v>676</v>
      </c>
    </row>
    <row r="70" customHeight="1" spans="1:11">
      <c r="A70" s="134" t="s">
        <v>569</v>
      </c>
      <c r="B70" s="135" t="s">
        <v>673</v>
      </c>
      <c r="C70" s="136" t="str">
        <f t="array" ref="C70">_xlfn.XLOOKUP($A70,articul!$A:$A,articul!$D:$D)</f>
        <v>Santa Rosa</v>
      </c>
      <c r="D70" s="136" t="str">
        <f t="array" ref="D70">_xlfn.XLOOKUP($A70,articul!$A:$A,articul!$C:$C)</f>
        <v>11º BBM</v>
      </c>
      <c r="E70" s="136" t="str">
        <f t="array" ref="E70">_xlfn.XLOOKUP($A70,articul!$A:$A,articul!$B:$B)</f>
        <v>4º CRBM</v>
      </c>
      <c r="F70" s="134" t="s">
        <v>843</v>
      </c>
      <c r="G70" s="134" t="s">
        <v>836</v>
      </c>
      <c r="H70" s="134">
        <v>2001</v>
      </c>
      <c r="I70" s="134">
        <v>3836</v>
      </c>
      <c r="J70" s="134" t="s">
        <v>838</v>
      </c>
      <c r="K70" s="134" t="s">
        <v>758</v>
      </c>
    </row>
    <row r="71" customHeight="1" spans="1:11">
      <c r="A71" s="134" t="s">
        <v>569</v>
      </c>
      <c r="B71" s="135" t="s">
        <v>673</v>
      </c>
      <c r="C71" s="136" t="str">
        <f t="array" ref="C71">_xlfn.XLOOKUP($A71,articul!$A:$A,articul!$D:$D)</f>
        <v>Santa Rosa</v>
      </c>
      <c r="D71" s="136" t="str">
        <f t="array" ref="D71">_xlfn.XLOOKUP($A71,articul!$A:$A,articul!$C:$C)</f>
        <v>11º BBM</v>
      </c>
      <c r="E71" s="136" t="str">
        <f t="array" ref="E71">_xlfn.XLOOKUP($A71,articul!$A:$A,articul!$B:$B)</f>
        <v>4º CRBM</v>
      </c>
      <c r="F71" s="134" t="s">
        <v>844</v>
      </c>
      <c r="G71" s="134" t="s">
        <v>845</v>
      </c>
      <c r="H71" s="134">
        <v>2011</v>
      </c>
      <c r="I71" s="134"/>
      <c r="J71" s="134"/>
      <c r="K71" s="134" t="s">
        <v>676</v>
      </c>
    </row>
    <row r="72" customHeight="1" spans="1:11">
      <c r="A72" s="134" t="s">
        <v>569</v>
      </c>
      <c r="B72" s="135" t="s">
        <v>673</v>
      </c>
      <c r="C72" s="136" t="str">
        <f t="array" ref="C72">_xlfn.XLOOKUP($A72,articul!$A:$A,articul!$D:$D)</f>
        <v>Santa Rosa</v>
      </c>
      <c r="D72" s="136" t="str">
        <f t="array" ref="D72">_xlfn.XLOOKUP($A72,articul!$A:$A,articul!$C:$C)</f>
        <v>11º BBM</v>
      </c>
      <c r="E72" s="136" t="str">
        <f t="array" ref="E72">_xlfn.XLOOKUP($A72,articul!$A:$A,articul!$B:$B)</f>
        <v>4º CRBM</v>
      </c>
      <c r="F72" s="134" t="s">
        <v>846</v>
      </c>
      <c r="G72" s="134" t="s">
        <v>847</v>
      </c>
      <c r="H72" s="134">
        <v>1994</v>
      </c>
      <c r="I72" s="134"/>
      <c r="J72" s="134"/>
      <c r="K72" s="134" t="s">
        <v>676</v>
      </c>
    </row>
    <row r="73" customHeight="1" spans="1:11">
      <c r="A73" s="134" t="s">
        <v>569</v>
      </c>
      <c r="B73" s="135" t="s">
        <v>673</v>
      </c>
      <c r="C73" s="136" t="str">
        <f t="array" ref="C73">_xlfn.XLOOKUP($A73,articul!$A:$A,articul!$D:$D)</f>
        <v>Santa Rosa</v>
      </c>
      <c r="D73" s="136" t="str">
        <f t="array" ref="D73">_xlfn.XLOOKUP($A73,articul!$A:$A,articul!$C:$C)</f>
        <v>11º BBM</v>
      </c>
      <c r="E73" s="136" t="str">
        <f t="array" ref="E73">_xlfn.XLOOKUP($A73,articul!$A:$A,articul!$B:$B)</f>
        <v>4º CRBM</v>
      </c>
      <c r="F73" s="134" t="s">
        <v>848</v>
      </c>
      <c r="G73" s="134" t="s">
        <v>849</v>
      </c>
      <c r="H73" s="134">
        <v>2012</v>
      </c>
      <c r="I73" s="134"/>
      <c r="J73" s="134"/>
      <c r="K73" s="134" t="s">
        <v>676</v>
      </c>
    </row>
    <row r="74" customHeight="1" spans="1:11">
      <c r="A74" s="134" t="s">
        <v>569</v>
      </c>
      <c r="B74" s="135" t="s">
        <v>673</v>
      </c>
      <c r="C74" s="136" t="str">
        <f t="array" ref="C74">_xlfn.XLOOKUP($A74,articul!$A:$A,articul!$D:$D)</f>
        <v>Santa Rosa</v>
      </c>
      <c r="D74" s="136" t="str">
        <f t="array" ref="D74">_xlfn.XLOOKUP($A74,articul!$A:$A,articul!$C:$C)</f>
        <v>11º BBM</v>
      </c>
      <c r="E74" s="136" t="str">
        <f t="array" ref="E74">_xlfn.XLOOKUP($A74,articul!$A:$A,articul!$B:$B)</f>
        <v>4º CRBM</v>
      </c>
      <c r="F74" s="134" t="s">
        <v>850</v>
      </c>
      <c r="G74" s="134" t="s">
        <v>851</v>
      </c>
      <c r="H74" s="134">
        <v>2001</v>
      </c>
      <c r="I74" s="134"/>
      <c r="J74" s="134"/>
      <c r="K74" s="134" t="s">
        <v>676</v>
      </c>
    </row>
    <row r="75" customHeight="1" spans="1:11">
      <c r="A75" s="134" t="s">
        <v>571</v>
      </c>
      <c r="B75" s="135" t="s">
        <v>673</v>
      </c>
      <c r="C75" s="136" t="str">
        <f t="array" ref="C75">_xlfn.XLOOKUP($A75,articul!$A:$A,articul!$D:$D)</f>
        <v>Lagoa Vermelha</v>
      </c>
      <c r="D75" s="136" t="str">
        <f t="array" ref="D75">_xlfn.XLOOKUP($A75,articul!$A:$A,articul!$C:$C)</f>
        <v>5º BBM</v>
      </c>
      <c r="E75" s="136" t="str">
        <f t="array" ref="E75">_xlfn.XLOOKUP($A75,articul!$A:$A,articul!$B:$B)</f>
        <v>2º CRBM</v>
      </c>
      <c r="F75" s="134" t="s">
        <v>852</v>
      </c>
      <c r="G75" s="134" t="s">
        <v>853</v>
      </c>
      <c r="H75" s="134">
        <v>1994</v>
      </c>
      <c r="I75" s="134"/>
      <c r="J75" s="134"/>
      <c r="K75" s="134"/>
    </row>
    <row r="76" customHeight="1" spans="1:11">
      <c r="A76" s="134" t="s">
        <v>571</v>
      </c>
      <c r="B76" s="135" t="s">
        <v>673</v>
      </c>
      <c r="C76" s="136" t="str">
        <f t="array" ref="C76">_xlfn.XLOOKUP($A76,articul!$A:$A,articul!$D:$D)</f>
        <v>Lagoa Vermelha</v>
      </c>
      <c r="D76" s="136" t="str">
        <f t="array" ref="D76">_xlfn.XLOOKUP($A76,articul!$A:$A,articul!$C:$C)</f>
        <v>5º BBM</v>
      </c>
      <c r="E76" s="136" t="str">
        <f t="array" ref="E76">_xlfn.XLOOKUP($A76,articul!$A:$A,articul!$B:$B)</f>
        <v>2º CRBM</v>
      </c>
      <c r="F76" s="134" t="s">
        <v>854</v>
      </c>
      <c r="G76" s="134" t="s">
        <v>855</v>
      </c>
      <c r="H76" s="134">
        <v>2005</v>
      </c>
      <c r="I76" s="134"/>
      <c r="J76" s="134"/>
      <c r="K76" s="134"/>
    </row>
    <row r="77" customHeight="1" spans="1:11">
      <c r="A77" s="134" t="s">
        <v>572</v>
      </c>
      <c r="B77" s="135" t="s">
        <v>673</v>
      </c>
      <c r="C77" s="136" t="str">
        <f t="array" ref="C77">_xlfn.XLOOKUP($A77,articul!$A:$A,articul!$D:$D)</f>
        <v>Lagoa Vermelha</v>
      </c>
      <c r="D77" s="136" t="str">
        <f t="array" ref="D77">_xlfn.XLOOKUP($A77,articul!$A:$A,articul!$C:$C)</f>
        <v>5º BBM</v>
      </c>
      <c r="E77" s="136" t="str">
        <f t="array" ref="E77">_xlfn.XLOOKUP($A77,articul!$A:$A,articul!$B:$B)</f>
        <v>2º CRBM</v>
      </c>
      <c r="F77" s="134" t="s">
        <v>856</v>
      </c>
      <c r="G77" s="134" t="s">
        <v>857</v>
      </c>
      <c r="H77" s="134"/>
      <c r="I77" s="134"/>
      <c r="J77" s="134"/>
      <c r="K77" s="134" t="s">
        <v>676</v>
      </c>
    </row>
    <row r="78" customHeight="1" spans="1:11">
      <c r="A78" s="134" t="s">
        <v>572</v>
      </c>
      <c r="B78" s="135" t="s">
        <v>673</v>
      </c>
      <c r="C78" s="136" t="str">
        <f t="array" ref="C78">_xlfn.XLOOKUP($A78,articul!$A:$A,articul!$D:$D)</f>
        <v>Lagoa Vermelha</v>
      </c>
      <c r="D78" s="136" t="str">
        <f t="array" ref="D78">_xlfn.XLOOKUP($A78,articul!$A:$A,articul!$C:$C)</f>
        <v>5º BBM</v>
      </c>
      <c r="E78" s="136" t="str">
        <f t="array" ref="E78">_xlfn.XLOOKUP($A78,articul!$A:$A,articul!$B:$B)</f>
        <v>2º CRBM</v>
      </c>
      <c r="F78" s="134" t="s">
        <v>858</v>
      </c>
      <c r="G78" s="134" t="s">
        <v>859</v>
      </c>
      <c r="H78" s="134"/>
      <c r="I78" s="134"/>
      <c r="J78" s="134"/>
      <c r="K78" s="134" t="s">
        <v>758</v>
      </c>
    </row>
    <row r="79" customHeight="1" spans="1:11">
      <c r="A79" s="134" t="s">
        <v>572</v>
      </c>
      <c r="B79" s="135" t="s">
        <v>673</v>
      </c>
      <c r="C79" s="136" t="str">
        <f t="array" ref="C79">_xlfn.XLOOKUP($A79,articul!$A:$A,articul!$D:$D)</f>
        <v>Lagoa Vermelha</v>
      </c>
      <c r="D79" s="136" t="str">
        <f t="array" ref="D79">_xlfn.XLOOKUP($A79,articul!$A:$A,articul!$C:$C)</f>
        <v>5º BBM</v>
      </c>
      <c r="E79" s="136" t="str">
        <f t="array" ref="E79">_xlfn.XLOOKUP($A79,articul!$A:$A,articul!$B:$B)</f>
        <v>2º CRBM</v>
      </c>
      <c r="F79" s="134" t="s">
        <v>860</v>
      </c>
      <c r="G79" s="134" t="s">
        <v>861</v>
      </c>
      <c r="H79" s="134"/>
      <c r="I79" s="134"/>
      <c r="J79" s="134"/>
      <c r="K79" s="134" t="s">
        <v>676</v>
      </c>
    </row>
    <row r="80" customHeight="1" spans="1:11">
      <c r="A80" s="134" t="s">
        <v>572</v>
      </c>
      <c r="B80" s="135" t="s">
        <v>673</v>
      </c>
      <c r="C80" s="136" t="str">
        <f t="array" ref="C80">_xlfn.XLOOKUP($A80,articul!$A:$A,articul!$D:$D)</f>
        <v>Lagoa Vermelha</v>
      </c>
      <c r="D80" s="136" t="str">
        <f t="array" ref="D80">_xlfn.XLOOKUP($A80,articul!$A:$A,articul!$C:$C)</f>
        <v>5º BBM</v>
      </c>
      <c r="E80" s="136" t="str">
        <f t="array" ref="E80">_xlfn.XLOOKUP($A80,articul!$A:$A,articul!$B:$B)</f>
        <v>2º CRBM</v>
      </c>
      <c r="F80" s="134" t="s">
        <v>860</v>
      </c>
      <c r="G80" s="134" t="s">
        <v>862</v>
      </c>
      <c r="H80" s="134"/>
      <c r="I80" s="134"/>
      <c r="J80" s="134"/>
      <c r="K80" s="134" t="s">
        <v>758</v>
      </c>
    </row>
    <row r="81" customHeight="1" spans="1:11">
      <c r="A81" s="134" t="s">
        <v>572</v>
      </c>
      <c r="B81" s="135" t="s">
        <v>673</v>
      </c>
      <c r="C81" s="136" t="str">
        <f t="array" ref="C81">_xlfn.XLOOKUP($A81,articul!$A:$A,articul!$D:$D)</f>
        <v>Lagoa Vermelha</v>
      </c>
      <c r="D81" s="136" t="str">
        <f t="array" ref="D81">_xlfn.XLOOKUP($A81,articul!$A:$A,articul!$C:$C)</f>
        <v>5º BBM</v>
      </c>
      <c r="E81" s="136" t="str">
        <f t="array" ref="E81">_xlfn.XLOOKUP($A81,articul!$A:$A,articul!$B:$B)</f>
        <v>2º CRBM</v>
      </c>
      <c r="F81" s="134" t="s">
        <v>754</v>
      </c>
      <c r="G81" s="134" t="s">
        <v>863</v>
      </c>
      <c r="H81" s="134"/>
      <c r="I81" s="134"/>
      <c r="J81" s="134"/>
      <c r="K81" s="134" t="s">
        <v>758</v>
      </c>
    </row>
    <row r="82" customHeight="1" spans="1:11">
      <c r="A82" s="134" t="s">
        <v>573</v>
      </c>
      <c r="B82" s="135" t="s">
        <v>673</v>
      </c>
      <c r="C82" s="136" t="str">
        <f t="array" ref="C82">_xlfn.XLOOKUP($A82,articul!$A:$A,articul!$D:$D)</f>
        <v>Santa Maria</v>
      </c>
      <c r="D82" s="136" t="str">
        <f t="array" ref="D82">_xlfn.XLOOKUP($A82,articul!$A:$A,articul!$C:$C)</f>
        <v>4º BBM</v>
      </c>
      <c r="E82" s="136" t="str">
        <f t="array" ref="E82">_xlfn.XLOOKUP($A82,articul!$A:$A,articul!$B:$B)</f>
        <v>4º CRBM</v>
      </c>
      <c r="F82" s="134" t="s">
        <v>864</v>
      </c>
      <c r="G82" s="134" t="s">
        <v>865</v>
      </c>
      <c r="H82" s="134">
        <v>2001</v>
      </c>
      <c r="I82" s="134" t="s">
        <v>866</v>
      </c>
      <c r="J82" s="134"/>
      <c r="K82" s="134"/>
    </row>
    <row r="83" customHeight="1" spans="1:11">
      <c r="A83" s="134" t="s">
        <v>576</v>
      </c>
      <c r="B83" s="135" t="s">
        <v>673</v>
      </c>
      <c r="C83" s="136" t="str">
        <f t="array" ref="C83">_xlfn.XLOOKUP($A83,articul!$A:$A,articul!$D:$D)</f>
        <v>Guaporé</v>
      </c>
      <c r="D83" s="136" t="str">
        <f t="array" ref="D83">_xlfn.XLOOKUP($A83,articul!$A:$A,articul!$C:$C)</f>
        <v>7º BBM</v>
      </c>
      <c r="E83" s="136" t="str">
        <f t="array" ref="E83">_xlfn.XLOOKUP($A83,articul!$A:$A,articul!$B:$B)</f>
        <v>2º CRBM</v>
      </c>
      <c r="F83" s="134" t="s">
        <v>867</v>
      </c>
      <c r="G83" s="134" t="s">
        <v>868</v>
      </c>
      <c r="H83" s="134">
        <v>2003</v>
      </c>
      <c r="I83" s="134"/>
      <c r="J83" s="134" t="s">
        <v>869</v>
      </c>
      <c r="K83" s="134"/>
    </row>
    <row r="84" customHeight="1" spans="1:11">
      <c r="A84" s="134" t="s">
        <v>576</v>
      </c>
      <c r="B84" s="135" t="s">
        <v>673</v>
      </c>
      <c r="C84" s="136" t="str">
        <f t="array" ref="C84">_xlfn.XLOOKUP($A84,articul!$A:$A,articul!$D:$D)</f>
        <v>Guaporé</v>
      </c>
      <c r="D84" s="136" t="str">
        <f t="array" ref="D84">_xlfn.XLOOKUP($A84,articul!$A:$A,articul!$C:$C)</f>
        <v>7º BBM</v>
      </c>
      <c r="E84" s="136" t="str">
        <f t="array" ref="E84">_xlfn.XLOOKUP($A84,articul!$A:$A,articul!$B:$B)</f>
        <v>2º CRBM</v>
      </c>
      <c r="F84" s="134" t="s">
        <v>870</v>
      </c>
      <c r="G84" s="134" t="s">
        <v>871</v>
      </c>
      <c r="H84" s="134">
        <v>1987</v>
      </c>
      <c r="I84" s="134"/>
      <c r="J84" s="134"/>
      <c r="K84" s="134"/>
    </row>
    <row r="85" customHeight="1" spans="1:11">
      <c r="A85" s="134" t="s">
        <v>576</v>
      </c>
      <c r="B85" s="135" t="s">
        <v>673</v>
      </c>
      <c r="C85" s="136" t="str">
        <f t="array" ref="C85">_xlfn.XLOOKUP($A85,articul!$A:$A,articul!$D:$D)</f>
        <v>Guaporé</v>
      </c>
      <c r="D85" s="136" t="str">
        <f t="array" ref="D85">_xlfn.XLOOKUP($A85,articul!$A:$A,articul!$C:$C)</f>
        <v>7º BBM</v>
      </c>
      <c r="E85" s="136" t="str">
        <f t="array" ref="E85">_xlfn.XLOOKUP($A85,articul!$A:$A,articul!$B:$B)</f>
        <v>2º CRBM</v>
      </c>
      <c r="F85" s="134" t="s">
        <v>872</v>
      </c>
      <c r="G85" s="134" t="s">
        <v>873</v>
      </c>
      <c r="H85" s="134">
        <v>2014</v>
      </c>
      <c r="I85" s="134"/>
      <c r="J85" s="134"/>
      <c r="K85" s="134"/>
    </row>
    <row r="86" customHeight="1" spans="1:11">
      <c r="A86" s="134" t="s">
        <v>576</v>
      </c>
      <c r="B86" s="135" t="s">
        <v>673</v>
      </c>
      <c r="C86" s="136" t="str">
        <f t="array" ref="C86">_xlfn.XLOOKUP($A86,articul!$A:$A,articul!$D:$D)</f>
        <v>Guaporé</v>
      </c>
      <c r="D86" s="136" t="str">
        <f t="array" ref="D86">_xlfn.XLOOKUP($A86,articul!$A:$A,articul!$C:$C)</f>
        <v>7º BBM</v>
      </c>
      <c r="E86" s="136" t="str">
        <f t="array" ref="E86">_xlfn.XLOOKUP($A86,articul!$A:$A,articul!$B:$B)</f>
        <v>2º CRBM</v>
      </c>
      <c r="F86" s="134" t="s">
        <v>874</v>
      </c>
      <c r="G86" s="134" t="s">
        <v>875</v>
      </c>
      <c r="H86" s="134">
        <v>2018</v>
      </c>
      <c r="I86" s="134"/>
      <c r="J86" s="134"/>
      <c r="K86" s="134"/>
    </row>
    <row r="87" customHeight="1" spans="1:11">
      <c r="A87" s="134" t="s">
        <v>576</v>
      </c>
      <c r="B87" s="135" t="s">
        <v>673</v>
      </c>
      <c r="C87" s="136" t="str">
        <f t="array" ref="C87">_xlfn.XLOOKUP($A87,articul!$A:$A,articul!$D:$D)</f>
        <v>Guaporé</v>
      </c>
      <c r="D87" s="136" t="str">
        <f t="array" ref="D87">_xlfn.XLOOKUP($A87,articul!$A:$A,articul!$C:$C)</f>
        <v>7º BBM</v>
      </c>
      <c r="E87" s="136" t="str">
        <f t="array" ref="E87">_xlfn.XLOOKUP($A87,articul!$A:$A,articul!$B:$B)</f>
        <v>2º CRBM</v>
      </c>
      <c r="F87" s="134" t="s">
        <v>876</v>
      </c>
      <c r="G87" s="134" t="s">
        <v>877</v>
      </c>
      <c r="H87" s="134">
        <v>2013</v>
      </c>
      <c r="I87" s="134"/>
      <c r="J87" s="134"/>
      <c r="K87" s="134"/>
    </row>
    <row r="88" customHeight="1" spans="1:11">
      <c r="A88" s="134" t="s">
        <v>576</v>
      </c>
      <c r="B88" s="135" t="s">
        <v>673</v>
      </c>
      <c r="C88" s="136" t="str">
        <f t="array" ref="C88">_xlfn.XLOOKUP($A88,articul!$A:$A,articul!$D:$D)</f>
        <v>Guaporé</v>
      </c>
      <c r="D88" s="136" t="str">
        <f t="array" ref="D88">_xlfn.XLOOKUP($A88,articul!$A:$A,articul!$C:$C)</f>
        <v>7º BBM</v>
      </c>
      <c r="E88" s="136" t="str">
        <f t="array" ref="E88">_xlfn.XLOOKUP($A88,articul!$A:$A,articul!$B:$B)</f>
        <v>2º CRBM</v>
      </c>
      <c r="F88" s="134" t="s">
        <v>878</v>
      </c>
      <c r="G88" s="134" t="s">
        <v>879</v>
      </c>
      <c r="H88" s="134">
        <v>2009</v>
      </c>
      <c r="I88" s="134"/>
      <c r="J88" s="134"/>
      <c r="K88" s="134"/>
    </row>
    <row r="89" customHeight="1" spans="1:11">
      <c r="A89" s="134" t="s">
        <v>577</v>
      </c>
      <c r="B89" s="135" t="s">
        <v>673</v>
      </c>
      <c r="C89" s="136" t="str">
        <f t="array" ref="C89">_xlfn.XLOOKUP($A89,articul!$A:$A,articul!$D:$D)</f>
        <v>Erechim</v>
      </c>
      <c r="D89" s="136" t="str">
        <f t="array" ref="D89">_xlfn.XLOOKUP($A89,articul!$A:$A,articul!$C:$C)</f>
        <v>7º BBM</v>
      </c>
      <c r="E89" s="136" t="str">
        <f t="array" ref="E89">_xlfn.XLOOKUP($A89,articul!$A:$A,articul!$B:$B)</f>
        <v>2º CRBM</v>
      </c>
      <c r="F89" s="134" t="s">
        <v>880</v>
      </c>
      <c r="G89" s="134" t="s">
        <v>881</v>
      </c>
      <c r="H89" s="134">
        <v>1982</v>
      </c>
      <c r="I89" s="134">
        <v>1821</v>
      </c>
      <c r="J89" s="134" t="s">
        <v>882</v>
      </c>
      <c r="K89" s="134" t="s">
        <v>814</v>
      </c>
    </row>
    <row r="90" customHeight="1" spans="1:11">
      <c r="A90" s="134" t="s">
        <v>577</v>
      </c>
      <c r="B90" s="135" t="s">
        <v>673</v>
      </c>
      <c r="C90" s="136" t="str">
        <f t="array" ref="C90">_xlfn.XLOOKUP($A90,articul!$A:$A,articul!$D:$D)</f>
        <v>Erechim</v>
      </c>
      <c r="D90" s="136" t="str">
        <f t="array" ref="D90">_xlfn.XLOOKUP($A90,articul!$A:$A,articul!$C:$C)</f>
        <v>7º BBM</v>
      </c>
      <c r="E90" s="136" t="str">
        <f t="array" ref="E90">_xlfn.XLOOKUP($A90,articul!$A:$A,articul!$B:$B)</f>
        <v>2º CRBM</v>
      </c>
      <c r="F90" s="134" t="s">
        <v>883</v>
      </c>
      <c r="G90" s="134" t="s">
        <v>884</v>
      </c>
      <c r="H90" s="134">
        <v>2010</v>
      </c>
      <c r="I90" s="134"/>
      <c r="J90" s="134"/>
      <c r="K90" s="134"/>
    </row>
    <row r="91" customHeight="1" spans="1:11">
      <c r="A91" s="139"/>
      <c r="B91" s="139"/>
      <c r="C91" s="139"/>
      <c r="D91" s="139"/>
      <c r="E91" s="139"/>
      <c r="F91" s="139"/>
      <c r="G91" s="139"/>
      <c r="H91" s="139"/>
      <c r="I91" s="139"/>
      <c r="J91" s="139"/>
      <c r="K91" s="139"/>
    </row>
  </sheetData>
  <autoFilter ref="A1:T1005">
    <extLst/>
  </autoFilter>
  <conditionalFormatting sqref="B1:B90">
    <cfRule type="cellIs" dxfId="1" priority="1" operator="equal">
      <formula>"1 - Credenciado"</formula>
    </cfRule>
    <cfRule type="cellIs" dxfId="2" priority="2" operator="equal">
      <formula>"2 - Em credenciamento"</formula>
    </cfRule>
    <cfRule type="cellIs" dxfId="3" priority="3" operator="equal">
      <formula>"4 - Informaram desfavorável"</formula>
    </cfRule>
    <cfRule type="cellIs" dxfId="4" priority="4" operator="equal">
      <formula>"3 - Não regularizado"</formula>
    </cfRule>
  </conditionalFormatting>
  <dataValidations count="1">
    <dataValidation type="list" allowBlank="1" showErrorMessage="1" sqref="B2:B90">
      <formula1>" 1 - Credenciado, 2 - Em credenciamento, 3 - Não regularizado, 4 - Informaram desfavorável"</formula1>
    </dataValidation>
  </dataValidations>
  <pageMargins left="0.511811024" right="0.511811024" top="0.787401575" bottom="0.787401575" header="0.31496062" footer="0.31496062"/>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3C47D"/>
    <outlinePr summaryBelow="0" summaryRight="0"/>
  </sheetPr>
  <dimension ref="A1:K6"/>
  <sheetViews>
    <sheetView workbookViewId="0">
      <pane ySplit="1" topLeftCell="A2" activePane="bottomLeft" state="frozen"/>
      <selection/>
      <selection pane="bottomLeft" activeCell="B3" sqref="B3"/>
    </sheetView>
  </sheetViews>
  <sheetFormatPr defaultColWidth="14.4380952380952" defaultRowHeight="15" customHeight="1" outlineLevelRow="5"/>
  <cols>
    <col min="1" max="1" width="22.1047619047619" customWidth="1"/>
    <col min="2" max="2" width="16.6666666666667" customWidth="1"/>
    <col min="3" max="3" width="15.1047619047619" customWidth="1"/>
    <col min="4" max="4" width="16.3333333333333" customWidth="1"/>
    <col min="5" max="5" width="10.6666666666667" customWidth="1"/>
    <col min="6" max="6" width="45" customWidth="1"/>
    <col min="7" max="7" width="20" customWidth="1"/>
    <col min="8" max="8" width="9.88571428571429" customWidth="1"/>
    <col min="9" max="9" width="13.3333333333333" customWidth="1"/>
    <col min="10" max="10" width="17" customWidth="1"/>
    <col min="11" max="11" width="30.552380952381" customWidth="1"/>
  </cols>
  <sheetData>
    <row r="1" customHeight="1" spans="1:11">
      <c r="A1" s="131" t="s">
        <v>495</v>
      </c>
      <c r="B1" s="132" t="s">
        <v>2</v>
      </c>
      <c r="C1" s="133" t="s">
        <v>666</v>
      </c>
      <c r="D1" s="133" t="s">
        <v>410</v>
      </c>
      <c r="E1" s="133" t="s">
        <v>496</v>
      </c>
      <c r="F1" s="134" t="s">
        <v>667</v>
      </c>
      <c r="G1" s="134" t="s">
        <v>885</v>
      </c>
      <c r="H1" s="134" t="s">
        <v>669</v>
      </c>
      <c r="I1" s="134" t="s">
        <v>670</v>
      </c>
      <c r="J1" s="134" t="s">
        <v>671</v>
      </c>
      <c r="K1" s="134" t="s">
        <v>672</v>
      </c>
    </row>
    <row r="2" customHeight="1" spans="1:11">
      <c r="A2" s="134" t="s">
        <v>516</v>
      </c>
      <c r="B2" s="135" t="s">
        <v>673</v>
      </c>
      <c r="C2" s="136" t="str">
        <f t="array" ref="C2">_xlfn.XLOOKUP($A2,articul!$A:$A,articul!$D:$D)</f>
        <v>Jaguarão</v>
      </c>
      <c r="D2" s="136" t="str">
        <f t="array" ref="D2">_xlfn.XLOOKUP($A2,articul!$A:$A,articul!$C:$C)</f>
        <v>3º BBM</v>
      </c>
      <c r="E2" s="136" t="str">
        <f t="array" ref="E2">_xlfn.XLOOKUP($A2,articul!$A:$A,articul!$B:$B)</f>
        <v>3º CRBM</v>
      </c>
      <c r="F2" s="134" t="s">
        <v>886</v>
      </c>
      <c r="G2" s="134" t="s">
        <v>887</v>
      </c>
      <c r="H2" s="134"/>
      <c r="I2" s="134"/>
      <c r="J2" s="134"/>
      <c r="K2" s="134" t="s">
        <v>676</v>
      </c>
    </row>
    <row r="3" customHeight="1" spans="1:11">
      <c r="A3" s="134" t="s">
        <v>415</v>
      </c>
      <c r="B3" s="135" t="s">
        <v>673</v>
      </c>
      <c r="C3" s="136" t="str">
        <f t="array" ref="C3">_xlfn.XLOOKUP($A3,articul!$A:$A,articul!$D:$D)</f>
        <v>Torres</v>
      </c>
      <c r="D3" s="136" t="str">
        <f t="array" ref="D3">_xlfn.XLOOKUP($A3,articul!$A:$A,articul!$C:$C)</f>
        <v>9º BBM</v>
      </c>
      <c r="E3" s="136" t="str">
        <f t="array" ref="E3">_xlfn.XLOOKUP($A3,articul!$A:$A,articul!$B:$B)</f>
        <v>1º CRBM</v>
      </c>
      <c r="F3" s="134" t="s">
        <v>888</v>
      </c>
      <c r="G3" s="134" t="s">
        <v>887</v>
      </c>
      <c r="H3" s="134"/>
      <c r="I3" s="134"/>
      <c r="J3" s="134"/>
      <c r="K3" s="134" t="s">
        <v>676</v>
      </c>
    </row>
    <row r="4" customHeight="1" spans="1:11">
      <c r="A4" s="134" t="s">
        <v>427</v>
      </c>
      <c r="B4" s="135" t="s">
        <v>673</v>
      </c>
      <c r="C4" s="136" t="str">
        <f t="array" ref="C4">_xlfn.XLOOKUP($A4,articul!$A:$A,articul!$D:$D)</f>
        <v>Cidreira</v>
      </c>
      <c r="D4" s="136" t="str">
        <f t="array" ref="D4">_xlfn.XLOOKUP($A4,articul!$A:$A,articul!$C:$C)</f>
        <v>9º BBM</v>
      </c>
      <c r="E4" s="136" t="str">
        <f t="array" ref="E4">_xlfn.XLOOKUP($A4,articul!$A:$A,articul!$B:$B)</f>
        <v>1º CRBM</v>
      </c>
      <c r="F4" s="134" t="s">
        <v>889</v>
      </c>
      <c r="G4" s="134" t="s">
        <v>890</v>
      </c>
      <c r="H4" s="134">
        <v>2000</v>
      </c>
      <c r="I4" s="134" t="s">
        <v>891</v>
      </c>
      <c r="J4" s="134"/>
      <c r="K4" s="134" t="s">
        <v>758</v>
      </c>
    </row>
    <row r="5" customHeight="1" spans="1:11">
      <c r="A5" s="134" t="s">
        <v>576</v>
      </c>
      <c r="B5" s="135" t="s">
        <v>673</v>
      </c>
      <c r="C5" s="136" t="str">
        <f t="array" ref="C5">_xlfn.XLOOKUP($A5,articul!$A:$A,articul!$D:$D)</f>
        <v>Guaporé</v>
      </c>
      <c r="D5" s="136" t="str">
        <f t="array" ref="D5">_xlfn.XLOOKUP($A5,articul!$A:$A,articul!$C:$C)</f>
        <v>7º BBM</v>
      </c>
      <c r="E5" s="136" t="str">
        <f t="array" ref="E5">_xlfn.XLOOKUP($A5,articul!$A:$A,articul!$B:$B)</f>
        <v>2º CRBM</v>
      </c>
      <c r="F5" s="134" t="s">
        <v>892</v>
      </c>
      <c r="G5" s="134" t="s">
        <v>893</v>
      </c>
      <c r="H5" s="134"/>
      <c r="I5" s="134"/>
      <c r="J5" s="134"/>
      <c r="K5" s="134"/>
    </row>
    <row r="6" customHeight="1" spans="1:11">
      <c r="A6" s="134" t="s">
        <v>509</v>
      </c>
      <c r="B6" s="135" t="s">
        <v>673</v>
      </c>
      <c r="C6" s="136" t="str">
        <f t="array" ref="C6">_xlfn.XLOOKUP($A6,articul!$A:$A,articul!$D:$D)</f>
        <v>Erechim</v>
      </c>
      <c r="D6" s="136" t="str">
        <f t="array" ref="D6">_xlfn.XLOOKUP($A6,articul!$A:$A,articul!$C:$C)</f>
        <v>7º BBM</v>
      </c>
      <c r="E6" s="136" t="str">
        <f t="array" ref="E6">_xlfn.XLOOKUP($A6,articul!$A:$A,articul!$B:$B)</f>
        <v>2º CRBM</v>
      </c>
      <c r="F6" s="134" t="s">
        <v>894</v>
      </c>
      <c r="G6" s="134" t="s">
        <v>895</v>
      </c>
      <c r="H6" s="134"/>
      <c r="I6" s="134"/>
      <c r="J6" s="134"/>
      <c r="K6" s="134"/>
    </row>
  </sheetData>
  <autoFilter ref="A1:T914">
    <extLst/>
  </autoFilter>
  <conditionalFormatting sqref="B1:B6">
    <cfRule type="cellIs" dxfId="1" priority="1" operator="equal">
      <formula>"1 - Credenciado"</formula>
    </cfRule>
    <cfRule type="cellIs" dxfId="2" priority="2" operator="equal">
      <formula>"2 - Em credenciamento"</formula>
    </cfRule>
    <cfRule type="cellIs" dxfId="3" priority="3" operator="equal">
      <formula>"4 - Informaram desfavorável"</formula>
    </cfRule>
    <cfRule type="cellIs" dxfId="4" priority="4" operator="equal">
      <formula>"3 - Não regularizado"</formula>
    </cfRule>
  </conditionalFormatting>
  <dataValidations count="1">
    <dataValidation type="list" allowBlank="1" showErrorMessage="1" sqref="B2:B6">
      <formula1>" 1 - Credenciado, 2 - Em credenciamento, 3 - Não regularizado, 4 - Informaram desfavorável"</formula1>
    </dataValidation>
  </dataValidations>
  <pageMargins left="0.511811024" right="0.511811024" top="0.787401575" bottom="0.787401575" header="0.31496062" footer="0.31496062"/>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20</vt:i4>
      </vt:variant>
    </vt:vector>
  </HeadingPairs>
  <TitlesOfParts>
    <vt:vector size="20" baseType="lpstr">
      <vt:lpstr>Dados Fórmulas</vt:lpstr>
      <vt:lpstr>articul</vt:lpstr>
      <vt:lpstr>Dashboard</vt:lpstr>
      <vt:lpstr>Criação - Padrão Comunitário e </vt:lpstr>
      <vt:lpstr>Dashboard Ensino</vt:lpstr>
      <vt:lpstr>Mapeamento</vt:lpstr>
      <vt:lpstr>Comunitário Existentes</vt:lpstr>
      <vt:lpstr>Viaturas</vt:lpstr>
      <vt:lpstr>Embarcações</vt:lpstr>
      <vt:lpstr>Compilado</vt:lpstr>
      <vt:lpstr>2BBM</vt:lpstr>
      <vt:lpstr>3BBM</vt:lpstr>
      <vt:lpstr>5BBM</vt:lpstr>
      <vt:lpstr>7BBM</vt:lpstr>
      <vt:lpstr>8BBM</vt:lpstr>
      <vt:lpstr>9BBM</vt:lpstr>
      <vt:lpstr>10BBM</vt:lpstr>
      <vt:lpstr>11BBM</vt:lpstr>
      <vt:lpstr>13BBM</vt:lpstr>
      <vt:lpstr>Página5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BVSC</dc:creator>
  <cp:lastModifiedBy>CRISTIANE WEYH MALIKOSKI</cp:lastModifiedBy>
  <dcterms:created xsi:type="dcterms:W3CDTF">2025-12-04T16:47:00Z</dcterms:created>
  <dcterms:modified xsi:type="dcterms:W3CDTF">2026-06-02T13:32:12Z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B8DACAEE46E34B1E9DF779E125C04748</vt:lpwstr>
  </property>
  <property fmtid="{D5CDD505-2E9C-101B-9397-08002B2CF9AE}" pid="3" name="KSOProductBuildVer">
    <vt:lpwstr>1046-11.2.0.11156</vt:lpwstr>
  </property>
</Properties>
</file>