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ABRIEL\TRANSPORTE ESCOLAR 2025\"/>
    </mc:Choice>
  </mc:AlternateContent>
  <xr:revisionPtr revIDLastSave="0" documentId="13_ncr:1_{4422384C-E7BA-4BA3-A05C-D42B6A68A001}" xr6:coauthVersionLast="43" xr6:coauthVersionMax="43" xr10:uidLastSave="{00000000-0000-0000-0000-000000000000}"/>
  <bookViews>
    <workbookView xWindow="-20610" yWindow="-120" windowWidth="20730" windowHeight="11760" xr2:uid="{9E2E7EBE-7F33-4DB0-A599-735EA49391AD}"/>
  </bookViews>
  <sheets>
    <sheet name="ROTA 008" sheetId="1" r:id="rId1"/>
  </sheets>
  <definedNames>
    <definedName name="_xlnm.Print_Area" localSheetId="0">'ROTA 008'!$B$1:$G$81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3" i="1" l="1"/>
  <c r="G51" i="1"/>
  <c r="F49" i="1"/>
  <c r="G31" i="1"/>
  <c r="G35" i="1" s="1"/>
  <c r="G26" i="1"/>
  <c r="D24" i="1"/>
  <c r="G24" i="1" s="1"/>
  <c r="D23" i="1"/>
  <c r="G23" i="1" s="1"/>
  <c r="D22" i="1"/>
  <c r="G22" i="1" s="1"/>
  <c r="G21" i="1"/>
  <c r="G25" i="1" s="1"/>
  <c r="G27" i="1" s="1"/>
  <c r="G41" i="1" s="1"/>
  <c r="G49" i="1" s="1"/>
  <c r="G15" i="1"/>
  <c r="E15" i="1"/>
  <c r="G47" i="1" l="1"/>
  <c r="G43" i="1"/>
  <c r="G45" i="1"/>
  <c r="G36" i="1"/>
  <c r="G37" i="1"/>
  <c r="G55" i="1" s="1"/>
  <c r="G67" i="1" l="1"/>
  <c r="G63" i="1"/>
  <c r="G57" i="1" l="1"/>
  <c r="G61" i="1"/>
  <c r="G59" i="1"/>
  <c r="G75" i="1"/>
  <c r="G71" i="1" l="1"/>
  <c r="G69" i="1"/>
  <c r="G73" i="1"/>
</calcChain>
</file>

<file path=xl/sharedStrings.xml><?xml version="1.0" encoding="utf-8"?>
<sst xmlns="http://schemas.openxmlformats.org/spreadsheetml/2006/main" count="61" uniqueCount="52">
  <si>
    <t>PLANILHA DE CUSTOS DO TRANSPORTE ESCOLAR 2024</t>
  </si>
  <si>
    <t>Rota 008</t>
  </si>
  <si>
    <t>Veículo  exigido com 15 lugares</t>
  </si>
  <si>
    <t>Percurso diário em Km:</t>
  </si>
  <si>
    <t>Dias/mês (estimado):</t>
  </si>
  <si>
    <t>Km/mês:</t>
  </si>
  <si>
    <t>Dias Letivos:</t>
  </si>
  <si>
    <t>Km/ano:</t>
  </si>
  <si>
    <t>ELEMENTOS DE CUSTO</t>
  </si>
  <si>
    <t>01 - CUSTO FIXO</t>
  </si>
  <si>
    <t>Mensais</t>
  </si>
  <si>
    <t>Anuais</t>
  </si>
  <si>
    <t>Salário categoria profissional:</t>
  </si>
  <si>
    <t>INSS:</t>
  </si>
  <si>
    <t>FGTS:</t>
  </si>
  <si>
    <t>Adicional de Férias e 13º Salário:</t>
  </si>
  <si>
    <t>Total de Pessoal e Encargos:</t>
  </si>
  <si>
    <t>Despesas Administrativas:</t>
  </si>
  <si>
    <t>Sub-total 01 (anual):</t>
  </si>
  <si>
    <t>02 - CUSTO VARIÁVEL</t>
  </si>
  <si>
    <t>R$ Unit.</t>
  </si>
  <si>
    <t>Rendimento:</t>
  </si>
  <si>
    <t>R$ Total</t>
  </si>
  <si>
    <t>Combustíveis:</t>
  </si>
  <si>
    <t>Km/l</t>
  </si>
  <si>
    <t>IPVA + Licenciamento:</t>
  </si>
  <si>
    <t>Seguro Obrigatório:</t>
  </si>
  <si>
    <t>Seguro Exigido:</t>
  </si>
  <si>
    <t>Rodagem (40% do custo de combustivel):</t>
  </si>
  <si>
    <t>Peças e Acessórios (20% do custo de combustivel)</t>
  </si>
  <si>
    <t>Sub-total 02 (anual):</t>
  </si>
  <si>
    <t>3 CUSTO TOTAL FIXO</t>
  </si>
  <si>
    <t>3.1 Custo por quilômetro percorrido</t>
  </si>
  <si>
    <t>3.2 Impostos (PIS, Cofins, CSLL e IRPJ) - Pelo Simples</t>
  </si>
  <si>
    <t>Anexo III - 2ª Faixa</t>
  </si>
  <si>
    <t>3.3 Impostos (ISS) - Pelo Simples</t>
  </si>
  <si>
    <t>3.4 Lucro</t>
  </si>
  <si>
    <t>4 PREÇO POR QUILÔMETRO RODADO FIXO</t>
  </si>
  <si>
    <t>Quilometragem percorrida - anual (200 dias letivos)</t>
  </si>
  <si>
    <t>5 CUSTO TOTAL VARIAVEL</t>
  </si>
  <si>
    <t>5.1 Custo por quilômetro percorrido</t>
  </si>
  <si>
    <t>5.2 Impostos (PIS, Cofins, CSLL e IRPJ) - Pelo Simples</t>
  </si>
  <si>
    <t>5.3 Impostos (ISS) - Pelo Simples</t>
  </si>
  <si>
    <t>5.4 Lucro</t>
  </si>
  <si>
    <t>6 PREÇO POR QUILÔMETRO RODADO VARIAVEL</t>
  </si>
  <si>
    <t>07 - CUSTO POR QUILÔMETRO PERCORRIDO</t>
  </si>
  <si>
    <t>7.1 Custo por quilômetro percorrido</t>
  </si>
  <si>
    <t>7.2 Impostos (PIS, Cofins, CSLL e IRPJ) - Pelo Simples</t>
  </si>
  <si>
    <t>7.3 Impostos (ISS) - Pelo Simples</t>
  </si>
  <si>
    <t>7.4 Lucro</t>
  </si>
  <si>
    <t>08 - PREÇO TOTAL MÁXIMO POR QUILÔMETRO RODADO</t>
  </si>
  <si>
    <t>Porto Xavier, 16 de Dezembro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</si>
</sst>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_(* #,##0.000000_);_(* \(#,##0.000000\);_(* &quot;-&quot;??_);_(@_)"/>
    <numFmt numFmtId="167" formatCode="&quot;R$ &quot;#,##0.00_);[Red]\(&quot;R$ &quot;#,##0.00\)"/>
    <numFmt numFmtId="168" formatCode="0.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 val="singleAccounting"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4" xfId="2" applyBorder="1" applyAlignment="1">
      <alignment horizontal="center"/>
    </xf>
    <xf numFmtId="0" fontId="1" fillId="0" borderId="4" xfId="0" applyFont="1" applyBorder="1"/>
    <xf numFmtId="164" fontId="1" fillId="0" borderId="6" xfId="2" applyBorder="1" applyAlignment="1">
      <alignment vertical="center"/>
    </xf>
    <xf numFmtId="164" fontId="1" fillId="0" borderId="6" xfId="2" applyBorder="1" applyAlignment="1">
      <alignment horizontal="center"/>
    </xf>
    <xf numFmtId="164" fontId="1" fillId="0" borderId="2" xfId="2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4" borderId="6" xfId="2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43" fontId="2" fillId="4" borderId="6" xfId="0" applyNumberFormat="1" applyFont="1" applyFill="1" applyBorder="1" applyAlignment="1">
      <alignment horizontal="center"/>
    </xf>
    <xf numFmtId="164" fontId="1" fillId="0" borderId="0" xfId="2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164" fontId="2" fillId="4" borderId="6" xfId="2" applyFont="1" applyFill="1" applyBorder="1" applyAlignment="1">
      <alignment horizontal="center"/>
    </xf>
    <xf numFmtId="164" fontId="2" fillId="3" borderId="10" xfId="2" applyFont="1" applyFill="1" applyBorder="1"/>
    <xf numFmtId="0" fontId="1" fillId="0" borderId="11" xfId="0" applyFont="1" applyBorder="1" applyAlignment="1">
      <alignment horizontal="left"/>
    </xf>
    <xf numFmtId="164" fontId="1" fillId="0" borderId="12" xfId="2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Alignment="1">
      <alignment horizontal="center"/>
    </xf>
    <xf numFmtId="164" fontId="1" fillId="4" borderId="12" xfId="2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10" fontId="1" fillId="4" borderId="0" xfId="0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3" borderId="1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center"/>
    </xf>
    <xf numFmtId="10" fontId="1" fillId="3" borderId="14" xfId="0" applyNumberFormat="1" applyFont="1" applyFill="1" applyBorder="1" applyAlignment="1">
      <alignment horizontal="center"/>
    </xf>
    <xf numFmtId="164" fontId="1" fillId="5" borderId="15" xfId="2" applyFill="1" applyBorder="1" applyAlignment="1">
      <alignment horizontal="center"/>
    </xf>
    <xf numFmtId="0" fontId="1" fillId="0" borderId="0" xfId="2" applyNumberFormat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0" xfId="2" applyNumberFormat="1" applyFill="1" applyAlignment="1">
      <alignment horizontal="right"/>
    </xf>
    <xf numFmtId="4" fontId="1" fillId="0" borderId="0" xfId="2" applyNumberFormat="1" applyAlignment="1">
      <alignment horizontal="center"/>
    </xf>
    <xf numFmtId="0" fontId="2" fillId="3" borderId="8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0" fillId="3" borderId="10" xfId="0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0" fontId="1" fillId="3" borderId="0" xfId="0" applyNumberFormat="1" applyFont="1" applyFill="1" applyAlignment="1">
      <alignment horizontal="center"/>
    </xf>
    <xf numFmtId="164" fontId="1" fillId="5" borderId="0" xfId="2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3" fontId="1" fillId="0" borderId="0" xfId="0" applyNumberFormat="1" applyFont="1" applyAlignment="1">
      <alignment horizontal="right"/>
    </xf>
    <xf numFmtId="0" fontId="2" fillId="0" borderId="0" xfId="0" applyFont="1"/>
    <xf numFmtId="168" fontId="2" fillId="0" borderId="0" xfId="0" applyNumberFormat="1" applyFont="1" applyAlignment="1">
      <alignment horizontal="righ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6" fontId="1" fillId="0" borderId="0" xfId="1" applyNumberFormat="1" applyAlignment="1">
      <alignment horizontal="right"/>
    </xf>
    <xf numFmtId="0" fontId="5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" fillId="0" borderId="4" xfId="0" applyFont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0" borderId="5" xfId="0" applyFont="1" applyBorder="1" applyAlignment="1">
      <alignment horizontal="left"/>
    </xf>
    <xf numFmtId="164" fontId="1" fillId="0" borderId="4" xfId="2" applyBorder="1" applyAlignment="1">
      <alignment horizontal="left"/>
    </xf>
    <xf numFmtId="164" fontId="1" fillId="0" borderId="5" xfId="2" applyBorder="1" applyAlignment="1">
      <alignment horizontal="left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1" fillId="6" borderId="4" xfId="2" applyFill="1" applyBorder="1" applyAlignment="1" applyProtection="1">
      <alignment horizontal="center"/>
      <protection locked="0"/>
    </xf>
    <xf numFmtId="0" fontId="1" fillId="6" borderId="4" xfId="2" applyNumberForma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438151</xdr:colOff>
      <xdr:row>0</xdr:row>
      <xdr:rowOff>152400</xdr:rowOff>
    </xdr:from>
    <xdr:to>
      <xdr:col>5</xdr:col>
      <xdr:colOff>276225</xdr:colOff>
      <xdr:row>5</xdr:row>
      <xdr:rowOff>30168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A020450-933F-4886-A67C-200B2F25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152400"/>
          <a:ext cx="3038474" cy="687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3B0F-0E16-4800-A02F-C6ECDBA51A97}">
  <dimension ref="B1:G87"/>
  <sheetViews>
    <sheetView tabSelected="1" view="pageBreakPreview" topLeftCell="A10" zoomScaleNormal="100" zoomScaleSheetLayoutView="100" zoomScalePageLayoutView="120" workbookViewId="0">
      <selection activeCell="D21" sqref="D21"/>
    </sheetView>
  </sheetViews>
  <sheetFormatPr defaultRowHeight="12.75" x14ac:dyDescent="0.2"/>
  <cols>
    <col min="2" max="2" width="15.28515625" style="1" customWidth="1"/>
    <col min="3" max="3" width="13.28515625" customWidth="1"/>
    <col min="4" max="4" width="19.85546875" customWidth="1"/>
    <col min="5" max="5" width="14.85546875" customWidth="1"/>
    <col min="6" max="6" width="14.7109375" customWidth="1"/>
    <col min="7" max="7" width="14.140625" customWidth="1"/>
  </cols>
  <sheetData>
    <row r="1" spans="2:7" x14ac:dyDescent="0.2">
      <c r="B1" s="76"/>
      <c r="C1" s="77"/>
      <c r="D1" s="77"/>
      <c r="E1" s="77"/>
      <c r="F1" s="77"/>
      <c r="G1" s="77"/>
    </row>
    <row r="2" spans="2:7" x14ac:dyDescent="0.2">
      <c r="B2" s="77"/>
      <c r="C2" s="77"/>
      <c r="D2" s="77"/>
      <c r="E2" s="77"/>
      <c r="F2" s="77"/>
      <c r="G2" s="77"/>
    </row>
    <row r="3" spans="2:7" x14ac:dyDescent="0.2">
      <c r="B3" s="77"/>
      <c r="C3" s="77"/>
      <c r="D3" s="77"/>
      <c r="E3" s="77"/>
      <c r="F3" s="77"/>
      <c r="G3" s="77"/>
    </row>
    <row r="4" spans="2:7" x14ac:dyDescent="0.2">
      <c r="B4" s="77"/>
      <c r="C4" s="77"/>
      <c r="D4" s="77"/>
      <c r="E4" s="77"/>
      <c r="F4" s="77"/>
      <c r="G4" s="77"/>
    </row>
    <row r="5" spans="2:7" x14ac:dyDescent="0.2">
      <c r="B5" s="77"/>
      <c r="C5" s="77"/>
      <c r="D5" s="77"/>
      <c r="E5" s="77"/>
      <c r="F5" s="77"/>
      <c r="G5" s="77"/>
    </row>
    <row r="6" spans="2:7" x14ac:dyDescent="0.2">
      <c r="B6" s="77"/>
      <c r="C6" s="77"/>
      <c r="D6" s="77"/>
      <c r="E6" s="77"/>
      <c r="F6" s="77"/>
      <c r="G6" s="77"/>
    </row>
    <row r="7" spans="2:7" x14ac:dyDescent="0.2">
      <c r="C7" s="2"/>
      <c r="D7" s="2"/>
      <c r="E7" s="2"/>
      <c r="F7" s="2"/>
      <c r="G7" s="2"/>
    </row>
    <row r="8" spans="2:7" ht="20.25" x14ac:dyDescent="0.4">
      <c r="B8" s="78" t="s">
        <v>0</v>
      </c>
      <c r="C8" s="78"/>
      <c r="D8" s="78"/>
      <c r="E8" s="78"/>
      <c r="F8" s="78"/>
      <c r="G8" s="78"/>
    </row>
    <row r="9" spans="2:7" ht="18" x14ac:dyDescent="0.25">
      <c r="B9" s="79"/>
      <c r="C9" s="79"/>
      <c r="D9" s="79"/>
      <c r="E9" s="79"/>
      <c r="F9" s="79"/>
      <c r="G9" s="79"/>
    </row>
    <row r="10" spans="2:7" ht="15.75" x14ac:dyDescent="0.25">
      <c r="B10" s="60" t="s">
        <v>1</v>
      </c>
      <c r="C10" s="60"/>
      <c r="D10" s="60"/>
      <c r="E10" s="60"/>
      <c r="F10" s="60"/>
      <c r="G10" s="60"/>
    </row>
    <row r="11" spans="2:7" ht="15.75" x14ac:dyDescent="0.25">
      <c r="B11" s="3"/>
      <c r="C11" s="3"/>
      <c r="D11" s="3"/>
      <c r="E11" s="3"/>
      <c r="F11" s="3"/>
      <c r="G11" s="3"/>
    </row>
    <row r="12" spans="2:7" ht="15.75" x14ac:dyDescent="0.25">
      <c r="B12" s="60" t="s">
        <v>2</v>
      </c>
      <c r="C12" s="60"/>
      <c r="D12" s="60"/>
      <c r="E12" s="60"/>
      <c r="F12" s="60"/>
      <c r="G12" s="60"/>
    </row>
    <row r="13" spans="2:7" x14ac:dyDescent="0.2">
      <c r="B13" s="4"/>
      <c r="C13" s="51"/>
      <c r="D13" s="51"/>
      <c r="E13" s="51"/>
      <c r="F13" s="51"/>
      <c r="G13" s="51"/>
    </row>
    <row r="14" spans="2:7" ht="25.5" x14ac:dyDescent="0.2">
      <c r="B14" s="80" t="s">
        <v>3</v>
      </c>
      <c r="C14" s="80"/>
      <c r="D14" s="5" t="s">
        <v>4</v>
      </c>
      <c r="E14" s="6" t="s">
        <v>5</v>
      </c>
      <c r="F14" s="6" t="s">
        <v>6</v>
      </c>
      <c r="G14" s="6" t="s">
        <v>7</v>
      </c>
    </row>
    <row r="15" spans="2:7" x14ac:dyDescent="0.2">
      <c r="B15" s="70">
        <v>146.19999999999999</v>
      </c>
      <c r="C15" s="70"/>
      <c r="D15" s="6">
        <v>20</v>
      </c>
      <c r="E15" s="7">
        <f>D15*B15</f>
        <v>2924</v>
      </c>
      <c r="F15" s="6">
        <v>200</v>
      </c>
      <c r="G15" s="7">
        <f>F15*B15</f>
        <v>29239.999999999996</v>
      </c>
    </row>
    <row r="16" spans="2:7" x14ac:dyDescent="0.2">
      <c r="B16" s="4"/>
      <c r="C16" s="51"/>
      <c r="D16" s="51"/>
      <c r="E16" s="51"/>
      <c r="F16" s="8"/>
      <c r="G16" s="51"/>
    </row>
    <row r="17" spans="2:7" x14ac:dyDescent="0.2">
      <c r="B17" s="71" t="s">
        <v>8</v>
      </c>
      <c r="C17" s="71"/>
      <c r="D17" s="71"/>
      <c r="E17" s="71"/>
      <c r="F17" s="71"/>
      <c r="G17" s="71"/>
    </row>
    <row r="18" spans="2:7" x14ac:dyDescent="0.2">
      <c r="B18" s="4"/>
      <c r="C18" s="51"/>
      <c r="D18" s="51"/>
      <c r="E18" s="51"/>
      <c r="F18" s="51"/>
      <c r="G18" s="51"/>
    </row>
    <row r="19" spans="2:7" x14ac:dyDescent="0.2">
      <c r="B19" s="63" t="s">
        <v>9</v>
      </c>
      <c r="C19" s="63"/>
      <c r="D19" s="63"/>
      <c r="E19" s="63"/>
      <c r="F19" s="63"/>
      <c r="G19" s="63"/>
    </row>
    <row r="20" spans="2:7" x14ac:dyDescent="0.2">
      <c r="B20" s="72" t="s">
        <v>10</v>
      </c>
      <c r="C20" s="72"/>
      <c r="D20" s="72"/>
      <c r="E20" s="73" t="s">
        <v>11</v>
      </c>
      <c r="F20" s="72"/>
      <c r="G20" s="72"/>
    </row>
    <row r="21" spans="2:7" x14ac:dyDescent="0.2">
      <c r="B21" s="74" t="s">
        <v>12</v>
      </c>
      <c r="C21" s="74"/>
      <c r="D21" s="81">
        <v>3042.11</v>
      </c>
      <c r="E21" s="75" t="s">
        <v>12</v>
      </c>
      <c r="F21" s="74"/>
      <c r="G21" s="9">
        <f>D21*12</f>
        <v>36505.32</v>
      </c>
    </row>
    <row r="22" spans="2:7" x14ac:dyDescent="0.2">
      <c r="B22" s="10" t="s">
        <v>13</v>
      </c>
      <c r="C22" s="10"/>
      <c r="D22" s="9">
        <f>((D21*0.09)*13.33/12)</f>
        <v>304.13494724999998</v>
      </c>
      <c r="E22" s="64" t="s">
        <v>13</v>
      </c>
      <c r="F22" s="62"/>
      <c r="G22" s="9">
        <f>D22*12</f>
        <v>3649.6193669999998</v>
      </c>
    </row>
    <row r="23" spans="2:7" x14ac:dyDescent="0.2">
      <c r="B23" s="65" t="s">
        <v>14</v>
      </c>
      <c r="C23" s="65"/>
      <c r="D23" s="9">
        <f>((D21*0.08)*13.33/12)</f>
        <v>270.34217533333339</v>
      </c>
      <c r="E23" s="66" t="s">
        <v>14</v>
      </c>
      <c r="F23" s="65"/>
      <c r="G23" s="9">
        <f>D23*12</f>
        <v>3244.1061040000004</v>
      </c>
    </row>
    <row r="24" spans="2:7" x14ac:dyDescent="0.2">
      <c r="B24" s="67" t="s">
        <v>15</v>
      </c>
      <c r="C24" s="67"/>
      <c r="D24" s="11">
        <f>(D21*1.33333)/12</f>
        <v>338.01137719166667</v>
      </c>
      <c r="E24" s="68" t="s">
        <v>15</v>
      </c>
      <c r="F24" s="67"/>
      <c r="G24" s="12">
        <f>D24*12</f>
        <v>4056.1365262999998</v>
      </c>
    </row>
    <row r="25" spans="2:7" ht="12" customHeight="1" x14ac:dyDescent="0.2">
      <c r="B25" s="69" t="s">
        <v>16</v>
      </c>
      <c r="C25" s="69"/>
      <c r="D25" s="13"/>
      <c r="E25" s="69"/>
      <c r="F25" s="69"/>
      <c r="G25" s="13">
        <f>SUM(G21:G24)</f>
        <v>47455.181997299995</v>
      </c>
    </row>
    <row r="26" spans="2:7" x14ac:dyDescent="0.2">
      <c r="B26" s="62" t="s">
        <v>17</v>
      </c>
      <c r="C26" s="62"/>
      <c r="D26" s="9"/>
      <c r="E26" s="62"/>
      <c r="F26" s="62"/>
      <c r="G26" s="9">
        <f>(954/2)*12</f>
        <v>5724</v>
      </c>
    </row>
    <row r="27" spans="2:7" x14ac:dyDescent="0.2">
      <c r="B27" s="14"/>
      <c r="C27" s="14"/>
      <c r="D27" s="15"/>
      <c r="E27" s="14"/>
      <c r="F27" s="16" t="s">
        <v>18</v>
      </c>
      <c r="G27" s="17">
        <f>G25+G26+G32+G33+G34</f>
        <v>54738.451997299999</v>
      </c>
    </row>
    <row r="28" spans="2:7" x14ac:dyDescent="0.2">
      <c r="B28" s="51"/>
      <c r="C28" s="51"/>
      <c r="D28" s="18"/>
      <c r="E28" s="51"/>
      <c r="F28" s="51"/>
      <c r="G28" s="51"/>
    </row>
    <row r="29" spans="2:7" x14ac:dyDescent="0.2">
      <c r="B29" s="63" t="s">
        <v>19</v>
      </c>
      <c r="C29" s="63"/>
      <c r="D29" s="63"/>
      <c r="E29" s="63"/>
      <c r="F29" s="63"/>
      <c r="G29" s="63"/>
    </row>
    <row r="30" spans="2:7" x14ac:dyDescent="0.2">
      <c r="B30" s="19"/>
      <c r="C30" s="20"/>
      <c r="D30" s="19" t="s">
        <v>20</v>
      </c>
      <c r="E30" s="13" t="s">
        <v>21</v>
      </c>
      <c r="F30" s="19"/>
      <c r="G30" s="19" t="s">
        <v>22</v>
      </c>
    </row>
    <row r="31" spans="2:7" x14ac:dyDescent="0.2">
      <c r="B31" s="62" t="s">
        <v>23</v>
      </c>
      <c r="C31" s="62"/>
      <c r="D31" s="81">
        <v>6.26</v>
      </c>
      <c r="E31" s="82">
        <v>6</v>
      </c>
      <c r="F31" s="21" t="s">
        <v>24</v>
      </c>
      <c r="G31" s="9">
        <f>G15*D31/E31</f>
        <v>30507.066666666662</v>
      </c>
    </row>
    <row r="32" spans="2:7" x14ac:dyDescent="0.2">
      <c r="B32" s="22" t="s">
        <v>25</v>
      </c>
      <c r="C32" s="10"/>
      <c r="D32" s="10"/>
      <c r="E32" s="21"/>
      <c r="F32" s="21"/>
      <c r="G32" s="81">
        <v>150.33000000000001</v>
      </c>
    </row>
    <row r="33" spans="2:7" x14ac:dyDescent="0.2">
      <c r="B33" s="22" t="s">
        <v>26</v>
      </c>
      <c r="C33" s="10"/>
      <c r="D33" s="9"/>
      <c r="E33" s="21"/>
      <c r="F33" s="21"/>
      <c r="G33" s="81">
        <v>164.82</v>
      </c>
    </row>
    <row r="34" spans="2:7" x14ac:dyDescent="0.2">
      <c r="B34" s="22" t="s">
        <v>27</v>
      </c>
      <c r="C34" s="10"/>
      <c r="D34" s="9"/>
      <c r="E34" s="21"/>
      <c r="F34" s="21"/>
      <c r="G34" s="81">
        <v>1244.1199999999999</v>
      </c>
    </row>
    <row r="35" spans="2:7" x14ac:dyDescent="0.2">
      <c r="B35" s="62" t="s">
        <v>28</v>
      </c>
      <c r="C35" s="62"/>
      <c r="D35" s="62"/>
      <c r="E35" s="62"/>
      <c r="F35" s="62"/>
      <c r="G35" s="9">
        <f>G31*40%</f>
        <v>12202.826666666666</v>
      </c>
    </row>
    <row r="36" spans="2:7" x14ac:dyDescent="0.2">
      <c r="B36" s="62" t="s">
        <v>29</v>
      </c>
      <c r="C36" s="62"/>
      <c r="D36" s="62"/>
      <c r="E36" s="62"/>
      <c r="F36" s="62"/>
      <c r="G36" s="9">
        <f>G31*20%</f>
        <v>6101.413333333333</v>
      </c>
    </row>
    <row r="37" spans="2:7" x14ac:dyDescent="0.2">
      <c r="B37" s="23"/>
      <c r="C37" s="14"/>
      <c r="D37" s="14"/>
      <c r="E37" s="14"/>
      <c r="F37" s="16" t="s">
        <v>30</v>
      </c>
      <c r="G37" s="24">
        <f>SUM(G31:G36)</f>
        <v>50370.57666666666</v>
      </c>
    </row>
    <row r="38" spans="2:7" ht="14.25" customHeight="1" thickBot="1" x14ac:dyDescent="0.25">
      <c r="B38" s="4"/>
      <c r="C38" s="51"/>
      <c r="D38" s="51"/>
      <c r="E38" s="51"/>
      <c r="F38" s="51"/>
      <c r="G38" s="18"/>
    </row>
    <row r="39" spans="2:7" ht="13.5" hidden="1" thickBot="1" x14ac:dyDescent="0.25">
      <c r="B39" s="56" t="s">
        <v>31</v>
      </c>
      <c r="C39" s="57"/>
      <c r="D39" s="57"/>
      <c r="E39" s="57"/>
      <c r="F39" s="57"/>
      <c r="G39" s="25"/>
    </row>
    <row r="40" spans="2:7" ht="13.5" hidden="1" thickBot="1" x14ac:dyDescent="0.25">
      <c r="B40" s="26"/>
      <c r="C40" s="51"/>
      <c r="D40" s="51"/>
      <c r="E40" s="51"/>
      <c r="F40" s="51"/>
      <c r="G40" s="27"/>
    </row>
    <row r="41" spans="2:7" ht="13.5" hidden="1" thickBot="1" x14ac:dyDescent="0.25">
      <c r="B41" s="28" t="s">
        <v>32</v>
      </c>
      <c r="C41" s="29"/>
      <c r="D41" s="29"/>
      <c r="E41" s="29"/>
      <c r="F41" s="29"/>
      <c r="G41" s="30">
        <f>G27/14500</f>
        <v>3.7750656549862067</v>
      </c>
    </row>
    <row r="42" spans="2:7" ht="13.5" hidden="1" thickBot="1" x14ac:dyDescent="0.25">
      <c r="B42" s="26"/>
      <c r="C42" s="51"/>
      <c r="D42" s="51"/>
      <c r="E42" s="51"/>
      <c r="F42" s="51"/>
      <c r="G42" s="27"/>
    </row>
    <row r="43" spans="2:7" ht="13.5" hidden="1" thickBot="1" x14ac:dyDescent="0.25">
      <c r="B43" s="28" t="s">
        <v>33</v>
      </c>
      <c r="C43" s="29"/>
      <c r="D43" s="29"/>
      <c r="E43" s="31" t="s">
        <v>34</v>
      </c>
      <c r="F43" s="32">
        <v>7.6200000000000004E-2</v>
      </c>
      <c r="G43" s="30">
        <f>G49*F43</f>
        <v>0.35601485508657049</v>
      </c>
    </row>
    <row r="44" spans="2:7" ht="13.5" hidden="1" thickBot="1" x14ac:dyDescent="0.25">
      <c r="B44" s="26"/>
      <c r="C44" s="51"/>
      <c r="D44" s="51"/>
      <c r="E44" s="51"/>
      <c r="F44" s="33"/>
      <c r="G44" s="27"/>
    </row>
    <row r="45" spans="2:7" ht="13.5" hidden="1" thickBot="1" x14ac:dyDescent="0.25">
      <c r="B45" s="28" t="s">
        <v>35</v>
      </c>
      <c r="C45" s="29"/>
      <c r="D45" s="29"/>
      <c r="E45" s="31" t="s">
        <v>34</v>
      </c>
      <c r="F45" s="32">
        <v>3.5799999999999998E-2</v>
      </c>
      <c r="G45" s="30">
        <f>G49*F45</f>
        <v>0.16726157233726013</v>
      </c>
    </row>
    <row r="46" spans="2:7" ht="13.5" hidden="1" thickBot="1" x14ac:dyDescent="0.25">
      <c r="B46" s="26"/>
      <c r="C46" s="51"/>
      <c r="D46" s="51"/>
      <c r="E46" s="51"/>
      <c r="F46" s="33"/>
      <c r="G46" s="27"/>
    </row>
    <row r="47" spans="2:7" ht="13.5" hidden="1" thickBot="1" x14ac:dyDescent="0.25">
      <c r="B47" s="28" t="s">
        <v>36</v>
      </c>
      <c r="C47" s="29"/>
      <c r="D47" s="29"/>
      <c r="E47" s="29"/>
      <c r="F47" s="32">
        <v>0.08</v>
      </c>
      <c r="G47" s="30">
        <f>G49*F47</f>
        <v>0.3737688767313076</v>
      </c>
    </row>
    <row r="48" spans="2:7" ht="13.5" hidden="1" thickBot="1" x14ac:dyDescent="0.25">
      <c r="B48" s="26"/>
      <c r="C48" s="51"/>
      <c r="D48" s="51"/>
      <c r="E48" s="51"/>
      <c r="F48" s="51"/>
      <c r="G48" s="27"/>
    </row>
    <row r="49" spans="2:7" ht="13.5" hidden="1" thickBot="1" x14ac:dyDescent="0.25">
      <c r="B49" s="34" t="s">
        <v>37</v>
      </c>
      <c r="C49" s="35"/>
      <c r="D49" s="35"/>
      <c r="E49" s="35"/>
      <c r="F49" s="36">
        <f>F43+F45+F47</f>
        <v>0.192</v>
      </c>
      <c r="G49" s="37">
        <f>G41/(1-F49)</f>
        <v>4.672110959141345</v>
      </c>
    </row>
    <row r="50" spans="2:7" ht="13.5" hidden="1" thickBot="1" x14ac:dyDescent="0.25">
      <c r="B50" s="4"/>
      <c r="C50" s="51"/>
      <c r="D50" s="51"/>
      <c r="E50" s="51"/>
      <c r="F50" s="51"/>
      <c r="G50" s="38"/>
    </row>
    <row r="51" spans="2:7" ht="13.5" hidden="1" thickBot="1" x14ac:dyDescent="0.25">
      <c r="B51" s="39" t="s">
        <v>38</v>
      </c>
      <c r="C51" s="29"/>
      <c r="D51" s="29"/>
      <c r="E51" s="29"/>
      <c r="F51" s="29"/>
      <c r="G51" s="40">
        <f>G15</f>
        <v>29239.999999999996</v>
      </c>
    </row>
    <row r="52" spans="2:7" ht="13.5" hidden="1" thickBot="1" x14ac:dyDescent="0.25">
      <c r="B52" s="4"/>
      <c r="C52" s="51"/>
      <c r="D52" s="51"/>
      <c r="E52" s="51"/>
      <c r="F52" s="51"/>
      <c r="G52" s="41"/>
    </row>
    <row r="53" spans="2:7" ht="13.5" hidden="1" thickBot="1" x14ac:dyDescent="0.25">
      <c r="B53" s="42" t="s">
        <v>39</v>
      </c>
      <c r="C53" s="43"/>
      <c r="D53" s="43"/>
      <c r="E53" s="43"/>
      <c r="F53" s="43"/>
      <c r="G53" s="44"/>
    </row>
    <row r="54" spans="2:7" ht="13.5" hidden="1" thickBot="1" x14ac:dyDescent="0.25">
      <c r="B54" s="45"/>
      <c r="C54" s="51"/>
      <c r="D54" s="51"/>
      <c r="E54" s="51"/>
      <c r="F54" s="51"/>
      <c r="G54" s="27"/>
    </row>
    <row r="55" spans="2:7" ht="13.5" hidden="1" thickBot="1" x14ac:dyDescent="0.25">
      <c r="B55" s="28" t="s">
        <v>40</v>
      </c>
      <c r="C55" s="29"/>
      <c r="D55" s="29"/>
      <c r="E55" s="29"/>
      <c r="F55" s="29"/>
      <c r="G55" s="30">
        <f>G37/G51</f>
        <v>1.7226599407204743</v>
      </c>
    </row>
    <row r="56" spans="2:7" ht="13.5" hidden="1" thickBot="1" x14ac:dyDescent="0.25">
      <c r="B56" s="26"/>
      <c r="C56" s="51"/>
      <c r="D56" s="51"/>
      <c r="E56" s="51"/>
      <c r="F56" s="51"/>
      <c r="G56" s="27"/>
    </row>
    <row r="57" spans="2:7" ht="13.5" hidden="1" thickBot="1" x14ac:dyDescent="0.25">
      <c r="B57" s="28" t="s">
        <v>41</v>
      </c>
      <c r="C57" s="29"/>
      <c r="D57" s="29"/>
      <c r="E57" s="31" t="s">
        <v>34</v>
      </c>
      <c r="F57" s="32">
        <v>7.6200000000000004E-2</v>
      </c>
      <c r="G57" s="30">
        <f>G63*F57</f>
        <v>0.16245877163725264</v>
      </c>
    </row>
    <row r="58" spans="2:7" ht="13.5" hidden="1" thickBot="1" x14ac:dyDescent="0.25">
      <c r="B58" s="26"/>
      <c r="C58" s="51"/>
      <c r="D58" s="51"/>
      <c r="E58" s="51"/>
      <c r="F58" s="33"/>
      <c r="G58" s="27"/>
    </row>
    <row r="59" spans="2:7" ht="13.5" hidden="1" thickBot="1" x14ac:dyDescent="0.25">
      <c r="B59" s="28" t="s">
        <v>42</v>
      </c>
      <c r="C59" s="29"/>
      <c r="D59" s="29"/>
      <c r="E59" s="31" t="s">
        <v>34</v>
      </c>
      <c r="F59" s="32">
        <v>3.5799999999999998E-2</v>
      </c>
      <c r="G59" s="30">
        <f>G63*F59</f>
        <v>7.6325774601228927E-2</v>
      </c>
    </row>
    <row r="60" spans="2:7" ht="13.5" hidden="1" thickBot="1" x14ac:dyDescent="0.25">
      <c r="B60" s="26"/>
      <c r="C60" s="51"/>
      <c r="D60" s="51"/>
      <c r="E60" s="51"/>
      <c r="F60" s="33"/>
      <c r="G60" s="27"/>
    </row>
    <row r="61" spans="2:7" ht="13.5" hidden="1" thickBot="1" x14ac:dyDescent="0.25">
      <c r="B61" s="28" t="s">
        <v>43</v>
      </c>
      <c r="C61" s="29"/>
      <c r="D61" s="29"/>
      <c r="E61" s="29"/>
      <c r="F61" s="32">
        <v>0.08</v>
      </c>
      <c r="G61" s="30">
        <f>G63*F61</f>
        <v>0.17056039017034397</v>
      </c>
    </row>
    <row r="62" spans="2:7" ht="13.5" hidden="1" thickBot="1" x14ac:dyDescent="0.25">
      <c r="B62" s="26"/>
      <c r="C62" s="51"/>
      <c r="D62" s="51"/>
      <c r="E62" s="51"/>
      <c r="F62" s="33"/>
      <c r="G62" s="27"/>
    </row>
    <row r="63" spans="2:7" ht="13.5" hidden="1" thickBot="1" x14ac:dyDescent="0.25">
      <c r="B63" s="34" t="s">
        <v>44</v>
      </c>
      <c r="C63" s="35"/>
      <c r="D63" s="35"/>
      <c r="E63" s="35"/>
      <c r="F63" s="36">
        <f>F57+F59+F61</f>
        <v>0.192</v>
      </c>
      <c r="G63" s="37">
        <f>G55/(1-F63)</f>
        <v>2.1320048771292996</v>
      </c>
    </row>
    <row r="64" spans="2:7" ht="13.5" hidden="1" thickBot="1" x14ac:dyDescent="0.25">
      <c r="B64" s="4"/>
      <c r="C64" s="51"/>
      <c r="D64" s="51"/>
      <c r="E64" s="51"/>
      <c r="F64" s="51"/>
      <c r="G64" s="18"/>
    </row>
    <row r="65" spans="2:7" x14ac:dyDescent="0.2">
      <c r="B65" s="42" t="s">
        <v>45</v>
      </c>
      <c r="C65" s="43"/>
      <c r="D65" s="43"/>
      <c r="E65" s="43"/>
      <c r="F65" s="43"/>
      <c r="G65" s="44"/>
    </row>
    <row r="66" spans="2:7" x14ac:dyDescent="0.2">
      <c r="B66" s="4"/>
      <c r="C66" s="51"/>
      <c r="D66" s="51"/>
      <c r="E66" s="51"/>
      <c r="F66" s="51"/>
      <c r="G66" s="18"/>
    </row>
    <row r="67" spans="2:7" x14ac:dyDescent="0.2">
      <c r="B67" s="28" t="s">
        <v>46</v>
      </c>
      <c r="C67" s="29"/>
      <c r="D67" s="29"/>
      <c r="E67" s="29"/>
      <c r="F67" s="29"/>
      <c r="G67" s="30">
        <f>G55+G41</f>
        <v>5.4977255957066813</v>
      </c>
    </row>
    <row r="68" spans="2:7" x14ac:dyDescent="0.2">
      <c r="B68" s="26"/>
      <c r="C68" s="51"/>
      <c r="D68" s="51"/>
      <c r="E68" s="51"/>
      <c r="F68" s="51"/>
      <c r="G68" s="27"/>
    </row>
    <row r="69" spans="2:7" x14ac:dyDescent="0.2">
      <c r="B69" s="28" t="s">
        <v>47</v>
      </c>
      <c r="C69" s="29"/>
      <c r="D69" s="29"/>
      <c r="E69" s="31" t="s">
        <v>34</v>
      </c>
      <c r="F69" s="32">
        <v>7.6200000000000004E-2</v>
      </c>
      <c r="G69" s="30">
        <f>G75*F69</f>
        <v>0.51847362672382313</v>
      </c>
    </row>
    <row r="70" spans="2:7" x14ac:dyDescent="0.2">
      <c r="B70" s="26"/>
      <c r="C70" s="51"/>
      <c r="D70" s="51"/>
      <c r="E70" s="51"/>
      <c r="F70" s="33"/>
      <c r="G70" s="27"/>
    </row>
    <row r="71" spans="2:7" x14ac:dyDescent="0.2">
      <c r="B71" s="28" t="s">
        <v>48</v>
      </c>
      <c r="C71" s="29"/>
      <c r="D71" s="29"/>
      <c r="E71" s="31" t="s">
        <v>34</v>
      </c>
      <c r="F71" s="32">
        <v>3.5799999999999998E-2</v>
      </c>
      <c r="G71" s="30">
        <f>G75*F71</f>
        <v>0.24358734693848907</v>
      </c>
    </row>
    <row r="72" spans="2:7" x14ac:dyDescent="0.2">
      <c r="B72" s="26"/>
      <c r="C72" s="51"/>
      <c r="D72" s="51"/>
      <c r="E72" s="51"/>
      <c r="F72" s="33"/>
      <c r="G72" s="27"/>
    </row>
    <row r="73" spans="2:7" x14ac:dyDescent="0.2">
      <c r="B73" s="28" t="s">
        <v>49</v>
      </c>
      <c r="C73" s="29"/>
      <c r="D73" s="29"/>
      <c r="E73" s="29"/>
      <c r="F73" s="32">
        <v>0.08</v>
      </c>
      <c r="G73" s="30">
        <f>G75*F73</f>
        <v>0.54432926690165162</v>
      </c>
    </row>
    <row r="74" spans="2:7" x14ac:dyDescent="0.2">
      <c r="B74" s="46"/>
      <c r="C74" s="51"/>
      <c r="D74" s="51"/>
      <c r="E74" s="51"/>
      <c r="F74" s="33"/>
      <c r="G74" s="18"/>
    </row>
    <row r="75" spans="2:7" x14ac:dyDescent="0.2">
      <c r="B75" s="47" t="s">
        <v>50</v>
      </c>
      <c r="C75" s="48"/>
      <c r="D75" s="48"/>
      <c r="E75" s="48"/>
      <c r="F75" s="49"/>
      <c r="G75" s="50">
        <f>G49+G63</f>
        <v>6.8041158362706451</v>
      </c>
    </row>
    <row r="76" spans="2:7" x14ac:dyDescent="0.2">
      <c r="B76" s="46"/>
      <c r="C76" s="51"/>
      <c r="D76" s="51"/>
      <c r="E76" s="51"/>
      <c r="F76" s="33"/>
      <c r="G76" s="18"/>
    </row>
    <row r="77" spans="2:7" x14ac:dyDescent="0.2">
      <c r="B77" s="58" t="s">
        <v>51</v>
      </c>
      <c r="C77" s="58"/>
      <c r="D77" s="58"/>
      <c r="E77" s="58"/>
      <c r="F77" s="58"/>
      <c r="G77" s="58"/>
    </row>
    <row r="78" spans="2:7" x14ac:dyDescent="0.2">
      <c r="B78" s="4"/>
      <c r="C78" s="8"/>
      <c r="D78" s="51"/>
      <c r="E78" s="51"/>
      <c r="F78" s="51"/>
      <c r="G78" s="52"/>
    </row>
    <row r="79" spans="2:7" x14ac:dyDescent="0.2">
      <c r="B79" s="4"/>
      <c r="C79" s="8"/>
      <c r="D79" s="51"/>
      <c r="E79" s="51"/>
      <c r="F79" s="51"/>
      <c r="G79" s="53"/>
    </row>
    <row r="80" spans="2:7" x14ac:dyDescent="0.2">
      <c r="B80" s="4"/>
      <c r="C80" s="8"/>
      <c r="D80" s="51"/>
      <c r="E80" s="51"/>
      <c r="F80" s="51"/>
      <c r="G80" s="52"/>
    </row>
    <row r="81" spans="2:7" x14ac:dyDescent="0.2">
      <c r="B81" s="4"/>
      <c r="C81" s="8"/>
      <c r="D81" s="59"/>
      <c r="E81" s="59"/>
      <c r="F81" s="59"/>
      <c r="G81" s="59"/>
    </row>
    <row r="84" spans="2:7" ht="15.75" x14ac:dyDescent="0.25">
      <c r="B84" s="60"/>
      <c r="C84" s="60"/>
      <c r="D84" s="60"/>
      <c r="E84" s="60"/>
      <c r="F84" s="60"/>
      <c r="G84" s="60"/>
    </row>
    <row r="85" spans="2:7" x14ac:dyDescent="0.2">
      <c r="F85" s="61"/>
      <c r="G85" s="61"/>
    </row>
    <row r="86" spans="2:7" x14ac:dyDescent="0.2">
      <c r="F86" s="61"/>
      <c r="G86" s="61"/>
    </row>
    <row r="87" spans="2:7" x14ac:dyDescent="0.2">
      <c r="B87" s="46"/>
      <c r="C87" s="54"/>
      <c r="D87" s="54"/>
      <c r="E87" s="54"/>
      <c r="F87" s="55"/>
      <c r="G87" s="55"/>
    </row>
  </sheetData>
  <sheetProtection algorithmName="SHA-512" hashValue="a+AHE2hUStjkyS2Q3te7YvPOAjcpRgJsZ09+MxDVJ847/nScY5KhOTHgCV/0qag/4jLoLPnnNPgCDFqBTtMScw==" saltValue="zDn+sLn21u4kCm46y17bXA==" spinCount="100000" sheet="1" objects="1" scenarios="1" selectLockedCells="1"/>
  <mergeCells count="33">
    <mergeCell ref="B21:C21"/>
    <mergeCell ref="E21:F21"/>
    <mergeCell ref="B1:G6"/>
    <mergeCell ref="B8:G8"/>
    <mergeCell ref="B9:G9"/>
    <mergeCell ref="B10:G10"/>
    <mergeCell ref="B12:G12"/>
    <mergeCell ref="B14:C14"/>
    <mergeCell ref="B15:C15"/>
    <mergeCell ref="B17:G17"/>
    <mergeCell ref="B19:G19"/>
    <mergeCell ref="B20:D20"/>
    <mergeCell ref="E20:G20"/>
    <mergeCell ref="B36:F36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9:G29"/>
    <mergeCell ref="B31:C31"/>
    <mergeCell ref="B35:F35"/>
    <mergeCell ref="F87:G87"/>
    <mergeCell ref="B39:F39"/>
    <mergeCell ref="B77:G77"/>
    <mergeCell ref="D81:G81"/>
    <mergeCell ref="B84:G84"/>
    <mergeCell ref="F85:G85"/>
    <mergeCell ref="F86:G86"/>
  </mergeCells>
  <printOptions horizontalCentered="1"/>
  <pageMargins left="0.78740157480314965" right="0.78740157480314965" top="0.59055118110236227" bottom="0.98425196850393704" header="0.51181102362204722" footer="0.51181102362204722"/>
  <pageSetup paperSize="9" scale="83" orientation="portrait" verticalDpi="4294967293" r:id="rId1"/>
  <headerFooter alignWithMargins="0"/>
  <rowBreaks count="1" manualBreakCount="1">
    <brk id="81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ROTA 008</vt:lpstr>
      <vt:lpstr>'ROTA 008'!Area_de_impressao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03</dc:creator>
  <cp:lastModifiedBy>COMPRAS 03</cp:lastModifiedBy>
  <dcterms:created xsi:type="dcterms:W3CDTF">2024-12-17T11:56:20Z</dcterms:created>
  <dcterms:modified xsi:type="dcterms:W3CDTF">2024-12-17T13:39:01Z</dcterms:modified>
</cp:coreProperties>
</file>