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ibliotecas\Desktop\"/>
    </mc:Choice>
  </mc:AlternateContent>
  <bookViews>
    <workbookView xWindow="0" yWindow="0" windowWidth="24000" windowHeight="96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5" i="1" l="1"/>
  <c r="C127" i="1" s="1"/>
  <c r="C139" i="1" s="1"/>
  <c r="C118" i="1"/>
  <c r="C101" i="1"/>
  <c r="C102" i="1" s="1"/>
  <c r="C98" i="1"/>
  <c r="C120" i="1" s="1"/>
  <c r="C97" i="1"/>
  <c r="C90" i="1"/>
  <c r="C87" i="1"/>
  <c r="C74" i="1"/>
  <c r="C134" i="1" s="1"/>
  <c r="C72" i="1"/>
  <c r="C133" i="1" s="1"/>
  <c r="C66" i="1"/>
  <c r="C63" i="1"/>
  <c r="B61" i="1"/>
  <c r="D61" i="1" s="1"/>
  <c r="C132" i="1" s="1"/>
  <c r="C58" i="1"/>
  <c r="E38" i="1"/>
  <c r="C64" i="1" s="1"/>
  <c r="D38" i="1"/>
  <c r="C38" i="1"/>
  <c r="E37" i="1"/>
  <c r="E36" i="1"/>
  <c r="E35" i="1"/>
  <c r="C17" i="1"/>
  <c r="C13" i="1"/>
  <c r="C57" i="1" s="1"/>
  <c r="C12" i="1"/>
  <c r="C56" i="1" s="1"/>
  <c r="C131" i="1" s="1"/>
  <c r="C67" i="1" l="1"/>
  <c r="C137" i="1" s="1"/>
  <c r="D136" i="1"/>
  <c r="C136" i="1"/>
  <c r="C70" i="1" l="1"/>
  <c r="C138" i="1" s="1"/>
  <c r="C140" i="1" s="1"/>
  <c r="C143" i="1" l="1"/>
  <c r="C142" i="1" s="1"/>
  <c r="E135" i="1" l="1"/>
  <c r="C145" i="1"/>
  <c r="C146" i="1"/>
  <c r="E132" i="1"/>
  <c r="E133" i="1"/>
  <c r="E134" i="1"/>
  <c r="E131" i="1"/>
  <c r="E139" i="1"/>
  <c r="E136" i="1"/>
  <c r="E138" i="1"/>
  <c r="E137" i="1"/>
  <c r="C148" i="1" l="1"/>
  <c r="C147" i="1"/>
</calcChain>
</file>

<file path=xl/sharedStrings.xml><?xml version="1.0" encoding="utf-8"?>
<sst xmlns="http://schemas.openxmlformats.org/spreadsheetml/2006/main" count="169" uniqueCount="141">
  <si>
    <t>DADOS CADASTRAIS</t>
  </si>
  <si>
    <t>1.1</t>
  </si>
  <si>
    <t>VEÍCULO</t>
  </si>
  <si>
    <t>1.1.1</t>
  </si>
  <si>
    <t>Características</t>
  </si>
  <si>
    <t>Tipo</t>
  </si>
  <si>
    <t>Ônibus</t>
  </si>
  <si>
    <t>Capacidade máxima e minima</t>
  </si>
  <si>
    <t>Ano/modelo admitido</t>
  </si>
  <si>
    <t>Tipo de combustível</t>
  </si>
  <si>
    <t>DIESEL</t>
  </si>
  <si>
    <t>1.1.2</t>
  </si>
  <si>
    <t>Valores</t>
  </si>
  <si>
    <t>R$ investimento</t>
  </si>
  <si>
    <t>Licenciamento</t>
  </si>
  <si>
    <t>Seguro obrigatório</t>
  </si>
  <si>
    <t>IPVA</t>
  </si>
  <si>
    <t>km/litro</t>
  </si>
  <si>
    <t>1.1.3</t>
  </si>
  <si>
    <t>Vistorias</t>
  </si>
  <si>
    <t>Vistoria semestral</t>
  </si>
  <si>
    <t>1.1.4</t>
  </si>
  <si>
    <t>Combustível</t>
  </si>
  <si>
    <t>R$ litro de diesel</t>
  </si>
  <si>
    <t>1.2</t>
  </si>
  <si>
    <t>RECURSOS HUMANOS</t>
  </si>
  <si>
    <t>1.2.1</t>
  </si>
  <si>
    <t>Motorista</t>
  </si>
  <si>
    <t>Salário base</t>
  </si>
  <si>
    <t>Carga horária mês(horas)</t>
  </si>
  <si>
    <t>Adicional noturno</t>
  </si>
  <si>
    <t>Horas extras</t>
  </si>
  <si>
    <t>1.2.2</t>
  </si>
  <si>
    <t>Monitor</t>
  </si>
  <si>
    <t>ITINERÁRIO</t>
  </si>
  <si>
    <t>2.1</t>
  </si>
  <si>
    <t>Quilometragem</t>
  </si>
  <si>
    <t>efetiva</t>
  </si>
  <si>
    <t>morta</t>
  </si>
  <si>
    <t>total</t>
  </si>
  <si>
    <t>manhã</t>
  </si>
  <si>
    <t>meio-dia</t>
  </si>
  <si>
    <t>tarde</t>
  </si>
  <si>
    <t>2.2</t>
  </si>
  <si>
    <t>Tempo de utilização do veículo</t>
  </si>
  <si>
    <t>2.3</t>
  </si>
  <si>
    <t>Taxa de uso do veículo</t>
  </si>
  <si>
    <t>Tempo de uso mensal</t>
  </si>
  <si>
    <t>Dia letivos por mês</t>
  </si>
  <si>
    <t>Tempo máximo mensal</t>
  </si>
  <si>
    <t>Taxa de uso do veículo calculado</t>
  </si>
  <si>
    <t>Taxa de uso do veículo efetiva</t>
  </si>
  <si>
    <t>2.4</t>
  </si>
  <si>
    <t>Quantidade de dias letivos por ano</t>
  </si>
  <si>
    <t>CUSTOS</t>
  </si>
  <si>
    <t>3.1</t>
  </si>
  <si>
    <t>R$ Depreciação</t>
  </si>
  <si>
    <t>3.2</t>
  </si>
  <si>
    <t>Encargos do veículo</t>
  </si>
  <si>
    <t>Licenciamneto</t>
  </si>
  <si>
    <t>3.3</t>
  </si>
  <si>
    <t>Vistorias do veículo</t>
  </si>
  <si>
    <t>RS unitário</t>
  </si>
  <si>
    <t>Quant.</t>
  </si>
  <si>
    <t>Total</t>
  </si>
  <si>
    <t>3.4</t>
  </si>
  <si>
    <t>Preço por litro</t>
  </si>
  <si>
    <t>km dia</t>
  </si>
  <si>
    <t>Dias letivos ano</t>
  </si>
  <si>
    <t>R$ ano combustível</t>
  </si>
  <si>
    <t>3.5</t>
  </si>
  <si>
    <t>Manutenção</t>
  </si>
  <si>
    <t>Relação manut./combustível</t>
  </si>
  <si>
    <t>R$ ano manutenção</t>
  </si>
  <si>
    <t>3.6</t>
  </si>
  <si>
    <t>Seguro do Serviço</t>
  </si>
  <si>
    <t>R$ anual</t>
  </si>
  <si>
    <t>3.7</t>
  </si>
  <si>
    <t>Administrativa</t>
  </si>
  <si>
    <t>3.8</t>
  </si>
  <si>
    <t>Financeira da operação</t>
  </si>
  <si>
    <t>3.9</t>
  </si>
  <si>
    <t>Recursos humanos</t>
  </si>
  <si>
    <t>3.9.1</t>
  </si>
  <si>
    <t>Carga horária</t>
  </si>
  <si>
    <t>Tempo efetivo dia</t>
  </si>
  <si>
    <t>Tempo morto dia</t>
  </si>
  <si>
    <t>Tempo trabalhado dia</t>
  </si>
  <si>
    <t>Dia letivos mês</t>
  </si>
  <si>
    <t>Tempo trabalhado mês</t>
  </si>
  <si>
    <t>Jornada de trabalho</t>
  </si>
  <si>
    <t>Custos com encargos</t>
  </si>
  <si>
    <t>Piso da categoria</t>
  </si>
  <si>
    <t>Hora extra</t>
  </si>
  <si>
    <t>Salário mensal</t>
  </si>
  <si>
    <t>Licença pat/mat</t>
  </si>
  <si>
    <t>Licença saúde</t>
  </si>
  <si>
    <t>Licença funeral</t>
  </si>
  <si>
    <t>Total das licenças</t>
  </si>
  <si>
    <t>Décimo Terceiro Salário</t>
  </si>
  <si>
    <t>Adicional de férias</t>
  </si>
  <si>
    <t>Fundo de garantia</t>
  </si>
  <si>
    <t>Base de cálculo</t>
  </si>
  <si>
    <t>R$ fundo mensal</t>
  </si>
  <si>
    <t>INSS</t>
  </si>
  <si>
    <t>Custos sem encargos</t>
  </si>
  <si>
    <t>Benifícios adicionais</t>
  </si>
  <si>
    <t>Vale refeição</t>
  </si>
  <si>
    <t>Vale transporte</t>
  </si>
  <si>
    <t>Plano de saúde</t>
  </si>
  <si>
    <t>Outros</t>
  </si>
  <si>
    <t>Sub total</t>
  </si>
  <si>
    <t>Depósito rescisão</t>
  </si>
  <si>
    <t>Aviso prévio indenizado</t>
  </si>
  <si>
    <t>Outras(10%)</t>
  </si>
  <si>
    <t>TOTAL RH</t>
  </si>
  <si>
    <t>3.10</t>
  </si>
  <si>
    <t>Simples</t>
  </si>
  <si>
    <t>LUCRO</t>
  </si>
  <si>
    <t>R$ Veículo</t>
  </si>
  <si>
    <t>Taxa de rentabilidade</t>
  </si>
  <si>
    <t>R$ lucro por ano</t>
  </si>
  <si>
    <t>R$ ano</t>
  </si>
  <si>
    <t>R$ mês</t>
  </si>
  <si>
    <t>%</t>
  </si>
  <si>
    <t>Depreciação</t>
  </si>
  <si>
    <t>Encargos do Veículo</t>
  </si>
  <si>
    <t>Vistoria do veículo</t>
  </si>
  <si>
    <t>Seguro do serviço</t>
  </si>
  <si>
    <t>Financeira</t>
  </si>
  <si>
    <t>Combustivel</t>
  </si>
  <si>
    <t>Lucro</t>
  </si>
  <si>
    <t>Preço anual</t>
  </si>
  <si>
    <t>Impostos</t>
  </si>
  <si>
    <t>PREÇO ANUAL</t>
  </si>
  <si>
    <t>PREÇO POR DIA</t>
  </si>
  <si>
    <t>PREÇO/KM</t>
  </si>
  <si>
    <t>PREÇO/KM EFETIVA</t>
  </si>
  <si>
    <t>PLANILHA DE CUSTOS/CÁLCULO TRANSPORTE ESCOLAR 2023.</t>
  </si>
  <si>
    <t>Porto Xavier/RS, 11 de abril de 2023</t>
  </si>
  <si>
    <t>ITINERÁRIO Nº 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</si>
</sst>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49" fontId="2" fillId="0" borderId="1" xfId="0" applyNumberFormat="1" applyFont="1" applyBorder="1" applyAlignment="1">
      <alignment wrapText="1"/>
    </xf>
    <xf numFmtId="0" fontId="2" fillId="0" borderId="1" xfId="0" applyFon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0" fontId="1" fillId="0" borderId="0" xfId="0" applyFont="1"/>
    <xf numFmtId="0" fontId="1" fillId="0" borderId="1" xfId="0" applyFont="1" applyFill="1" applyBorder="1"/>
    <xf numFmtId="2" fontId="1" fillId="0" borderId="1" xfId="0" applyNumberFormat="1" applyFont="1" applyFill="1" applyBorder="1"/>
    <xf numFmtId="164" fontId="1" fillId="0" borderId="1" xfId="0" applyNumberFormat="1" applyFont="1" applyFill="1" applyBorder="1"/>
    <xf numFmtId="9" fontId="1" fillId="0" borderId="1" xfId="0" applyNumberFormat="1" applyFont="1" applyFill="1" applyBorder="1"/>
    <xf numFmtId="4" fontId="1" fillId="0" borderId="1" xfId="0" applyNumberFormat="1" applyFont="1" applyFill="1" applyBorder="1"/>
    <xf numFmtId="10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tabSelected="1" workbookViewId="0">
      <selection activeCell="B3" sqref="B3"/>
    </sheetView>
  </sheetViews>
  <sheetFormatPr defaultRowHeight="15" x14ac:dyDescent="0.25"/>
  <cols>
    <col min="1" max="1" width="4.85546875" bestFit="1" customWidth="1"/>
    <col min="2" max="2" width="31.28515625" bestFit="1" customWidth="1"/>
    <col min="3" max="3" width="12" bestFit="1" customWidth="1"/>
    <col min="4" max="4" width="9.42578125" customWidth="1"/>
    <col min="5" max="5" width="8.7109375" customWidth="1"/>
  </cols>
  <sheetData>
    <row r="1" spans="1:5" ht="26.25" x14ac:dyDescent="0.25">
      <c r="A1" s="1"/>
      <c r="B1" s="2" t="s">
        <v>138</v>
      </c>
      <c r="C1" s="1"/>
      <c r="D1" s="1"/>
      <c r="E1" s="1"/>
    </row>
    <row r="2" spans="1:5" x14ac:dyDescent="0.25">
      <c r="A2" s="1"/>
      <c r="B2" s="3" t="s">
        <v>140</v>
      </c>
      <c r="C2" s="1"/>
      <c r="D2" s="1"/>
      <c r="E2" s="1"/>
    </row>
    <row r="3" spans="1:5" x14ac:dyDescent="0.25">
      <c r="A3" s="1">
        <v>1</v>
      </c>
      <c r="B3" s="1" t="s">
        <v>0</v>
      </c>
      <c r="C3" s="1"/>
      <c r="D3" s="1"/>
      <c r="E3" s="1"/>
    </row>
    <row r="4" spans="1:5" x14ac:dyDescent="0.25">
      <c r="A4" s="1" t="s">
        <v>1</v>
      </c>
      <c r="B4" s="1" t="s">
        <v>2</v>
      </c>
      <c r="C4" s="1"/>
      <c r="D4" s="1"/>
      <c r="E4" s="1"/>
    </row>
    <row r="5" spans="1:5" x14ac:dyDescent="0.25">
      <c r="A5" s="1" t="s">
        <v>3</v>
      </c>
      <c r="B5" s="1" t="s">
        <v>4</v>
      </c>
      <c r="C5" s="1"/>
      <c r="D5" s="1"/>
      <c r="E5" s="1"/>
    </row>
    <row r="6" spans="1:5" x14ac:dyDescent="0.25">
      <c r="A6" s="1"/>
      <c r="B6" s="1" t="s">
        <v>5</v>
      </c>
      <c r="C6" s="1" t="s">
        <v>6</v>
      </c>
      <c r="D6" s="1"/>
      <c r="E6" s="1"/>
    </row>
    <row r="7" spans="1:5" x14ac:dyDescent="0.25">
      <c r="A7" s="1"/>
      <c r="B7" s="1" t="s">
        <v>7</v>
      </c>
      <c r="C7" s="8">
        <v>50</v>
      </c>
      <c r="D7" s="1"/>
      <c r="E7" s="1"/>
    </row>
    <row r="8" spans="1:5" x14ac:dyDescent="0.25">
      <c r="A8" s="1"/>
      <c r="B8" s="1" t="s">
        <v>8</v>
      </c>
      <c r="C8" s="8">
        <v>2003</v>
      </c>
      <c r="D8" s="1"/>
      <c r="E8" s="1"/>
    </row>
    <row r="9" spans="1:5" x14ac:dyDescent="0.25">
      <c r="A9" s="1"/>
      <c r="B9" s="1" t="s">
        <v>9</v>
      </c>
      <c r="C9" s="1" t="s">
        <v>10</v>
      </c>
      <c r="D9" s="1"/>
      <c r="E9" s="1"/>
    </row>
    <row r="10" spans="1:5" x14ac:dyDescent="0.25">
      <c r="A10" s="1" t="s">
        <v>11</v>
      </c>
      <c r="B10" s="1" t="s">
        <v>12</v>
      </c>
      <c r="C10" s="1"/>
      <c r="D10" s="1"/>
      <c r="E10" s="1"/>
    </row>
    <row r="11" spans="1:5" x14ac:dyDescent="0.25">
      <c r="A11" s="1"/>
      <c r="B11" s="1" t="s">
        <v>13</v>
      </c>
      <c r="C11" s="5">
        <v>29900</v>
      </c>
      <c r="D11" s="1"/>
      <c r="E11" s="1"/>
    </row>
    <row r="12" spans="1:5" x14ac:dyDescent="0.25">
      <c r="A12" s="1"/>
      <c r="B12" s="1" t="s">
        <v>14</v>
      </c>
      <c r="C12" s="8">
        <f>(61.58*11.72%)+61.58</f>
        <v>68.797175999999993</v>
      </c>
      <c r="D12" s="1"/>
      <c r="E12" s="1"/>
    </row>
    <row r="13" spans="1:5" x14ac:dyDescent="0.25">
      <c r="A13" s="1"/>
      <c r="B13" s="1" t="s">
        <v>15</v>
      </c>
      <c r="C13" s="8">
        <f>(37.9*11.72%)+37.9</f>
        <v>42.341879999999996</v>
      </c>
      <c r="D13" s="1"/>
      <c r="E13" s="1"/>
    </row>
    <row r="14" spans="1:5" x14ac:dyDescent="0.25">
      <c r="A14" s="1"/>
      <c r="B14" s="1" t="s">
        <v>16</v>
      </c>
      <c r="C14" s="1">
        <v>0</v>
      </c>
      <c r="D14" s="1"/>
      <c r="E14" s="1"/>
    </row>
    <row r="15" spans="1:5" x14ac:dyDescent="0.25">
      <c r="A15" s="1"/>
      <c r="B15" s="1" t="s">
        <v>17</v>
      </c>
      <c r="C15" s="4">
        <v>2.72</v>
      </c>
      <c r="D15" s="1"/>
      <c r="E15" s="1"/>
    </row>
    <row r="16" spans="1:5" x14ac:dyDescent="0.25">
      <c r="A16" s="1" t="s">
        <v>18</v>
      </c>
      <c r="B16" s="1" t="s">
        <v>19</v>
      </c>
      <c r="C16" s="1"/>
      <c r="D16" s="1"/>
      <c r="E16" s="1"/>
    </row>
    <row r="17" spans="1:5" x14ac:dyDescent="0.25">
      <c r="A17" s="1"/>
      <c r="B17" s="1" t="s">
        <v>20</v>
      </c>
      <c r="C17" s="9">
        <f>(240*11.72%)+240</f>
        <v>268.12799999999999</v>
      </c>
      <c r="D17" s="1"/>
      <c r="E17" s="1"/>
    </row>
    <row r="18" spans="1:5" x14ac:dyDescent="0.25">
      <c r="A18" s="1" t="s">
        <v>21</v>
      </c>
      <c r="B18" s="1" t="s">
        <v>22</v>
      </c>
      <c r="C18" s="1"/>
      <c r="D18" s="1"/>
      <c r="E18" s="1"/>
    </row>
    <row r="19" spans="1:5" x14ac:dyDescent="0.25">
      <c r="A19" s="1"/>
      <c r="B19" s="1" t="s">
        <v>23</v>
      </c>
      <c r="C19" s="6">
        <v>5.82</v>
      </c>
      <c r="D19" s="1"/>
      <c r="E19" s="1"/>
    </row>
    <row r="20" spans="1:5" x14ac:dyDescent="0.25">
      <c r="A20" s="1" t="s">
        <v>24</v>
      </c>
      <c r="B20" s="1" t="s">
        <v>25</v>
      </c>
      <c r="C20" s="1"/>
      <c r="D20" s="1"/>
      <c r="E20" s="1"/>
    </row>
    <row r="21" spans="1:5" x14ac:dyDescent="0.25">
      <c r="A21" s="1" t="s">
        <v>26</v>
      </c>
      <c r="B21" s="1" t="s">
        <v>27</v>
      </c>
      <c r="C21" s="1"/>
      <c r="D21" s="1"/>
      <c r="E21" s="1"/>
    </row>
    <row r="22" spans="1:5" x14ac:dyDescent="0.25">
      <c r="A22" s="1"/>
      <c r="B22" s="1" t="s">
        <v>28</v>
      </c>
      <c r="C22" s="9">
        <v>2595.1799999999998</v>
      </c>
      <c r="D22" s="1"/>
      <c r="E22" s="1"/>
    </row>
    <row r="23" spans="1:5" x14ac:dyDescent="0.25">
      <c r="A23" s="1"/>
      <c r="B23" s="1" t="s">
        <v>29</v>
      </c>
      <c r="C23" s="1">
        <v>220</v>
      </c>
      <c r="D23" s="1"/>
      <c r="E23" s="1"/>
    </row>
    <row r="24" spans="1:5" x14ac:dyDescent="0.25">
      <c r="A24" s="1"/>
      <c r="B24" s="1" t="s">
        <v>30</v>
      </c>
      <c r="C24" s="1"/>
      <c r="D24" s="1"/>
      <c r="E24" s="1"/>
    </row>
    <row r="25" spans="1:5" x14ac:dyDescent="0.25">
      <c r="A25" s="1"/>
      <c r="B25" s="1" t="s">
        <v>31</v>
      </c>
      <c r="C25" s="1"/>
      <c r="D25" s="1"/>
      <c r="E25" s="1"/>
    </row>
    <row r="26" spans="1:5" x14ac:dyDescent="0.25">
      <c r="A26" s="1" t="s">
        <v>32</v>
      </c>
      <c r="B26" s="1" t="s">
        <v>33</v>
      </c>
      <c r="C26" s="1"/>
      <c r="D26" s="1"/>
      <c r="E26" s="1"/>
    </row>
    <row r="27" spans="1:5" x14ac:dyDescent="0.25">
      <c r="A27" s="1"/>
      <c r="B27" s="1" t="s">
        <v>28</v>
      </c>
      <c r="C27" s="1"/>
      <c r="D27" s="1"/>
      <c r="E27" s="1"/>
    </row>
    <row r="28" spans="1:5" x14ac:dyDescent="0.25">
      <c r="A28" s="1"/>
      <c r="B28" s="1" t="s">
        <v>29</v>
      </c>
      <c r="C28" s="1"/>
      <c r="D28" s="1"/>
      <c r="E28" s="1"/>
    </row>
    <row r="29" spans="1:5" x14ac:dyDescent="0.25">
      <c r="A29" s="1"/>
      <c r="B29" s="1" t="s">
        <v>30</v>
      </c>
      <c r="C29" s="1"/>
      <c r="D29" s="1"/>
      <c r="E29" s="1"/>
    </row>
    <row r="30" spans="1:5" x14ac:dyDescent="0.25">
      <c r="A30" s="1"/>
      <c r="B30" s="1" t="s">
        <v>31</v>
      </c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>
        <v>2</v>
      </c>
      <c r="B32" s="1" t="s">
        <v>34</v>
      </c>
      <c r="C32" s="1"/>
      <c r="D32" s="1"/>
      <c r="E32" s="1"/>
    </row>
    <row r="33" spans="1:5" x14ac:dyDescent="0.25">
      <c r="A33" s="1" t="s">
        <v>35</v>
      </c>
      <c r="B33" s="1" t="s">
        <v>36</v>
      </c>
      <c r="C33" s="1"/>
      <c r="D33" s="1"/>
      <c r="E33" s="1"/>
    </row>
    <row r="34" spans="1:5" x14ac:dyDescent="0.25">
      <c r="A34" s="1"/>
      <c r="B34" s="1"/>
      <c r="C34" s="1" t="s">
        <v>37</v>
      </c>
      <c r="D34" s="1" t="s">
        <v>38</v>
      </c>
      <c r="E34" s="1" t="s">
        <v>39</v>
      </c>
    </row>
    <row r="35" spans="1:5" x14ac:dyDescent="0.25">
      <c r="A35" s="1"/>
      <c r="B35" s="1" t="s">
        <v>40</v>
      </c>
      <c r="C35" s="1">
        <v>32</v>
      </c>
      <c r="D35" s="1">
        <v>0</v>
      </c>
      <c r="E35" s="8">
        <f>C35</f>
        <v>32</v>
      </c>
    </row>
    <row r="36" spans="1:5" x14ac:dyDescent="0.25">
      <c r="A36" s="1"/>
      <c r="B36" s="1" t="s">
        <v>41</v>
      </c>
      <c r="C36" s="1">
        <v>28</v>
      </c>
      <c r="D36" s="1">
        <v>0</v>
      </c>
      <c r="E36" s="8">
        <f>C36</f>
        <v>28</v>
      </c>
    </row>
    <row r="37" spans="1:5" x14ac:dyDescent="0.25">
      <c r="A37" s="1"/>
      <c r="B37" s="1" t="s">
        <v>42</v>
      </c>
      <c r="C37" s="1">
        <v>37</v>
      </c>
      <c r="D37" s="1">
        <v>0</v>
      </c>
      <c r="E37" s="8">
        <f>C37</f>
        <v>37</v>
      </c>
    </row>
    <row r="38" spans="1:5" x14ac:dyDescent="0.25">
      <c r="A38" s="1"/>
      <c r="B38" s="1" t="s">
        <v>39</v>
      </c>
      <c r="C38" s="1">
        <f>SUM(C35:C37)</f>
        <v>97</v>
      </c>
      <c r="D38" s="1">
        <f>D35+D36+D37</f>
        <v>0</v>
      </c>
      <c r="E38" s="8">
        <f>C38</f>
        <v>97</v>
      </c>
    </row>
    <row r="39" spans="1:5" x14ac:dyDescent="0.25">
      <c r="A39" s="1" t="s">
        <v>43</v>
      </c>
      <c r="B39" s="1" t="s">
        <v>44</v>
      </c>
      <c r="C39" s="1"/>
      <c r="D39" s="1"/>
      <c r="E39" s="1"/>
    </row>
    <row r="40" spans="1:5" x14ac:dyDescent="0.25">
      <c r="A40" s="1"/>
      <c r="B40" s="1"/>
      <c r="C40" s="1" t="s">
        <v>37</v>
      </c>
      <c r="D40" s="1" t="s">
        <v>38</v>
      </c>
      <c r="E40" s="1" t="s">
        <v>39</v>
      </c>
    </row>
    <row r="41" spans="1:5" x14ac:dyDescent="0.25">
      <c r="A41" s="1"/>
      <c r="B41" s="1" t="s">
        <v>40</v>
      </c>
      <c r="C41" s="1"/>
      <c r="D41" s="1"/>
      <c r="E41" s="1"/>
    </row>
    <row r="42" spans="1:5" x14ac:dyDescent="0.25">
      <c r="A42" s="1"/>
      <c r="B42" s="1" t="s">
        <v>41</v>
      </c>
      <c r="C42" s="1"/>
      <c r="D42" s="1"/>
      <c r="E42" s="1"/>
    </row>
    <row r="43" spans="1:5" x14ac:dyDescent="0.25">
      <c r="A43" s="1"/>
      <c r="B43" s="1" t="s">
        <v>42</v>
      </c>
      <c r="C43" s="1"/>
      <c r="D43" s="1"/>
      <c r="E43" s="1"/>
    </row>
    <row r="44" spans="1:5" x14ac:dyDescent="0.25">
      <c r="A44" s="1"/>
      <c r="B44" s="1" t="s">
        <v>39</v>
      </c>
      <c r="C44" s="1"/>
      <c r="D44" s="1"/>
      <c r="E44" s="1"/>
    </row>
    <row r="45" spans="1:5" x14ac:dyDescent="0.25">
      <c r="A45" s="1" t="s">
        <v>45</v>
      </c>
      <c r="B45" s="1" t="s">
        <v>46</v>
      </c>
      <c r="C45" s="1">
        <v>80</v>
      </c>
      <c r="D45" s="1"/>
      <c r="E45" s="1"/>
    </row>
    <row r="46" spans="1:5" x14ac:dyDescent="0.25">
      <c r="A46" s="1"/>
      <c r="B46" s="1" t="s">
        <v>47</v>
      </c>
      <c r="C46" s="1">
        <v>188.57</v>
      </c>
      <c r="D46" s="1"/>
      <c r="E46" s="1"/>
    </row>
    <row r="47" spans="1:5" x14ac:dyDescent="0.25">
      <c r="A47" s="1"/>
      <c r="B47" s="1" t="s">
        <v>48</v>
      </c>
      <c r="C47" s="1">
        <v>20</v>
      </c>
      <c r="D47" s="1"/>
      <c r="E47" s="1"/>
    </row>
    <row r="48" spans="1:5" x14ac:dyDescent="0.25">
      <c r="A48" s="1"/>
      <c r="B48" s="1" t="s">
        <v>49</v>
      </c>
      <c r="C48" s="1">
        <v>1.17</v>
      </c>
      <c r="D48" s="1"/>
      <c r="E48" s="1"/>
    </row>
    <row r="49" spans="1:5" x14ac:dyDescent="0.25">
      <c r="A49" s="1"/>
      <c r="B49" s="1" t="s">
        <v>50</v>
      </c>
      <c r="C49" s="1">
        <v>1</v>
      </c>
      <c r="D49" s="1"/>
      <c r="E49" s="1"/>
    </row>
    <row r="50" spans="1:5" x14ac:dyDescent="0.25">
      <c r="A50" s="1"/>
      <c r="B50" s="1" t="s">
        <v>51</v>
      </c>
      <c r="C50" s="1"/>
      <c r="D50" s="1"/>
      <c r="E50" s="1"/>
    </row>
    <row r="51" spans="1:5" x14ac:dyDescent="0.25">
      <c r="A51" s="1" t="s">
        <v>52</v>
      </c>
      <c r="B51" s="1" t="s">
        <v>53</v>
      </c>
      <c r="C51" s="1">
        <v>200</v>
      </c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>
        <v>3</v>
      </c>
      <c r="B53" s="1" t="s">
        <v>54</v>
      </c>
      <c r="C53" s="1"/>
      <c r="D53" s="1"/>
      <c r="E53" s="1"/>
    </row>
    <row r="54" spans="1:5" x14ac:dyDescent="0.25">
      <c r="A54" s="1" t="s">
        <v>55</v>
      </c>
      <c r="B54" s="1" t="s">
        <v>56</v>
      </c>
      <c r="C54" s="1">
        <v>0</v>
      </c>
      <c r="D54" s="1"/>
      <c r="E54" s="1"/>
    </row>
    <row r="55" spans="1:5" x14ac:dyDescent="0.25">
      <c r="A55" s="1" t="s">
        <v>57</v>
      </c>
      <c r="B55" s="1" t="s">
        <v>58</v>
      </c>
      <c r="C55" s="1"/>
      <c r="D55" s="1"/>
      <c r="E55" s="1"/>
    </row>
    <row r="56" spans="1:5" x14ac:dyDescent="0.25">
      <c r="A56" s="1"/>
      <c r="B56" s="8" t="s">
        <v>59</v>
      </c>
      <c r="C56" s="8">
        <f>C12</f>
        <v>68.797175999999993</v>
      </c>
      <c r="D56" s="8"/>
      <c r="E56" s="1"/>
    </row>
    <row r="57" spans="1:5" x14ac:dyDescent="0.25">
      <c r="A57" s="1"/>
      <c r="B57" s="8" t="s">
        <v>15</v>
      </c>
      <c r="C57" s="8">
        <f>C13</f>
        <v>42.341879999999996</v>
      </c>
      <c r="D57" s="8"/>
      <c r="E57" s="1"/>
    </row>
    <row r="58" spans="1:5" x14ac:dyDescent="0.25">
      <c r="A58" s="1"/>
      <c r="B58" s="8" t="s">
        <v>16</v>
      </c>
      <c r="C58" s="8">
        <f>C14</f>
        <v>0</v>
      </c>
      <c r="D58" s="8"/>
      <c r="E58" s="1"/>
    </row>
    <row r="59" spans="1:5" x14ac:dyDescent="0.25">
      <c r="A59" s="1" t="s">
        <v>60</v>
      </c>
      <c r="B59" s="8" t="s">
        <v>61</v>
      </c>
      <c r="C59" s="8"/>
      <c r="D59" s="8"/>
      <c r="E59" s="1"/>
    </row>
    <row r="60" spans="1:5" x14ac:dyDescent="0.25">
      <c r="A60" s="1"/>
      <c r="B60" s="8" t="s">
        <v>62</v>
      </c>
      <c r="C60" s="8" t="s">
        <v>63</v>
      </c>
      <c r="D60" s="8" t="s">
        <v>64</v>
      </c>
      <c r="E60" s="1"/>
    </row>
    <row r="61" spans="1:5" x14ac:dyDescent="0.25">
      <c r="A61" s="1"/>
      <c r="B61" s="9">
        <f>C17</f>
        <v>268.12799999999999</v>
      </c>
      <c r="C61" s="8">
        <v>2</v>
      </c>
      <c r="D61" s="8">
        <f>B61*C61</f>
        <v>536.25599999999997</v>
      </c>
      <c r="E61" s="1"/>
    </row>
    <row r="62" spans="1:5" x14ac:dyDescent="0.25">
      <c r="A62" s="1" t="s">
        <v>65</v>
      </c>
      <c r="B62" s="8" t="s">
        <v>22</v>
      </c>
      <c r="C62" s="8"/>
      <c r="D62" s="8"/>
      <c r="E62" s="1"/>
    </row>
    <row r="63" spans="1:5" x14ac:dyDescent="0.25">
      <c r="A63" s="1"/>
      <c r="B63" s="8" t="s">
        <v>66</v>
      </c>
      <c r="C63" s="8">
        <f>C19</f>
        <v>5.82</v>
      </c>
      <c r="D63" s="8"/>
      <c r="E63" s="1"/>
    </row>
    <row r="64" spans="1:5" x14ac:dyDescent="0.25">
      <c r="A64" s="1"/>
      <c r="B64" s="8" t="s">
        <v>67</v>
      </c>
      <c r="C64" s="8">
        <f>E38</f>
        <v>97</v>
      </c>
      <c r="D64" s="8"/>
      <c r="E64" s="1"/>
    </row>
    <row r="65" spans="1:5" x14ac:dyDescent="0.25">
      <c r="A65" s="1"/>
      <c r="B65" s="8" t="s">
        <v>68</v>
      </c>
      <c r="C65" s="8">
        <v>200</v>
      </c>
      <c r="D65" s="8"/>
      <c r="E65" s="1"/>
    </row>
    <row r="66" spans="1:5" x14ac:dyDescent="0.25">
      <c r="A66" s="1"/>
      <c r="B66" s="8" t="s">
        <v>17</v>
      </c>
      <c r="C66" s="8">
        <f>C15</f>
        <v>2.72</v>
      </c>
      <c r="D66" s="8"/>
      <c r="E66" s="1"/>
    </row>
    <row r="67" spans="1:5" x14ac:dyDescent="0.25">
      <c r="A67" s="1"/>
      <c r="B67" s="8" t="s">
        <v>69</v>
      </c>
      <c r="C67" s="8">
        <f>((C64/C66)*C63)*C65</f>
        <v>41510.294117647056</v>
      </c>
      <c r="D67" s="8"/>
      <c r="E67" s="1"/>
    </row>
    <row r="68" spans="1:5" x14ac:dyDescent="0.25">
      <c r="A68" s="1" t="s">
        <v>70</v>
      </c>
      <c r="B68" s="8" t="s">
        <v>71</v>
      </c>
      <c r="C68" s="8"/>
      <c r="D68" s="8"/>
      <c r="E68" s="1"/>
    </row>
    <row r="69" spans="1:5" x14ac:dyDescent="0.25">
      <c r="A69" s="1"/>
      <c r="B69" s="1" t="s">
        <v>72</v>
      </c>
      <c r="C69" s="4">
        <v>0.6</v>
      </c>
      <c r="D69" s="1"/>
      <c r="E69" s="1"/>
    </row>
    <row r="70" spans="1:5" x14ac:dyDescent="0.25">
      <c r="A70" s="1"/>
      <c r="B70" s="1" t="s">
        <v>73</v>
      </c>
      <c r="C70" s="9">
        <f>C67*C69</f>
        <v>24906.176470588234</v>
      </c>
      <c r="D70" s="1"/>
      <c r="E70" s="1"/>
    </row>
    <row r="71" spans="1:5" x14ac:dyDescent="0.25">
      <c r="A71" s="1" t="s">
        <v>74</v>
      </c>
      <c r="B71" s="1" t="s">
        <v>75</v>
      </c>
      <c r="C71" s="8"/>
      <c r="D71" s="1"/>
      <c r="E71" s="1"/>
    </row>
    <row r="72" spans="1:5" x14ac:dyDescent="0.25">
      <c r="A72" s="1"/>
      <c r="B72" s="1" t="s">
        <v>76</v>
      </c>
      <c r="C72" s="9">
        <f>(852*11.72%)+852</f>
        <v>951.85440000000006</v>
      </c>
      <c r="D72" s="1"/>
      <c r="E72" s="1"/>
    </row>
    <row r="73" spans="1:5" x14ac:dyDescent="0.25">
      <c r="A73" s="1" t="s">
        <v>77</v>
      </c>
      <c r="B73" s="1" t="s">
        <v>78</v>
      </c>
      <c r="C73" s="8"/>
      <c r="D73" s="1"/>
      <c r="E73" s="1"/>
    </row>
    <row r="74" spans="1:5" x14ac:dyDescent="0.25">
      <c r="A74" s="1"/>
      <c r="B74" s="1" t="s">
        <v>76</v>
      </c>
      <c r="C74" s="9">
        <f>(2470*11.72%)+2470</f>
        <v>2759.4839999999999</v>
      </c>
      <c r="D74" s="1"/>
      <c r="E74" s="1"/>
    </row>
    <row r="75" spans="1:5" x14ac:dyDescent="0.25">
      <c r="A75" s="1" t="s">
        <v>79</v>
      </c>
      <c r="B75" s="1" t="s">
        <v>80</v>
      </c>
      <c r="C75" s="1"/>
      <c r="D75" s="1"/>
      <c r="E75" s="1"/>
    </row>
    <row r="76" spans="1:5" x14ac:dyDescent="0.25">
      <c r="A76" s="1"/>
      <c r="B76" s="1" t="s">
        <v>76</v>
      </c>
      <c r="C76" s="1"/>
      <c r="D76" s="1"/>
      <c r="E76" s="1"/>
    </row>
    <row r="77" spans="1:5" x14ac:dyDescent="0.25">
      <c r="A77" s="1" t="s">
        <v>81</v>
      </c>
      <c r="B77" s="1" t="s">
        <v>82</v>
      </c>
      <c r="C77" s="1"/>
      <c r="D77" s="1"/>
      <c r="E77" s="1"/>
    </row>
    <row r="78" spans="1:5" x14ac:dyDescent="0.25">
      <c r="A78" s="1" t="s">
        <v>83</v>
      </c>
      <c r="B78" s="1" t="s">
        <v>27</v>
      </c>
      <c r="C78" s="1"/>
      <c r="D78" s="1"/>
      <c r="E78" s="1"/>
    </row>
    <row r="79" spans="1:5" x14ac:dyDescent="0.25">
      <c r="A79" s="1"/>
      <c r="B79" s="1" t="s">
        <v>84</v>
      </c>
      <c r="C79" s="1"/>
      <c r="D79" s="1"/>
      <c r="E79" s="1"/>
    </row>
    <row r="80" spans="1:5" x14ac:dyDescent="0.25">
      <c r="A80" s="1"/>
      <c r="B80" s="1" t="s">
        <v>85</v>
      </c>
      <c r="C80" s="1"/>
      <c r="D80" s="1"/>
      <c r="E80" s="1"/>
    </row>
    <row r="81" spans="1:5" x14ac:dyDescent="0.25">
      <c r="A81" s="1"/>
      <c r="B81" s="1" t="s">
        <v>86</v>
      </c>
      <c r="C81" s="1"/>
      <c r="D81" s="1"/>
      <c r="E81" s="1"/>
    </row>
    <row r="82" spans="1:5" x14ac:dyDescent="0.25">
      <c r="A82" s="1"/>
      <c r="B82" s="1" t="s">
        <v>87</v>
      </c>
      <c r="C82" s="1"/>
      <c r="D82" s="1"/>
      <c r="E82" s="1"/>
    </row>
    <row r="83" spans="1:5" x14ac:dyDescent="0.25">
      <c r="A83" s="1"/>
      <c r="B83" s="1" t="s">
        <v>88</v>
      </c>
      <c r="C83" s="1"/>
      <c r="D83" s="1"/>
      <c r="E83" s="1"/>
    </row>
    <row r="84" spans="1:5" x14ac:dyDescent="0.25">
      <c r="A84" s="1"/>
      <c r="B84" s="1" t="s">
        <v>89</v>
      </c>
      <c r="C84" s="1"/>
      <c r="D84" s="1"/>
      <c r="E84" s="1"/>
    </row>
    <row r="85" spans="1:5" x14ac:dyDescent="0.25">
      <c r="A85" s="1"/>
      <c r="B85" s="1" t="s">
        <v>90</v>
      </c>
      <c r="C85" s="1"/>
      <c r="D85" s="1"/>
      <c r="E85" s="1"/>
    </row>
    <row r="86" spans="1:5" x14ac:dyDescent="0.25">
      <c r="A86" s="1" t="s">
        <v>83</v>
      </c>
      <c r="B86" s="1" t="s">
        <v>91</v>
      </c>
      <c r="C86" s="1"/>
      <c r="D86" s="1"/>
      <c r="E86" s="1"/>
    </row>
    <row r="87" spans="1:5" x14ac:dyDescent="0.25">
      <c r="A87" s="1"/>
      <c r="B87" s="1" t="s">
        <v>92</v>
      </c>
      <c r="C87" s="9">
        <f>C22</f>
        <v>2595.1799999999998</v>
      </c>
      <c r="D87" s="1"/>
      <c r="E87" s="1"/>
    </row>
    <row r="88" spans="1:5" x14ac:dyDescent="0.25">
      <c r="A88" s="1"/>
      <c r="B88" s="1" t="s">
        <v>93</v>
      </c>
      <c r="C88" s="8"/>
      <c r="D88" s="1"/>
      <c r="E88" s="1"/>
    </row>
    <row r="89" spans="1:5" x14ac:dyDescent="0.25">
      <c r="A89" s="1"/>
      <c r="B89" s="1" t="s">
        <v>30</v>
      </c>
      <c r="C89" s="8"/>
      <c r="D89" s="1"/>
      <c r="E89" s="1"/>
    </row>
    <row r="90" spans="1:5" x14ac:dyDescent="0.25">
      <c r="A90" s="1"/>
      <c r="B90" s="1" t="s">
        <v>94</v>
      </c>
      <c r="C90" s="9">
        <f>C22</f>
        <v>2595.1799999999998</v>
      </c>
      <c r="D90" s="1"/>
      <c r="E90" s="1"/>
    </row>
    <row r="91" spans="1:5" x14ac:dyDescent="0.25">
      <c r="A91" s="1"/>
      <c r="B91" s="1"/>
      <c r="C91" s="8"/>
      <c r="D91" s="1"/>
      <c r="E91" s="1"/>
    </row>
    <row r="92" spans="1:5" x14ac:dyDescent="0.25">
      <c r="A92" s="1"/>
      <c r="B92" s="1" t="s">
        <v>95</v>
      </c>
      <c r="C92" s="8"/>
      <c r="D92" s="1"/>
      <c r="E92" s="1"/>
    </row>
    <row r="93" spans="1:5" x14ac:dyDescent="0.25">
      <c r="A93" s="1"/>
      <c r="B93" s="1" t="s">
        <v>96</v>
      </c>
      <c r="C93" s="8"/>
      <c r="D93" s="1"/>
      <c r="E93" s="1"/>
    </row>
    <row r="94" spans="1:5" x14ac:dyDescent="0.25">
      <c r="A94" s="1"/>
      <c r="B94" s="1" t="s">
        <v>97</v>
      </c>
      <c r="C94" s="8"/>
      <c r="D94" s="1"/>
      <c r="E94" s="1"/>
    </row>
    <row r="95" spans="1:5" x14ac:dyDescent="0.25">
      <c r="A95" s="1"/>
      <c r="B95" s="1" t="s">
        <v>98</v>
      </c>
      <c r="C95" s="8"/>
      <c r="D95" s="1"/>
      <c r="E95" s="1"/>
    </row>
    <row r="96" spans="1:5" x14ac:dyDescent="0.25">
      <c r="A96" s="1"/>
      <c r="B96" s="1"/>
      <c r="C96" s="8"/>
      <c r="D96" s="1"/>
      <c r="E96" s="1"/>
    </row>
    <row r="97" spans="1:5" x14ac:dyDescent="0.25">
      <c r="A97" s="1"/>
      <c r="B97" s="1" t="s">
        <v>99</v>
      </c>
      <c r="C97" s="8">
        <f>C90/12</f>
        <v>216.26499999999999</v>
      </c>
      <c r="D97" s="1"/>
      <c r="E97" s="1"/>
    </row>
    <row r="98" spans="1:5" x14ac:dyDescent="0.25">
      <c r="A98" s="1"/>
      <c r="B98" s="1" t="s">
        <v>100</v>
      </c>
      <c r="C98" s="9">
        <f>(C22/3)/12</f>
        <v>72.088333333333324</v>
      </c>
      <c r="D98" s="1"/>
      <c r="E98" s="1"/>
    </row>
    <row r="99" spans="1:5" x14ac:dyDescent="0.25">
      <c r="A99" s="1"/>
      <c r="B99" s="1"/>
      <c r="C99" s="8"/>
      <c r="D99" s="1"/>
      <c r="E99" s="1"/>
    </row>
    <row r="100" spans="1:5" x14ac:dyDescent="0.25">
      <c r="A100" s="1"/>
      <c r="B100" s="1" t="s">
        <v>101</v>
      </c>
      <c r="C100" s="8"/>
      <c r="D100" s="1"/>
      <c r="E100" s="1"/>
    </row>
    <row r="101" spans="1:5" x14ac:dyDescent="0.25">
      <c r="A101" s="1"/>
      <c r="B101" s="1" t="s">
        <v>102</v>
      </c>
      <c r="C101" s="9">
        <f>(1581.667*11.72%)+1581.667</f>
        <v>1767.0383723999998</v>
      </c>
      <c r="D101" s="1"/>
      <c r="E101" s="1"/>
    </row>
    <row r="102" spans="1:5" x14ac:dyDescent="0.25">
      <c r="A102" s="1"/>
      <c r="B102" s="1" t="s">
        <v>103</v>
      </c>
      <c r="C102" s="9">
        <f>C101*8%</f>
        <v>141.363069792</v>
      </c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 t="s">
        <v>104</v>
      </c>
      <c r="C104" s="1"/>
      <c r="D104" s="1"/>
      <c r="E104" s="1"/>
    </row>
    <row r="105" spans="1:5" x14ac:dyDescent="0.25">
      <c r="A105" s="1"/>
      <c r="B105" s="1" t="s">
        <v>102</v>
      </c>
      <c r="C105" s="1">
        <v>1377.78</v>
      </c>
      <c r="D105" s="1"/>
      <c r="E105" s="1"/>
    </row>
    <row r="106" spans="1:5" x14ac:dyDescent="0.25">
      <c r="A106" s="1"/>
      <c r="B106" s="1" t="s">
        <v>103</v>
      </c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 t="s">
        <v>83</v>
      </c>
      <c r="B108" s="1" t="s">
        <v>105</v>
      </c>
      <c r="C108" s="1"/>
      <c r="D108" s="1"/>
      <c r="E108" s="1"/>
    </row>
    <row r="109" spans="1:5" x14ac:dyDescent="0.25">
      <c r="A109" s="1"/>
      <c r="B109" s="1" t="s">
        <v>106</v>
      </c>
      <c r="C109" s="1"/>
      <c r="D109" s="1"/>
      <c r="E109" s="1"/>
    </row>
    <row r="110" spans="1:5" x14ac:dyDescent="0.25">
      <c r="A110" s="1"/>
      <c r="B110" s="1" t="s">
        <v>107</v>
      </c>
      <c r="C110" s="1"/>
      <c r="D110" s="1"/>
      <c r="E110" s="1"/>
    </row>
    <row r="111" spans="1:5" x14ac:dyDescent="0.25">
      <c r="A111" s="1"/>
      <c r="B111" s="1" t="s">
        <v>108</v>
      </c>
      <c r="C111" s="1"/>
      <c r="D111" s="1"/>
      <c r="E111" s="1"/>
    </row>
    <row r="112" spans="1:5" x14ac:dyDescent="0.25">
      <c r="A112" s="1"/>
      <c r="B112" s="1" t="s">
        <v>109</v>
      </c>
      <c r="C112" s="1"/>
      <c r="D112" s="1"/>
      <c r="E112" s="1"/>
    </row>
    <row r="113" spans="1:5" x14ac:dyDescent="0.25">
      <c r="A113" s="1"/>
      <c r="B113" s="1" t="s">
        <v>110</v>
      </c>
      <c r="C113" s="1"/>
      <c r="D113" s="1"/>
      <c r="E113" s="1"/>
    </row>
    <row r="114" spans="1:5" x14ac:dyDescent="0.25">
      <c r="A114" s="1"/>
      <c r="B114" s="1" t="s">
        <v>111</v>
      </c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 t="s">
        <v>112</v>
      </c>
      <c r="C116" s="1"/>
      <c r="D116" s="1"/>
      <c r="E116" s="1"/>
    </row>
    <row r="117" spans="1:5" x14ac:dyDescent="0.25">
      <c r="A117" s="1"/>
      <c r="B117" s="1" t="s">
        <v>113</v>
      </c>
      <c r="C117" s="1"/>
      <c r="D117" s="1"/>
      <c r="E117" s="1"/>
    </row>
    <row r="118" spans="1:5" x14ac:dyDescent="0.25">
      <c r="A118" s="1"/>
      <c r="B118" s="1" t="s">
        <v>114</v>
      </c>
      <c r="C118" s="8">
        <f>(142.35*11.72%)+142.35</f>
        <v>159.03342000000001</v>
      </c>
      <c r="D118" s="8"/>
      <c r="E118" s="8"/>
    </row>
    <row r="119" spans="1:5" x14ac:dyDescent="0.25">
      <c r="A119" s="1"/>
      <c r="B119" s="1"/>
      <c r="C119" s="8"/>
      <c r="D119" s="8"/>
      <c r="E119" s="8"/>
    </row>
    <row r="120" spans="1:5" x14ac:dyDescent="0.25">
      <c r="A120" s="1"/>
      <c r="B120" s="1" t="s">
        <v>115</v>
      </c>
      <c r="C120" s="10">
        <f>C90+C97+C98+C102+C118</f>
        <v>3183.9298231253329</v>
      </c>
      <c r="D120" s="8"/>
      <c r="E120" s="8"/>
    </row>
    <row r="121" spans="1:5" x14ac:dyDescent="0.25">
      <c r="A121" s="1"/>
      <c r="B121" s="1"/>
      <c r="C121" s="8"/>
      <c r="D121" s="8"/>
      <c r="E121" s="8"/>
    </row>
    <row r="122" spans="1:5" x14ac:dyDescent="0.25">
      <c r="A122" s="1" t="s">
        <v>116</v>
      </c>
      <c r="B122" s="1" t="s">
        <v>117</v>
      </c>
      <c r="C122" s="11">
        <v>0.06</v>
      </c>
      <c r="D122" s="8"/>
      <c r="E122" s="8"/>
    </row>
    <row r="123" spans="1:5" x14ac:dyDescent="0.25">
      <c r="A123" s="1"/>
      <c r="B123" s="1"/>
      <c r="C123" s="8"/>
      <c r="D123" s="8"/>
      <c r="E123" s="8"/>
    </row>
    <row r="124" spans="1:5" x14ac:dyDescent="0.25">
      <c r="A124" s="1">
        <v>4</v>
      </c>
      <c r="B124" s="1" t="s">
        <v>118</v>
      </c>
      <c r="C124" s="8"/>
      <c r="D124" s="8"/>
      <c r="E124" s="8"/>
    </row>
    <row r="125" spans="1:5" x14ac:dyDescent="0.25">
      <c r="A125" s="1"/>
      <c r="B125" s="1" t="s">
        <v>119</v>
      </c>
      <c r="C125" s="12">
        <f>C11</f>
        <v>29900</v>
      </c>
      <c r="D125" s="8"/>
      <c r="E125" s="8"/>
    </row>
    <row r="126" spans="1:5" x14ac:dyDescent="0.25">
      <c r="A126" s="1"/>
      <c r="B126" s="1" t="s">
        <v>120</v>
      </c>
      <c r="C126" s="13">
        <v>0.25</v>
      </c>
      <c r="D126" s="8"/>
      <c r="E126" s="8"/>
    </row>
    <row r="127" spans="1:5" x14ac:dyDescent="0.25">
      <c r="A127" s="1"/>
      <c r="B127" s="1" t="s">
        <v>121</v>
      </c>
      <c r="C127" s="9">
        <f>(C125*C126)*11.72%+(C125*C126)</f>
        <v>8351.07</v>
      </c>
      <c r="D127" s="8"/>
      <c r="E127" s="8"/>
    </row>
    <row r="128" spans="1:5" x14ac:dyDescent="0.25">
      <c r="A128" s="1"/>
      <c r="B128" s="1"/>
      <c r="C128" s="8"/>
      <c r="D128" s="8"/>
      <c r="E128" s="8"/>
    </row>
    <row r="129" spans="1:5" x14ac:dyDescent="0.25">
      <c r="A129" s="1"/>
      <c r="B129" s="1"/>
      <c r="C129" s="8" t="s">
        <v>122</v>
      </c>
      <c r="D129" s="8" t="s">
        <v>123</v>
      </c>
      <c r="E129" s="8" t="s">
        <v>124</v>
      </c>
    </row>
    <row r="130" spans="1:5" x14ac:dyDescent="0.25">
      <c r="A130" s="1"/>
      <c r="B130" s="1" t="s">
        <v>125</v>
      </c>
      <c r="C130" s="8"/>
      <c r="D130" s="8"/>
      <c r="E130" s="8"/>
    </row>
    <row r="131" spans="1:5" x14ac:dyDescent="0.25">
      <c r="A131" s="1"/>
      <c r="B131" s="1" t="s">
        <v>126</v>
      </c>
      <c r="C131" s="8">
        <f>C56+C57+C58</f>
        <v>111.13905599999998</v>
      </c>
      <c r="D131" s="8"/>
      <c r="E131" s="9">
        <f>(C131*100)/C142</f>
        <v>9.1185169350989762E-2</v>
      </c>
    </row>
    <row r="132" spans="1:5" x14ac:dyDescent="0.25">
      <c r="A132" s="1"/>
      <c r="B132" s="1" t="s">
        <v>127</v>
      </c>
      <c r="C132" s="9">
        <f>D61</f>
        <v>536.25599999999997</v>
      </c>
      <c r="D132" s="8"/>
      <c r="E132" s="9">
        <f>(C132*100)/C142</f>
        <v>0.43997669168149467</v>
      </c>
    </row>
    <row r="133" spans="1:5" x14ac:dyDescent="0.25">
      <c r="A133" s="1"/>
      <c r="B133" s="1" t="s">
        <v>128</v>
      </c>
      <c r="C133" s="9">
        <f>C72</f>
        <v>951.85440000000006</v>
      </c>
      <c r="D133" s="8"/>
      <c r="E133" s="9">
        <f>(C133*100)/C142</f>
        <v>0.78095862773465308</v>
      </c>
    </row>
    <row r="134" spans="1:5" x14ac:dyDescent="0.25">
      <c r="A134" s="1"/>
      <c r="B134" s="1" t="s">
        <v>78</v>
      </c>
      <c r="C134" s="9">
        <f>C74</f>
        <v>2759.4839999999999</v>
      </c>
      <c r="D134" s="8"/>
      <c r="E134" s="9">
        <f>(C134*100)/C142</f>
        <v>2.264046725944358</v>
      </c>
    </row>
    <row r="135" spans="1:5" x14ac:dyDescent="0.25">
      <c r="A135" s="1"/>
      <c r="B135" s="1" t="s">
        <v>129</v>
      </c>
      <c r="C135" s="8"/>
      <c r="D135" s="8"/>
      <c r="E135" s="8">
        <f>(C135*100)/C142</f>
        <v>0</v>
      </c>
    </row>
    <row r="136" spans="1:5" x14ac:dyDescent="0.25">
      <c r="A136" s="1"/>
      <c r="B136" s="1" t="s">
        <v>82</v>
      </c>
      <c r="C136" s="9">
        <f>C120*12</f>
        <v>38207.157877503996</v>
      </c>
      <c r="D136" s="9">
        <f>C120</f>
        <v>3183.9298231253329</v>
      </c>
      <c r="E136" s="9">
        <f>(C136*100)/C142</f>
        <v>31.347451443893899</v>
      </c>
    </row>
    <row r="137" spans="1:5" x14ac:dyDescent="0.25">
      <c r="A137" s="1"/>
      <c r="B137" s="1" t="s">
        <v>130</v>
      </c>
      <c r="C137" s="9">
        <f>C67</f>
        <v>41510.294117647056</v>
      </c>
      <c r="D137" s="8"/>
      <c r="E137" s="9">
        <f>(C137*100)/C142</f>
        <v>34.057543182002924</v>
      </c>
    </row>
    <row r="138" spans="1:5" x14ac:dyDescent="0.25">
      <c r="A138" s="1"/>
      <c r="B138" s="1" t="s">
        <v>71</v>
      </c>
      <c r="C138" s="9">
        <f>C70</f>
        <v>24906.176470588234</v>
      </c>
      <c r="D138" s="8"/>
      <c r="E138" s="9">
        <f>(C138*100)/C142</f>
        <v>20.434525909201756</v>
      </c>
    </row>
    <row r="139" spans="1:5" x14ac:dyDescent="0.25">
      <c r="A139" s="1"/>
      <c r="B139" s="1" t="s">
        <v>131</v>
      </c>
      <c r="C139" s="9">
        <f>C127</f>
        <v>8351.07</v>
      </c>
      <c r="D139" s="8"/>
      <c r="E139" s="9">
        <f>(C139*100)/C142</f>
        <v>6.8517203548316097</v>
      </c>
    </row>
    <row r="140" spans="1:5" x14ac:dyDescent="0.25">
      <c r="A140" s="1"/>
      <c r="B140" s="1" t="s">
        <v>111</v>
      </c>
      <c r="C140" s="9">
        <f>C131+C132+C133+C134+C135+C136+C137+C138+C139</f>
        <v>117333.43192173928</v>
      </c>
      <c r="D140" s="8"/>
      <c r="E140" s="8"/>
    </row>
    <row r="141" spans="1:5" x14ac:dyDescent="0.25">
      <c r="A141" s="1"/>
      <c r="B141" s="1"/>
      <c r="C141" s="8"/>
      <c r="D141" s="8"/>
      <c r="E141" s="8"/>
    </row>
    <row r="142" spans="1:5" x14ac:dyDescent="0.25">
      <c r="A142" s="1"/>
      <c r="B142" s="1" t="s">
        <v>132</v>
      </c>
      <c r="C142" s="9">
        <f>C140+C143</f>
        <v>121882.82018998481</v>
      </c>
      <c r="D142" s="8"/>
      <c r="E142" s="11">
        <v>1</v>
      </c>
    </row>
    <row r="143" spans="1:5" x14ac:dyDescent="0.25">
      <c r="A143" s="1"/>
      <c r="B143" s="1" t="s">
        <v>133</v>
      </c>
      <c r="C143" s="9">
        <f>(C140-C137)*E143</f>
        <v>4549.3882682455333</v>
      </c>
      <c r="D143" s="8"/>
      <c r="E143" s="11">
        <v>0.06</v>
      </c>
    </row>
    <row r="144" spans="1:5" x14ac:dyDescent="0.25">
      <c r="A144" s="1"/>
      <c r="B144" s="1"/>
      <c r="C144" s="8"/>
      <c r="D144" s="8"/>
      <c r="E144" s="8"/>
    </row>
    <row r="145" spans="1:5" x14ac:dyDescent="0.25">
      <c r="A145" s="1"/>
      <c r="B145" s="1" t="s">
        <v>134</v>
      </c>
      <c r="C145" s="9">
        <f>C142</f>
        <v>121882.82018998481</v>
      </c>
      <c r="D145" s="8"/>
      <c r="E145" s="8"/>
    </row>
    <row r="146" spans="1:5" x14ac:dyDescent="0.25">
      <c r="A146" s="1"/>
      <c r="B146" s="1" t="s">
        <v>135</v>
      </c>
      <c r="C146" s="9">
        <f>C142/200</f>
        <v>609.41410094992398</v>
      </c>
      <c r="D146" s="8"/>
      <c r="E146" s="8"/>
    </row>
    <row r="147" spans="1:5" x14ac:dyDescent="0.25">
      <c r="A147" s="1"/>
      <c r="B147" s="1" t="s">
        <v>136</v>
      </c>
      <c r="C147" s="9">
        <f>C146/E38</f>
        <v>6.2826195974218964</v>
      </c>
      <c r="D147" s="8"/>
      <c r="E147" s="8"/>
    </row>
    <row r="148" spans="1:5" x14ac:dyDescent="0.25">
      <c r="A148" s="1"/>
      <c r="B148" s="1" t="s">
        <v>137</v>
      </c>
      <c r="C148" s="9">
        <f>C146/C38</f>
        <v>6.2826195974218964</v>
      </c>
      <c r="D148" s="8"/>
      <c r="E148" s="8"/>
    </row>
    <row r="149" spans="1:5" x14ac:dyDescent="0.25">
      <c r="A149" s="7"/>
      <c r="B149" s="7" t="s">
        <v>139</v>
      </c>
      <c r="C149" s="7"/>
      <c r="D149" s="7"/>
      <c r="E149" s="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Lauro</cp:lastModifiedBy>
  <dcterms:created xsi:type="dcterms:W3CDTF">2023-04-11T12:05:14Z</dcterms:created>
  <dcterms:modified xsi:type="dcterms:W3CDTF">2023-04-28T13:12:26Z</dcterms:modified>
</cp:coreProperties>
</file>