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AA-GESTÃO\AA - GESTÃO\ADMINISTRAÇÃO\A - Leis\Leis 2026\"/>
    </mc:Choice>
  </mc:AlternateContent>
  <xr:revisionPtr revIDLastSave="0" documentId="13_ncr:1_{54BB053B-0EB0-49A2-9022-560BB904723F}" xr6:coauthVersionLast="47" xr6:coauthVersionMax="47" xr10:uidLastSave="{00000000-0000-0000-0000-000000000000}"/>
  <bookViews>
    <workbookView xWindow="-108" yWindow="-108" windowWidth="23256" windowHeight="12456" firstSheet="2" activeTab="4" xr2:uid="{AD497150-2677-4C3E-A29F-C2D37EA348C8}"/>
  </bookViews>
  <sheets>
    <sheet name="CARGOS EFETIVOS" sheetId="1" r:id="rId1"/>
    <sheet name="CCs e FGSs" sheetId="2" r:id="rId2"/>
    <sheet name="GRATIFICAÇÃO CONTROLE INTERNO" sheetId="3" r:id="rId3"/>
    <sheet name="CONS.TUT-RPPS E CONTADOR CÂMARA" sheetId="4" r:id="rId4"/>
    <sheet name="MAGISTÉRIO" sheetId="5" r:id="rId5"/>
  </sheets>
  <definedNames>
    <definedName name="_xlnm.Print_Area" localSheetId="0">'CARGOS EFETIVOS'!$A$1:$G$50</definedName>
    <definedName name="_xlnm.Print_Area" localSheetId="1">'CCs e FGSs'!$A$1:$E$71</definedName>
    <definedName name="_xlnm.Print_Area" localSheetId="4">MAGISTÉRIO!$A$1:$F$63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5" l="1"/>
  <c r="C7" i="5" s="1"/>
  <c r="D71" i="2"/>
  <c r="D70" i="2"/>
  <c r="D24" i="5"/>
  <c r="D23" i="5"/>
  <c r="C15" i="4"/>
  <c r="C10" i="4"/>
  <c r="C9" i="3"/>
  <c r="C8" i="3"/>
  <c r="C7" i="3"/>
  <c r="E71" i="2"/>
  <c r="E70" i="2"/>
  <c r="E64" i="2"/>
  <c r="E65" i="2"/>
  <c r="E63" i="2"/>
  <c r="E62" i="2"/>
  <c r="E61" i="2"/>
  <c r="D65" i="2"/>
  <c r="D64" i="2"/>
  <c r="D63" i="2"/>
  <c r="D62" i="2"/>
  <c r="D61" i="2"/>
  <c r="E56" i="2"/>
  <c r="E55" i="2"/>
  <c r="E54" i="2"/>
  <c r="E53" i="2"/>
  <c r="D56" i="2"/>
  <c r="D55" i="2"/>
  <c r="D54" i="2"/>
  <c r="D53" i="2"/>
  <c r="E46" i="2"/>
  <c r="E45" i="2"/>
  <c r="E44" i="2"/>
  <c r="D46" i="2"/>
  <c r="D45" i="2"/>
  <c r="D44" i="2"/>
  <c r="E39" i="2"/>
  <c r="E38" i="2"/>
  <c r="E37" i="2"/>
  <c r="E36" i="2"/>
  <c r="E35" i="2"/>
  <c r="E34" i="2"/>
  <c r="D39" i="2"/>
  <c r="D38" i="2"/>
  <c r="D37" i="2"/>
  <c r="D36" i="2"/>
  <c r="D35" i="2"/>
  <c r="D34" i="2"/>
  <c r="E30" i="2"/>
  <c r="E29" i="2"/>
  <c r="E28" i="2"/>
  <c r="E27" i="2"/>
  <c r="D30" i="2"/>
  <c r="D29" i="2"/>
  <c r="D28" i="2"/>
  <c r="D27" i="2"/>
  <c r="E21" i="2"/>
  <c r="E20" i="2"/>
  <c r="E19" i="2"/>
  <c r="E18" i="2"/>
  <c r="E17" i="2"/>
  <c r="D21" i="2"/>
  <c r="D20" i="2"/>
  <c r="D19" i="2"/>
  <c r="D18" i="2"/>
  <c r="D17" i="2"/>
  <c r="E12" i="2"/>
  <c r="E11" i="2"/>
  <c r="E10" i="2"/>
  <c r="E9" i="2"/>
  <c r="E8" i="2"/>
  <c r="D12" i="2"/>
  <c r="D11" i="2"/>
  <c r="D10" i="2"/>
  <c r="D9" i="2"/>
  <c r="D8" i="2"/>
  <c r="C9" i="1"/>
  <c r="G46" i="1"/>
  <c r="G47" i="1"/>
  <c r="G45" i="1"/>
  <c r="G44" i="1"/>
  <c r="G43" i="1"/>
  <c r="G42" i="1"/>
  <c r="G41" i="1"/>
  <c r="F47" i="1"/>
  <c r="F46" i="1"/>
  <c r="F45" i="1"/>
  <c r="F44" i="1"/>
  <c r="F43" i="1"/>
  <c r="F42" i="1"/>
  <c r="F41" i="1"/>
  <c r="E47" i="1"/>
  <c r="E46" i="1"/>
  <c r="E45" i="1"/>
  <c r="E44" i="1"/>
  <c r="E43" i="1"/>
  <c r="E42" i="1"/>
  <c r="E41" i="1"/>
  <c r="D47" i="1"/>
  <c r="D46" i="1"/>
  <c r="D45" i="1"/>
  <c r="D44" i="1"/>
  <c r="D43" i="1"/>
  <c r="D42" i="1"/>
  <c r="D41" i="1"/>
  <c r="C47" i="1"/>
  <c r="C46" i="1"/>
  <c r="C45" i="1"/>
  <c r="C44" i="1"/>
  <c r="C43" i="1"/>
  <c r="C42" i="1"/>
  <c r="C41" i="1"/>
  <c r="G35" i="1"/>
  <c r="G34" i="1"/>
  <c r="G33" i="1"/>
  <c r="G32" i="1"/>
  <c r="G31" i="1"/>
  <c r="G30" i="1"/>
  <c r="G29" i="1"/>
  <c r="G28" i="1"/>
  <c r="G27" i="1"/>
  <c r="F35" i="1"/>
  <c r="F34" i="1"/>
  <c r="F33" i="1"/>
  <c r="F32" i="1"/>
  <c r="F31" i="1"/>
  <c r="F30" i="1"/>
  <c r="F29" i="1"/>
  <c r="F28" i="1"/>
  <c r="F27" i="1"/>
  <c r="E35" i="1"/>
  <c r="E34" i="1"/>
  <c r="E33" i="1"/>
  <c r="E32" i="1"/>
  <c r="E31" i="1"/>
  <c r="E30" i="1"/>
  <c r="E29" i="1"/>
  <c r="E28" i="1"/>
  <c r="E27" i="1"/>
  <c r="D35" i="1"/>
  <c r="D34" i="1"/>
  <c r="D33" i="1"/>
  <c r="D32" i="1"/>
  <c r="D31" i="1"/>
  <c r="D30" i="1"/>
  <c r="D29" i="1"/>
  <c r="D28" i="1"/>
  <c r="D27" i="1"/>
  <c r="C35" i="1"/>
  <c r="C34" i="1"/>
  <c r="C33" i="1"/>
  <c r="C32" i="1"/>
  <c r="C31" i="1"/>
  <c r="C30" i="1"/>
  <c r="C29" i="1"/>
  <c r="C28" i="1"/>
  <c r="C27" i="1"/>
  <c r="G20" i="1"/>
  <c r="G19" i="1"/>
  <c r="G18" i="1"/>
  <c r="G17" i="1"/>
  <c r="F20" i="1"/>
  <c r="F19" i="1"/>
  <c r="F18" i="1"/>
  <c r="F17" i="1"/>
  <c r="E20" i="1"/>
  <c r="E19" i="1"/>
  <c r="E18" i="1"/>
  <c r="E17" i="1"/>
  <c r="D20" i="1"/>
  <c r="D19" i="1"/>
  <c r="D18" i="1"/>
  <c r="D17" i="1"/>
  <c r="C20" i="1"/>
  <c r="C19" i="1"/>
  <c r="C18" i="1"/>
  <c r="C17" i="1"/>
  <c r="G11" i="1"/>
  <c r="F11" i="1"/>
  <c r="E11" i="1"/>
  <c r="C11" i="1"/>
  <c r="G10" i="1"/>
  <c r="G9" i="1"/>
  <c r="F10" i="1"/>
  <c r="F9" i="1"/>
  <c r="E10" i="1"/>
  <c r="E9" i="1"/>
  <c r="D11" i="1"/>
  <c r="D10" i="1"/>
  <c r="D9" i="1"/>
  <c r="C10" i="1"/>
  <c r="B59" i="5" l="1"/>
  <c r="C50" i="5"/>
  <c r="E52" i="5"/>
  <c r="B60" i="5"/>
  <c r="D50" i="5"/>
  <c r="F52" i="5"/>
  <c r="B61" i="5"/>
  <c r="E50" i="5"/>
  <c r="B53" i="5"/>
  <c r="B52" i="5"/>
  <c r="F49" i="5"/>
  <c r="D52" i="5"/>
  <c r="B62" i="5"/>
  <c r="F50" i="5"/>
  <c r="C53" i="5"/>
  <c r="B63" i="5"/>
  <c r="B51" i="5"/>
  <c r="D53" i="5"/>
  <c r="B58" i="5"/>
  <c r="C51" i="5"/>
  <c r="E53" i="5"/>
  <c r="B49" i="5"/>
  <c r="D51" i="5"/>
  <c r="F53" i="5"/>
  <c r="C49" i="5"/>
  <c r="E51" i="5"/>
  <c r="C48" i="5"/>
  <c r="D49" i="5"/>
  <c r="F51" i="5"/>
  <c r="D48" i="5"/>
  <c r="E49" i="5"/>
  <c r="E48" i="5"/>
  <c r="C52" i="5"/>
  <c r="F48" i="5"/>
  <c r="B50" i="5"/>
  <c r="B48" i="5"/>
</calcChain>
</file>

<file path=xl/sharedStrings.xml><?xml version="1.0" encoding="utf-8"?>
<sst xmlns="http://schemas.openxmlformats.org/spreadsheetml/2006/main" count="299" uniqueCount="120">
  <si>
    <t>REPOSIÇÃO</t>
  </si>
  <si>
    <t>Nível</t>
  </si>
  <si>
    <t>Faixa de</t>
  </si>
  <si>
    <t>Classes</t>
  </si>
  <si>
    <t>Vencimento</t>
  </si>
  <si>
    <t>A</t>
  </si>
  <si>
    <t>B</t>
  </si>
  <si>
    <t>C</t>
  </si>
  <si>
    <t>D</t>
  </si>
  <si>
    <t>E</t>
  </si>
  <si>
    <t>NB</t>
  </si>
  <si>
    <t>I</t>
  </si>
  <si>
    <t>II</t>
  </si>
  <si>
    <t>III</t>
  </si>
  <si>
    <t>NM</t>
  </si>
  <si>
    <t>IV</t>
  </si>
  <si>
    <t xml:space="preserve">Vencimento Nível Básico                        </t>
  </si>
  <si>
    <t xml:space="preserve">                </t>
  </si>
  <si>
    <t xml:space="preserve"> </t>
  </si>
  <si>
    <t xml:space="preserve">                                   Vencimento Nível Médio</t>
  </si>
  <si>
    <t>Vencimento Nível Superior</t>
  </si>
  <si>
    <t>NS</t>
  </si>
  <si>
    <t>I.I</t>
  </si>
  <si>
    <t>I.II</t>
  </si>
  <si>
    <t>V</t>
  </si>
  <si>
    <t>Vencimento Cargos em Extinção</t>
  </si>
  <si>
    <t>EE</t>
  </si>
  <si>
    <t>III.I</t>
  </si>
  <si>
    <t>VI</t>
  </si>
  <si>
    <t xml:space="preserve">   CARGOS EFETIVOS</t>
  </si>
  <si>
    <t xml:space="preserve">Cargo </t>
  </si>
  <si>
    <t>Provimento</t>
  </si>
  <si>
    <t>Nº de cargos</t>
  </si>
  <si>
    <t>Vencimento CC</t>
  </si>
  <si>
    <t>Vencimento FG</t>
  </si>
  <si>
    <t>Assessor Jurídico</t>
  </si>
  <si>
    <t>CC/FG</t>
  </si>
  <si>
    <t>Assessor de Gabinete</t>
  </si>
  <si>
    <t>Chefe de Gabinete do Prefeito</t>
  </si>
  <si>
    <t>Diretor de Comunicação e Transparência</t>
  </si>
  <si>
    <t>Coordenador de Micro Região</t>
  </si>
  <si>
    <t xml:space="preserve">                    </t>
  </si>
  <si>
    <t>CARGOS CCs e FG s</t>
  </si>
  <si>
    <t>Assessor de Secretaria</t>
  </si>
  <si>
    <t>Diretor do Departamento Administrativo</t>
  </si>
  <si>
    <t>Dir. do Dep. De Planejamento e Projetos</t>
  </si>
  <si>
    <t>Coordenador de Recursos Humanos</t>
  </si>
  <si>
    <t>Coord. do Set de Compras e Licitações</t>
  </si>
  <si>
    <t>Cargo</t>
  </si>
  <si>
    <t>Coordenador do Depar.Financeiro</t>
  </si>
  <si>
    <t>Chefe do Setor de Arrec. Cad. e Fiscal.</t>
  </si>
  <si>
    <t>Chefe da Seção de Iluminação Pública.</t>
  </si>
  <si>
    <t>Chefe da Seção de Rede d´água.</t>
  </si>
  <si>
    <t>Chefe da Seção de Limpeza e Serviços Urbanos</t>
  </si>
  <si>
    <t>Chefe de Seção da Patrulha Agrícola</t>
  </si>
  <si>
    <t>Chefe do Setor de Transporte da Saúde</t>
  </si>
  <si>
    <t>Coordenador de Unidade Básica de Saúde (UBS)</t>
  </si>
  <si>
    <t>Coordenador do Departamento de Esportes</t>
  </si>
  <si>
    <t>Coordenador do Departamento da Cultura</t>
  </si>
  <si>
    <t>Chefe do Setor de Transporte Escolar</t>
  </si>
  <si>
    <t xml:space="preserve">                                                                                 Secretaria Municipal da Educação, Cultura, Lazer e Desporto</t>
  </si>
  <si>
    <t xml:space="preserve">                                                                                                         Secretaria Municipal da Saúde  </t>
  </si>
  <si>
    <t xml:space="preserve">                                                                                   Secretaria Municipal da Agricultura e Meio Ambiente </t>
  </si>
  <si>
    <t xml:space="preserve">                                                                                Secretaria Municipal de Desenvolvimento Social e da Pessoa Idosa</t>
  </si>
  <si>
    <t>TABELA GRATIFICAÇÃO E JETON DO SISTEMA DE CONTROLE INTERNO</t>
  </si>
  <si>
    <t>FUNÇÃO</t>
  </si>
  <si>
    <t>N.º CARGOS</t>
  </si>
  <si>
    <t>VALOR R$</t>
  </si>
  <si>
    <t>DESCRIÇÃO</t>
  </si>
  <si>
    <t xml:space="preserve">Central </t>
  </si>
  <si>
    <t>Gratificação</t>
  </si>
  <si>
    <t>Setoriais</t>
  </si>
  <si>
    <t>Jeton por uma reunião Mensal</t>
  </si>
  <si>
    <t>Valor Máximo (duas ou mais reuniões)</t>
  </si>
  <si>
    <t xml:space="preserve">GRATIFICAÇÃO CONSELHO TUTELAR </t>
  </si>
  <si>
    <t xml:space="preserve">Conselheiro </t>
  </si>
  <si>
    <t xml:space="preserve">Valor R$ </t>
  </si>
  <si>
    <t>GRATIFICAÇÃO RPPS LEI 1456/2013</t>
  </si>
  <si>
    <t xml:space="preserve">Servidor </t>
  </si>
  <si>
    <t>GRATIFICAÇÃO - LEI 1527/2014</t>
  </si>
  <si>
    <t>MAGISTÉRIO</t>
  </si>
  <si>
    <t>Tabela de Índice de vencimento do Magistério conforme Lei 1536/2015</t>
  </si>
  <si>
    <t>CLASSES</t>
  </si>
  <si>
    <t>NÍVEIS</t>
  </si>
  <si>
    <t>F</t>
  </si>
  <si>
    <t>Quadro do Magistério – FG’s</t>
  </si>
  <si>
    <t>Quantidade</t>
  </si>
  <si>
    <t>Denominação</t>
  </si>
  <si>
    <t>PROVIMENTO</t>
  </si>
  <si>
    <t>Orientador Educacional</t>
  </si>
  <si>
    <t xml:space="preserve">    FG</t>
  </si>
  <si>
    <t xml:space="preserve">Supervisor Educacional </t>
  </si>
  <si>
    <t>Referência</t>
  </si>
  <si>
    <t>Diretor de Escola com até 99 alunos matriculados</t>
  </si>
  <si>
    <t>Diretor de Escola de 100 até 199 alunos matriculados</t>
  </si>
  <si>
    <t>Diretor de Escola com mais de 199 alunos matriculados</t>
  </si>
  <si>
    <t xml:space="preserve">Função de Direção de Escola </t>
  </si>
  <si>
    <t>Tabela de Índices do Nível Especial em Extinção conforme Lei 1404/2012</t>
  </si>
  <si>
    <t>CLASSE</t>
  </si>
  <si>
    <t>Nível Especial</t>
  </si>
  <si>
    <t>Tabela de Índice de vencimento do Magistério conforme Lei 1336/2015</t>
  </si>
  <si>
    <t>II.I</t>
  </si>
  <si>
    <t>II.II</t>
  </si>
  <si>
    <t>Vice- Diretor 30% (Trinta por cento), incidente sobre a gratificação do diretor da respectiva escola</t>
  </si>
  <si>
    <t>Coord.de Des. Econômico, Turismo e Inovação</t>
  </si>
  <si>
    <t>Chefe do Setor de Acomp. de Obras e Trânsito</t>
  </si>
  <si>
    <t xml:space="preserve">Chefe do Dep. Adm. da Agric.e Meio Ambiente </t>
  </si>
  <si>
    <t>Coordenador do Dep. Administrativo da Educação</t>
  </si>
  <si>
    <t>Coordenador do Dep. de Des.Social e da P.Idosa</t>
  </si>
  <si>
    <t>Coord. do Núc. de Ap. à Atenção Básica (NAAB)</t>
  </si>
  <si>
    <t xml:space="preserve">Chefe da Seção de Man. de Máq. e Equipamentos </t>
  </si>
  <si>
    <t xml:space="preserve">                                                                                               Gabinete do Prefeito</t>
  </si>
  <si>
    <t xml:space="preserve">                                                                                            Secretaria Geral de Gestão Publica</t>
  </si>
  <si>
    <t xml:space="preserve">                                                                                             Secretaria Municipal da Fazenda</t>
  </si>
  <si>
    <t xml:space="preserve">                                                                                        Secretaria Municipal de Obras e Trânsito</t>
  </si>
  <si>
    <t xml:space="preserve">                                                           TABELA DE VENCIMENTOS LEI MUNICIPAL Nº 1.918/2026</t>
  </si>
  <si>
    <t xml:space="preserve">                                    TABELA DE VENCIMENTOS LEI MUNICIPAL Nº 1.918/2026</t>
  </si>
  <si>
    <t xml:space="preserve">      TABELA DE VENCIMENTOS LEI MUNICIPAL Nº 1.918/2026</t>
  </si>
  <si>
    <t xml:space="preserve">                                            TABELA DE VENCIMENTOS PISO NACIONAL DO MAGISTÉRIO </t>
  </si>
  <si>
    <t>PADRÃO REFERENCIAL DE ACORDO COM A PORTARIA MEC Nº82/2026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</si>
</sst>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0.0000000000%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8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8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0" fillId="0" borderId="1" xfId="0" applyNumberForma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3" fillId="0" borderId="0" xfId="0" applyFont="1"/>
    <xf numFmtId="44" fontId="0" fillId="0" borderId="1" xfId="0" applyNumberFormat="1" applyBorder="1"/>
    <xf numFmtId="8" fontId="4" fillId="0" borderId="1" xfId="0" applyNumberFormat="1" applyFont="1" applyBorder="1"/>
    <xf numFmtId="10" fontId="0" fillId="0" borderId="0" xfId="0" applyNumberFormat="1"/>
    <xf numFmtId="10" fontId="0" fillId="0" borderId="0" xfId="1" applyNumberFormat="1" applyFont="1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8" fontId="5" fillId="0" borderId="0" xfId="0" applyNumberFormat="1" applyFont="1"/>
    <xf numFmtId="10" fontId="0" fillId="0" borderId="0" xfId="1" applyNumberFormat="1" applyFont="1" applyBorder="1"/>
    <xf numFmtId="164" fontId="0" fillId="0" borderId="0" xfId="1" applyNumberFormat="1" applyFont="1" applyBorder="1"/>
    <xf numFmtId="165" fontId="0" fillId="0" borderId="1" xfId="0" applyNumberFormat="1" applyBorder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/>
    <xf numFmtId="8" fontId="7" fillId="0" borderId="1" xfId="0" applyNumberFormat="1" applyFont="1" applyBorder="1"/>
    <xf numFmtId="10" fontId="7" fillId="0" borderId="1" xfId="0" applyNumberFormat="1" applyFont="1" applyBorder="1"/>
    <xf numFmtId="44" fontId="7" fillId="0" borderId="1" xfId="0" applyNumberFormat="1" applyFont="1" applyBorder="1"/>
    <xf numFmtId="0" fontId="8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48FAF-E3A2-4A55-A233-729AA9E642F7}">
  <dimension ref="A1:Q49"/>
  <sheetViews>
    <sheetView workbookViewId="0"/>
  </sheetViews>
  <sheetFormatPr defaultRowHeight="14.4" x14ac:dyDescent="0.3"/>
  <cols>
    <col min="1" max="1" width="13" customWidth="1"/>
    <col min="2" max="2" width="12.88671875" customWidth="1"/>
    <col min="3" max="3" width="14.33203125" customWidth="1"/>
    <col min="4" max="4" width="13.44140625" customWidth="1"/>
    <col min="5" max="5" width="11.88671875" customWidth="1"/>
    <col min="6" max="6" width="12.6640625" customWidth="1"/>
    <col min="7" max="7" width="13.44140625" customWidth="1"/>
    <col min="9" max="9" width="15.33203125" bestFit="1" customWidth="1"/>
    <col min="11" max="11" width="9.44140625" customWidth="1"/>
    <col min="13" max="13" width="13" customWidth="1"/>
    <col min="14" max="14" width="15.33203125" bestFit="1" customWidth="1"/>
    <col min="15" max="15" width="11.44140625" customWidth="1"/>
  </cols>
  <sheetData>
    <row r="1" spans="1:17" x14ac:dyDescent="0.3">
      <c r="A1" s="2" t="s">
        <v>115</v>
      </c>
      <c r="B1" s="2"/>
      <c r="C1" s="2"/>
    </row>
    <row r="2" spans="1:17" x14ac:dyDescent="0.3">
      <c r="A2" t="s">
        <v>0</v>
      </c>
      <c r="B2" s="26">
        <v>4.2599999999999999E-2</v>
      </c>
    </row>
    <row r="4" spans="1:17" x14ac:dyDescent="0.3">
      <c r="C4" s="23" t="s">
        <v>29</v>
      </c>
      <c r="D4" s="23"/>
    </row>
    <row r="6" spans="1:17" x14ac:dyDescent="0.3">
      <c r="A6" s="37" t="s">
        <v>16</v>
      </c>
      <c r="B6" s="38"/>
      <c r="C6" s="38"/>
      <c r="D6" s="38"/>
      <c r="E6" s="38"/>
      <c r="F6" s="38"/>
      <c r="G6" s="39"/>
      <c r="K6" s="36"/>
      <c r="L6" s="36"/>
      <c r="M6" s="36"/>
      <c r="N6" s="36"/>
      <c r="O6" s="36"/>
      <c r="P6" s="36"/>
      <c r="Q6" s="36"/>
    </row>
    <row r="7" spans="1:17" x14ac:dyDescent="0.3">
      <c r="A7" s="5" t="s">
        <v>1</v>
      </c>
      <c r="B7" s="5" t="s">
        <v>2</v>
      </c>
      <c r="C7" s="4" t="s">
        <v>3</v>
      </c>
      <c r="D7" s="4"/>
      <c r="E7" s="4"/>
      <c r="F7" s="4"/>
      <c r="G7" s="4"/>
      <c r="K7" s="2"/>
      <c r="L7" s="2"/>
    </row>
    <row r="8" spans="1:17" x14ac:dyDescent="0.3">
      <c r="A8" s="5"/>
      <c r="B8" s="5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K8" s="2"/>
      <c r="L8" s="29"/>
      <c r="M8" s="30"/>
      <c r="N8" s="30"/>
      <c r="O8" s="30"/>
      <c r="P8" s="30"/>
      <c r="Q8" s="30"/>
    </row>
    <row r="9" spans="1:17" x14ac:dyDescent="0.3">
      <c r="A9" s="5" t="s">
        <v>10</v>
      </c>
      <c r="B9" s="5" t="s">
        <v>11</v>
      </c>
      <c r="C9" s="25">
        <f>(1518*(1+B2))</f>
        <v>1582.6668</v>
      </c>
      <c r="D9" s="25">
        <f>(1745.7*(1+B2))</f>
        <v>1820.06682</v>
      </c>
      <c r="E9" s="6">
        <f>(2007.55*(1+B2))</f>
        <v>2093.0716299999999</v>
      </c>
      <c r="F9" s="6">
        <f>(2308.68*(1+B2))</f>
        <v>2407.0297679999999</v>
      </c>
      <c r="G9" s="6">
        <f>(2654.98*(1+B2))</f>
        <v>2768.082148</v>
      </c>
      <c r="H9" s="27"/>
      <c r="I9" s="28"/>
      <c r="K9" s="2"/>
      <c r="L9" s="29"/>
      <c r="M9" s="31"/>
      <c r="N9" s="31"/>
      <c r="O9" s="1"/>
      <c r="P9" s="1"/>
      <c r="Q9" s="1"/>
    </row>
    <row r="10" spans="1:17" x14ac:dyDescent="0.3">
      <c r="A10" s="5" t="s">
        <v>10</v>
      </c>
      <c r="B10" s="5" t="s">
        <v>12</v>
      </c>
      <c r="C10" s="25">
        <f>(1518*(1+B2))</f>
        <v>1582.6668</v>
      </c>
      <c r="D10" s="25">
        <f>(1745.7*(1+B2))</f>
        <v>1820.06682</v>
      </c>
      <c r="E10" s="6">
        <f>(2007.55*(1+B2))</f>
        <v>2093.0716299999999</v>
      </c>
      <c r="F10" s="6">
        <f>(2308.68*(1+B2))</f>
        <v>2407.0297679999999</v>
      </c>
      <c r="G10" s="6">
        <f>(2654.98*(1+B2))</f>
        <v>2768.082148</v>
      </c>
      <c r="I10" s="1"/>
      <c r="K10" s="2"/>
      <c r="L10" s="29"/>
      <c r="M10" s="31"/>
      <c r="N10" s="31"/>
      <c r="O10" s="1"/>
      <c r="P10" s="1"/>
      <c r="Q10" s="1"/>
    </row>
    <row r="11" spans="1:17" x14ac:dyDescent="0.3">
      <c r="A11" s="5" t="s">
        <v>10</v>
      </c>
      <c r="B11" s="5" t="s">
        <v>13</v>
      </c>
      <c r="C11" s="6">
        <f>(1775.11*(1+B2))</f>
        <v>1850.7296859999999</v>
      </c>
      <c r="D11" s="6">
        <f>(2041.39*(1+B2))</f>
        <v>2128.3532140000002</v>
      </c>
      <c r="E11" s="6">
        <f>(2347.61*(1+B2))</f>
        <v>2447.6181860000002</v>
      </c>
      <c r="F11" s="6">
        <f>(2699.76*(1+B2))</f>
        <v>2814.7697760000001</v>
      </c>
      <c r="G11" s="6">
        <f>(3104.69*(1+B2))</f>
        <v>3236.9497940000001</v>
      </c>
      <c r="K11" s="2"/>
      <c r="L11" s="29"/>
      <c r="M11" s="1"/>
      <c r="N11" s="1"/>
      <c r="O11" s="1"/>
      <c r="P11" s="1"/>
      <c r="Q11" s="1"/>
    </row>
    <row r="13" spans="1:17" x14ac:dyDescent="0.3">
      <c r="L13" s="29"/>
      <c r="M13" s="32"/>
      <c r="N13" s="33"/>
    </row>
    <row r="14" spans="1:17" x14ac:dyDescent="0.3">
      <c r="A14" s="11" t="s">
        <v>17</v>
      </c>
      <c r="B14" s="12" t="s">
        <v>18</v>
      </c>
      <c r="C14" s="12" t="s">
        <v>19</v>
      </c>
      <c r="D14" s="12"/>
      <c r="E14" s="12"/>
      <c r="F14" s="12"/>
      <c r="G14" s="13"/>
    </row>
    <row r="15" spans="1:17" x14ac:dyDescent="0.3">
      <c r="A15" s="8" t="s">
        <v>1</v>
      </c>
      <c r="B15" s="8" t="s">
        <v>2</v>
      </c>
      <c r="C15" s="9" t="s">
        <v>3</v>
      </c>
      <c r="D15" s="9"/>
      <c r="E15" s="9"/>
      <c r="F15" s="9"/>
      <c r="G15" s="9"/>
    </row>
    <row r="16" spans="1:17" x14ac:dyDescent="0.3">
      <c r="A16" s="8"/>
      <c r="B16" s="8" t="s">
        <v>4</v>
      </c>
      <c r="C16" s="8" t="s">
        <v>5</v>
      </c>
      <c r="D16" s="8" t="s">
        <v>6</v>
      </c>
      <c r="E16" s="8" t="s">
        <v>7</v>
      </c>
      <c r="F16" s="8" t="s">
        <v>8</v>
      </c>
      <c r="G16" s="8" t="s">
        <v>9</v>
      </c>
    </row>
    <row r="17" spans="1:7" x14ac:dyDescent="0.3">
      <c r="A17" s="8" t="s">
        <v>14</v>
      </c>
      <c r="B17" s="8" t="s">
        <v>11</v>
      </c>
      <c r="C17" s="10">
        <f>(2252.29*(1+B2))</f>
        <v>2348.2375539999998</v>
      </c>
      <c r="D17" s="10">
        <f>(2590.13*(1+B2))</f>
        <v>2700.4695379999998</v>
      </c>
      <c r="E17" s="10">
        <f>(2978.67*(1+B2))</f>
        <v>3105.561342</v>
      </c>
      <c r="F17" s="10">
        <f>(3425.48*(1+B2))</f>
        <v>3571.405448</v>
      </c>
      <c r="G17" s="10">
        <f>(3939.29*(1+B2))</f>
        <v>4107.1037539999998</v>
      </c>
    </row>
    <row r="18" spans="1:7" x14ac:dyDescent="0.3">
      <c r="A18" s="8" t="s">
        <v>14</v>
      </c>
      <c r="B18" s="8" t="s">
        <v>12</v>
      </c>
      <c r="C18" s="10">
        <f>(2405*(1+B2))</f>
        <v>2507.453</v>
      </c>
      <c r="D18" s="10">
        <f>(2765.76*(1+B2))</f>
        <v>2883.5813760000001</v>
      </c>
      <c r="E18" s="10">
        <f>(3180.62*(1+B2))</f>
        <v>3316.1144119999999</v>
      </c>
      <c r="F18" s="10">
        <f>(3657.72*(1+B2))</f>
        <v>3813.5388719999996</v>
      </c>
      <c r="G18" s="10">
        <f>(4206.42*(1+B2))</f>
        <v>4385.6134920000004</v>
      </c>
    </row>
    <row r="19" spans="1:7" x14ac:dyDescent="0.3">
      <c r="A19" s="8" t="s">
        <v>14</v>
      </c>
      <c r="B19" s="8" t="s">
        <v>13</v>
      </c>
      <c r="C19" s="10">
        <f>(2634.05*(1+B2))</f>
        <v>2746.26053</v>
      </c>
      <c r="D19" s="10">
        <f>(3029.18*(1+B2))</f>
        <v>3158.2230679999998</v>
      </c>
      <c r="E19" s="10">
        <f>(3483.52*(1+B2))</f>
        <v>3631.9179519999998</v>
      </c>
      <c r="F19" s="10">
        <f>(4006.03*(1+B2))</f>
        <v>4176.6868780000004</v>
      </c>
      <c r="G19" s="10">
        <f>(4606.98*(1+B2))</f>
        <v>4803.2373479999997</v>
      </c>
    </row>
    <row r="20" spans="1:7" x14ac:dyDescent="0.3">
      <c r="A20" s="8" t="s">
        <v>14</v>
      </c>
      <c r="B20" s="8" t="s">
        <v>15</v>
      </c>
      <c r="C20" s="10">
        <f>(3244.85*(1+B2))</f>
        <v>3383.08061</v>
      </c>
      <c r="D20" s="10">
        <f>(3731.57*(1+B2))</f>
        <v>3890.5348819999999</v>
      </c>
      <c r="E20" s="10">
        <f>(4291.29*(1+B2))</f>
        <v>4474.098954</v>
      </c>
      <c r="F20" s="10">
        <f>(4935*(1+B2))</f>
        <v>5145.2309999999998</v>
      </c>
      <c r="G20" s="10">
        <f>(5675.25*(1+B2))</f>
        <v>5917.0156500000003</v>
      </c>
    </row>
    <row r="24" spans="1:7" x14ac:dyDescent="0.3">
      <c r="A24" s="18"/>
      <c r="B24" s="19"/>
      <c r="C24" s="19" t="s">
        <v>20</v>
      </c>
      <c r="D24" s="19"/>
      <c r="E24" s="19"/>
      <c r="F24" s="19"/>
      <c r="G24" s="20"/>
    </row>
    <row r="25" spans="1:7" x14ac:dyDescent="0.3">
      <c r="A25" s="22" t="s">
        <v>1</v>
      </c>
      <c r="B25" s="22" t="s">
        <v>2</v>
      </c>
      <c r="C25" s="14" t="s">
        <v>3</v>
      </c>
      <c r="D25" s="14"/>
      <c r="E25" s="14"/>
      <c r="F25" s="14"/>
      <c r="G25" s="14"/>
    </row>
    <row r="26" spans="1:7" x14ac:dyDescent="0.3">
      <c r="A26" s="5"/>
      <c r="B26" s="5" t="s">
        <v>4</v>
      </c>
      <c r="C26" s="4" t="s">
        <v>5</v>
      </c>
      <c r="D26" s="4" t="s">
        <v>6</v>
      </c>
      <c r="E26" s="4" t="s">
        <v>7</v>
      </c>
      <c r="F26" s="4" t="s">
        <v>8</v>
      </c>
      <c r="G26" s="4" t="s">
        <v>9</v>
      </c>
    </row>
    <row r="27" spans="1:7" x14ac:dyDescent="0.3">
      <c r="A27" s="5" t="s">
        <v>21</v>
      </c>
      <c r="B27" s="5" t="s">
        <v>11</v>
      </c>
      <c r="C27" s="25">
        <f>(5374.49*(1+B2))</f>
        <v>5603.4432739999993</v>
      </c>
      <c r="D27" s="25">
        <f>(6180.66*(1+B2))</f>
        <v>6443.9561159999994</v>
      </c>
      <c r="E27" s="25">
        <f>(7107.77*(1+B2))</f>
        <v>7410.5610020000004</v>
      </c>
      <c r="F27" s="25">
        <f>(8173.92*(1+B2))</f>
        <v>8522.1289919999999</v>
      </c>
      <c r="G27" s="6">
        <f>(9400.01*(1+B2))</f>
        <v>9800.4504259999994</v>
      </c>
    </row>
    <row r="28" spans="1:7" x14ac:dyDescent="0.3">
      <c r="A28" s="5" t="s">
        <v>21</v>
      </c>
      <c r="B28" s="5" t="s">
        <v>22</v>
      </c>
      <c r="C28" s="25">
        <f>(2687.24*(1+B2))</f>
        <v>2801.7164239999997</v>
      </c>
      <c r="D28" s="25">
        <f>(3090.33*(1+B2))</f>
        <v>3221.9780579999997</v>
      </c>
      <c r="E28" s="25">
        <f>(3553.89*(1+B2))</f>
        <v>3705.2857139999996</v>
      </c>
      <c r="F28" s="25">
        <f>(4086.95*(1+B2))</f>
        <v>4261.0540700000001</v>
      </c>
      <c r="G28" s="6">
        <f>(4700.01*(1+B2))</f>
        <v>4900.2304260000001</v>
      </c>
    </row>
    <row r="29" spans="1:7" x14ac:dyDescent="0.3">
      <c r="A29" s="5" t="s">
        <v>21</v>
      </c>
      <c r="B29" s="5" t="s">
        <v>23</v>
      </c>
      <c r="C29" s="25">
        <f>(4030.86*(1+B2))</f>
        <v>4202.5746360000003</v>
      </c>
      <c r="D29" s="25">
        <f>(4635.5*(1+B2))</f>
        <v>4832.9722999999994</v>
      </c>
      <c r="E29" s="25">
        <f>(5330.83*(1+B2))</f>
        <v>5557.923358</v>
      </c>
      <c r="F29" s="25">
        <f>(6130.44*(1+B2))</f>
        <v>6391.5967439999995</v>
      </c>
      <c r="G29" s="6">
        <f>(7050*(1+B2))</f>
        <v>7350.33</v>
      </c>
    </row>
    <row r="30" spans="1:7" x14ac:dyDescent="0.3">
      <c r="A30" s="5" t="s">
        <v>21</v>
      </c>
      <c r="B30" s="5" t="s">
        <v>12</v>
      </c>
      <c r="C30" s="25">
        <f>(4657.3*(1+B2))</f>
        <v>4855.7009799999996</v>
      </c>
      <c r="D30" s="25">
        <f>(5355.91*(1+B2))</f>
        <v>5584.071766</v>
      </c>
      <c r="E30" s="25">
        <f>(6159.34*(1+B2))</f>
        <v>6421.7278839999999</v>
      </c>
      <c r="F30" s="25">
        <f>(7083.22*(1+B2))</f>
        <v>7384.9651720000002</v>
      </c>
      <c r="G30" s="6">
        <f>(8145.68*(1+B2))</f>
        <v>8492.6859679999998</v>
      </c>
    </row>
    <row r="31" spans="1:7" x14ac:dyDescent="0.3">
      <c r="A31" s="5" t="s">
        <v>21</v>
      </c>
      <c r="B31" s="5" t="s">
        <v>101</v>
      </c>
      <c r="C31" s="25">
        <f>(7087.15*(1+B2))</f>
        <v>7389.0625899999995</v>
      </c>
      <c r="D31" s="25">
        <f>(8150.1*(1+B2))</f>
        <v>8497.2942600000006</v>
      </c>
      <c r="E31" s="25">
        <f>(9372.21*(1+B2))</f>
        <v>9771.4661459999988</v>
      </c>
      <c r="F31" s="25">
        <f>(10778.5*(1+B2))</f>
        <v>11237.6641</v>
      </c>
      <c r="G31" s="6">
        <f>(12395.27*(1+B2))</f>
        <v>12923.308502</v>
      </c>
    </row>
    <row r="32" spans="1:7" x14ac:dyDescent="0.3">
      <c r="A32" s="5" t="s">
        <v>21</v>
      </c>
      <c r="B32" s="5" t="s">
        <v>102</v>
      </c>
      <c r="C32" s="25">
        <f>(5669.72*(1+B2))</f>
        <v>5911.2500719999998</v>
      </c>
      <c r="D32" s="25">
        <f>(6520.18*(1+B2))</f>
        <v>6797.939668</v>
      </c>
      <c r="E32" s="25">
        <f>(7498.4*(1+B2))</f>
        <v>7817.8318399999998</v>
      </c>
      <c r="F32" s="25">
        <f>(8623.05*(1+B2))</f>
        <v>8990.3919299999998</v>
      </c>
      <c r="G32" s="6">
        <f>(9916.48*(1+B2))</f>
        <v>10338.922047999999</v>
      </c>
    </row>
    <row r="33" spans="1:7" x14ac:dyDescent="0.3">
      <c r="A33" s="5" t="s">
        <v>21</v>
      </c>
      <c r="B33" s="5" t="s">
        <v>13</v>
      </c>
      <c r="C33" s="25">
        <f>(5726.23*(1+B2))</f>
        <v>5970.1673979999996</v>
      </c>
      <c r="D33" s="25">
        <f>(6585.11*(1+B2))</f>
        <v>6865.6356859999996</v>
      </c>
      <c r="E33" s="25">
        <f>(7572.9*(1+B2))</f>
        <v>7895.5055399999992</v>
      </c>
      <c r="F33" s="25">
        <f>(8708.86*(1+B2))</f>
        <v>9079.8574360000002</v>
      </c>
      <c r="G33" s="6">
        <f>(10015.17*(1+B2))</f>
        <v>10441.816241999999</v>
      </c>
    </row>
    <row r="34" spans="1:7" x14ac:dyDescent="0.3">
      <c r="A34" s="5" t="s">
        <v>21</v>
      </c>
      <c r="B34" s="5" t="s">
        <v>15</v>
      </c>
      <c r="C34" s="25">
        <f>(6871.46*(1+B2))</f>
        <v>7164.1841960000002</v>
      </c>
      <c r="D34" s="25">
        <f>(7902.2*(1+B2))</f>
        <v>8238.8337199999987</v>
      </c>
      <c r="E34" s="25">
        <f>(9087.53*(1+B2))</f>
        <v>9474.6587780000009</v>
      </c>
      <c r="F34" s="25">
        <f>(10450.66*(1+B2))</f>
        <v>10895.858115999999</v>
      </c>
      <c r="G34" s="6">
        <f>(12018.25*(1+B2))</f>
        <v>12530.22745</v>
      </c>
    </row>
    <row r="35" spans="1:7" x14ac:dyDescent="0.3">
      <c r="A35" s="5" t="s">
        <v>21</v>
      </c>
      <c r="B35" s="5" t="s">
        <v>24</v>
      </c>
      <c r="C35" s="25">
        <f>(12258.48*(1+B2))</f>
        <v>12780.691247999999</v>
      </c>
      <c r="D35" s="25">
        <f>(14097.29*(1+B2))</f>
        <v>14697.834554000001</v>
      </c>
      <c r="E35" s="25">
        <f>(16211.88*(1+B2))</f>
        <v>16902.506087999998</v>
      </c>
      <c r="F35" s="25">
        <f>(18643.64*(1+B2))</f>
        <v>19437.859064</v>
      </c>
      <c r="G35" s="6">
        <f>(21440.21*(1+B2))</f>
        <v>22353.562945999998</v>
      </c>
    </row>
    <row r="38" spans="1:7" x14ac:dyDescent="0.3">
      <c r="A38" s="15"/>
      <c r="B38" s="16"/>
      <c r="C38" s="19" t="s">
        <v>25</v>
      </c>
      <c r="D38" s="16"/>
      <c r="E38" s="16"/>
      <c r="F38" s="16"/>
      <c r="G38" s="17"/>
    </row>
    <row r="39" spans="1:7" x14ac:dyDescent="0.3">
      <c r="A39" s="5" t="s">
        <v>1</v>
      </c>
      <c r="B39" s="5" t="s">
        <v>2</v>
      </c>
      <c r="C39" s="4" t="s">
        <v>3</v>
      </c>
      <c r="D39" s="4"/>
      <c r="E39" s="4"/>
      <c r="F39" s="4"/>
      <c r="G39" s="4"/>
    </row>
    <row r="40" spans="1:7" x14ac:dyDescent="0.3">
      <c r="A40" s="5"/>
      <c r="B40" s="5" t="s">
        <v>4</v>
      </c>
      <c r="C40" s="4" t="s">
        <v>5</v>
      </c>
      <c r="D40" s="4" t="s">
        <v>6</v>
      </c>
      <c r="E40" s="4" t="s">
        <v>7</v>
      </c>
      <c r="F40" s="4" t="s">
        <v>8</v>
      </c>
      <c r="G40" s="4" t="s">
        <v>9</v>
      </c>
    </row>
    <row r="41" spans="1:7" x14ac:dyDescent="0.3">
      <c r="A41" s="5" t="s">
        <v>26</v>
      </c>
      <c r="B41" s="5" t="s">
        <v>11</v>
      </c>
      <c r="C41" s="6">
        <f>(1107.07*(1+B2))</f>
        <v>1154.231182</v>
      </c>
      <c r="D41" s="6">
        <f>(1273.15*(1+B2))</f>
        <v>1327.3861900000002</v>
      </c>
      <c r="E41" s="6">
        <f>(1464.07*(1+B2))</f>
        <v>1526.4393819999998</v>
      </c>
      <c r="F41" s="6">
        <f>(1683.7*(1+B2))</f>
        <v>1755.42562</v>
      </c>
      <c r="G41" s="6">
        <f>(1936.25*(1+B2))</f>
        <v>2018.73425</v>
      </c>
    </row>
    <row r="42" spans="1:7" x14ac:dyDescent="0.3">
      <c r="A42" s="5" t="s">
        <v>26</v>
      </c>
      <c r="B42" s="5" t="s">
        <v>12</v>
      </c>
      <c r="C42" s="6">
        <f>(1374.31*(1+B2))</f>
        <v>1432.8556059999999</v>
      </c>
      <c r="D42" s="6">
        <f>(1508.43*(1+B2))</f>
        <v>1572.689118</v>
      </c>
      <c r="E42" s="6">
        <f>(1817.5*(1+B2))</f>
        <v>1894.9255000000001</v>
      </c>
      <c r="F42" s="6">
        <f>(2090.12*(1+B2))</f>
        <v>2179.1591119999998</v>
      </c>
      <c r="G42" s="6">
        <f>(2403.65*(1+B2))</f>
        <v>2506.04549</v>
      </c>
    </row>
    <row r="43" spans="1:7" x14ac:dyDescent="0.3">
      <c r="A43" s="5" t="s">
        <v>26</v>
      </c>
      <c r="B43" s="5" t="s">
        <v>13</v>
      </c>
      <c r="C43" s="6">
        <f>(1679.66*(1+B2))</f>
        <v>1751.213516</v>
      </c>
      <c r="D43" s="6">
        <f>(1931.64*(1+B2))</f>
        <v>2013.927864</v>
      </c>
      <c r="E43" s="6">
        <f>(2221.37*(1+B2))</f>
        <v>2316.0003619999998</v>
      </c>
      <c r="F43" s="6">
        <f>(2554.56*(1+B2))</f>
        <v>2663.3842559999998</v>
      </c>
      <c r="G43" s="6">
        <f>(2937.76*(1+B2))</f>
        <v>3062.9085760000003</v>
      </c>
    </row>
    <row r="44" spans="1:7" x14ac:dyDescent="0.3">
      <c r="A44" s="5" t="s">
        <v>26</v>
      </c>
      <c r="B44" s="5" t="s">
        <v>27</v>
      </c>
      <c r="C44" s="6">
        <f>(1919.61*(1+B2))</f>
        <v>2001.3853859999999</v>
      </c>
      <c r="D44" s="6">
        <f>(2207.58*(1+B2))</f>
        <v>2301.6229079999998</v>
      </c>
      <c r="E44" s="6">
        <f>(2538.69*(1+B2))</f>
        <v>2646.8381939999999</v>
      </c>
      <c r="F44" s="6">
        <f>(2919.49*(1+B2))</f>
        <v>3043.8602739999997</v>
      </c>
      <c r="G44" s="6">
        <f>(3357.43*(1+B2))</f>
        <v>3500.456518</v>
      </c>
    </row>
    <row r="45" spans="1:7" x14ac:dyDescent="0.3">
      <c r="A45" s="5" t="s">
        <v>26</v>
      </c>
      <c r="B45" s="5" t="s">
        <v>15</v>
      </c>
      <c r="C45" s="6">
        <f>(1775.11*(1+B2))</f>
        <v>1850.7296859999999</v>
      </c>
      <c r="D45" s="6">
        <f>(2041.39*(1+B2))</f>
        <v>2128.3532140000002</v>
      </c>
      <c r="E45" s="6">
        <f>(2347.61*(1+B2))</f>
        <v>2447.6181860000002</v>
      </c>
      <c r="F45" s="6">
        <f>(2699.76*(1+B2))</f>
        <v>2814.7697760000001</v>
      </c>
      <c r="G45" s="6">
        <f>(3104.69*(1+B2))</f>
        <v>3236.9497940000001</v>
      </c>
    </row>
    <row r="46" spans="1:7" x14ac:dyDescent="0.3">
      <c r="A46" s="5" t="s">
        <v>26</v>
      </c>
      <c r="B46" s="5" t="s">
        <v>24</v>
      </c>
      <c r="C46" s="6">
        <f>(1775.11*(1+B2))</f>
        <v>1850.7296859999999</v>
      </c>
      <c r="D46" s="6">
        <f>(2041.39*(1+B2))</f>
        <v>2128.3532140000002</v>
      </c>
      <c r="E46" s="6">
        <f>(2347.61*(1+B2))</f>
        <v>2447.6181860000002</v>
      </c>
      <c r="F46" s="6">
        <f>(2699.76*(1+B2))</f>
        <v>2814.7697760000001</v>
      </c>
      <c r="G46" s="6">
        <f>(3104.69*(1+B2))</f>
        <v>3236.9497940000001</v>
      </c>
    </row>
    <row r="47" spans="1:7" x14ac:dyDescent="0.3">
      <c r="A47" s="5" t="s">
        <v>26</v>
      </c>
      <c r="B47" s="5" t="s">
        <v>28</v>
      </c>
      <c r="C47" s="6">
        <f>(2443.2*(1+B2))</f>
        <v>2547.2803199999998</v>
      </c>
      <c r="D47" s="6">
        <f>(2809.69*(1+B2))</f>
        <v>2929.3827940000001</v>
      </c>
      <c r="E47" s="6">
        <f>(3231.12*(1+B2))</f>
        <v>3368.7657119999999</v>
      </c>
      <c r="F47" s="6">
        <f>(3715.82*(1+B2))</f>
        <v>3874.1139320000002</v>
      </c>
      <c r="G47" s="6">
        <f>(4273.18*(1+B2))</f>
        <v>4455.2174679999998</v>
      </c>
    </row>
    <row r="49" spans="3:3" x14ac:dyDescent="0.3">
      <c r="C49" s="2" t="s">
        <v>41</v>
      </c>
    </row>
  </sheetData>
  <mergeCells count="2">
    <mergeCell ref="K6:Q6"/>
    <mergeCell ref="A6:G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BC1C2-2A9E-444C-ACDC-7214C6EE5447}">
  <dimension ref="A1:E71"/>
  <sheetViews>
    <sheetView zoomScaleNormal="100" workbookViewId="0"/>
  </sheetViews>
  <sheetFormatPr defaultRowHeight="14.4" x14ac:dyDescent="0.3"/>
  <cols>
    <col min="1" max="1" width="44" customWidth="1"/>
    <col min="2" max="2" width="11.109375" customWidth="1"/>
    <col min="3" max="3" width="11.6640625" customWidth="1"/>
    <col min="4" max="5" width="14.44140625" customWidth="1"/>
  </cols>
  <sheetData>
    <row r="1" spans="1:5" x14ac:dyDescent="0.3">
      <c r="A1" s="2" t="s">
        <v>115</v>
      </c>
      <c r="B1" s="2"/>
      <c r="C1" s="2"/>
    </row>
    <row r="2" spans="1:5" x14ac:dyDescent="0.3">
      <c r="A2" t="s">
        <v>0</v>
      </c>
      <c r="B2" s="26">
        <v>4.2599999999999999E-2</v>
      </c>
    </row>
    <row r="4" spans="1:5" x14ac:dyDescent="0.3">
      <c r="B4" s="2" t="s">
        <v>42</v>
      </c>
    </row>
    <row r="6" spans="1:5" x14ac:dyDescent="0.3">
      <c r="A6" s="18" t="s">
        <v>111</v>
      </c>
      <c r="B6" s="16"/>
      <c r="C6" s="19"/>
      <c r="D6" s="19"/>
      <c r="E6" s="20"/>
    </row>
    <row r="7" spans="1:5" x14ac:dyDescent="0.3">
      <c r="A7" s="21" t="s">
        <v>30</v>
      </c>
      <c r="B7" s="21" t="s">
        <v>31</v>
      </c>
      <c r="C7" s="21" t="s">
        <v>32</v>
      </c>
      <c r="D7" s="21" t="s">
        <v>33</v>
      </c>
      <c r="E7" s="21" t="s">
        <v>34</v>
      </c>
    </row>
    <row r="8" spans="1:5" x14ac:dyDescent="0.3">
      <c r="A8" s="4" t="s">
        <v>35</v>
      </c>
      <c r="B8" s="4" t="s">
        <v>36</v>
      </c>
      <c r="C8" s="4">
        <v>1</v>
      </c>
      <c r="D8" s="34">
        <f>(6184*(1+B2))</f>
        <v>6447.4384</v>
      </c>
      <c r="E8" s="34">
        <f>(3092*(1+B2))</f>
        <v>3223.7192</v>
      </c>
    </row>
    <row r="9" spans="1:5" x14ac:dyDescent="0.3">
      <c r="A9" s="4" t="s">
        <v>37</v>
      </c>
      <c r="B9" s="4" t="s">
        <v>36</v>
      </c>
      <c r="C9" s="4">
        <v>2</v>
      </c>
      <c r="D9" s="34">
        <f>(2954.71*(1+B2))</f>
        <v>3080.5806459999999</v>
      </c>
      <c r="E9" s="34">
        <f>(1477.36*(1+B2))</f>
        <v>1540.2955359999999</v>
      </c>
    </row>
    <row r="10" spans="1:5" x14ac:dyDescent="0.3">
      <c r="A10" s="4" t="s">
        <v>38</v>
      </c>
      <c r="B10" s="4" t="s">
        <v>36</v>
      </c>
      <c r="C10" s="4">
        <v>1</v>
      </c>
      <c r="D10" s="34">
        <f>(3939.65*(1+B2))</f>
        <v>4107.4790899999998</v>
      </c>
      <c r="E10" s="34">
        <f>(1969.83*(1+B2))</f>
        <v>2053.7447579999998</v>
      </c>
    </row>
    <row r="11" spans="1:5" x14ac:dyDescent="0.3">
      <c r="A11" s="4" t="s">
        <v>39</v>
      </c>
      <c r="B11" s="4" t="s">
        <v>36</v>
      </c>
      <c r="C11" s="4">
        <v>1</v>
      </c>
      <c r="D11" s="34">
        <f>(4428.26*(1+B2))</f>
        <v>4616.9038760000003</v>
      </c>
      <c r="E11" s="34">
        <f>(2214.1*(1+B2))</f>
        <v>2308.4206599999998</v>
      </c>
    </row>
    <row r="12" spans="1:5" x14ac:dyDescent="0.3">
      <c r="A12" s="4" t="s">
        <v>40</v>
      </c>
      <c r="B12" s="4" t="s">
        <v>36</v>
      </c>
      <c r="C12" s="4">
        <v>1</v>
      </c>
      <c r="D12" s="34">
        <f>(2954.71*(1+B2))</f>
        <v>3080.5806459999999</v>
      </c>
      <c r="E12" s="34">
        <f>(1477.36*(1+B2))</f>
        <v>1540.2955359999999</v>
      </c>
    </row>
    <row r="15" spans="1:5" x14ac:dyDescent="0.3">
      <c r="A15" s="18" t="s">
        <v>112</v>
      </c>
      <c r="B15" s="16"/>
      <c r="C15" s="19"/>
      <c r="D15" s="19"/>
      <c r="E15" s="20"/>
    </row>
    <row r="16" spans="1:5" x14ac:dyDescent="0.3">
      <c r="A16" s="3" t="s">
        <v>30</v>
      </c>
      <c r="B16" s="3" t="s">
        <v>31</v>
      </c>
      <c r="C16" s="3" t="s">
        <v>32</v>
      </c>
      <c r="D16" s="3" t="s">
        <v>33</v>
      </c>
      <c r="E16" s="3" t="s">
        <v>34</v>
      </c>
    </row>
    <row r="17" spans="1:5" x14ac:dyDescent="0.3">
      <c r="A17" s="4" t="s">
        <v>43</v>
      </c>
      <c r="B17" s="4" t="s">
        <v>36</v>
      </c>
      <c r="C17" s="4">
        <v>2</v>
      </c>
      <c r="D17" s="6">
        <f>(2954.7*(1+B2))</f>
        <v>3080.5702199999996</v>
      </c>
      <c r="E17" s="6">
        <f>(1477.36*(1+B2))</f>
        <v>1540.2955359999999</v>
      </c>
    </row>
    <row r="18" spans="1:5" x14ac:dyDescent="0.3">
      <c r="A18" s="4" t="s">
        <v>44</v>
      </c>
      <c r="B18" s="4" t="s">
        <v>36</v>
      </c>
      <c r="C18" s="4">
        <v>1</v>
      </c>
      <c r="D18" s="6">
        <f>(4428.26*(1+B2))</f>
        <v>4616.9038760000003</v>
      </c>
      <c r="E18" s="6">
        <f>(2214.13*(1+B2))</f>
        <v>2308.4519380000002</v>
      </c>
    </row>
    <row r="19" spans="1:5" x14ac:dyDescent="0.3">
      <c r="A19" s="4" t="s">
        <v>45</v>
      </c>
      <c r="B19" s="4" t="s">
        <v>36</v>
      </c>
      <c r="C19" s="4">
        <v>1</v>
      </c>
      <c r="D19" s="6">
        <f>(4428.26*(1+B2))</f>
        <v>4616.9038760000003</v>
      </c>
      <c r="E19" s="6">
        <f>(2214.13*(1+B2))</f>
        <v>2308.4519380000002</v>
      </c>
    </row>
    <row r="20" spans="1:5" x14ac:dyDescent="0.3">
      <c r="A20" s="4" t="s">
        <v>46</v>
      </c>
      <c r="B20" s="4" t="s">
        <v>36</v>
      </c>
      <c r="C20" s="4">
        <v>1</v>
      </c>
      <c r="D20" s="6">
        <f>(2954.71*(1+B2))</f>
        <v>3080.5806459999999</v>
      </c>
      <c r="E20" s="6">
        <f>(1477.36*(1+B2))</f>
        <v>1540.2955359999999</v>
      </c>
    </row>
    <row r="21" spans="1:5" x14ac:dyDescent="0.3">
      <c r="A21" s="4" t="s">
        <v>47</v>
      </c>
      <c r="B21" s="4" t="s">
        <v>36</v>
      </c>
      <c r="C21" s="4">
        <v>1</v>
      </c>
      <c r="D21" s="6">
        <f>(2954.71*(1+B2))</f>
        <v>3080.5806459999999</v>
      </c>
      <c r="E21" s="6">
        <f>(1477.36*(1+B2))</f>
        <v>1540.2955359999999</v>
      </c>
    </row>
    <row r="25" spans="1:5" x14ac:dyDescent="0.3">
      <c r="A25" s="18" t="s">
        <v>113</v>
      </c>
      <c r="B25" s="16"/>
      <c r="C25" s="19"/>
      <c r="D25" s="19"/>
      <c r="E25" s="20"/>
    </row>
    <row r="26" spans="1:5" x14ac:dyDescent="0.3">
      <c r="A26" s="21" t="s">
        <v>48</v>
      </c>
      <c r="B26" s="21" t="s">
        <v>31</v>
      </c>
      <c r="C26" s="21" t="s">
        <v>32</v>
      </c>
      <c r="D26" s="21" t="s">
        <v>33</v>
      </c>
      <c r="E26" s="21" t="s">
        <v>34</v>
      </c>
    </row>
    <row r="27" spans="1:5" x14ac:dyDescent="0.3">
      <c r="A27" s="4" t="s">
        <v>43</v>
      </c>
      <c r="B27" s="4" t="s">
        <v>36</v>
      </c>
      <c r="C27" s="4">
        <v>2</v>
      </c>
      <c r="D27" s="6">
        <f>(2954.71*(1+B2))</f>
        <v>3080.5806459999999</v>
      </c>
      <c r="E27" s="6">
        <f>(1477.36*(1+B2))</f>
        <v>1540.2955359999999</v>
      </c>
    </row>
    <row r="28" spans="1:5" x14ac:dyDescent="0.3">
      <c r="A28" s="4" t="s">
        <v>49</v>
      </c>
      <c r="B28" s="4" t="s">
        <v>36</v>
      </c>
      <c r="C28" s="4">
        <v>1</v>
      </c>
      <c r="D28" s="6">
        <f>(3435.77*(1+B2))</f>
        <v>3582.1338019999998</v>
      </c>
      <c r="E28" s="6">
        <f>(1717.88*(1+B2))</f>
        <v>1791.061688</v>
      </c>
    </row>
    <row r="29" spans="1:5" x14ac:dyDescent="0.3">
      <c r="A29" s="4" t="s">
        <v>50</v>
      </c>
      <c r="B29" s="4" t="s">
        <v>36</v>
      </c>
      <c r="C29" s="4">
        <v>1</v>
      </c>
      <c r="D29" s="6">
        <f>(2954.71*(1+B2))</f>
        <v>3080.5806459999999</v>
      </c>
      <c r="E29" s="6">
        <f>(1477.36*(1+B2))</f>
        <v>1540.2955359999999</v>
      </c>
    </row>
    <row r="30" spans="1:5" x14ac:dyDescent="0.3">
      <c r="A30" s="4" t="s">
        <v>104</v>
      </c>
      <c r="B30" s="4" t="s">
        <v>36</v>
      </c>
      <c r="C30" s="4">
        <v>1</v>
      </c>
      <c r="D30" s="6">
        <f>(2954.71*(1+B2))</f>
        <v>3080.5806459999999</v>
      </c>
      <c r="E30" s="6">
        <f>(1477.36*(1+B2))</f>
        <v>1540.2955359999999</v>
      </c>
    </row>
    <row r="32" spans="1:5" x14ac:dyDescent="0.3">
      <c r="A32" s="18" t="s">
        <v>114</v>
      </c>
      <c r="B32" s="15"/>
      <c r="C32" s="19"/>
      <c r="D32" s="20"/>
      <c r="E32" s="20"/>
    </row>
    <row r="33" spans="1:5" x14ac:dyDescent="0.3">
      <c r="A33" s="3" t="s">
        <v>48</v>
      </c>
      <c r="B33" s="21" t="s">
        <v>31</v>
      </c>
      <c r="C33" s="21" t="s">
        <v>32</v>
      </c>
      <c r="D33" s="21" t="s">
        <v>33</v>
      </c>
      <c r="E33" s="3" t="s">
        <v>34</v>
      </c>
    </row>
    <row r="34" spans="1:5" x14ac:dyDescent="0.3">
      <c r="A34" s="4" t="s">
        <v>43</v>
      </c>
      <c r="B34" s="4" t="s">
        <v>36</v>
      </c>
      <c r="C34" s="4">
        <v>2</v>
      </c>
      <c r="D34" s="6">
        <f>(2954.71*(1+B2))</f>
        <v>3080.5806459999999</v>
      </c>
      <c r="E34" s="6">
        <f>(1477.36*(1+B2))</f>
        <v>1540.2955359999999</v>
      </c>
    </row>
    <row r="35" spans="1:5" x14ac:dyDescent="0.3">
      <c r="A35" s="4" t="s">
        <v>105</v>
      </c>
      <c r="B35" s="4" t="s">
        <v>36</v>
      </c>
      <c r="C35" s="4">
        <v>1</v>
      </c>
      <c r="D35" s="6">
        <f>(2954.71*(1+B2))</f>
        <v>3080.5806459999999</v>
      </c>
      <c r="E35" s="6">
        <f>(1477.36*(1+B2))</f>
        <v>1540.2955359999999</v>
      </c>
    </row>
    <row r="36" spans="1:5" x14ac:dyDescent="0.3">
      <c r="A36" s="4" t="s">
        <v>51</v>
      </c>
      <c r="B36" s="4" t="s">
        <v>36</v>
      </c>
      <c r="C36" s="4">
        <v>1</v>
      </c>
      <c r="D36" s="6">
        <f>(2954.71*(1+B2))</f>
        <v>3080.5806459999999</v>
      </c>
      <c r="E36" s="6">
        <f>(1477.36*(1+B2))</f>
        <v>1540.2955359999999</v>
      </c>
    </row>
    <row r="37" spans="1:5" x14ac:dyDescent="0.3">
      <c r="A37" s="4" t="s">
        <v>52</v>
      </c>
      <c r="B37" s="4" t="s">
        <v>36</v>
      </c>
      <c r="C37" s="4">
        <v>1</v>
      </c>
      <c r="D37" s="6">
        <f>(2954.71*(1+B2))</f>
        <v>3080.5806459999999</v>
      </c>
      <c r="E37" s="6">
        <f>(1477.36*(1+B2))</f>
        <v>1540.2955359999999</v>
      </c>
    </row>
    <row r="38" spans="1:5" x14ac:dyDescent="0.3">
      <c r="A38" s="4" t="s">
        <v>53</v>
      </c>
      <c r="B38" s="4" t="s">
        <v>36</v>
      </c>
      <c r="C38" s="4">
        <v>1</v>
      </c>
      <c r="D38" s="6">
        <f>(2954.71*(1+B2))</f>
        <v>3080.5806459999999</v>
      </c>
      <c r="E38" s="6">
        <f>(1477.36*(1+B2))</f>
        <v>1540.2955359999999</v>
      </c>
    </row>
    <row r="39" spans="1:5" x14ac:dyDescent="0.3">
      <c r="A39" s="4" t="s">
        <v>110</v>
      </c>
      <c r="B39" s="4" t="s">
        <v>36</v>
      </c>
      <c r="C39" s="4">
        <v>1</v>
      </c>
      <c r="D39" s="6">
        <f>(2954.71*(1+B2))</f>
        <v>3080.5806459999999</v>
      </c>
      <c r="E39" s="6">
        <f>(1477.36*(1+B2))</f>
        <v>1540.2955359999999</v>
      </c>
    </row>
    <row r="42" spans="1:5" x14ac:dyDescent="0.3">
      <c r="A42" s="18" t="s">
        <v>62</v>
      </c>
      <c r="B42" s="16"/>
      <c r="C42" s="20"/>
      <c r="D42" s="19"/>
      <c r="E42" s="20"/>
    </row>
    <row r="43" spans="1:5" x14ac:dyDescent="0.3">
      <c r="A43" s="3" t="s">
        <v>48</v>
      </c>
      <c r="B43" s="3" t="s">
        <v>31</v>
      </c>
      <c r="C43" s="3" t="s">
        <v>32</v>
      </c>
      <c r="D43" s="3" t="s">
        <v>33</v>
      </c>
      <c r="E43" s="3" t="s">
        <v>34</v>
      </c>
    </row>
    <row r="44" spans="1:5" x14ac:dyDescent="0.3">
      <c r="A44" s="4" t="s">
        <v>43</v>
      </c>
      <c r="B44" s="4" t="s">
        <v>36</v>
      </c>
      <c r="C44" s="4">
        <v>2</v>
      </c>
      <c r="D44" s="6">
        <f>(2954.71*(1+B2))</f>
        <v>3080.5806459999999</v>
      </c>
      <c r="E44" s="6">
        <f>(1477.36*(1+B2))</f>
        <v>1540.2955359999999</v>
      </c>
    </row>
    <row r="45" spans="1:5" x14ac:dyDescent="0.3">
      <c r="A45" s="4" t="s">
        <v>106</v>
      </c>
      <c r="B45" s="4" t="s">
        <v>36</v>
      </c>
      <c r="C45" s="4">
        <v>1</v>
      </c>
      <c r="D45" s="6">
        <f>(2954.71*(1+B2))</f>
        <v>3080.5806459999999</v>
      </c>
      <c r="E45" s="6">
        <f>(1477.36*(1+B2))</f>
        <v>1540.2955359999999</v>
      </c>
    </row>
    <row r="46" spans="1:5" x14ac:dyDescent="0.3">
      <c r="A46" s="4" t="s">
        <v>54</v>
      </c>
      <c r="B46" s="4" t="s">
        <v>36</v>
      </c>
      <c r="C46" s="4">
        <v>1</v>
      </c>
      <c r="D46" s="6">
        <f>(2954.71*(1+B2))</f>
        <v>3080.5806459999999</v>
      </c>
      <c r="E46" s="6">
        <f>(1477.36*(1+B2))</f>
        <v>1540.2955359999999</v>
      </c>
    </row>
    <row r="51" spans="1:5" x14ac:dyDescent="0.3">
      <c r="A51" s="18" t="s">
        <v>61</v>
      </c>
      <c r="B51" s="16"/>
      <c r="C51" s="20"/>
      <c r="D51" s="19"/>
      <c r="E51" s="20"/>
    </row>
    <row r="52" spans="1:5" x14ac:dyDescent="0.3">
      <c r="A52" s="3" t="s">
        <v>48</v>
      </c>
      <c r="B52" s="3" t="s">
        <v>31</v>
      </c>
      <c r="C52" s="3" t="s">
        <v>32</v>
      </c>
      <c r="D52" s="3" t="s">
        <v>33</v>
      </c>
      <c r="E52" s="3" t="s">
        <v>34</v>
      </c>
    </row>
    <row r="53" spans="1:5" x14ac:dyDescent="0.3">
      <c r="A53" s="4" t="s">
        <v>43</v>
      </c>
      <c r="B53" s="4" t="s">
        <v>36</v>
      </c>
      <c r="C53" s="4">
        <v>4</v>
      </c>
      <c r="D53" s="6">
        <f>(2954.71*(1+B2))</f>
        <v>3080.5806459999999</v>
      </c>
      <c r="E53" s="6">
        <f>(1477.36*(1+B2))</f>
        <v>1540.2955359999999</v>
      </c>
    </row>
    <row r="54" spans="1:5" x14ac:dyDescent="0.3">
      <c r="A54" s="4" t="s">
        <v>55</v>
      </c>
      <c r="B54" s="4" t="s">
        <v>36</v>
      </c>
      <c r="C54" s="4">
        <v>1</v>
      </c>
      <c r="D54" s="6">
        <f>(2954.71*(1+B2))</f>
        <v>3080.5806459999999</v>
      </c>
      <c r="E54" s="6">
        <f>(1477.36*(1+B2))</f>
        <v>1540.2955359999999</v>
      </c>
    </row>
    <row r="55" spans="1:5" x14ac:dyDescent="0.3">
      <c r="A55" s="4" t="s">
        <v>56</v>
      </c>
      <c r="B55" s="4" t="s">
        <v>36</v>
      </c>
      <c r="C55" s="4">
        <v>1</v>
      </c>
      <c r="D55" s="6">
        <f>(2954.71*(1+B2))</f>
        <v>3080.5806459999999</v>
      </c>
      <c r="E55" s="6">
        <f>(1477.36*(1+B2))</f>
        <v>1540.2955359999999</v>
      </c>
    </row>
    <row r="56" spans="1:5" x14ac:dyDescent="0.3">
      <c r="A56" s="4" t="s">
        <v>109</v>
      </c>
      <c r="B56" s="4" t="s">
        <v>36</v>
      </c>
      <c r="C56" s="4">
        <v>1</v>
      </c>
      <c r="D56" s="6">
        <f>(2954.71*(1+B2))</f>
        <v>3080.5806459999999</v>
      </c>
      <c r="E56" s="6">
        <f>(1477.36*(1+B2))</f>
        <v>1540.2955359999999</v>
      </c>
    </row>
    <row r="59" spans="1:5" x14ac:dyDescent="0.3">
      <c r="A59" s="18" t="s">
        <v>60</v>
      </c>
      <c r="B59" s="16"/>
      <c r="C59" s="20"/>
      <c r="D59" s="19"/>
      <c r="E59" s="20"/>
    </row>
    <row r="60" spans="1:5" x14ac:dyDescent="0.3">
      <c r="A60" s="21" t="s">
        <v>48</v>
      </c>
      <c r="B60" s="21" t="s">
        <v>31</v>
      </c>
      <c r="C60" s="21" t="s">
        <v>32</v>
      </c>
      <c r="D60" s="21" t="s">
        <v>33</v>
      </c>
      <c r="E60" s="21" t="s">
        <v>34</v>
      </c>
    </row>
    <row r="61" spans="1:5" x14ac:dyDescent="0.3">
      <c r="A61" s="4" t="s">
        <v>43</v>
      </c>
      <c r="B61" s="4" t="s">
        <v>36</v>
      </c>
      <c r="C61" s="4">
        <v>2</v>
      </c>
      <c r="D61" s="6">
        <f>(2954.71*(1+B2))</f>
        <v>3080.5806459999999</v>
      </c>
      <c r="E61" s="6">
        <f>(1477.36*(1+B2))</f>
        <v>1540.2955359999999</v>
      </c>
    </row>
    <row r="62" spans="1:5" x14ac:dyDescent="0.3">
      <c r="A62" s="4" t="s">
        <v>107</v>
      </c>
      <c r="B62" s="4" t="s">
        <v>36</v>
      </c>
      <c r="C62" s="4">
        <v>1</v>
      </c>
      <c r="D62" s="6">
        <f>(2954.71*(1+B2))</f>
        <v>3080.5806459999999</v>
      </c>
      <c r="E62" s="6">
        <f>(1477.36*(1+B2))</f>
        <v>1540.2955359999999</v>
      </c>
    </row>
    <row r="63" spans="1:5" x14ac:dyDescent="0.3">
      <c r="A63" s="4" t="s">
        <v>57</v>
      </c>
      <c r="B63" s="4" t="s">
        <v>36</v>
      </c>
      <c r="C63" s="4">
        <v>1</v>
      </c>
      <c r="D63" s="6">
        <f>(2954.71*(1+B2))</f>
        <v>3080.5806459999999</v>
      </c>
      <c r="E63" s="6">
        <f>(1477.36*(1+B2))</f>
        <v>1540.2955359999999</v>
      </c>
    </row>
    <row r="64" spans="1:5" x14ac:dyDescent="0.3">
      <c r="A64" s="4" t="s">
        <v>58</v>
      </c>
      <c r="B64" s="4" t="s">
        <v>36</v>
      </c>
      <c r="C64" s="4">
        <v>1</v>
      </c>
      <c r="D64" s="6">
        <f>(2954.71*(1+B2))</f>
        <v>3080.5806459999999</v>
      </c>
      <c r="E64" s="6">
        <f>(1477.36*(1+B2))</f>
        <v>1540.2955359999999</v>
      </c>
    </row>
    <row r="65" spans="1:5" x14ac:dyDescent="0.3">
      <c r="A65" s="4" t="s">
        <v>59</v>
      </c>
      <c r="B65" s="4" t="s">
        <v>36</v>
      </c>
      <c r="C65" s="4">
        <v>1</v>
      </c>
      <c r="D65" s="6">
        <f>(2954.71*(1+B2))</f>
        <v>3080.5806459999999</v>
      </c>
      <c r="E65" s="6">
        <f>(1477.36*(1+B2))</f>
        <v>1540.2955359999999</v>
      </c>
    </row>
    <row r="68" spans="1:5" x14ac:dyDescent="0.3">
      <c r="A68" s="18" t="s">
        <v>63</v>
      </c>
      <c r="B68" s="19"/>
      <c r="C68" s="19"/>
      <c r="D68" s="19"/>
      <c r="E68" s="20"/>
    </row>
    <row r="69" spans="1:5" x14ac:dyDescent="0.3">
      <c r="A69" s="3" t="s">
        <v>48</v>
      </c>
      <c r="B69" s="3" t="s">
        <v>31</v>
      </c>
      <c r="C69" s="3" t="s">
        <v>32</v>
      </c>
      <c r="D69" s="3" t="s">
        <v>33</v>
      </c>
      <c r="E69" s="3" t="s">
        <v>34</v>
      </c>
    </row>
    <row r="70" spans="1:5" x14ac:dyDescent="0.3">
      <c r="A70" s="4" t="s">
        <v>43</v>
      </c>
      <c r="B70" s="4" t="s">
        <v>36</v>
      </c>
      <c r="C70" s="4">
        <v>2</v>
      </c>
      <c r="D70" s="6">
        <f>(2954.71*(1+B2))</f>
        <v>3080.5806459999999</v>
      </c>
      <c r="E70" s="6">
        <f>(1477.36*(1+B2))</f>
        <v>1540.2955359999999</v>
      </c>
    </row>
    <row r="71" spans="1:5" x14ac:dyDescent="0.3">
      <c r="A71" s="4" t="s">
        <v>108</v>
      </c>
      <c r="B71" s="4" t="s">
        <v>36</v>
      </c>
      <c r="C71" s="4">
        <v>1</v>
      </c>
      <c r="D71" s="6">
        <f>(2954.71*(1+B2))</f>
        <v>3080.5806459999999</v>
      </c>
      <c r="E71" s="6">
        <f>(1477.36*(1+B2))</f>
        <v>1540.2955359999999</v>
      </c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14D3-D76A-4FAE-A1D3-B2072FFBCB1E}">
  <dimension ref="A1:G9"/>
  <sheetViews>
    <sheetView workbookViewId="0">
      <selection activeCell="C13" sqref="C13"/>
    </sheetView>
  </sheetViews>
  <sheetFormatPr defaultRowHeight="14.4" x14ac:dyDescent="0.3"/>
  <cols>
    <col min="1" max="1" width="13.5546875" customWidth="1"/>
    <col min="2" max="2" width="13.109375" customWidth="1"/>
    <col min="3" max="3" width="15.44140625" customWidth="1"/>
    <col min="4" max="4" width="36.44140625" customWidth="1"/>
  </cols>
  <sheetData>
    <row r="1" spans="1:7" x14ac:dyDescent="0.3">
      <c r="A1" s="2" t="s">
        <v>116</v>
      </c>
      <c r="B1" s="2"/>
      <c r="C1" s="2"/>
    </row>
    <row r="2" spans="1:7" x14ac:dyDescent="0.3">
      <c r="A2" t="s">
        <v>0</v>
      </c>
      <c r="B2" s="26">
        <v>4.2599999999999999E-2</v>
      </c>
    </row>
    <row r="4" spans="1:7" x14ac:dyDescent="0.3">
      <c r="A4" s="18" t="s">
        <v>64</v>
      </c>
      <c r="B4" s="19"/>
      <c r="C4" s="19"/>
      <c r="D4" s="20"/>
      <c r="E4" s="2"/>
      <c r="F4" s="2"/>
      <c r="G4" s="2"/>
    </row>
    <row r="6" spans="1:7" x14ac:dyDescent="0.3">
      <c r="A6" s="4" t="s">
        <v>65</v>
      </c>
      <c r="B6" s="4" t="s">
        <v>66</v>
      </c>
      <c r="C6" s="4" t="s">
        <v>67</v>
      </c>
      <c r="D6" s="4" t="s">
        <v>68</v>
      </c>
    </row>
    <row r="7" spans="1:7" x14ac:dyDescent="0.3">
      <c r="A7" s="4" t="s">
        <v>69</v>
      </c>
      <c r="B7" s="4">
        <v>3</v>
      </c>
      <c r="C7" s="6">
        <f>(1477.35*(1+B2))</f>
        <v>1540.2851099999998</v>
      </c>
      <c r="D7" s="4" t="s">
        <v>70</v>
      </c>
    </row>
    <row r="8" spans="1:7" x14ac:dyDescent="0.3">
      <c r="A8" s="4" t="s">
        <v>71</v>
      </c>
      <c r="B8" s="4">
        <v>8</v>
      </c>
      <c r="C8" s="6">
        <f>(245.16*(1+B2))</f>
        <v>255.60381599999999</v>
      </c>
      <c r="D8" s="4" t="s">
        <v>72</v>
      </c>
    </row>
    <row r="9" spans="1:7" x14ac:dyDescent="0.3">
      <c r="A9" s="4"/>
      <c r="B9" s="4"/>
      <c r="C9" s="6">
        <f>(490.31*(1+B2))</f>
        <v>511.19720599999999</v>
      </c>
      <c r="D9" s="4" t="s">
        <v>73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8F451-3B5E-422A-8BAE-E9F8E7A1C267}">
  <dimension ref="A1:D15"/>
  <sheetViews>
    <sheetView workbookViewId="0">
      <selection activeCell="D5" sqref="D5"/>
    </sheetView>
  </sheetViews>
  <sheetFormatPr defaultRowHeight="14.4" x14ac:dyDescent="0.3"/>
  <cols>
    <col min="1" max="1" width="20.44140625" customWidth="1"/>
    <col min="2" max="2" width="22.109375" customWidth="1"/>
    <col min="3" max="3" width="12.109375" bestFit="1" customWidth="1"/>
    <col min="4" max="4" width="17.6640625" customWidth="1"/>
  </cols>
  <sheetData>
    <row r="1" spans="1:4" x14ac:dyDescent="0.3">
      <c r="A1" s="2" t="s">
        <v>117</v>
      </c>
      <c r="B1" s="2"/>
      <c r="C1" s="2"/>
    </row>
    <row r="2" spans="1:4" x14ac:dyDescent="0.3">
      <c r="A2" t="s">
        <v>0</v>
      </c>
      <c r="B2" s="26">
        <v>4.2599999999999999E-2</v>
      </c>
    </row>
    <row r="3" spans="1:4" x14ac:dyDescent="0.3">
      <c r="A3" s="18" t="s">
        <v>74</v>
      </c>
      <c r="B3" s="19"/>
      <c r="C3" s="20"/>
      <c r="D3" s="2"/>
    </row>
    <row r="4" spans="1:4" x14ac:dyDescent="0.3">
      <c r="A4" s="14"/>
      <c r="B4" s="14"/>
      <c r="C4" s="14"/>
    </row>
    <row r="5" spans="1:4" x14ac:dyDescent="0.3">
      <c r="A5" s="4" t="s">
        <v>75</v>
      </c>
      <c r="B5" s="4" t="s">
        <v>76</v>
      </c>
      <c r="C5" s="24">
        <v>1621</v>
      </c>
      <c r="D5" s="1"/>
    </row>
    <row r="8" spans="1:4" x14ac:dyDescent="0.3">
      <c r="A8" s="18" t="s">
        <v>77</v>
      </c>
      <c r="B8" s="16"/>
      <c r="C8" s="17"/>
    </row>
    <row r="9" spans="1:4" x14ac:dyDescent="0.3">
      <c r="A9" s="4"/>
      <c r="B9" s="4"/>
      <c r="C9" s="4"/>
    </row>
    <row r="10" spans="1:4" x14ac:dyDescent="0.3">
      <c r="A10" s="4" t="s">
        <v>78</v>
      </c>
      <c r="B10" s="4" t="s">
        <v>76</v>
      </c>
      <c r="C10" s="6">
        <f>(1660.6*(1+B2))</f>
        <v>1731.3415599999998</v>
      </c>
    </row>
    <row r="13" spans="1:4" x14ac:dyDescent="0.3">
      <c r="A13" s="18" t="s">
        <v>79</v>
      </c>
      <c r="B13" s="19"/>
      <c r="C13" s="20"/>
    </row>
    <row r="14" spans="1:4" x14ac:dyDescent="0.3">
      <c r="A14" s="4"/>
      <c r="B14" s="4"/>
      <c r="C14" s="4"/>
    </row>
    <row r="15" spans="1:4" x14ac:dyDescent="0.3">
      <c r="A15" s="4" t="s">
        <v>78</v>
      </c>
      <c r="B15" s="4" t="s">
        <v>76</v>
      </c>
      <c r="C15" s="6">
        <f>(1731.69*(1+B2))</f>
        <v>1805.4599940000001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BBB50-0FC4-4376-B775-2257438B7324}">
  <dimension ref="A1:I63"/>
  <sheetViews>
    <sheetView tabSelected="1" topLeftCell="A44" workbookViewId="0">
      <selection activeCell="J62" sqref="J62"/>
    </sheetView>
  </sheetViews>
  <sheetFormatPr defaultRowHeight="14.4" x14ac:dyDescent="0.3"/>
  <cols>
    <col min="1" max="1" width="14.109375" customWidth="1"/>
    <col min="2" max="2" width="21.5546875" customWidth="1"/>
    <col min="3" max="3" width="16" customWidth="1"/>
    <col min="4" max="4" width="14.109375" customWidth="1"/>
    <col min="5" max="5" width="15.109375" customWidth="1"/>
    <col min="6" max="6" width="13.44140625" customWidth="1"/>
  </cols>
  <sheetData>
    <row r="1" spans="1:9" ht="15.6" x14ac:dyDescent="0.3">
      <c r="A1" s="40" t="s">
        <v>118</v>
      </c>
      <c r="B1" s="40"/>
      <c r="C1" s="40"/>
      <c r="D1" s="41"/>
      <c r="E1" s="41"/>
      <c r="F1" s="41"/>
    </row>
    <row r="2" spans="1:9" ht="15.6" hidden="1" x14ac:dyDescent="0.3">
      <c r="A2" s="41"/>
      <c r="B2" s="43"/>
      <c r="C2" s="41"/>
      <c r="D2" s="41"/>
      <c r="E2" s="41"/>
      <c r="F2" s="41"/>
      <c r="H2" s="35">
        <v>5130.63</v>
      </c>
      <c r="I2">
        <v>40</v>
      </c>
    </row>
    <row r="3" spans="1:9" ht="15.6" hidden="1" x14ac:dyDescent="0.3">
      <c r="A3" s="41"/>
      <c r="B3" s="41"/>
      <c r="C3" s="41"/>
      <c r="D3" s="41"/>
      <c r="E3" s="41"/>
      <c r="F3" s="41"/>
      <c r="H3">
        <f>(H2/2)</f>
        <v>2565.3150000000001</v>
      </c>
      <c r="I3">
        <v>20</v>
      </c>
    </row>
    <row r="4" spans="1:9" ht="15.6" hidden="1" x14ac:dyDescent="0.3">
      <c r="A4" s="41"/>
      <c r="B4" s="41"/>
      <c r="C4" s="40" t="s">
        <v>80</v>
      </c>
      <c r="D4" s="41"/>
      <c r="E4" s="41"/>
      <c r="F4" s="41"/>
    </row>
    <row r="5" spans="1:9" ht="15.6" hidden="1" x14ac:dyDescent="0.3">
      <c r="A5" s="41"/>
      <c r="B5" s="41"/>
      <c r="C5" s="41"/>
      <c r="D5" s="41"/>
      <c r="E5" s="41"/>
      <c r="F5" s="41"/>
    </row>
    <row r="6" spans="1:9" ht="15.6" x14ac:dyDescent="0.3">
      <c r="A6" s="41" t="s">
        <v>119</v>
      </c>
      <c r="B6" s="41"/>
      <c r="C6" s="41"/>
      <c r="D6" s="41"/>
      <c r="E6" s="41"/>
      <c r="F6" s="41"/>
    </row>
    <row r="7" spans="1:9" ht="15.6" x14ac:dyDescent="0.3">
      <c r="A7" s="41"/>
      <c r="B7" s="41"/>
      <c r="C7" s="44">
        <f>(H3)</f>
        <v>2565.3150000000001</v>
      </c>
      <c r="D7" s="41"/>
      <c r="E7" s="41"/>
      <c r="F7" s="41"/>
    </row>
    <row r="8" spans="1:9" ht="15.6" hidden="1" x14ac:dyDescent="0.3">
      <c r="A8" s="41"/>
      <c r="B8" s="41"/>
      <c r="C8" s="41"/>
      <c r="D8" s="41"/>
      <c r="E8" s="41"/>
      <c r="F8" s="41"/>
    </row>
    <row r="9" spans="1:9" ht="15.6" hidden="1" x14ac:dyDescent="0.3">
      <c r="A9" s="41"/>
      <c r="B9" s="41"/>
      <c r="C9" s="41"/>
      <c r="D9" s="41"/>
      <c r="E9" s="41"/>
      <c r="F9" s="41"/>
    </row>
    <row r="10" spans="1:9" ht="15.6" x14ac:dyDescent="0.3">
      <c r="A10" s="40" t="s">
        <v>81</v>
      </c>
      <c r="B10" s="40"/>
      <c r="C10" s="40"/>
      <c r="D10" s="40"/>
      <c r="E10" s="40"/>
      <c r="F10" s="40"/>
    </row>
    <row r="11" spans="1:9" ht="15.6" x14ac:dyDescent="0.3">
      <c r="A11" s="40" t="s">
        <v>82</v>
      </c>
      <c r="B11" s="40" t="s">
        <v>83</v>
      </c>
      <c r="C11" s="40"/>
      <c r="D11" s="40"/>
      <c r="E11" s="40"/>
      <c r="F11" s="40"/>
    </row>
    <row r="12" spans="1:9" ht="15.6" x14ac:dyDescent="0.3">
      <c r="A12" s="41"/>
      <c r="B12" s="41">
        <v>1</v>
      </c>
      <c r="C12" s="41">
        <v>2</v>
      </c>
      <c r="D12" s="41">
        <v>3</v>
      </c>
      <c r="E12" s="41">
        <v>4</v>
      </c>
      <c r="F12" s="41">
        <v>5</v>
      </c>
    </row>
    <row r="13" spans="1:9" ht="15.6" x14ac:dyDescent="0.3">
      <c r="A13" s="41" t="s">
        <v>5</v>
      </c>
      <c r="B13" s="41">
        <v>1</v>
      </c>
      <c r="C13" s="41">
        <v>1.1848000000000001</v>
      </c>
      <c r="D13" s="41">
        <v>1.2642</v>
      </c>
      <c r="E13" s="41">
        <v>1.3085</v>
      </c>
      <c r="F13" s="41">
        <v>1.3543000000000001</v>
      </c>
    </row>
    <row r="14" spans="1:9" ht="15.6" x14ac:dyDescent="0.3">
      <c r="A14" s="41" t="s">
        <v>6</v>
      </c>
      <c r="B14" s="41">
        <v>1.05</v>
      </c>
      <c r="C14" s="41">
        <v>1.2441</v>
      </c>
      <c r="D14" s="41">
        <v>1.3273999999999999</v>
      </c>
      <c r="E14" s="41">
        <v>1.3738999999999999</v>
      </c>
      <c r="F14" s="41">
        <v>1.4219999999999999</v>
      </c>
    </row>
    <row r="15" spans="1:9" ht="15.6" x14ac:dyDescent="0.3">
      <c r="A15" s="41" t="s">
        <v>7</v>
      </c>
      <c r="B15" s="41">
        <v>1.1129</v>
      </c>
      <c r="C15" s="41">
        <v>1.3187</v>
      </c>
      <c r="D15" s="41">
        <v>1.4071</v>
      </c>
      <c r="E15" s="41">
        <v>1.4562999999999999</v>
      </c>
      <c r="F15" s="41">
        <v>1.5073000000000001</v>
      </c>
    </row>
    <row r="16" spans="1:9" ht="15.6" x14ac:dyDescent="0.3">
      <c r="A16" s="41" t="s">
        <v>8</v>
      </c>
      <c r="B16" s="41">
        <v>1.1909000000000001</v>
      </c>
      <c r="C16" s="41">
        <v>1.411</v>
      </c>
      <c r="D16" s="41">
        <v>1.5056</v>
      </c>
      <c r="E16" s="41">
        <v>1.5583</v>
      </c>
      <c r="F16" s="41">
        <v>1.6128</v>
      </c>
    </row>
    <row r="17" spans="1:6" ht="15.6" x14ac:dyDescent="0.3">
      <c r="A17" s="41" t="s">
        <v>9</v>
      </c>
      <c r="B17" s="41">
        <v>1.2861</v>
      </c>
      <c r="C17" s="41">
        <v>1.5239</v>
      </c>
      <c r="D17" s="41">
        <v>1.6259999999999999</v>
      </c>
      <c r="E17" s="41">
        <v>1.6829000000000001</v>
      </c>
      <c r="F17" s="41">
        <v>1.7418</v>
      </c>
    </row>
    <row r="18" spans="1:6" ht="15.6" x14ac:dyDescent="0.3">
      <c r="A18" s="41" t="s">
        <v>84</v>
      </c>
      <c r="B18" s="41">
        <v>1.4018999999999999</v>
      </c>
      <c r="C18" s="41">
        <v>1.6611</v>
      </c>
      <c r="D18" s="41">
        <v>1.7724</v>
      </c>
      <c r="E18" s="41">
        <v>1.8344</v>
      </c>
      <c r="F18" s="41">
        <v>1.8986000000000001</v>
      </c>
    </row>
    <row r="19" spans="1:6" ht="15.6" x14ac:dyDescent="0.3">
      <c r="A19" s="41"/>
      <c r="B19" s="41"/>
      <c r="C19" s="41"/>
      <c r="D19" s="41"/>
      <c r="E19" s="41"/>
      <c r="F19" s="41"/>
    </row>
    <row r="20" spans="1:6" ht="15.6" x14ac:dyDescent="0.3">
      <c r="A20" s="41"/>
      <c r="B20" s="41"/>
      <c r="C20" s="41"/>
      <c r="D20" s="41"/>
      <c r="E20" s="41"/>
      <c r="F20" s="41"/>
    </row>
    <row r="21" spans="1:6" ht="15.6" x14ac:dyDescent="0.3">
      <c r="A21" s="40" t="s">
        <v>85</v>
      </c>
      <c r="B21" s="40"/>
      <c r="C21" s="40"/>
      <c r="D21" s="40"/>
      <c r="E21" s="41"/>
      <c r="F21" s="41"/>
    </row>
    <row r="22" spans="1:6" ht="15.6" x14ac:dyDescent="0.3">
      <c r="A22" s="40" t="s">
        <v>86</v>
      </c>
      <c r="B22" s="40" t="s">
        <v>87</v>
      </c>
      <c r="C22" s="40" t="s">
        <v>88</v>
      </c>
      <c r="D22" s="40" t="s">
        <v>67</v>
      </c>
      <c r="E22" s="41"/>
      <c r="F22" s="41"/>
    </row>
    <row r="23" spans="1:6" ht="15.6" x14ac:dyDescent="0.3">
      <c r="A23" s="41">
        <v>1</v>
      </c>
      <c r="B23" s="41" t="s">
        <v>89</v>
      </c>
      <c r="C23" s="41" t="s">
        <v>90</v>
      </c>
      <c r="D23" s="42">
        <f>(1521.59*(1+B2))</f>
        <v>1521.59</v>
      </c>
      <c r="E23" s="41"/>
      <c r="F23" s="41"/>
    </row>
    <row r="24" spans="1:6" ht="15.6" x14ac:dyDescent="0.3">
      <c r="A24" s="41">
        <v>3</v>
      </c>
      <c r="B24" s="41" t="s">
        <v>91</v>
      </c>
      <c r="C24" s="41" t="s">
        <v>90</v>
      </c>
      <c r="D24" s="42">
        <f>(1521.59*(1+B2))</f>
        <v>1521.59</v>
      </c>
      <c r="E24" s="41"/>
      <c r="F24" s="41"/>
    </row>
    <row r="25" spans="1:6" ht="15.6" x14ac:dyDescent="0.3">
      <c r="A25" s="41"/>
      <c r="B25" s="41"/>
      <c r="C25" s="41"/>
      <c r="D25" s="41"/>
      <c r="E25" s="41"/>
      <c r="F25" s="41"/>
    </row>
    <row r="26" spans="1:6" ht="15.6" x14ac:dyDescent="0.3">
      <c r="A26" s="41"/>
      <c r="B26" s="41"/>
      <c r="C26" s="41"/>
      <c r="D26" s="41"/>
      <c r="E26" s="41"/>
      <c r="F26" s="41"/>
    </row>
    <row r="27" spans="1:6" ht="15.6" x14ac:dyDescent="0.3">
      <c r="A27" s="40" t="s">
        <v>96</v>
      </c>
      <c r="B27" s="40"/>
      <c r="C27" s="40"/>
      <c r="D27" s="40"/>
      <c r="E27" s="40" t="s">
        <v>92</v>
      </c>
      <c r="F27" s="41"/>
    </row>
    <row r="28" spans="1:6" ht="15.6" x14ac:dyDescent="0.3">
      <c r="A28" s="41" t="s">
        <v>11</v>
      </c>
      <c r="B28" s="41" t="s">
        <v>93</v>
      </c>
      <c r="C28" s="41"/>
      <c r="D28" s="41"/>
      <c r="E28" s="41">
        <v>0.41099999999999998</v>
      </c>
      <c r="F28" s="41"/>
    </row>
    <row r="29" spans="1:6" ht="15.6" x14ac:dyDescent="0.3">
      <c r="A29" s="41" t="s">
        <v>12</v>
      </c>
      <c r="B29" s="41" t="s">
        <v>94</v>
      </c>
      <c r="C29" s="41"/>
      <c r="D29" s="41"/>
      <c r="E29" s="41">
        <v>0.48349999999999999</v>
      </c>
      <c r="F29" s="41"/>
    </row>
    <row r="30" spans="1:6" ht="15.6" x14ac:dyDescent="0.3">
      <c r="A30" s="41" t="s">
        <v>13</v>
      </c>
      <c r="B30" s="41" t="s">
        <v>95</v>
      </c>
      <c r="C30" s="41"/>
      <c r="D30" s="41"/>
      <c r="E30" s="41">
        <v>0.60440000000000005</v>
      </c>
      <c r="F30" s="41"/>
    </row>
    <row r="31" spans="1:6" ht="15.6" x14ac:dyDescent="0.3">
      <c r="A31" s="45" t="s">
        <v>103</v>
      </c>
      <c r="B31" s="45"/>
      <c r="C31" s="45"/>
      <c r="D31" s="45"/>
      <c r="E31" s="45"/>
      <c r="F31" s="45"/>
    </row>
    <row r="32" spans="1:6" ht="15.6" hidden="1" x14ac:dyDescent="0.3">
      <c r="A32" s="41"/>
      <c r="B32" s="41"/>
      <c r="C32" s="41"/>
      <c r="D32" s="41"/>
      <c r="E32" s="41"/>
      <c r="F32" s="41"/>
    </row>
    <row r="33" spans="1:6" ht="15.6" hidden="1" x14ac:dyDescent="0.3">
      <c r="A33" s="41"/>
      <c r="B33" s="41"/>
      <c r="C33" s="41"/>
      <c r="D33" s="41"/>
      <c r="E33" s="41"/>
      <c r="F33" s="41"/>
    </row>
    <row r="34" spans="1:6" ht="15.6" hidden="1" x14ac:dyDescent="0.3">
      <c r="A34" s="41"/>
      <c r="B34" s="41"/>
      <c r="C34" s="41"/>
      <c r="D34" s="41"/>
      <c r="E34" s="41"/>
      <c r="F34" s="41"/>
    </row>
    <row r="35" spans="1:6" ht="15.6" hidden="1" x14ac:dyDescent="0.3">
      <c r="A35" s="40" t="s">
        <v>97</v>
      </c>
      <c r="B35" s="40"/>
      <c r="C35" s="40"/>
      <c r="D35" s="40"/>
      <c r="E35" s="41"/>
      <c r="F35" s="41"/>
    </row>
    <row r="36" spans="1:6" ht="15.6" hidden="1" x14ac:dyDescent="0.3">
      <c r="A36" s="40" t="s">
        <v>98</v>
      </c>
      <c r="B36" s="40" t="s">
        <v>99</v>
      </c>
      <c r="C36" s="40"/>
      <c r="D36" s="40"/>
      <c r="E36" s="41"/>
      <c r="F36" s="41"/>
    </row>
    <row r="37" spans="1:6" ht="15.6" hidden="1" x14ac:dyDescent="0.3">
      <c r="A37" s="41" t="s">
        <v>5</v>
      </c>
      <c r="B37" s="41">
        <v>1.1026</v>
      </c>
      <c r="C37" s="41"/>
      <c r="D37" s="41"/>
      <c r="E37" s="41"/>
      <c r="F37" s="41"/>
    </row>
    <row r="38" spans="1:6" ht="15.6" hidden="1" x14ac:dyDescent="0.3">
      <c r="A38" s="41" t="s">
        <v>6</v>
      </c>
      <c r="B38" s="41">
        <v>1.1577999999999999</v>
      </c>
      <c r="C38" s="41"/>
      <c r="D38" s="41"/>
      <c r="E38" s="41"/>
      <c r="F38" s="41"/>
    </row>
    <row r="39" spans="1:6" ht="15.6" hidden="1" x14ac:dyDescent="0.3">
      <c r="A39" s="41" t="s">
        <v>7</v>
      </c>
      <c r="B39" s="41">
        <v>1.2272000000000001</v>
      </c>
      <c r="C39" s="41"/>
      <c r="D39" s="41"/>
      <c r="E39" s="41"/>
      <c r="F39" s="41"/>
    </row>
    <row r="40" spans="1:6" ht="15.6" hidden="1" x14ac:dyDescent="0.3">
      <c r="A40" s="41" t="s">
        <v>8</v>
      </c>
      <c r="B40" s="41">
        <v>1.3131999999999999</v>
      </c>
      <c r="C40" s="41"/>
      <c r="D40" s="41"/>
      <c r="E40" s="41"/>
      <c r="F40" s="41"/>
    </row>
    <row r="41" spans="1:6" ht="15.6" hidden="1" x14ac:dyDescent="0.3">
      <c r="A41" s="41" t="s">
        <v>9</v>
      </c>
      <c r="B41" s="41">
        <v>1.4181999999999999</v>
      </c>
      <c r="C41" s="41"/>
      <c r="D41" s="41"/>
      <c r="E41" s="41"/>
      <c r="F41" s="41"/>
    </row>
    <row r="42" spans="1:6" ht="15.6" hidden="1" x14ac:dyDescent="0.3">
      <c r="A42" s="41" t="s">
        <v>84</v>
      </c>
      <c r="B42" s="41">
        <v>1.5458000000000001</v>
      </c>
      <c r="C42" s="41"/>
      <c r="D42" s="41"/>
      <c r="E42" s="41"/>
      <c r="F42" s="41"/>
    </row>
    <row r="43" spans="1:6" ht="15.6" hidden="1" x14ac:dyDescent="0.3">
      <c r="A43" s="41"/>
      <c r="B43" s="41"/>
      <c r="C43" s="41"/>
      <c r="D43" s="41"/>
      <c r="E43" s="41"/>
      <c r="F43" s="41"/>
    </row>
    <row r="44" spans="1:6" ht="15.6" x14ac:dyDescent="0.3">
      <c r="A44" s="41"/>
      <c r="B44" s="41"/>
      <c r="C44" s="41"/>
      <c r="D44" s="41"/>
      <c r="E44" s="41"/>
      <c r="F44" s="41"/>
    </row>
    <row r="45" spans="1:6" ht="15.6" x14ac:dyDescent="0.3">
      <c r="A45" s="40" t="s">
        <v>100</v>
      </c>
      <c r="B45" s="40"/>
      <c r="C45" s="40"/>
      <c r="D45" s="40"/>
      <c r="E45" s="40"/>
      <c r="F45" s="40"/>
    </row>
    <row r="46" spans="1:6" ht="15.6" x14ac:dyDescent="0.3">
      <c r="A46" s="40" t="s">
        <v>82</v>
      </c>
      <c r="B46" s="40" t="s">
        <v>83</v>
      </c>
      <c r="C46" s="40"/>
      <c r="D46" s="40"/>
      <c r="E46" s="40"/>
      <c r="F46" s="40"/>
    </row>
    <row r="47" spans="1:6" ht="15.6" x14ac:dyDescent="0.3">
      <c r="A47" s="41"/>
      <c r="B47" s="41">
        <v>1</v>
      </c>
      <c r="C47" s="41">
        <v>2</v>
      </c>
      <c r="D47" s="41">
        <v>3</v>
      </c>
      <c r="E47" s="41">
        <v>4</v>
      </c>
      <c r="F47" s="41">
        <v>5</v>
      </c>
    </row>
    <row r="48" spans="1:6" ht="15.6" x14ac:dyDescent="0.3">
      <c r="A48" s="41" t="s">
        <v>5</v>
      </c>
      <c r="B48" s="42">
        <f>B13*$C$7</f>
        <v>2565.3150000000001</v>
      </c>
      <c r="C48" s="42">
        <f t="shared" ref="C48:F48" si="0">C13*$C$7</f>
        <v>3039.3852120000001</v>
      </c>
      <c r="D48" s="42">
        <f t="shared" si="0"/>
        <v>3243.0712229999999</v>
      </c>
      <c r="E48" s="42">
        <f t="shared" si="0"/>
        <v>3356.7146775000001</v>
      </c>
      <c r="F48" s="42">
        <f t="shared" si="0"/>
        <v>3474.2061045</v>
      </c>
    </row>
    <row r="49" spans="1:6" ht="15.6" x14ac:dyDescent="0.3">
      <c r="A49" s="41" t="s">
        <v>6</v>
      </c>
      <c r="B49" s="42">
        <f t="shared" ref="B49:F49" si="1">B14*$C$7</f>
        <v>2693.5807500000001</v>
      </c>
      <c r="C49" s="42">
        <f t="shared" si="1"/>
        <v>3191.5083915</v>
      </c>
      <c r="D49" s="42">
        <f t="shared" si="1"/>
        <v>3405.1991309999999</v>
      </c>
      <c r="E49" s="42">
        <f t="shared" si="1"/>
        <v>3524.4862785</v>
      </c>
      <c r="F49" s="42">
        <f t="shared" si="1"/>
        <v>3647.8779300000001</v>
      </c>
    </row>
    <row r="50" spans="1:6" ht="15.6" x14ac:dyDescent="0.3">
      <c r="A50" s="41" t="s">
        <v>7</v>
      </c>
      <c r="B50" s="42">
        <f t="shared" ref="B50:F50" si="2">B15*$C$7</f>
        <v>2854.9390635</v>
      </c>
      <c r="C50" s="42">
        <f t="shared" si="2"/>
        <v>3382.8808905000001</v>
      </c>
      <c r="D50" s="42">
        <f t="shared" si="2"/>
        <v>3609.6547365000001</v>
      </c>
      <c r="E50" s="42">
        <f t="shared" si="2"/>
        <v>3735.8682344999997</v>
      </c>
      <c r="F50" s="42">
        <f t="shared" si="2"/>
        <v>3866.6992995000005</v>
      </c>
    </row>
    <row r="51" spans="1:6" ht="15.6" x14ac:dyDescent="0.3">
      <c r="A51" s="41" t="s">
        <v>8</v>
      </c>
      <c r="B51" s="42">
        <f t="shared" ref="B51:F51" si="3">B16*$C$7</f>
        <v>3055.0336335000002</v>
      </c>
      <c r="C51" s="42">
        <f t="shared" si="3"/>
        <v>3619.6594650000002</v>
      </c>
      <c r="D51" s="42">
        <f t="shared" si="3"/>
        <v>3862.3382640000004</v>
      </c>
      <c r="E51" s="42">
        <f t="shared" si="3"/>
        <v>3997.5303645000004</v>
      </c>
      <c r="F51" s="42">
        <f t="shared" si="3"/>
        <v>4137.3400320000001</v>
      </c>
    </row>
    <row r="52" spans="1:6" ht="15.6" x14ac:dyDescent="0.3">
      <c r="A52" s="41" t="s">
        <v>9</v>
      </c>
      <c r="B52" s="42">
        <f t="shared" ref="B52:F52" si="4">B17*$C$7</f>
        <v>3299.2516215000001</v>
      </c>
      <c r="C52" s="42">
        <f t="shared" si="4"/>
        <v>3909.2835285000001</v>
      </c>
      <c r="D52" s="42">
        <f t="shared" si="4"/>
        <v>4171.20219</v>
      </c>
      <c r="E52" s="42">
        <f t="shared" si="4"/>
        <v>4317.1686135</v>
      </c>
      <c r="F52" s="42">
        <f t="shared" si="4"/>
        <v>4468.2656670000006</v>
      </c>
    </row>
    <row r="53" spans="1:6" ht="15.6" x14ac:dyDescent="0.3">
      <c r="A53" s="41" t="s">
        <v>84</v>
      </c>
      <c r="B53" s="42">
        <f t="shared" ref="B53:F53" si="5">B18*$C$7</f>
        <v>3596.3150984999997</v>
      </c>
      <c r="C53" s="42">
        <f t="shared" si="5"/>
        <v>4261.2447465000005</v>
      </c>
      <c r="D53" s="42">
        <f t="shared" si="5"/>
        <v>4546.764306</v>
      </c>
      <c r="E53" s="42">
        <f t="shared" si="5"/>
        <v>4705.8138360000003</v>
      </c>
      <c r="F53" s="42">
        <f t="shared" si="5"/>
        <v>4870.5070590000005</v>
      </c>
    </row>
    <row r="54" spans="1:6" ht="15.6" x14ac:dyDescent="0.3">
      <c r="A54" s="41"/>
      <c r="B54" s="41"/>
      <c r="C54" s="41"/>
      <c r="D54" s="41"/>
      <c r="E54" s="41"/>
      <c r="F54" s="41"/>
    </row>
    <row r="55" spans="1:6" ht="15.6" x14ac:dyDescent="0.3">
      <c r="A55" s="41"/>
      <c r="B55" s="41"/>
      <c r="C55" s="41"/>
      <c r="D55" s="41"/>
      <c r="E55" s="41"/>
      <c r="F55" s="41"/>
    </row>
    <row r="56" spans="1:6" ht="15.6" x14ac:dyDescent="0.3">
      <c r="A56" s="40" t="s">
        <v>97</v>
      </c>
      <c r="B56" s="40"/>
      <c r="C56" s="40"/>
      <c r="D56" s="40"/>
      <c r="E56" s="40"/>
      <c r="F56" s="40"/>
    </row>
    <row r="57" spans="1:6" ht="15.6" x14ac:dyDescent="0.3">
      <c r="A57" s="40" t="s">
        <v>98</v>
      </c>
      <c r="B57" s="40" t="s">
        <v>99</v>
      </c>
      <c r="C57" s="46" t="s">
        <v>98</v>
      </c>
      <c r="D57" s="46" t="s">
        <v>99</v>
      </c>
      <c r="E57" s="41"/>
      <c r="F57" s="41"/>
    </row>
    <row r="58" spans="1:6" ht="15.6" x14ac:dyDescent="0.3">
      <c r="A58" s="41" t="s">
        <v>5</v>
      </c>
      <c r="B58" s="42">
        <f>$C$7*D58</f>
        <v>2828.5163190000003</v>
      </c>
      <c r="C58" s="47" t="s">
        <v>5</v>
      </c>
      <c r="D58" s="47">
        <v>1.1026</v>
      </c>
      <c r="E58" s="41"/>
      <c r="F58" s="41"/>
    </row>
    <row r="59" spans="1:6" ht="15.6" x14ac:dyDescent="0.3">
      <c r="A59" s="41" t="s">
        <v>6</v>
      </c>
      <c r="B59" s="42">
        <f t="shared" ref="B59:B63" si="6">$C$7*D59</f>
        <v>2970.1217069999998</v>
      </c>
      <c r="C59" s="47" t="s">
        <v>6</v>
      </c>
      <c r="D59" s="47">
        <v>1.1577999999999999</v>
      </c>
      <c r="E59" s="41"/>
      <c r="F59" s="41"/>
    </row>
    <row r="60" spans="1:6" ht="15.6" x14ac:dyDescent="0.3">
      <c r="A60" s="41" t="s">
        <v>7</v>
      </c>
      <c r="B60" s="42">
        <f t="shared" si="6"/>
        <v>3148.1545680000004</v>
      </c>
      <c r="C60" s="47" t="s">
        <v>7</v>
      </c>
      <c r="D60" s="47">
        <v>1.2272000000000001</v>
      </c>
      <c r="E60" s="41"/>
      <c r="F60" s="41"/>
    </row>
    <row r="61" spans="1:6" ht="15.6" x14ac:dyDescent="0.3">
      <c r="A61" s="41" t="s">
        <v>8</v>
      </c>
      <c r="B61" s="42">
        <f t="shared" si="6"/>
        <v>3368.7716579999997</v>
      </c>
      <c r="C61" s="47" t="s">
        <v>8</v>
      </c>
      <c r="D61" s="47">
        <v>1.3131999999999999</v>
      </c>
      <c r="E61" s="41"/>
      <c r="F61" s="41"/>
    </row>
    <row r="62" spans="1:6" ht="15.6" x14ac:dyDescent="0.3">
      <c r="A62" s="41" t="s">
        <v>9</v>
      </c>
      <c r="B62" s="42">
        <f t="shared" si="6"/>
        <v>3638.1297329999998</v>
      </c>
      <c r="C62" s="47" t="s">
        <v>9</v>
      </c>
      <c r="D62" s="47">
        <v>1.4181999999999999</v>
      </c>
      <c r="E62" s="41"/>
      <c r="F62" s="41"/>
    </row>
    <row r="63" spans="1:6" ht="15.6" x14ac:dyDescent="0.3">
      <c r="A63" s="41" t="s">
        <v>84</v>
      </c>
      <c r="B63" s="42">
        <f t="shared" si="6"/>
        <v>3965.4639270000002</v>
      </c>
      <c r="C63" s="47" t="s">
        <v>84</v>
      </c>
      <c r="D63" s="47">
        <v>1.5458000000000001</v>
      </c>
      <c r="E63" s="41"/>
      <c r="F63" s="41"/>
    </row>
  </sheetData>
  <pageMargins left="0.31496062992125984" right="0.31496062992125984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3</vt:i4>
      </vt:variant>
    </vt:vector>
  </HeadingPairs>
  <TitlesOfParts>
    <vt:vector size="8" baseType="lpstr">
      <vt:lpstr>CARGOS EFETIVOS</vt:lpstr>
      <vt:lpstr>CCs e FGSs</vt:lpstr>
      <vt:lpstr>GRATIFICAÇÃO CONTROLE INTERNO</vt:lpstr>
      <vt:lpstr>CONS.TUT-RPPS E CONTADOR CÂMARA</vt:lpstr>
      <vt:lpstr>MAGISTÉRIO</vt:lpstr>
      <vt:lpstr>'CARGOS EFETIVOS'!Area_de_impressao</vt:lpstr>
      <vt:lpstr>'CCs e FGSs'!Area_de_impressao</vt:lpstr>
      <vt:lpstr>MAGISTÉRIO!Area_de_impressao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2026-02-18T19:03:56Z</cp:lastPrinted>
  <dcterms:created xsi:type="dcterms:W3CDTF">2026-02-10T10:42:44Z</dcterms:created>
  <dcterms:modified xsi:type="dcterms:W3CDTF">2026-02-18T19:32:52Z</dcterms:modified>
</cp:coreProperties>
</file>