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16-2025 - Estacionamento Rotativo\"/>
    </mc:Choice>
  </mc:AlternateContent>
  <bookViews>
    <workbookView xWindow="0" yWindow="0" windowWidth="28800" windowHeight="12210" tabRatio="841" activeTab="5"/>
  </bookViews>
  <sheets>
    <sheet name="HORÁRIOS " sheetId="5" r:id="rId1"/>
    <sheet name="INVEST. E DESPESAS ETP1" sheetId="9" r:id="rId2"/>
    <sheet name="CÁLCULO TARIFÁRIO S1" sheetId="15" r:id="rId3"/>
    <sheet name="RECEITA ESTIMADA" sheetId="11" r:id="rId4"/>
    <sheet name="DEPRECIAÇÃO" sheetId="12" r:id="rId5"/>
    <sheet name="TIR VPL" sheetId="8" r:id="rId6"/>
    <sheet name="TIR VPL (2)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8" l="1"/>
  <c r="H125" i="9"/>
  <c r="C63" i="9"/>
  <c r="D8" i="9"/>
  <c r="C6" i="9" l="1"/>
  <c r="B6" i="15" s="1"/>
  <c r="G6" i="15" s="1"/>
  <c r="D13" i="15"/>
  <c r="D11" i="15"/>
  <c r="J9" i="16"/>
  <c r="L8" i="16"/>
  <c r="K7" i="16"/>
  <c r="L7" i="16"/>
  <c r="L6" i="16"/>
  <c r="E4" i="5" l="1"/>
  <c r="G171" i="9" l="1"/>
  <c r="H187" i="9"/>
  <c r="E5" i="5" l="1"/>
  <c r="E6" i="5" l="1"/>
  <c r="F42" i="15"/>
  <c r="G7" i="15" l="1"/>
  <c r="G8" i="15" s="1"/>
  <c r="B13" i="15" s="1"/>
  <c r="B12" i="15" l="1"/>
  <c r="F12" i="15" s="1"/>
  <c r="B14" i="15"/>
  <c r="E14" i="15" s="1"/>
  <c r="B11" i="15"/>
  <c r="E11" i="15" s="1"/>
  <c r="F13" i="15"/>
  <c r="E13" i="15"/>
  <c r="F11" i="15" l="1"/>
  <c r="E12" i="15"/>
  <c r="E15" i="15" s="1"/>
  <c r="F14" i="15"/>
  <c r="E16" i="15" l="1"/>
  <c r="G5" i="11"/>
  <c r="G3" i="11"/>
  <c r="G4" i="11"/>
  <c r="F15" i="15"/>
  <c r="G12" i="15" s="1"/>
  <c r="G14" i="15" l="1"/>
  <c r="G11" i="15"/>
  <c r="G13" i="15"/>
  <c r="E19" i="15"/>
  <c r="G6" i="11"/>
  <c r="G7" i="11" s="1"/>
  <c r="G8" i="11" s="1"/>
  <c r="G9" i="11" s="1"/>
  <c r="G10" i="11" s="1"/>
  <c r="G11" i="11" s="1"/>
  <c r="G12" i="11" s="1"/>
  <c r="G28" i="15"/>
  <c r="G41" i="15"/>
  <c r="G31" i="15"/>
  <c r="G40" i="15"/>
  <c r="G34" i="15"/>
  <c r="F20" i="15"/>
  <c r="B4" i="8" l="1"/>
  <c r="B5" i="8"/>
  <c r="B6" i="8"/>
  <c r="B15" i="16"/>
  <c r="F15" i="16" s="1"/>
  <c r="B14" i="16"/>
  <c r="F14" i="16" s="1"/>
  <c r="B7" i="16"/>
  <c r="F7" i="16" s="1"/>
  <c r="B13" i="16"/>
  <c r="F13" i="16" s="1"/>
  <c r="B12" i="16"/>
  <c r="F12" i="16" s="1"/>
  <c r="B11" i="16"/>
  <c r="F11" i="16" s="1"/>
  <c r="B9" i="16"/>
  <c r="F9" i="16" s="1"/>
  <c r="B8" i="16"/>
  <c r="F8" i="16" s="1"/>
  <c r="B17" i="16"/>
  <c r="F17" i="16" s="1"/>
  <c r="B18" i="16"/>
  <c r="F18" i="16" s="1"/>
  <c r="B10" i="16"/>
  <c r="F10" i="16" s="1"/>
  <c r="B6" i="16"/>
  <c r="F6" i="16" s="1"/>
  <c r="B16" i="16"/>
  <c r="F16" i="16" s="1"/>
  <c r="G42" i="15"/>
  <c r="B11" i="8"/>
  <c r="B10" i="8"/>
  <c r="B9" i="8"/>
  <c r="B8" i="8"/>
  <c r="B7" i="8"/>
  <c r="B13" i="8"/>
  <c r="B12" i="8"/>
  <c r="F24" i="15"/>
  <c r="G24" i="15" s="1"/>
  <c r="I170" i="9" l="1"/>
  <c r="J170" i="9" s="1"/>
  <c r="L170" i="9" s="1"/>
  <c r="J218" i="9" l="1"/>
  <c r="E218" i="9"/>
  <c r="E219" i="9" s="1"/>
  <c r="H177" i="9"/>
  <c r="H184" i="9"/>
  <c r="J184" i="9" s="1"/>
  <c r="L218" i="9" l="1"/>
  <c r="L219" i="9" s="1"/>
  <c r="J219" i="9"/>
  <c r="L32" i="9"/>
  <c r="L96" i="9"/>
  <c r="K7" i="9"/>
  <c r="C102" i="9"/>
  <c r="D9" i="9"/>
  <c r="G173" i="9" s="1"/>
  <c r="H158" i="9" l="1"/>
  <c r="C198" i="9"/>
  <c r="C139" i="9" s="1"/>
  <c r="J7" i="9"/>
  <c r="I12" i="9"/>
  <c r="I168" i="9" l="1"/>
  <c r="J168" i="9" s="1"/>
  <c r="L168" i="9" s="1"/>
  <c r="H186" i="9" l="1"/>
  <c r="L186" i="9" s="1"/>
  <c r="J213" i="9"/>
  <c r="E213" i="9"/>
  <c r="J212" i="9"/>
  <c r="E212" i="9"/>
  <c r="J211" i="9"/>
  <c r="E211" i="9"/>
  <c r="I206" i="9"/>
  <c r="G206" i="9"/>
  <c r="I205" i="9"/>
  <c r="G205" i="9"/>
  <c r="I204" i="9"/>
  <c r="G204" i="9"/>
  <c r="I203" i="9"/>
  <c r="G203" i="9"/>
  <c r="I202" i="9"/>
  <c r="G202" i="9"/>
  <c r="I201" i="9"/>
  <c r="G201" i="9"/>
  <c r="I200" i="9"/>
  <c r="G200" i="9"/>
  <c r="I199" i="9"/>
  <c r="G199" i="9"/>
  <c r="C199" i="9"/>
  <c r="C200" i="9" s="1"/>
  <c r="I198" i="9"/>
  <c r="G198" i="9"/>
  <c r="E198" i="9"/>
  <c r="J192" i="9"/>
  <c r="L192" i="9" s="1"/>
  <c r="H191" i="9"/>
  <c r="J191" i="9" s="1"/>
  <c r="L191" i="9" s="1"/>
  <c r="H190" i="9"/>
  <c r="J190" i="9" s="1"/>
  <c r="L190" i="9" s="1"/>
  <c r="H188" i="9"/>
  <c r="J188" i="9" s="1"/>
  <c r="J187" i="9"/>
  <c r="L187" i="9" s="1"/>
  <c r="L185" i="9"/>
  <c r="L184" i="9"/>
  <c r="I177" i="9"/>
  <c r="I176" i="9"/>
  <c r="J176" i="9" s="1"/>
  <c r="L176" i="9" s="1"/>
  <c r="I175" i="9"/>
  <c r="J175" i="9" s="1"/>
  <c r="I174" i="9"/>
  <c r="J174" i="9" s="1"/>
  <c r="L174" i="9" s="1"/>
  <c r="I173" i="9"/>
  <c r="I172" i="9"/>
  <c r="J172" i="9" s="1"/>
  <c r="L172" i="9" s="1"/>
  <c r="I171" i="9"/>
  <c r="J171" i="9" s="1"/>
  <c r="L171" i="9" s="1"/>
  <c r="I169" i="9"/>
  <c r="J169" i="9" s="1"/>
  <c r="J163" i="9"/>
  <c r="E163" i="9"/>
  <c r="J162" i="9"/>
  <c r="E162" i="9"/>
  <c r="E161" i="9"/>
  <c r="L161" i="9" s="1"/>
  <c r="J160" i="9"/>
  <c r="E160" i="9"/>
  <c r="J159" i="9"/>
  <c r="E159" i="9"/>
  <c r="J158" i="9"/>
  <c r="E158" i="9"/>
  <c r="E157" i="9"/>
  <c r="I152" i="9"/>
  <c r="J152" i="9" s="1"/>
  <c r="E152" i="9"/>
  <c r="I151" i="9"/>
  <c r="J151" i="9" s="1"/>
  <c r="E151" i="9"/>
  <c r="I150" i="9"/>
  <c r="J150" i="9" s="1"/>
  <c r="E150" i="9"/>
  <c r="I149" i="9"/>
  <c r="J149" i="9" s="1"/>
  <c r="E149" i="9"/>
  <c r="J141" i="9"/>
  <c r="L141" i="9" s="1"/>
  <c r="J140" i="9"/>
  <c r="L140" i="9" s="1"/>
  <c r="J139" i="9"/>
  <c r="E139" i="9"/>
  <c r="J138" i="9"/>
  <c r="L138" i="9" s="1"/>
  <c r="J137" i="9"/>
  <c r="L137" i="9" s="1"/>
  <c r="J136" i="9"/>
  <c r="L136" i="9" s="1"/>
  <c r="J131" i="9"/>
  <c r="L131" i="9" s="1"/>
  <c r="J130" i="9"/>
  <c r="L130" i="9" s="1"/>
  <c r="J129" i="9"/>
  <c r="L129" i="9" s="1"/>
  <c r="J128" i="9"/>
  <c r="L128" i="9" s="1"/>
  <c r="J127" i="9"/>
  <c r="L127" i="9" s="1"/>
  <c r="J126" i="9"/>
  <c r="L126" i="9" s="1"/>
  <c r="J124" i="9"/>
  <c r="L124" i="9" s="1"/>
  <c r="J123" i="9"/>
  <c r="L123" i="9" s="1"/>
  <c r="E122" i="9"/>
  <c r="L122" i="9" s="1"/>
  <c r="E121" i="9"/>
  <c r="L121" i="9" s="1"/>
  <c r="E120" i="9"/>
  <c r="E119" i="9"/>
  <c r="J114" i="9"/>
  <c r="E113" i="9"/>
  <c r="L113" i="9" s="1"/>
  <c r="E112" i="9"/>
  <c r="L112" i="9" s="1"/>
  <c r="E111" i="9"/>
  <c r="L111" i="9" s="1"/>
  <c r="E110" i="9"/>
  <c r="L110" i="9" s="1"/>
  <c r="I104" i="9"/>
  <c r="E95" i="9"/>
  <c r="L95" i="9" s="1"/>
  <c r="E94" i="9"/>
  <c r="L94" i="9" s="1"/>
  <c r="J92" i="9"/>
  <c r="L92" i="9" s="1"/>
  <c r="E91" i="9"/>
  <c r="L91" i="9" s="1"/>
  <c r="E88" i="9"/>
  <c r="L88" i="9" s="1"/>
  <c r="J83" i="9"/>
  <c r="J84" i="9" s="1"/>
  <c r="E82" i="9"/>
  <c r="L82" i="9" s="1"/>
  <c r="E81" i="9"/>
  <c r="L81" i="9" s="1"/>
  <c r="E80" i="9"/>
  <c r="E79" i="9"/>
  <c r="L79" i="9" s="1"/>
  <c r="E78" i="9"/>
  <c r="L78" i="9" s="1"/>
  <c r="E77" i="9"/>
  <c r="L77" i="9" s="1"/>
  <c r="E76" i="9"/>
  <c r="L76" i="9" s="1"/>
  <c r="E75" i="9"/>
  <c r="L75" i="9" s="1"/>
  <c r="E74" i="9"/>
  <c r="L74" i="9" s="1"/>
  <c r="E73" i="9"/>
  <c r="L73" i="9" s="1"/>
  <c r="E72" i="9"/>
  <c r="L72" i="9" s="1"/>
  <c r="E71" i="9"/>
  <c r="L71" i="9" s="1"/>
  <c r="E70" i="9"/>
  <c r="L70" i="9" s="1"/>
  <c r="E69" i="9"/>
  <c r="L69" i="9" s="1"/>
  <c r="E68" i="9"/>
  <c r="L68" i="9" s="1"/>
  <c r="E67" i="9"/>
  <c r="L67" i="9" s="1"/>
  <c r="E66" i="9"/>
  <c r="L66" i="9" s="1"/>
  <c r="E65" i="9"/>
  <c r="L65" i="9" s="1"/>
  <c r="E64" i="9"/>
  <c r="L64" i="9" s="1"/>
  <c r="E63" i="9"/>
  <c r="L63" i="9" s="1"/>
  <c r="E62" i="9"/>
  <c r="L62" i="9" s="1"/>
  <c r="E61" i="9"/>
  <c r="L61" i="9" s="1"/>
  <c r="E60" i="9"/>
  <c r="L60" i="9" s="1"/>
  <c r="E59" i="9"/>
  <c r="L59" i="9" s="1"/>
  <c r="E58" i="9"/>
  <c r="L58" i="9" s="1"/>
  <c r="I52" i="9"/>
  <c r="E39" i="9"/>
  <c r="L39" i="9" s="1"/>
  <c r="E38" i="9"/>
  <c r="L38" i="9" s="1"/>
  <c r="K11" i="9"/>
  <c r="C51" i="9" s="1"/>
  <c r="E51" i="9" s="1"/>
  <c r="L51" i="9" s="1"/>
  <c r="J11" i="9"/>
  <c r="K10" i="9"/>
  <c r="C50" i="9" s="1"/>
  <c r="E50" i="9" s="1"/>
  <c r="L50" i="9" s="1"/>
  <c r="J10" i="9"/>
  <c r="K9" i="9"/>
  <c r="J9" i="9"/>
  <c r="C89" i="9"/>
  <c r="H97" i="9" s="1"/>
  <c r="K8" i="9"/>
  <c r="C48" i="9" s="1"/>
  <c r="E48" i="9" s="1"/>
  <c r="L48" i="9" s="1"/>
  <c r="J8" i="9"/>
  <c r="K6" i="9"/>
  <c r="C47" i="9" s="1"/>
  <c r="J203" i="9" l="1"/>
  <c r="L162" i="9"/>
  <c r="J199" i="9"/>
  <c r="L160" i="9"/>
  <c r="J198" i="9"/>
  <c r="L198" i="9" s="1"/>
  <c r="J201" i="9"/>
  <c r="J205" i="9"/>
  <c r="L158" i="9"/>
  <c r="L28" i="9"/>
  <c r="L31" i="9"/>
  <c r="J204" i="9"/>
  <c r="K12" i="9"/>
  <c r="L80" i="9"/>
  <c r="G9" i="12"/>
  <c r="J206" i="9"/>
  <c r="L163" i="9"/>
  <c r="C49" i="9"/>
  <c r="E49" i="9" s="1"/>
  <c r="L49" i="9" s="1"/>
  <c r="J153" i="9"/>
  <c r="L175" i="9"/>
  <c r="L212" i="9"/>
  <c r="E132" i="9"/>
  <c r="L142" i="9"/>
  <c r="J200" i="9"/>
  <c r="L40" i="9"/>
  <c r="L119" i="9"/>
  <c r="L159" i="9"/>
  <c r="E214" i="9"/>
  <c r="E84" i="9"/>
  <c r="B9" i="12" s="1"/>
  <c r="J202" i="9"/>
  <c r="L150" i="9"/>
  <c r="L114" i="9"/>
  <c r="E153" i="9"/>
  <c r="E164" i="9"/>
  <c r="L152" i="9"/>
  <c r="L29" i="9"/>
  <c r="L120" i="9"/>
  <c r="L26" i="9"/>
  <c r="E114" i="9"/>
  <c r="L151" i="9"/>
  <c r="J214" i="9"/>
  <c r="L211" i="9"/>
  <c r="L213" i="9"/>
  <c r="E199" i="9"/>
  <c r="J6" i="9"/>
  <c r="J12" i="9" s="1"/>
  <c r="C44" i="9" s="1"/>
  <c r="H52" i="9" s="1"/>
  <c r="L33" i="9"/>
  <c r="L24" i="9"/>
  <c r="C25" i="9"/>
  <c r="L25" i="9" s="1"/>
  <c r="C27" i="9"/>
  <c r="L27" i="9" s="1"/>
  <c r="C201" i="9"/>
  <c r="E200" i="9"/>
  <c r="C90" i="9"/>
  <c r="E90" i="9" s="1"/>
  <c r="J97" i="9"/>
  <c r="E89" i="9"/>
  <c r="E11" i="12" s="1"/>
  <c r="H11" i="12" s="1"/>
  <c r="C93" i="9"/>
  <c r="E93" i="9" s="1"/>
  <c r="L93" i="9" s="1"/>
  <c r="L30" i="9"/>
  <c r="L188" i="9"/>
  <c r="E47" i="9"/>
  <c r="E102" i="9"/>
  <c r="H103" i="9"/>
  <c r="H105" i="9"/>
  <c r="J105" i="9" s="1"/>
  <c r="L105" i="9" s="1"/>
  <c r="E143" i="9"/>
  <c r="L139" i="9"/>
  <c r="L169" i="9"/>
  <c r="J143" i="9"/>
  <c r="E40" i="9"/>
  <c r="B5" i="12" s="1"/>
  <c r="G5" i="12" s="1"/>
  <c r="L83" i="9"/>
  <c r="L149" i="9"/>
  <c r="L84" i="9" l="1"/>
  <c r="H53" i="9"/>
  <c r="L199" i="9"/>
  <c r="J207" i="9"/>
  <c r="L143" i="9"/>
  <c r="G177" i="9"/>
  <c r="J177" i="9" s="1"/>
  <c r="L177" i="9" s="1"/>
  <c r="L90" i="9"/>
  <c r="G11" i="12"/>
  <c r="L153" i="9"/>
  <c r="J34" i="9"/>
  <c r="H189" i="9"/>
  <c r="J173" i="9"/>
  <c r="L214" i="9"/>
  <c r="E201" i="9"/>
  <c r="L201" i="9" s="1"/>
  <c r="C202" i="9"/>
  <c r="L23" i="9"/>
  <c r="L34" i="9" s="1"/>
  <c r="L47" i="9"/>
  <c r="I53" i="9"/>
  <c r="E106" i="9"/>
  <c r="B13" i="12" s="1"/>
  <c r="G13" i="12" s="1"/>
  <c r="L102" i="9"/>
  <c r="L97" i="9"/>
  <c r="J98" i="9"/>
  <c r="J52" i="9"/>
  <c r="C45" i="9"/>
  <c r="E44" i="9"/>
  <c r="J103" i="9"/>
  <c r="H104" i="9"/>
  <c r="J104" i="9" s="1"/>
  <c r="L104" i="9" s="1"/>
  <c r="E98" i="9"/>
  <c r="B11" i="12" s="1"/>
  <c r="L89" i="9"/>
  <c r="L200" i="9"/>
  <c r="E34" i="9"/>
  <c r="J189" i="9" l="1"/>
  <c r="H193" i="9"/>
  <c r="H157" i="9"/>
  <c r="J157" i="9" s="1"/>
  <c r="J53" i="9"/>
  <c r="L53" i="9" s="1"/>
  <c r="B3" i="12"/>
  <c r="J178" i="9"/>
  <c r="L98" i="9"/>
  <c r="L173" i="9"/>
  <c r="L178" i="9" s="1"/>
  <c r="L189" i="9"/>
  <c r="J125" i="9"/>
  <c r="J193" i="9"/>
  <c r="J194" i="9" s="1"/>
  <c r="L44" i="9"/>
  <c r="C203" i="9"/>
  <c r="E202" i="9"/>
  <c r="L202" i="9" s="1"/>
  <c r="E45" i="9"/>
  <c r="L45" i="9" s="1"/>
  <c r="C46" i="9"/>
  <c r="E46" i="9" s="1"/>
  <c r="L46" i="9" s="1"/>
  <c r="L103" i="9"/>
  <c r="L106" i="9" s="1"/>
  <c r="J106" i="9"/>
  <c r="L52" i="9"/>
  <c r="L157" i="9" l="1"/>
  <c r="L164" i="9" s="1"/>
  <c r="J164" i="9"/>
  <c r="J54" i="9"/>
  <c r="L193" i="9"/>
  <c r="L125" i="9"/>
  <c r="L132" i="9" s="1"/>
  <c r="J132" i="9"/>
  <c r="C204" i="9"/>
  <c r="E203" i="9"/>
  <c r="L203" i="9" s="1"/>
  <c r="L54" i="9"/>
  <c r="E54" i="9"/>
  <c r="B7" i="12" l="1"/>
  <c r="J222" i="9"/>
  <c r="L194" i="9"/>
  <c r="C205" i="9"/>
  <c r="E204" i="9"/>
  <c r="L204" i="9" s="1"/>
  <c r="G26" i="15" l="1"/>
  <c r="G36" i="15" s="1"/>
  <c r="F44" i="15" s="1"/>
  <c r="F45" i="15" s="1"/>
  <c r="E205" i="9"/>
  <c r="L205" i="9" s="1"/>
  <c r="C206" i="9"/>
  <c r="E206" i="9" s="1"/>
  <c r="B5" i="16" l="1"/>
  <c r="F5" i="16" s="1"/>
  <c r="B4" i="16"/>
  <c r="F4" i="16" s="1"/>
  <c r="G13" i="11"/>
  <c r="L206" i="9"/>
  <c r="L207" i="9" s="1"/>
  <c r="L222" i="9" s="1"/>
  <c r="E207" i="9"/>
  <c r="E222" i="9" s="1"/>
  <c r="B3" i="8" l="1"/>
  <c r="B3" i="16"/>
  <c r="B16" i="8"/>
  <c r="B22" i="16" l="1"/>
  <c r="F3" i="16"/>
  <c r="G3" i="16" s="1"/>
  <c r="G4" i="16" s="1"/>
  <c r="G5" i="16" s="1"/>
  <c r="G6" i="16" s="1"/>
  <c r="G7" i="16" s="1"/>
  <c r="G8" i="16" s="1"/>
  <c r="G9" i="16" s="1"/>
  <c r="B21" i="16"/>
  <c r="B17" i="8"/>
  <c r="F12" i="8"/>
  <c r="F13" i="8"/>
  <c r="F11" i="8"/>
  <c r="F5" i="8"/>
  <c r="F8" i="8"/>
  <c r="F10" i="8"/>
  <c r="F9" i="8"/>
  <c r="F7" i="8"/>
  <c r="F6" i="8"/>
  <c r="F3" i="8"/>
  <c r="G3" i="8" s="1"/>
  <c r="G10" i="16" l="1"/>
  <c r="F4" i="8"/>
  <c r="G4" i="8" s="1"/>
  <c r="G5" i="8" s="1"/>
  <c r="G6" i="8" s="1"/>
  <c r="G7" i="8" s="1"/>
  <c r="G11" i="16" l="1"/>
  <c r="G12" i="16" s="1"/>
  <c r="G13" i="16" s="1"/>
  <c r="G14" i="16" s="1"/>
  <c r="G15" i="16" s="1"/>
  <c r="G16" i="16" s="1"/>
  <c r="G17" i="16" s="1"/>
  <c r="G18" i="16" s="1"/>
  <c r="B23" i="16"/>
  <c r="G8" i="8"/>
  <c r="G9" i="8" s="1"/>
  <c r="G10" i="8" l="1"/>
  <c r="G11" i="8" l="1"/>
  <c r="G12" i="8" s="1"/>
  <c r="G13" i="8" s="1"/>
</calcChain>
</file>

<file path=xl/sharedStrings.xml><?xml version="1.0" encoding="utf-8"?>
<sst xmlns="http://schemas.openxmlformats.org/spreadsheetml/2006/main" count="636" uniqueCount="298">
  <si>
    <t>HORÁRIO</t>
  </si>
  <si>
    <t>MOTOS</t>
  </si>
  <si>
    <t>CARROS</t>
  </si>
  <si>
    <t>HORAS DISPONÍVEIS</t>
  </si>
  <si>
    <t>SEMANA</t>
  </si>
  <si>
    <t>SABADO</t>
  </si>
  <si>
    <t>DIAS TRAB. SEMANA</t>
  </si>
  <si>
    <t>SABADOS TRABALHADO</t>
  </si>
  <si>
    <t>NÚMERO INICIAL DE VAGAS</t>
  </si>
  <si>
    <t>GASTOS INICIAIS</t>
  </si>
  <si>
    <t>INVESTIMENTO</t>
  </si>
  <si>
    <t>OPERAÇÃO</t>
  </si>
  <si>
    <t>TOTAL</t>
  </si>
  <si>
    <t>ESPECIFICAÇÃO</t>
  </si>
  <si>
    <t>UNID.</t>
  </si>
  <si>
    <t>TOTAL 1</t>
  </si>
  <si>
    <t>TOTAL 2</t>
  </si>
  <si>
    <t>PREÇO UNITÁRIO</t>
  </si>
  <si>
    <t>QUANTIDADE</t>
  </si>
  <si>
    <t>PARQUÍMETRO</t>
  </si>
  <si>
    <t>SEGURO DE PARQUÍMETRO</t>
  </si>
  <si>
    <t>CONTADOR DE MOEDAS</t>
  </si>
  <si>
    <t>INSTALAÇÃO DE CONJUNTOS PARQUIMETRO NAS VIAS</t>
  </si>
  <si>
    <t>BATERIA 12V RESERVA</t>
  </si>
  <si>
    <t>TABLET P/ LEITURA DE PARQUÍMETRO</t>
  </si>
  <si>
    <t>MANUTENÇÃO DE PARQUÍMETROS</t>
  </si>
  <si>
    <t>REPOSIÇÃO DIVERSA (BATERIA, PEDESTAL, SELETOR...)</t>
  </si>
  <si>
    <t>PÇ</t>
  </si>
  <si>
    <t>VB</t>
  </si>
  <si>
    <t>IMPRESSORA LASER COM WI-FI</t>
  </si>
  <si>
    <t>PLACA DE REGULAMENTAÇÃO</t>
  </si>
  <si>
    <t>POSTE GALVANIZADO + TRAVESSA + PORCAS+ ARRUELAS</t>
  </si>
  <si>
    <t>CJ</t>
  </si>
  <si>
    <t>INSTALAÇÃO PLACA E POSTE</t>
  </si>
  <si>
    <t>PINTURA DE VAGA  A FRIO</t>
  </si>
  <si>
    <t>PINTURA DE VAGA  A FRIO - LEGENDA IDOSO</t>
  </si>
  <si>
    <t>PINTURA DE VAGA  A FRIO - LEGENDA PNE</t>
  </si>
  <si>
    <t>PINTURA DE VAGA  A FRIO - LEGENDA CARGA E DESCARGA</t>
  </si>
  <si>
    <t>MESA PARA GERENCIA</t>
  </si>
  <si>
    <t>MESA PARA AUXILIAR ADMINISTRATIVOS</t>
  </si>
  <si>
    <t>MESA PARA SUPERVISÃO</t>
  </si>
  <si>
    <t>MESA DE REUNIÃO</t>
  </si>
  <si>
    <t>CADEIRA GIRATÓRIA</t>
  </si>
  <si>
    <t>CADEIRA FIXA SEM BRAÇO</t>
  </si>
  <si>
    <t>MESA PARA COMPUTADORES</t>
  </si>
  <si>
    <t>ARQUIVO 4 GAVETAS</t>
  </si>
  <si>
    <t>ARMÁRIO DE AÇO 2 PORTAS</t>
  </si>
  <si>
    <t>ESTANTE METÁLICA</t>
  </si>
  <si>
    <t>BALCÃO DE ATENDIMENTO</t>
  </si>
  <si>
    <t>ARMÁRIO DE AÇO 16 PORTAS</t>
  </si>
  <si>
    <t>CENTRAL TELEFONICA</t>
  </si>
  <si>
    <t>GELADEIRA</t>
  </si>
  <si>
    <t>MICROONDAS</t>
  </si>
  <si>
    <t>BEBEDOURO</t>
  </si>
  <si>
    <t>PIA</t>
  </si>
  <si>
    <t>APARELHO DE TELEFONE</t>
  </si>
  <si>
    <t>ADSL</t>
  </si>
  <si>
    <t>RELÓGIO PONTO</t>
  </si>
  <si>
    <t>MÃO DE OBRA/INSTALAÇÃO DE EQUIPAMENTOS</t>
  </si>
  <si>
    <t>ADAPTAÇÃO DO IMÓVEL</t>
  </si>
  <si>
    <t>MANUTENÇÃO</t>
  </si>
  <si>
    <t>LICENÇA DO SOFTWARE</t>
  </si>
  <si>
    <t>PDA - PERSONAL DIGITAL ASSISTENT / SMARTPHONE</t>
  </si>
  <si>
    <t>IMPRESSORA PORTÁTIL</t>
  </si>
  <si>
    <t>IMPLANTAÇÃO DO SISTEMA COM TREINAMENTO</t>
  </si>
  <si>
    <t>MENSALIDADE LICENÇA DE SOFTWARE</t>
  </si>
  <si>
    <t>BATERIA AUXILIAR PARA PDA</t>
  </si>
  <si>
    <t>PAINEL PARA RECARGA DE BATERIAS / IMPRESSORAS</t>
  </si>
  <si>
    <t>MEDIÇÃO DE SINAL - TELEFONE MÓVEL</t>
  </si>
  <si>
    <t>TELEFONE MÓVEL - PLANO 3G/4G</t>
  </si>
  <si>
    <t>LICENÇA DE SOFTWARE EMBARCADO</t>
  </si>
  <si>
    <t>CONSUMÍVEIS</t>
  </si>
  <si>
    <t>TELEFONE MÓVEL - PLANO GPRS/3G/4G</t>
  </si>
  <si>
    <t>PASSAGEM AÉREA</t>
  </si>
  <si>
    <t>VEÍCULO UTILITÁRIO</t>
  </si>
  <si>
    <t>KM/ROD</t>
  </si>
  <si>
    <t>HOSPEDAGEM</t>
  </si>
  <si>
    <t>DIÁRIA</t>
  </si>
  <si>
    <t>ALIMENTAÇÃO</t>
  </si>
  <si>
    <t>INSTALAÇÃO CÂMERAS</t>
  </si>
  <si>
    <t>CARTAZ PARA DIVULGAÇÃO</t>
  </si>
  <si>
    <t>PANFLETO PARA DIVULGAÇÃO</t>
  </si>
  <si>
    <t>LOCAÇÃO DE IMÓVEL</t>
  </si>
  <si>
    <t>SEGURANÇA E VIGILÂNCIA</t>
  </si>
  <si>
    <t>SEGURO DE VIDA FUNCIONÁRIOS</t>
  </si>
  <si>
    <t>LUZ/ÁGUA</t>
  </si>
  <si>
    <t>HONORÁRIOS CONTÁBEIS</t>
  </si>
  <si>
    <t>FOTOCÓPIAS</t>
  </si>
  <si>
    <t>COMPUTAÇÃO GRÁFICA</t>
  </si>
  <si>
    <t>MANUTENÇÃO DE EQUIPAMENTOS DE INFORMÁTICA</t>
  </si>
  <si>
    <t>INTERNET</t>
  </si>
  <si>
    <t>BOBINA PAPEL TÉRMICO - AVISO/RECIBO</t>
  </si>
  <si>
    <t>BOBINA PAPEL TÉRMICO - PARQUÍMETRO</t>
  </si>
  <si>
    <t>TONEL DE HP</t>
  </si>
  <si>
    <t>CRACHÁ DE IDENTIFICAÇÃO</t>
  </si>
  <si>
    <t>MATERIAIS DIVERSOS DE EXPEDIENTE</t>
  </si>
  <si>
    <t>MATERIAIS DIVERSOS DE LIMPEZA</t>
  </si>
  <si>
    <t>SMART CARD</t>
  </si>
  <si>
    <t>HONORÁRIOS PROFISSIONAIS - TÉCNICOS</t>
  </si>
  <si>
    <t>HORA</t>
  </si>
  <si>
    <t>HONORÁRIOS PSICÓLOGO</t>
  </si>
  <si>
    <t>MATERIAIS DIDÁTICOS</t>
  </si>
  <si>
    <t>INSTALAÇÕES/EQUIPAMENTOS</t>
  </si>
  <si>
    <t>HONORÁRIOS PROFISSIONAIS</t>
  </si>
  <si>
    <t>TRANSPORTE</t>
  </si>
  <si>
    <t>HOSPEDAGENS</t>
  </si>
  <si>
    <t>GERENTE</t>
  </si>
  <si>
    <t>ENGENHEIRO RESPONSÁVEL TÉCNICO</t>
  </si>
  <si>
    <t>COORDENADORES</t>
  </si>
  <si>
    <t>AUXILIAR ADMINISTRATIVO</t>
  </si>
  <si>
    <t>SUPERVISORA - TURNO DE 8 HORAS</t>
  </si>
  <si>
    <t>ORIENTADORA - TURNO DE 8 HORAS</t>
  </si>
  <si>
    <t>ASSISTENTE DE MANUTENÇÃO DE PARQUÍMETRO/LEITURA</t>
  </si>
  <si>
    <t>AUXILIAR DE MANUTENÇÃO DE SINALIZAÇAO</t>
  </si>
  <si>
    <t>AUXILIAR DE SERVIÇOS GERAIS</t>
  </si>
  <si>
    <t>QUANT.</t>
  </si>
  <si>
    <t>SALÁRIO</t>
  </si>
  <si>
    <t>ENC. SOCIAIS</t>
  </si>
  <si>
    <t>QUANT./MÊS</t>
  </si>
  <si>
    <t>Nº FUNC.</t>
  </si>
  <si>
    <t>UNIT.</t>
  </si>
  <si>
    <t>JAQUETAS</t>
  </si>
  <si>
    <t>CALÇA</t>
  </si>
  <si>
    <t>CONJUNTO IMPERMEÁVEL</t>
  </si>
  <si>
    <t>CAMISA MANGA CURTA</t>
  </si>
  <si>
    <t>CAMISA MANGA LONGA</t>
  </si>
  <si>
    <t>CALÇADO</t>
  </si>
  <si>
    <t>BOLSA IMPERMEÁVEL</t>
  </si>
  <si>
    <t>BONÉ</t>
  </si>
  <si>
    <t>GUARDA CHUVA</t>
  </si>
  <si>
    <t>PÇ/FUNC.</t>
  </si>
  <si>
    <t>RÁDIO</t>
  </si>
  <si>
    <t>JORNAL</t>
  </si>
  <si>
    <t>CUSTO DE IMPLANTAÇÃO</t>
  </si>
  <si>
    <t>VAGA</t>
  </si>
  <si>
    <t>DIAS</t>
  </si>
  <si>
    <t>HORAS</t>
  </si>
  <si>
    <t>HORAS EFETIVAS</t>
  </si>
  <si>
    <t>UTILIZAÇÃO</t>
  </si>
  <si>
    <t>VALOR UNITÁRIO</t>
  </si>
  <si>
    <t>SERVIÇOS</t>
  </si>
  <si>
    <t>DISTRIBUIÇÃO</t>
  </si>
  <si>
    <t>BASE</t>
  </si>
  <si>
    <t>VALOR</t>
  </si>
  <si>
    <t>ALÍQUOTA</t>
  </si>
  <si>
    <t>CUSTO/MÊS</t>
  </si>
  <si>
    <t>ISS</t>
  </si>
  <si>
    <t>TAXA DE RESPEITO</t>
  </si>
  <si>
    <t>m²</t>
  </si>
  <si>
    <t>MÊS</t>
  </si>
  <si>
    <t>TERMINAL POS - PONTO DE VENDA PDV</t>
  </si>
  <si>
    <t>VALOR FATURADO MÊS</t>
  </si>
  <si>
    <t>MESA DE MADEIRA 10 LUGARES C/ CADEIRA OU BANCO</t>
  </si>
  <si>
    <t xml:space="preserve">CONDICIONADOR DE AR </t>
  </si>
  <si>
    <t>TIR - TAXA INTERNA DE RETORNO</t>
  </si>
  <si>
    <t>TIR</t>
  </si>
  <si>
    <t>VPL</t>
  </si>
  <si>
    <t>TAXA DESCONTO (I)</t>
  </si>
  <si>
    <t>FLUXO DE CAIXA</t>
  </si>
  <si>
    <t>FLUXO DESCONTADO</t>
  </si>
  <si>
    <t>ANO</t>
  </si>
  <si>
    <t>anos</t>
  </si>
  <si>
    <t>PAYBACK COMPENSADO</t>
  </si>
  <si>
    <t>+</t>
  </si>
  <si>
    <t>RETORNO CAPITAL INVESTIDO</t>
  </si>
  <si>
    <t>DISTRIBUIÇÃO E ATENDIMENTO</t>
  </si>
  <si>
    <t>ASSISTENTE ADMINISTRATIVO</t>
  </si>
  <si>
    <t>COMPUTADOR I5, 8GB RAM, HD 1TB</t>
  </si>
  <si>
    <t>SUPERVISORA</t>
  </si>
  <si>
    <t>ORIENTADORA</t>
  </si>
  <si>
    <t>1 - Encargos sociais é composto por previdência social(20%)salário educação(2,5%)Sesc/Sesi(1,5%)Senac/Senai(1%)Sebrae(0,60%)Incra(0,20%)RAT -Seguro acidente de trabalho(2%)FGTS(8%) = 35,80%</t>
  </si>
  <si>
    <t>2 - Encargos trabalhistas é composto 13° salário e 1/3 sob férias (11,13%) , Provisão para rescisão (5,008%) , Custo para reposição de profissional ausente ( 15,03%) = 31,17%</t>
  </si>
  <si>
    <t>ENCARGOS</t>
  </si>
  <si>
    <t>ENCARGOS SOCIAIS E TRABALHISTAS</t>
  </si>
  <si>
    <t>Proporção p/ Vaga</t>
  </si>
  <si>
    <t>QTD de vagas</t>
  </si>
  <si>
    <t>Sin. Vertical(Un)</t>
  </si>
  <si>
    <t>Sin. Horizontal(m2)</t>
  </si>
  <si>
    <t>Tipo de Vaga</t>
  </si>
  <si>
    <t>Total</t>
  </si>
  <si>
    <t>PINTURA DE VAGA  A FRIO - P/ VAGA RÁPIDA + OFICIAL + EMB/DES</t>
  </si>
  <si>
    <t>Ráp+Ofic+E&amp;D</t>
  </si>
  <si>
    <t>CONSTITUIÇÃO EMPRESA NA CIDADE - JUNTA COMERCIAL</t>
  </si>
  <si>
    <t>VALE ALIMENTAÇÃO</t>
  </si>
  <si>
    <t>CONFIGURAÇÃO E ENTREGA TÉCNICA</t>
  </si>
  <si>
    <t>DO TOTAL DESCONTA 6% EM FOLHA DO FUNCIONÁRIO REFERENTE AO VALE TRÂNSPORTE, VALE ALIMENTAÇÃO DE ACORDO COM POLÍTICA DA CONCESSIONÁRIA</t>
  </si>
  <si>
    <t>RECEITA</t>
  </si>
  <si>
    <t>RECEITA PREVISTA - ARRECADAÇÃO</t>
  </si>
  <si>
    <t>TOTAL DA ARRECADAÇÃO PREVISTA</t>
  </si>
  <si>
    <t>2.1 INVESTIMENTOS OPERACIONAIS</t>
  </si>
  <si>
    <t>2.1.1 TECNOLOGIA</t>
  </si>
  <si>
    <t>2.1.2 EQUIPAMENTOS DE INFORMÁTICA E DE USO GERAL</t>
  </si>
  <si>
    <t>2.1.3 SINALIZAÇÃO REGULAMENTADORA</t>
  </si>
  <si>
    <t>2.1.4 EQUIPAMENTO E MATERIAL DE ESCRITÓRIO</t>
  </si>
  <si>
    <t>2.1.5 SISTEMA DE FISCALIZAÇÃO ON-LINE</t>
  </si>
  <si>
    <t>2.1.6 SISTEMA DE POSTOS DE VENDA - PDV´s</t>
  </si>
  <si>
    <t>2.2 TRANSPORTE, HOSPEDAGEM E ALIMENTAÇÃO PARA IMPLANTAÇÃO</t>
  </si>
  <si>
    <t>2.3 LANÇAMENTO E OPERACIONALIZAÇÃO</t>
  </si>
  <si>
    <t>2.3.1 CUSTOS COM CENTRAL DE ATENDIMENTO</t>
  </si>
  <si>
    <t>2.4 MATERIAL DE CONSUMO</t>
  </si>
  <si>
    <t>2.5 MÃO DE OBRA</t>
  </si>
  <si>
    <t>2.5.1 RECRUTAMENTO E SELEÇÃO</t>
  </si>
  <si>
    <t>2.5.2 TREINAMENTO</t>
  </si>
  <si>
    <t>2.5.3 SALARIOS + ENCARGOS</t>
  </si>
  <si>
    <t>2.5.4 VALE TRANSPORTE + ALIMENTAÇÃO</t>
  </si>
  <si>
    <t>2.5.5 UNIFORMES</t>
  </si>
  <si>
    <t>2.6 MÍDIA</t>
  </si>
  <si>
    <t>DESPESA OPERACIONAL</t>
  </si>
  <si>
    <t>2. INVESTIMENTOS E DESPESAS</t>
  </si>
  <si>
    <t>SISTEMA DE ESTACIONAMENTO ROTATIVO CONTROLADO</t>
  </si>
  <si>
    <t>Meses</t>
  </si>
  <si>
    <t>ANO 0 - SOMENTE INVESTIMENTO CONSIDERADO O TOTAL</t>
  </si>
  <si>
    <t>ANO 1 ATÉ 10 - RETORNO FINACEIRO DA TAXA DE ADMINISTRAÇÃO</t>
  </si>
  <si>
    <t>TAXA OCUP.</t>
  </si>
  <si>
    <t>1. DISTRIBUIÇÃO</t>
  </si>
  <si>
    <t>Vagas p/ Par.</t>
  </si>
  <si>
    <t>Vagas p/ Mon.</t>
  </si>
  <si>
    <t>Vagas p/ PDV</t>
  </si>
  <si>
    <r>
      <t>m</t>
    </r>
    <r>
      <rPr>
        <vertAlign val="superscript"/>
        <sz val="11"/>
        <color theme="1"/>
        <rFont val="Arial"/>
        <family val="2"/>
      </rPr>
      <t>2</t>
    </r>
  </si>
  <si>
    <t>Carro (pago)</t>
  </si>
  <si>
    <t>FATURAMENTO TOTAL CARROS</t>
  </si>
  <si>
    <t>ARRECADAÇÃO TOTAL</t>
  </si>
  <si>
    <t>MENSALIDADE TECNOLOGIA OCR EMBARCADO</t>
  </si>
  <si>
    <t>SENSOR DE VAGA COM COMUNICAÇÃO 10% VAGAS CARRO</t>
  </si>
  <si>
    <t>CARRO ATÉ 2 ANOS DE USO</t>
  </si>
  <si>
    <t>Obs: 60% das operações transacionadas via cartão de crédito/débito</t>
  </si>
  <si>
    <t>ITEM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</si>
  <si>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</si>
  <si>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</si>
  <si>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</si>
  <si>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</si>
  <si>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</si>
  <si>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</si>
  <si>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</si>
  <si>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</si>
  <si>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</si>
  <si>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ANO 10</t>
  </si>
  <si>
    <t>2.1 - TECNOLOGIA</t>
  </si>
  <si>
    <t>2.1.2 - EQUIP. INFORMÁTICA</t>
  </si>
  <si>
    <t>2.1.4 - MATERIAL DE ESCRITÓRIO</t>
  </si>
  <si>
    <t>2.1.3 - SINALIZAÇÃO</t>
  </si>
  <si>
    <t>2.1.5 - SISTEMA DE FISCALIZAÇÃO ON-LINE</t>
  </si>
  <si>
    <t>2.1.6 -SISTEMA DE POSTOS DE VENDA - PDV</t>
  </si>
  <si>
    <t>COMPOSIÇÃO DE INVESTIMENTO E CRONOGRAMA DE REINVESTIMENTOS/DEPRECIAÇÃO</t>
  </si>
  <si>
    <t>SUB-TOTAL</t>
  </si>
  <si>
    <t>Equipamentos com previsão de vida útil 10 anos, com devidas manuteções preventivas e corretivas.</t>
  </si>
  <si>
    <t>Equipamentos com previsão de vida útil 5 anos.</t>
  </si>
  <si>
    <t>Custo de reposição/manutenção inclusos nas despesas mensais.</t>
  </si>
  <si>
    <t>Previsão de troca do carro de fiscalização em até 5 anos de uso.</t>
  </si>
  <si>
    <t>Previsão de troca dos PDA´s dos monitores a cada 3 anos, no mínimo 3 trocas em 10 anos. Previsão de troca das impressoras a cada 5 anos.</t>
  </si>
  <si>
    <t>Previsão de troca dos equipamentos PDV a cada 5 anos.</t>
  </si>
  <si>
    <t>NO RETORNO DO CAPITAL INVESTIDO É ACRESCIDO A REPOSIÇÃO PREVISTA NA PLANILHA DE DEPRECIAÇÃO</t>
  </si>
  <si>
    <t>QUEBRA DE CAIXA (10% SOBRE SALARIO DO ORIENTADOR)</t>
  </si>
  <si>
    <t>MÍDIAS DIGITAIS</t>
  </si>
  <si>
    <t>2.7 OUTORGA ANTECIPADA</t>
  </si>
  <si>
    <t>OUTORGA ANTECIPADA</t>
  </si>
  <si>
    <t>PIS/COFINS</t>
  </si>
  <si>
    <t>Obs: 50% de comissão para pontos de venda, considerando que terá outras formas de venda do crédito, via aplicativo e parquímetro.</t>
  </si>
  <si>
    <t>BASE DE CÁLCULO DO PREÇO PÚBLICO - ESTACIONAMENTO ROTATIVO CONTROLADO</t>
  </si>
  <si>
    <t>1 REMUNERAÇÃO À PREFEITURA</t>
  </si>
  <si>
    <t>3 COMISSÃO DE VENDAS (PONTOS DE VENDA)</t>
  </si>
  <si>
    <t>4 TAXA CARTÃO DE CRÉDITO/DÉBITO</t>
  </si>
  <si>
    <t>6 TOTAL DE CUSTEIO</t>
  </si>
  <si>
    <t>7 IMPOSTOS E CONTRIBUIÇÕES</t>
  </si>
  <si>
    <t>8 CUSTO OPERACIONAL</t>
  </si>
  <si>
    <t>9 VIABILIDADE OPERACIONAL</t>
  </si>
  <si>
    <t>MANUTENÇÃO DA SINALIZAÇÃO HORIZONTAL 10% AO MÊS</t>
  </si>
  <si>
    <t>MANUTENÇÃO DA SINALIZAÇÃO VERTICAL 3% AO MÊS</t>
  </si>
  <si>
    <t>ANO 2 - INSERIDO INVESTIMENTO ETAPA 2 NO FLUXO DE CAIXA</t>
  </si>
  <si>
    <t>5  MARGEM DA CONCESSIONÁRIA</t>
  </si>
  <si>
    <t>DOMINGOS TRABALHADO</t>
  </si>
  <si>
    <t>PCD</t>
  </si>
  <si>
    <t>PRIMEIROS 2 ANOS OPERAÇÃO R$ 1,50</t>
  </si>
  <si>
    <t>AVALIAR SE COBRAR MOTOS OU NÃO - CRIAR PLANILHA COM E SEM</t>
  </si>
  <si>
    <t>VERIFICAR A POSSIBILIDADE DE CONCESSÃO POR 15 ANOS</t>
  </si>
  <si>
    <t>COBRAR IDOSO E CARGA E DESCARGA</t>
  </si>
  <si>
    <t>NÃO COBRAR DEFICIENTE</t>
  </si>
  <si>
    <t>NÃO NECESSITA PARQUIMETRO E NEM SENSOR DE VAGA</t>
  </si>
  <si>
    <t>INFORMAÇÕES DO FUNCIONAMENTO DO ESTACIONAMENTO ROTATIVO</t>
  </si>
  <si>
    <t>TOTAL DE HORAS OPERAÇÃO</t>
  </si>
  <si>
    <t>558 VAGAS CARROS</t>
  </si>
  <si>
    <t>530 VAGAS MOTOS</t>
  </si>
  <si>
    <t>31 VAGAS IDOSOS</t>
  </si>
  <si>
    <t>12 VAGAS CARGA E DESCARGA</t>
  </si>
  <si>
    <t>2 CUSTO OPERACIONAL MÉDIO</t>
  </si>
  <si>
    <t>OBSERVAÇÕES:</t>
  </si>
  <si>
    <t>PREÇO MEDIO</t>
  </si>
  <si>
    <t>Preço Médio</t>
  </si>
  <si>
    <t>C&amp;D (Pago)</t>
  </si>
  <si>
    <t>ARRECADAÇÃO MENSAL</t>
  </si>
  <si>
    <t>13:30:00 as 18:00</t>
  </si>
  <si>
    <t>08:00 as 12:00</t>
  </si>
  <si>
    <t>Moto</t>
  </si>
  <si>
    <t>Idoso</t>
  </si>
  <si>
    <t xml:space="preserve">ARRECADAÇÃO CONSIDERADA </t>
  </si>
  <si>
    <t>ESTIMATIVA DE ARRECADAÇÃO</t>
  </si>
  <si>
    <t>PLANILHA DE CUSTOS - TRÊS DE MAIO/RS</t>
  </si>
  <si>
    <t>PREVISÃO DE FATURAMENTO DO SISTEMA DE ESTACIONAMENTO ROTATIVO PAGO SIMULAÇÃO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</si>
</sst>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[$-F400]h:mm:ss\ AM/PM"/>
    <numFmt numFmtId="166" formatCode="0.0%"/>
    <numFmt numFmtId="167" formatCode="_-&quot;R$&quot;\ * #.##0.00_-;\-&quot;R$&quot;\ * #.##0.00_-;_-&quot;R$&quot;\ 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sz val="14"/>
      <color theme="0"/>
      <name val="Arial"/>
      <family val="2"/>
    </font>
    <font>
      <i/>
      <sz val="12"/>
      <color theme="0"/>
      <name val="Arial"/>
      <family val="2"/>
    </font>
    <font>
      <sz val="11"/>
      <color theme="5"/>
      <name val="Arial"/>
      <family val="2"/>
    </font>
    <font>
      <sz val="12"/>
      <color theme="5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  <charset val="1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5">
    <xf numFmtId="0" fontId="0" fillId="0" borderId="0" xfId="0"/>
    <xf numFmtId="0" fontId="0" fillId="3" borderId="25" xfId="0" applyFill="1" applyBorder="1"/>
    <xf numFmtId="0" fontId="3" fillId="0" borderId="0" xfId="0" applyFont="1"/>
    <xf numFmtId="0" fontId="7" fillId="0" borderId="0" xfId="0" applyFont="1"/>
    <xf numFmtId="164" fontId="8" fillId="0" borderId="0" xfId="0" applyNumberFormat="1" applyFont="1"/>
    <xf numFmtId="0" fontId="10" fillId="0" borderId="0" xfId="0" applyFont="1"/>
    <xf numFmtId="0" fontId="12" fillId="0" borderId="0" xfId="0" applyFont="1"/>
    <xf numFmtId="0" fontId="12" fillId="7" borderId="12" xfId="0" applyFont="1" applyFill="1" applyBorder="1"/>
    <xf numFmtId="0" fontId="12" fillId="7" borderId="13" xfId="0" applyFont="1" applyFill="1" applyBorder="1"/>
    <xf numFmtId="44" fontId="12" fillId="7" borderId="14" xfId="1" applyFont="1" applyFill="1" applyBorder="1"/>
    <xf numFmtId="0" fontId="11" fillId="7" borderId="12" xfId="0" applyFont="1" applyFill="1" applyBorder="1" applyAlignment="1">
      <alignment horizontal="center"/>
    </xf>
    <xf numFmtId="0" fontId="13" fillId="0" borderId="0" xfId="0" applyFont="1"/>
    <xf numFmtId="0" fontId="10" fillId="10" borderId="1" xfId="0" applyFont="1" applyFill="1" applyBorder="1"/>
    <xf numFmtId="0" fontId="10" fillId="10" borderId="2" xfId="0" applyFont="1" applyFill="1" applyBorder="1"/>
    <xf numFmtId="44" fontId="10" fillId="10" borderId="30" xfId="1" applyFont="1" applyFill="1" applyBorder="1"/>
    <xf numFmtId="0" fontId="10" fillId="7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44" fontId="12" fillId="0" borderId="30" xfId="1" applyFont="1" applyBorder="1"/>
    <xf numFmtId="44" fontId="12" fillId="0" borderId="0" xfId="1" applyFont="1" applyBorder="1"/>
    <xf numFmtId="0" fontId="11" fillId="0" borderId="34" xfId="0" applyFont="1" applyBorder="1" applyAlignment="1">
      <alignment horizontal="center"/>
    </xf>
    <xf numFmtId="10" fontId="12" fillId="0" borderId="6" xfId="2" applyNumberFormat="1" applyFont="1" applyBorder="1"/>
    <xf numFmtId="0" fontId="11" fillId="0" borderId="36" xfId="0" applyFont="1" applyBorder="1" applyAlignment="1">
      <alignment horizontal="center"/>
    </xf>
    <xf numFmtId="44" fontId="0" fillId="0" borderId="0" xfId="0" applyNumberFormat="1"/>
    <xf numFmtId="44" fontId="0" fillId="7" borderId="6" xfId="1" applyFont="1" applyFill="1" applyBorder="1"/>
    <xf numFmtId="44" fontId="0" fillId="0" borderId="6" xfId="1" applyFont="1" applyBorder="1"/>
    <xf numFmtId="9" fontId="12" fillId="7" borderId="6" xfId="2" applyFont="1" applyFill="1" applyBorder="1" applyAlignment="1">
      <alignment horizontal="center"/>
    </xf>
    <xf numFmtId="9" fontId="12" fillId="0" borderId="30" xfId="0" applyNumberFormat="1" applyFont="1" applyBorder="1"/>
    <xf numFmtId="44" fontId="12" fillId="0" borderId="22" xfId="0" applyNumberFormat="1" applyFont="1" applyBorder="1"/>
    <xf numFmtId="44" fontId="0" fillId="0" borderId="3" xfId="0" applyNumberFormat="1" applyBorder="1"/>
    <xf numFmtId="10" fontId="1" fillId="0" borderId="30" xfId="0" applyNumberFormat="1" applyFont="1" applyBorder="1"/>
    <xf numFmtId="44" fontId="12" fillId="0" borderId="0" xfId="0" applyNumberFormat="1" applyFont="1"/>
    <xf numFmtId="9" fontId="11" fillId="0" borderId="9" xfId="2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9" fontId="12" fillId="0" borderId="9" xfId="2" applyFont="1" applyBorder="1" applyAlignment="1">
      <alignment horizontal="center" vertical="center"/>
    </xf>
    <xf numFmtId="43" fontId="0" fillId="7" borderId="6" xfId="3" applyFont="1" applyFill="1" applyBorder="1"/>
    <xf numFmtId="0" fontId="16" fillId="0" borderId="0" xfId="0" applyFont="1"/>
    <xf numFmtId="44" fontId="12" fillId="0" borderId="33" xfId="1" applyFont="1" applyBorder="1"/>
    <xf numFmtId="44" fontId="12" fillId="0" borderId="14" xfId="1" applyFont="1" applyBorder="1"/>
    <xf numFmtId="8" fontId="3" fillId="0" borderId="6" xfId="0" applyNumberFormat="1" applyFont="1" applyBorder="1" applyAlignment="1">
      <alignment horizontal="center"/>
    </xf>
    <xf numFmtId="44" fontId="3" fillId="0" borderId="0" xfId="1" applyFont="1"/>
    <xf numFmtId="9" fontId="3" fillId="0" borderId="0" xfId="2" applyFont="1"/>
    <xf numFmtId="0" fontId="3" fillId="11" borderId="21" xfId="0" applyFont="1" applyFill="1" applyBorder="1" applyAlignment="1">
      <alignment horizontal="left"/>
    </xf>
    <xf numFmtId="10" fontId="3" fillId="0" borderId="6" xfId="0" applyNumberFormat="1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9" fontId="3" fillId="0" borderId="0" xfId="0" applyNumberFormat="1" applyFont="1"/>
    <xf numFmtId="44" fontId="3" fillId="0" borderId="6" xfId="0" applyNumberFormat="1" applyFont="1" applyBorder="1" applyAlignment="1">
      <alignment horizontal="right"/>
    </xf>
    <xf numFmtId="0" fontId="3" fillId="5" borderId="18" xfId="0" applyFont="1" applyFill="1" applyBorder="1"/>
    <xf numFmtId="0" fontId="18" fillId="0" borderId="0" xfId="0" applyFont="1"/>
    <xf numFmtId="0" fontId="3" fillId="0" borderId="6" xfId="0" applyFont="1" applyBorder="1"/>
    <xf numFmtId="0" fontId="3" fillId="5" borderId="6" xfId="0" applyFont="1" applyFill="1" applyBorder="1"/>
    <xf numFmtId="0" fontId="3" fillId="5" borderId="24" xfId="0" applyFont="1" applyFill="1" applyBorder="1"/>
    <xf numFmtId="0" fontId="3" fillId="5" borderId="45" xfId="0" applyFont="1" applyFill="1" applyBorder="1"/>
    <xf numFmtId="0" fontId="20" fillId="0" borderId="0" xfId="0" applyFont="1" applyAlignment="1">
      <alignment horizontal="center"/>
    </xf>
    <xf numFmtId="0" fontId="18" fillId="0" borderId="6" xfId="0" applyFont="1" applyBorder="1"/>
    <xf numFmtId="0" fontId="3" fillId="5" borderId="19" xfId="0" applyFont="1" applyFill="1" applyBorder="1"/>
    <xf numFmtId="0" fontId="3" fillId="0" borderId="0" xfId="0" applyFont="1" applyAlignment="1">
      <alignment horizontal="center"/>
    </xf>
    <xf numFmtId="0" fontId="3" fillId="5" borderId="42" xfId="0" applyFont="1" applyFill="1" applyBorder="1"/>
    <xf numFmtId="0" fontId="3" fillId="5" borderId="46" xfId="0" applyFont="1" applyFill="1" applyBorder="1"/>
    <xf numFmtId="0" fontId="3" fillId="5" borderId="47" xfId="0" applyFont="1" applyFill="1" applyBorder="1"/>
    <xf numFmtId="0" fontId="3" fillId="5" borderId="28" xfId="0" applyFont="1" applyFill="1" applyBorder="1"/>
    <xf numFmtId="44" fontId="3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3" fillId="11" borderId="23" xfId="0" applyFont="1" applyFill="1" applyBorder="1" applyAlignment="1">
      <alignment horizontal="left"/>
    </xf>
    <xf numFmtId="2" fontId="3" fillId="12" borderId="24" xfId="0" applyNumberFormat="1" applyFont="1" applyFill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12" fillId="0" borderId="31" xfId="0" applyFont="1" applyBorder="1" applyAlignment="1">
      <alignment horizontal="left" vertical="center"/>
    </xf>
    <xf numFmtId="0" fontId="12" fillId="0" borderId="22" xfId="0" applyFont="1" applyBorder="1" applyAlignment="1">
      <alignment horizontal="center"/>
    </xf>
    <xf numFmtId="44" fontId="3" fillId="0" borderId="0" xfId="1" applyFont="1" applyBorder="1"/>
    <xf numFmtId="9" fontId="3" fillId="0" borderId="0" xfId="2" applyFont="1" applyBorder="1"/>
    <xf numFmtId="44" fontId="3" fillId="0" borderId="6" xfId="1" applyFont="1" applyBorder="1" applyAlignment="1">
      <alignment horizontal="center"/>
    </xf>
    <xf numFmtId="0" fontId="21" fillId="5" borderId="30" xfId="0" applyFont="1" applyFill="1" applyBorder="1"/>
    <xf numFmtId="0" fontId="21" fillId="5" borderId="6" xfId="0" applyFont="1" applyFill="1" applyBorder="1" applyAlignment="1">
      <alignment horizontal="center"/>
    </xf>
    <xf numFmtId="0" fontId="21" fillId="5" borderId="6" xfId="0" applyFont="1" applyFill="1" applyBorder="1"/>
    <xf numFmtId="164" fontId="8" fillId="0" borderId="32" xfId="0" applyNumberFormat="1" applyFont="1" applyBorder="1" applyAlignment="1">
      <alignment horizontal="center"/>
    </xf>
    <xf numFmtId="0" fontId="12" fillId="0" borderId="13" xfId="0" applyFont="1" applyBorder="1"/>
    <xf numFmtId="0" fontId="12" fillId="0" borderId="10" xfId="0" applyFont="1" applyBorder="1"/>
    <xf numFmtId="0" fontId="12" fillId="0" borderId="11" xfId="0" applyFont="1" applyBorder="1"/>
    <xf numFmtId="0" fontId="0" fillId="0" borderId="10" xfId="0" applyBorder="1"/>
    <xf numFmtId="0" fontId="0" fillId="0" borderId="11" xfId="0" applyBorder="1"/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3" fillId="0" borderId="10" xfId="0" applyFont="1" applyBorder="1"/>
    <xf numFmtId="0" fontId="11" fillId="0" borderId="22" xfId="0" applyFont="1" applyBorder="1" applyAlignment="1">
      <alignment horizontal="center"/>
    </xf>
    <xf numFmtId="0" fontId="0" fillId="0" borderId="21" xfId="0" applyBorder="1"/>
    <xf numFmtId="10" fontId="12" fillId="7" borderId="22" xfId="2" applyNumberFormat="1" applyFont="1" applyFill="1" applyBorder="1" applyAlignment="1">
      <alignment horizontal="center"/>
    </xf>
    <xf numFmtId="0" fontId="0" fillId="0" borderId="14" xfId="0" applyBorder="1"/>
    <xf numFmtId="0" fontId="12" fillId="0" borderId="10" xfId="0" applyFont="1" applyBorder="1" applyAlignment="1">
      <alignment horizontal="left"/>
    </xf>
    <xf numFmtId="44" fontId="12" fillId="0" borderId="11" xfId="1" applyFont="1" applyBorder="1"/>
    <xf numFmtId="44" fontId="12" fillId="0" borderId="11" xfId="0" applyNumberFormat="1" applyFont="1" applyBorder="1"/>
    <xf numFmtId="0" fontId="12" fillId="0" borderId="34" xfId="0" applyFont="1" applyBorder="1"/>
    <xf numFmtId="0" fontId="12" fillId="0" borderId="36" xfId="0" applyFont="1" applyBorder="1"/>
    <xf numFmtId="0" fontId="10" fillId="7" borderId="12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0" fillId="7" borderId="20" xfId="0" applyFont="1" applyFill="1" applyBorder="1" applyAlignment="1">
      <alignment horizontal="center"/>
    </xf>
    <xf numFmtId="0" fontId="10" fillId="8" borderId="44" xfId="0" applyFont="1" applyFill="1" applyBorder="1" applyAlignment="1">
      <alignment horizontal="center"/>
    </xf>
    <xf numFmtId="0" fontId="10" fillId="7" borderId="41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3" fillId="0" borderId="21" xfId="0" applyFont="1" applyBorder="1"/>
    <xf numFmtId="0" fontId="3" fillId="0" borderId="6" xfId="0" applyFont="1" applyBorder="1" applyAlignment="1">
      <alignment horizontal="left" vertical="center"/>
    </xf>
    <xf numFmtId="44" fontId="3" fillId="0" borderId="6" xfId="1" applyFont="1" applyBorder="1"/>
    <xf numFmtId="44" fontId="3" fillId="0" borderId="22" xfId="1" applyFont="1" applyBorder="1"/>
    <xf numFmtId="0" fontId="3" fillId="0" borderId="18" xfId="0" applyFont="1" applyBorder="1" applyAlignment="1">
      <alignment horizontal="left" vertical="center"/>
    </xf>
    <xf numFmtId="0" fontId="3" fillId="0" borderId="19" xfId="0" applyFont="1" applyBorder="1"/>
    <xf numFmtId="44" fontId="3" fillId="0" borderId="19" xfId="1" applyFont="1" applyBorder="1"/>
    <xf numFmtId="44" fontId="3" fillId="0" borderId="20" xfId="1" applyFont="1" applyBorder="1"/>
    <xf numFmtId="44" fontId="3" fillId="0" borderId="27" xfId="1" applyFont="1" applyBorder="1"/>
    <xf numFmtId="0" fontId="3" fillId="0" borderId="21" xfId="0" applyFont="1" applyBorder="1" applyAlignment="1">
      <alignment horizontal="left" vertical="center"/>
    </xf>
    <xf numFmtId="44" fontId="3" fillId="0" borderId="28" xfId="1" applyFont="1" applyBorder="1"/>
    <xf numFmtId="0" fontId="3" fillId="0" borderId="21" xfId="0" applyFont="1" applyBorder="1" applyAlignment="1">
      <alignment horizontal="left"/>
    </xf>
    <xf numFmtId="0" fontId="10" fillId="7" borderId="23" xfId="0" applyFont="1" applyFill="1" applyBorder="1" applyAlignment="1">
      <alignment horizontal="center" vertical="center"/>
    </xf>
    <xf numFmtId="0" fontId="3" fillId="7" borderId="24" xfId="0" applyFont="1" applyFill="1" applyBorder="1"/>
    <xf numFmtId="44" fontId="3" fillId="7" borderId="24" xfId="1" applyFont="1" applyFill="1" applyBorder="1"/>
    <xf numFmtId="44" fontId="3" fillId="7" borderId="25" xfId="1" applyFont="1" applyFill="1" applyBorder="1"/>
    <xf numFmtId="0" fontId="3" fillId="0" borderId="13" xfId="0" applyFont="1" applyBorder="1"/>
    <xf numFmtId="0" fontId="3" fillId="7" borderId="23" xfId="0" applyFont="1" applyFill="1" applyBorder="1"/>
    <xf numFmtId="44" fontId="3" fillId="7" borderId="29" xfId="1" applyFont="1" applyFill="1" applyBorder="1"/>
    <xf numFmtId="0" fontId="10" fillId="7" borderId="35" xfId="0" applyFont="1" applyFill="1" applyBorder="1" applyAlignment="1">
      <alignment horizontal="center"/>
    </xf>
    <xf numFmtId="0" fontId="10" fillId="7" borderId="34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3" fillId="7" borderId="13" xfId="0" applyFont="1" applyFill="1" applyBorder="1"/>
    <xf numFmtId="44" fontId="3" fillId="7" borderId="14" xfId="1" applyFont="1" applyFill="1" applyBorder="1"/>
    <xf numFmtId="0" fontId="3" fillId="7" borderId="12" xfId="0" applyFont="1" applyFill="1" applyBorder="1"/>
    <xf numFmtId="0" fontId="10" fillId="7" borderId="47" xfId="0" applyFont="1" applyFill="1" applyBorder="1" applyAlignment="1">
      <alignment horizontal="center"/>
    </xf>
    <xf numFmtId="44" fontId="3" fillId="7" borderId="33" xfId="1" applyFont="1" applyFill="1" applyBorder="1"/>
    <xf numFmtId="0" fontId="10" fillId="8" borderId="4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3" fillId="0" borderId="11" xfId="0" applyFont="1" applyBorder="1"/>
    <xf numFmtId="0" fontId="3" fillId="2" borderId="30" xfId="0" applyFont="1" applyFill="1" applyBorder="1"/>
    <xf numFmtId="10" fontId="0" fillId="2" borderId="2" xfId="2" applyNumberFormat="1" applyFont="1" applyFill="1" applyBorder="1"/>
    <xf numFmtId="0" fontId="0" fillId="0" borderId="2" xfId="0" applyBorder="1"/>
    <xf numFmtId="0" fontId="0" fillId="0" borderId="3" xfId="0" applyBorder="1"/>
    <xf numFmtId="10" fontId="0" fillId="8" borderId="0" xfId="2" applyNumberFormat="1" applyFont="1" applyFill="1" applyBorder="1"/>
    <xf numFmtId="0" fontId="3" fillId="8" borderId="6" xfId="0" applyFont="1" applyFill="1" applyBorder="1"/>
    <xf numFmtId="44" fontId="3" fillId="8" borderId="6" xfId="1" applyFont="1" applyFill="1" applyBorder="1"/>
    <xf numFmtId="44" fontId="3" fillId="8" borderId="22" xfId="1" applyFont="1" applyFill="1" applyBorder="1"/>
    <xf numFmtId="0" fontId="3" fillId="8" borderId="0" xfId="0" applyFont="1" applyFill="1"/>
    <xf numFmtId="44" fontId="3" fillId="8" borderId="28" xfId="1" applyFont="1" applyFill="1" applyBorder="1"/>
    <xf numFmtId="0" fontId="10" fillId="7" borderId="7" xfId="0" applyFont="1" applyFill="1" applyBorder="1"/>
    <xf numFmtId="0" fontId="10" fillId="7" borderId="4" xfId="0" applyFont="1" applyFill="1" applyBorder="1" applyAlignment="1">
      <alignment horizontal="center"/>
    </xf>
    <xf numFmtId="44" fontId="3" fillId="0" borderId="0" xfId="0" applyNumberFormat="1" applyFont="1"/>
    <xf numFmtId="44" fontId="15" fillId="0" borderId="49" xfId="1" applyFont="1" applyBorder="1"/>
    <xf numFmtId="43" fontId="15" fillId="0" borderId="24" xfId="0" applyNumberFormat="1" applyFont="1" applyBorder="1"/>
    <xf numFmtId="0" fontId="3" fillId="5" borderId="34" xfId="0" applyFont="1" applyFill="1" applyBorder="1"/>
    <xf numFmtId="0" fontId="3" fillId="5" borderId="52" xfId="0" applyFont="1" applyFill="1" applyBorder="1"/>
    <xf numFmtId="0" fontId="3" fillId="6" borderId="6" xfId="0" applyFont="1" applyFill="1" applyBorder="1"/>
    <xf numFmtId="0" fontId="3" fillId="5" borderId="50" xfId="0" applyFont="1" applyFill="1" applyBorder="1"/>
    <xf numFmtId="0" fontId="3" fillId="5" borderId="53" xfId="0" applyFont="1" applyFill="1" applyBorder="1"/>
    <xf numFmtId="0" fontId="3" fillId="5" borderId="51" xfId="0" applyFont="1" applyFill="1" applyBorder="1"/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166" fontId="12" fillId="0" borderId="30" xfId="0" applyNumberFormat="1" applyFont="1" applyBorder="1"/>
    <xf numFmtId="0" fontId="12" fillId="13" borderId="6" xfId="0" applyFont="1" applyFill="1" applyBorder="1" applyAlignment="1">
      <alignment horizontal="center"/>
    </xf>
    <xf numFmtId="0" fontId="12" fillId="13" borderId="22" xfId="0" applyFont="1" applyFill="1" applyBorder="1" applyAlignment="1">
      <alignment horizontal="center"/>
    </xf>
    <xf numFmtId="0" fontId="1" fillId="5" borderId="0" xfId="0" applyFont="1" applyFill="1"/>
    <xf numFmtId="0" fontId="1" fillId="0" borderId="0" xfId="0" applyFont="1"/>
    <xf numFmtId="0" fontId="1" fillId="0" borderId="6" xfId="0" applyFont="1" applyBorder="1"/>
    <xf numFmtId="44" fontId="0" fillId="0" borderId="6" xfId="0" applyNumberFormat="1" applyBorder="1"/>
    <xf numFmtId="0" fontId="0" fillId="0" borderId="6" xfId="0" applyBorder="1"/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43" fontId="15" fillId="0" borderId="13" xfId="0" applyNumberFormat="1" applyFont="1" applyBorder="1"/>
    <xf numFmtId="0" fontId="3" fillId="0" borderId="0" xfId="0" applyFont="1" applyAlignment="1">
      <alignment horizontal="left"/>
    </xf>
    <xf numFmtId="0" fontId="14" fillId="0" borderId="10" xfId="0" applyFont="1" applyBorder="1" applyAlignment="1">
      <alignment horizontal="center"/>
    </xf>
    <xf numFmtId="44" fontId="15" fillId="0" borderId="0" xfId="1" applyFont="1" applyBorder="1"/>
    <xf numFmtId="0" fontId="12" fillId="0" borderId="48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44" fontId="15" fillId="0" borderId="6" xfId="1" applyFont="1" applyBorder="1" applyAlignment="1">
      <alignment wrapText="1"/>
    </xf>
    <xf numFmtId="44" fontId="3" fillId="0" borderId="6" xfId="0" applyNumberFormat="1" applyFon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0" fontId="0" fillId="2" borderId="38" xfId="0" applyFill="1" applyBorder="1" applyAlignment="1">
      <alignment horizontal="right"/>
    </xf>
    <xf numFmtId="0" fontId="0" fillId="3" borderId="36" xfId="0" applyFill="1" applyBorder="1"/>
    <xf numFmtId="0" fontId="0" fillId="2" borderId="39" xfId="0" applyFill="1" applyBorder="1" applyAlignment="1">
      <alignment horizontal="center"/>
    </xf>
    <xf numFmtId="0" fontId="26" fillId="0" borderId="0" xfId="0" applyFont="1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26" fillId="0" borderId="0" xfId="0" applyFont="1" applyAlignment="1">
      <alignment horizontal="left"/>
    </xf>
    <xf numFmtId="10" fontId="11" fillId="0" borderId="30" xfId="0" applyNumberFormat="1" applyFont="1" applyBorder="1"/>
    <xf numFmtId="9" fontId="11" fillId="0" borderId="30" xfId="0" applyNumberFormat="1" applyFont="1" applyBorder="1"/>
    <xf numFmtId="167" fontId="3" fillId="0" borderId="0" xfId="0" applyNumberFormat="1" applyFont="1"/>
    <xf numFmtId="44" fontId="0" fillId="0" borderId="0" xfId="1" applyFont="1"/>
    <xf numFmtId="0" fontId="3" fillId="0" borderId="34" xfId="0" applyFont="1" applyBorder="1"/>
    <xf numFmtId="44" fontId="3" fillId="0" borderId="34" xfId="0" applyNumberFormat="1" applyFont="1" applyBorder="1" applyAlignment="1">
      <alignment horizontal="center"/>
    </xf>
    <xf numFmtId="8" fontId="3" fillId="0" borderId="34" xfId="0" applyNumberFormat="1" applyFont="1" applyBorder="1" applyAlignment="1">
      <alignment horizontal="center"/>
    </xf>
    <xf numFmtId="8" fontId="3" fillId="0" borderId="22" xfId="0" applyNumberFormat="1" applyFont="1" applyBorder="1" applyAlignment="1">
      <alignment horizontal="center"/>
    </xf>
    <xf numFmtId="0" fontId="3" fillId="0" borderId="23" xfId="0" applyFont="1" applyBorder="1"/>
    <xf numFmtId="44" fontId="3" fillId="0" borderId="24" xfId="0" applyNumberFormat="1" applyFont="1" applyBorder="1" applyAlignment="1">
      <alignment horizontal="center"/>
    </xf>
    <xf numFmtId="8" fontId="3" fillId="0" borderId="24" xfId="0" applyNumberFormat="1" applyFont="1" applyBorder="1" applyAlignment="1">
      <alignment horizontal="center"/>
    </xf>
    <xf numFmtId="8" fontId="3" fillId="0" borderId="25" xfId="0" applyNumberFormat="1" applyFont="1" applyBorder="1" applyAlignment="1">
      <alignment horizontal="center"/>
    </xf>
    <xf numFmtId="0" fontId="5" fillId="8" borderId="0" xfId="0" applyFont="1" applyFill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horizontal="center"/>
    </xf>
    <xf numFmtId="43" fontId="15" fillId="0" borderId="0" xfId="0" applyNumberFormat="1" applyFont="1" applyBorder="1"/>
    <xf numFmtId="44" fontId="15" fillId="0" borderId="24" xfId="1" applyFont="1" applyBorder="1" applyAlignment="1">
      <alignment wrapText="1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9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3" borderId="61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 wrapText="1"/>
    </xf>
    <xf numFmtId="165" fontId="0" fillId="0" borderId="35" xfId="0" applyNumberFormat="1" applyBorder="1" applyAlignment="1">
      <alignment horizontal="center" vertical="center" wrapText="1"/>
    </xf>
    <xf numFmtId="165" fontId="0" fillId="0" borderId="38" xfId="0" applyNumberFormat="1" applyBorder="1" applyAlignment="1">
      <alignment horizontal="center" vertical="center" wrapText="1"/>
    </xf>
    <xf numFmtId="165" fontId="0" fillId="0" borderId="34" xfId="0" applyNumberForma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164" fontId="8" fillId="0" borderId="10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10" fillId="6" borderId="10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1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11" fillId="9" borderId="2" xfId="0" applyFont="1" applyFill="1" applyBorder="1" applyAlignment="1">
      <alignment horizontal="left"/>
    </xf>
    <xf numFmtId="0" fontId="11" fillId="9" borderId="3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/>
    </xf>
    <xf numFmtId="0" fontId="10" fillId="6" borderId="12" xfId="0" applyFont="1" applyFill="1" applyBorder="1" applyAlignment="1">
      <alignment horizontal="left"/>
    </xf>
    <xf numFmtId="0" fontId="10" fillId="6" borderId="13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19" fillId="0" borderId="0" xfId="0" applyFont="1" applyAlignment="1">
      <alignment horizontal="left" wrapText="1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7" borderId="7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3" fillId="5" borderId="35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/>
    </xf>
    <xf numFmtId="0" fontId="11" fillId="5" borderId="13" xfId="0" applyFont="1" applyFill="1" applyBorder="1" applyAlignment="1">
      <alignment horizontal="left"/>
    </xf>
    <xf numFmtId="44" fontId="11" fillId="5" borderId="2" xfId="0" applyNumberFormat="1" applyFont="1" applyFill="1" applyBorder="1" applyAlignment="1">
      <alignment horizontal="right"/>
    </xf>
    <xf numFmtId="44" fontId="11" fillId="5" borderId="3" xfId="0" applyNumberFormat="1" applyFont="1" applyFill="1" applyBorder="1" applyAlignment="1">
      <alignment horizontal="right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44" fontId="11" fillId="5" borderId="2" xfId="0" applyNumberFormat="1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 wrapText="1"/>
    </xf>
    <xf numFmtId="0" fontId="14" fillId="5" borderId="4" xfId="0" applyFont="1" applyFill="1" applyBorder="1" applyAlignment="1">
      <alignment horizontal="center" wrapText="1"/>
    </xf>
    <xf numFmtId="0" fontId="14" fillId="5" borderId="8" xfId="0" applyFont="1" applyFill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43" fontId="15" fillId="0" borderId="6" xfId="0" applyNumberFormat="1" applyFont="1" applyBorder="1" applyAlignment="1">
      <alignment horizontal="center" wrapText="1"/>
    </xf>
    <xf numFmtId="43" fontId="15" fillId="0" borderId="2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44" fontId="25" fillId="0" borderId="24" xfId="1" applyFont="1" applyBorder="1" applyAlignment="1">
      <alignment horizontal="center" wrapText="1"/>
    </xf>
    <xf numFmtId="44" fontId="25" fillId="0" borderId="25" xfId="1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4" fillId="0" borderId="57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9" fontId="12" fillId="0" borderId="6" xfId="2" applyFont="1" applyBorder="1" applyAlignment="1">
      <alignment horizontal="center" vertical="center"/>
    </xf>
    <xf numFmtId="9" fontId="12" fillId="0" borderId="38" xfId="2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52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24" fillId="0" borderId="37" xfId="0" applyFont="1" applyBorder="1" applyAlignment="1">
      <alignment horizontal="left"/>
    </xf>
    <xf numFmtId="0" fontId="3" fillId="0" borderId="0" xfId="0" applyFont="1" applyAlignment="1">
      <alignment horizontal="left"/>
    </xf>
    <xf numFmtId="44" fontId="3" fillId="0" borderId="6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6" fillId="0" borderId="0" xfId="0" applyFont="1" applyAlignment="1">
      <alignment horizontal="left"/>
    </xf>
    <xf numFmtId="44" fontId="3" fillId="0" borderId="46" xfId="0" applyNumberFormat="1" applyFont="1" applyBorder="1" applyAlignment="1">
      <alignment horizontal="center"/>
    </xf>
    <xf numFmtId="44" fontId="3" fillId="0" borderId="58" xfId="0" applyNumberFormat="1" applyFont="1" applyBorder="1" applyAlignment="1">
      <alignment horizontal="center"/>
    </xf>
    <xf numFmtId="44" fontId="3" fillId="0" borderId="49" xfId="0" applyNumberFormat="1" applyFont="1" applyBorder="1" applyAlignment="1">
      <alignment horizontal="center"/>
    </xf>
    <xf numFmtId="44" fontId="3" fillId="0" borderId="52" xfId="0" applyNumberFormat="1" applyFont="1" applyBorder="1" applyAlignment="1">
      <alignment horizontal="center"/>
    </xf>
    <xf numFmtId="44" fontId="3" fillId="0" borderId="54" xfId="0" applyNumberFormat="1" applyFont="1" applyBorder="1" applyAlignment="1">
      <alignment horizontal="center"/>
    </xf>
    <xf numFmtId="44" fontId="3" fillId="0" borderId="55" xfId="0" applyNumberFormat="1" applyFont="1" applyBorder="1" applyAlignment="1">
      <alignment horizontal="center"/>
    </xf>
    <xf numFmtId="44" fontId="3" fillId="0" borderId="42" xfId="0" applyNumberFormat="1" applyFont="1" applyBorder="1" applyAlignment="1">
      <alignment horizontal="center"/>
    </xf>
    <xf numFmtId="44" fontId="3" fillId="0" borderId="37" xfId="0" applyNumberFormat="1" applyFont="1" applyBorder="1" applyAlignment="1">
      <alignment horizontal="center"/>
    </xf>
    <xf numFmtId="44" fontId="3" fillId="0" borderId="9" xfId="0" applyNumberFormat="1" applyFont="1" applyBorder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colors>
    <mruColors>
      <color rgb="FFFFFF66"/>
      <color rgb="FF66FF99"/>
      <color rgb="FF66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VPL'!$G$3</c:f>
              <c:numCache>
                <c:formatCode>"R$"#,##0.00_);[Red]\("R$"#,##0.00\)</c:formatCode>
                <c:ptCount val="1"/>
                <c:pt idx="0">
                  <c:v>-824502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2-49F6-897C-8EEC5C8415AD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VPL'!$G$4</c:f>
              <c:numCache>
                <c:formatCode>"R$"#,##0.00_);[Red]\("R$"#,##0.00\)</c:formatCode>
                <c:ptCount val="1"/>
                <c:pt idx="0">
                  <c:v>-662661.91225942352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D-4F6D-9606-D59DB2BBC3F5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VPL'!$G$5</c:f>
              <c:numCache>
                <c:formatCode>"R$"#,##0.00_);[Red]\("R$"#,##0.00\)</c:formatCode>
                <c:ptCount val="1"/>
                <c:pt idx="0">
                  <c:v>-471276.73828682752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D-4F6D-9606-D59DB2BBC3F5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VPL'!$G$6</c:f>
              <c:numCache>
                <c:formatCode>"R$"#,##0.00_);[Red]\("R$"#,##0.00\)</c:formatCode>
                <c:ptCount val="1"/>
                <c:pt idx="0">
                  <c:v>-301533.79019583325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D-4F6D-9606-D59DB2BBC3F5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VPL'!$G$7</c:f>
              <c:numCache>
                <c:formatCode>"R$"#,##0.00_);[Red]\("R$"#,##0.00\)</c:formatCode>
                <c:ptCount val="1"/>
                <c:pt idx="0">
                  <c:v>-177585.72093552793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D-4F6D-9606-D59DB2BBC3F5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VPL'!$G$8</c:f>
              <c:numCache>
                <c:formatCode>"R$"#,##0.00_);[Red]\("R$"#,##0.00\)</c:formatCode>
                <c:ptCount val="1"/>
                <c:pt idx="0">
                  <c:v>-44061.934451886831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D-4F6D-9606-D59DB2BBC3F5}"/>
            </c:ext>
          </c:extLst>
        </c:ser>
        <c:ser>
          <c:idx val="6"/>
          <c:order val="6"/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VPL'!$G$9</c:f>
              <c:numCache>
                <c:formatCode>"R$"#,##0.00_);[Red]\("R$"#,##0.00\)</c:formatCode>
                <c:ptCount val="1"/>
                <c:pt idx="0">
                  <c:v>-78437.290120497841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A-4DE9-BB4D-98A2B2F1BA5E}"/>
            </c:ext>
          </c:extLst>
        </c:ser>
        <c:ser>
          <c:idx val="7"/>
          <c:order val="7"/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VPL'!$G$10</c:f>
              <c:numCache>
                <c:formatCode>"R$"#,##0.00_);[Red]\("R$"#,##0.00\)</c:formatCode>
                <c:ptCount val="1"/>
                <c:pt idx="0">
                  <c:v>-4.3461458734382177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A-4DE9-BB4D-98A2B2F1BA5E}"/>
            </c:ext>
          </c:extLst>
        </c:ser>
        <c:ser>
          <c:idx val="8"/>
          <c:order val="8"/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VPL'!$G$11</c:f>
              <c:numCache>
                <c:formatCode>"R$"#,##0.00_);[Red]\("R$"#,##0.00\)</c:formatCode>
                <c:ptCount val="1"/>
                <c:pt idx="0">
                  <c:v>93151.25826621028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A-4DE9-BB4D-98A2B2F1BA5E}"/>
            </c:ext>
          </c:extLst>
        </c:ser>
        <c:ser>
          <c:idx val="9"/>
          <c:order val="9"/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VPL'!$G$12</c:f>
              <c:numCache>
                <c:formatCode>"R$"#,##0.00_);[Red]\("R$"#,##0.00\)</c:formatCode>
                <c:ptCount val="1"/>
                <c:pt idx="0">
                  <c:v>175772.63690220471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8A-4DE9-BB4D-98A2B2F1BA5E}"/>
            </c:ext>
          </c:extLst>
        </c:ser>
        <c:ser>
          <c:idx val="10"/>
          <c:order val="10"/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'TIR VPL'!$G$2</c:f>
              <c:strCache>
                <c:ptCount val="1"/>
                <c:pt idx="0">
                  <c:v>RETORNO CAPITAL INVESTIDO</c:v>
                </c:pt>
              </c:strCache>
            </c:strRef>
          </c:cat>
          <c:val>
            <c:numRef>
              <c:f>'TIR VPL'!$G$13</c:f>
              <c:numCache>
                <c:formatCode>"R$"#,##0.00_);[Red]\("R$"#,##0.00\)</c:formatCode>
                <c:ptCount val="1"/>
                <c:pt idx="0">
                  <c:v>249051.02150175633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8A-4DE9-BB4D-98A2B2F1BA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19330528"/>
        <c:axId val="519338432"/>
      </c:barChart>
      <c:catAx>
        <c:axId val="51933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9338432"/>
        <c:crosses val="autoZero"/>
        <c:auto val="1"/>
        <c:lblAlgn val="ctr"/>
        <c:lblOffset val="100"/>
        <c:noMultiLvlLbl val="0"/>
      </c:catAx>
      <c:valAx>
        <c:axId val="51933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#,##0.00_);[Red]\(&quot;R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93305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(2)'!$G$3</c:f>
              <c:numCache>
                <c:formatCode>"R$"#,##0.00_);[Red]\("R$"#,##0.00\)</c:formatCode>
                <c:ptCount val="1"/>
                <c:pt idx="0">
                  <c:v>-824502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49-4D35-BC1C-458300E73278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(2)'!$G$4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49-4D35-BC1C-458300E73278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(2)'!$G$5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9-4D35-BC1C-458300E73278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(2)'!$G$6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49-4D35-BC1C-458300E7327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(2)'!$G$7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49-4D35-BC1C-458300E73278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val>
            <c:numRef>
              <c:f>'TIR VPL (2)'!$G$8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49-4D35-BC1C-458300E73278}"/>
            </c:ext>
          </c:extLst>
        </c:ser>
        <c:ser>
          <c:idx val="6"/>
          <c:order val="6"/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(2)'!$G$9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49-4D35-BC1C-458300E73278}"/>
            </c:ext>
          </c:extLst>
        </c:ser>
        <c:ser>
          <c:idx val="7"/>
          <c:order val="7"/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(2)'!$G$10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49-4D35-BC1C-458300E73278}"/>
            </c:ext>
          </c:extLst>
        </c:ser>
        <c:ser>
          <c:idx val="8"/>
          <c:order val="8"/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(2)'!$G$11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49-4D35-BC1C-458300E73278}"/>
            </c:ext>
          </c:extLst>
        </c:ser>
        <c:ser>
          <c:idx val="9"/>
          <c:order val="9"/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(2)'!$G$12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49-4D35-BC1C-458300E73278}"/>
            </c:ext>
          </c:extLst>
        </c:ser>
        <c:ser>
          <c:idx val="10"/>
          <c:order val="10"/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(2)'!$G$13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49-4D35-BC1C-458300E73278}"/>
            </c:ext>
          </c:extLst>
        </c:ser>
        <c:ser>
          <c:idx val="11"/>
          <c:order val="11"/>
          <c:spPr>
            <a:gradFill rotWithShape="1">
              <a:gsLst>
                <a:gs pos="0">
                  <a:schemeClr val="accent6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(2)'!$G$14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49-4D35-BC1C-458300E73278}"/>
            </c:ext>
          </c:extLst>
        </c:ser>
        <c:ser>
          <c:idx val="12"/>
          <c:order val="12"/>
          <c:spPr>
            <a:gradFill rotWithShape="1">
              <a:gsLst>
                <a:gs pos="0">
                  <a:schemeClr val="accent1">
                    <a:lumMod val="80000"/>
                    <a:lumOff val="2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80000"/>
                    <a:lumOff val="2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80000"/>
                    <a:lumOff val="2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(2)'!$G$15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49-4D35-BC1C-458300E73278}"/>
            </c:ext>
          </c:extLst>
        </c:ser>
        <c:ser>
          <c:idx val="13"/>
          <c:order val="13"/>
          <c:spPr>
            <a:gradFill rotWithShape="1">
              <a:gsLst>
                <a:gs pos="0">
                  <a:schemeClr val="accent2">
                    <a:lumMod val="80000"/>
                    <a:lumOff val="2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80000"/>
                    <a:lumOff val="2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80000"/>
                    <a:lumOff val="2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(2)'!$G$16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49-4D35-BC1C-458300E73278}"/>
            </c:ext>
          </c:extLst>
        </c:ser>
        <c:ser>
          <c:idx val="14"/>
          <c:order val="14"/>
          <c:spPr>
            <a:gradFill rotWithShape="1">
              <a:gsLst>
                <a:gs pos="0">
                  <a:schemeClr val="accent3">
                    <a:lumMod val="80000"/>
                    <a:lumOff val="2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80000"/>
                    <a:lumOff val="2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80000"/>
                    <a:lumOff val="2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(2)'!$G$17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49-4D35-BC1C-458300E73278}"/>
            </c:ext>
          </c:extLst>
        </c:ser>
        <c:ser>
          <c:idx val="15"/>
          <c:order val="15"/>
          <c:spPr>
            <a:gradFill rotWithShape="1">
              <a:gsLst>
                <a:gs pos="0">
                  <a:schemeClr val="accent4">
                    <a:lumMod val="80000"/>
                    <a:lumOff val="2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80000"/>
                    <a:lumOff val="2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80000"/>
                    <a:lumOff val="2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'TIR VPL (2)'!$G$18</c:f>
              <c:numCache>
                <c:formatCode>"R$"#,##0.00_);[Red]\("R$"#,##0.00\)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A49-4D35-BC1C-458300E732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19330528"/>
        <c:axId val="519338432"/>
      </c:barChart>
      <c:catAx>
        <c:axId val="51933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9338432"/>
        <c:crosses val="autoZero"/>
        <c:auto val="1"/>
        <c:lblAlgn val="ctr"/>
        <c:lblOffset val="100"/>
        <c:noMultiLvlLbl val="0"/>
      </c:catAx>
      <c:valAx>
        <c:axId val="51933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#,##0.00_);[Red]\(&quot;R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933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19049</xdr:rowOff>
    </xdr:from>
    <xdr:to>
      <xdr:col>7</xdr:col>
      <xdr:colOff>9524</xdr:colOff>
      <xdr:row>40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19049</xdr:rowOff>
    </xdr:from>
    <xdr:to>
      <xdr:col>9</xdr:col>
      <xdr:colOff>1092200</xdr:colOff>
      <xdr:row>45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2E0E29-F5B5-4600-8C72-0380AE075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E4" sqref="E4"/>
    </sheetView>
  </sheetViews>
  <sheetFormatPr defaultRowHeight="15" x14ac:dyDescent="0.25"/>
  <cols>
    <col min="1" max="2" width="16.140625" customWidth="1"/>
    <col min="3" max="3" width="18.7109375" bestFit="1" customWidth="1"/>
    <col min="4" max="4" width="13" customWidth="1"/>
  </cols>
  <sheetData>
    <row r="1" spans="1:5" ht="15.75" thickBot="1" x14ac:dyDescent="0.3">
      <c r="A1" s="212" t="s">
        <v>278</v>
      </c>
      <c r="B1" s="212"/>
      <c r="C1" s="212"/>
      <c r="D1" s="212"/>
    </row>
    <row r="2" spans="1:5" x14ac:dyDescent="0.25">
      <c r="A2" s="213" t="s">
        <v>0</v>
      </c>
      <c r="B2" s="214"/>
      <c r="C2" s="215" t="s">
        <v>3</v>
      </c>
      <c r="D2" s="216"/>
    </row>
    <row r="3" spans="1:5" x14ac:dyDescent="0.25">
      <c r="A3" s="226" t="s">
        <v>291</v>
      </c>
      <c r="B3" s="228" t="s">
        <v>290</v>
      </c>
      <c r="C3" s="222" t="s">
        <v>4</v>
      </c>
      <c r="D3" s="224">
        <v>8.5</v>
      </c>
    </row>
    <row r="4" spans="1:5" x14ac:dyDescent="0.25">
      <c r="A4" s="227"/>
      <c r="B4" s="229"/>
      <c r="C4" s="223"/>
      <c r="D4" s="225"/>
      <c r="E4">
        <f>D3*D7</f>
        <v>187</v>
      </c>
    </row>
    <row r="5" spans="1:5" ht="15.75" thickBot="1" x14ac:dyDescent="0.3">
      <c r="A5" s="177">
        <v>0.33333333333333331</v>
      </c>
      <c r="B5" s="178">
        <v>0.5</v>
      </c>
      <c r="C5" s="179" t="s">
        <v>5</v>
      </c>
      <c r="D5" s="181">
        <v>4</v>
      </c>
      <c r="E5">
        <f>D5*D8</f>
        <v>16</v>
      </c>
    </row>
    <row r="6" spans="1:5" ht="15.75" thickBot="1" x14ac:dyDescent="0.3">
      <c r="A6" s="220" t="s">
        <v>279</v>
      </c>
      <c r="B6" s="221"/>
      <c r="C6" s="221"/>
      <c r="D6" s="221"/>
      <c r="E6" s="134">
        <f>E4+E5</f>
        <v>203</v>
      </c>
    </row>
    <row r="7" spans="1:5" x14ac:dyDescent="0.25">
      <c r="A7" s="217" t="s">
        <v>6</v>
      </c>
      <c r="B7" s="218"/>
      <c r="C7" s="219"/>
      <c r="D7" s="180">
        <v>22</v>
      </c>
    </row>
    <row r="8" spans="1:5" ht="15.75" thickBot="1" x14ac:dyDescent="0.3">
      <c r="A8" s="210" t="s">
        <v>7</v>
      </c>
      <c r="B8" s="211"/>
      <c r="C8" s="211"/>
      <c r="D8" s="1">
        <v>4</v>
      </c>
    </row>
    <row r="9" spans="1:5" ht="15.75" thickBot="1" x14ac:dyDescent="0.3">
      <c r="A9" s="210" t="s">
        <v>270</v>
      </c>
      <c r="B9" s="211"/>
      <c r="C9" s="211"/>
      <c r="D9" s="1">
        <v>0</v>
      </c>
    </row>
    <row r="10" spans="1:5" ht="15.75" thickBot="1" x14ac:dyDescent="0.3"/>
    <row r="11" spans="1:5" x14ac:dyDescent="0.25">
      <c r="A11" s="183" t="s">
        <v>285</v>
      </c>
      <c r="B11" s="184"/>
      <c r="C11" s="184"/>
      <c r="D11" s="185"/>
    </row>
    <row r="12" spans="1:5" x14ac:dyDescent="0.25">
      <c r="A12" s="77" t="s">
        <v>272</v>
      </c>
      <c r="D12" s="78"/>
    </row>
    <row r="13" spans="1:5" x14ac:dyDescent="0.25">
      <c r="A13" s="77" t="s">
        <v>273</v>
      </c>
      <c r="D13" s="78"/>
    </row>
    <row r="14" spans="1:5" x14ac:dyDescent="0.25">
      <c r="A14" s="77" t="s">
        <v>274</v>
      </c>
      <c r="D14" s="78"/>
    </row>
    <row r="15" spans="1:5" x14ac:dyDescent="0.25">
      <c r="A15" s="77" t="s">
        <v>275</v>
      </c>
      <c r="D15" s="78"/>
    </row>
    <row r="16" spans="1:5" x14ac:dyDescent="0.25">
      <c r="A16" s="77" t="s">
        <v>276</v>
      </c>
      <c r="D16" s="78"/>
    </row>
    <row r="17" spans="1:4" x14ac:dyDescent="0.25">
      <c r="A17" s="77" t="s">
        <v>277</v>
      </c>
      <c r="D17" s="78"/>
    </row>
    <row r="18" spans="1:4" x14ac:dyDescent="0.25">
      <c r="A18" s="77" t="s">
        <v>280</v>
      </c>
      <c r="D18" s="78"/>
    </row>
    <row r="19" spans="1:4" x14ac:dyDescent="0.25">
      <c r="A19" s="77" t="s">
        <v>281</v>
      </c>
      <c r="D19" s="78"/>
    </row>
    <row r="20" spans="1:4" x14ac:dyDescent="0.25">
      <c r="A20" s="77" t="s">
        <v>282</v>
      </c>
      <c r="D20" s="78"/>
    </row>
    <row r="21" spans="1:4" ht="15.75" thickBot="1" x14ac:dyDescent="0.3">
      <c r="A21" s="186" t="s">
        <v>283</v>
      </c>
      <c r="B21" s="187"/>
      <c r="C21" s="187"/>
      <c r="D21" s="85"/>
    </row>
  </sheetData>
  <mergeCells count="11">
    <mergeCell ref="A9:C9"/>
    <mergeCell ref="A1:D1"/>
    <mergeCell ref="A2:B2"/>
    <mergeCell ref="C2:D2"/>
    <mergeCell ref="A7:C7"/>
    <mergeCell ref="A8:C8"/>
    <mergeCell ref="A6:D6"/>
    <mergeCell ref="C3:C4"/>
    <mergeCell ref="D3:D4"/>
    <mergeCell ref="A3:A4"/>
    <mergeCell ref="B3:B4"/>
  </mergeCells>
  <phoneticPr fontId="22" type="noConversion"/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6"/>
  <sheetViews>
    <sheetView zoomScale="85" zoomScaleNormal="85" workbookViewId="0">
      <selection activeCell="G13" sqref="G13"/>
    </sheetView>
  </sheetViews>
  <sheetFormatPr defaultRowHeight="15" x14ac:dyDescent="0.25"/>
  <cols>
    <col min="1" max="1" width="60.85546875" customWidth="1"/>
    <col min="2" max="2" width="14.28515625" bestFit="1" customWidth="1"/>
    <col min="3" max="3" width="15.5703125" bestFit="1" customWidth="1"/>
    <col min="4" max="4" width="21" bestFit="1" customWidth="1"/>
    <col min="5" max="5" width="18.140625" customWidth="1"/>
    <col min="6" max="6" width="2.7109375" customWidth="1"/>
    <col min="7" max="7" width="12.5703125" bestFit="1" customWidth="1"/>
    <col min="8" max="8" width="16" bestFit="1" customWidth="1"/>
    <col min="9" max="9" width="19.85546875" bestFit="1" customWidth="1"/>
    <col min="10" max="10" width="17" customWidth="1"/>
    <col min="11" max="11" width="2.7109375" customWidth="1"/>
    <col min="12" max="12" width="18.5703125" bestFit="1" customWidth="1"/>
    <col min="13" max="13" width="16.85546875" customWidth="1"/>
  </cols>
  <sheetData>
    <row r="1" spans="1:14" x14ac:dyDescent="0.25">
      <c r="A1" s="268" t="s">
        <v>209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70"/>
    </row>
    <row r="2" spans="1:14" x14ac:dyDescent="0.2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</row>
    <row r="3" spans="1:14" ht="18" customHeight="1" thickBot="1" x14ac:dyDescent="0.3">
      <c r="A3" s="274" t="s">
        <v>296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6"/>
    </row>
    <row r="4" spans="1:14" ht="16.5" thickBot="1" x14ac:dyDescent="0.3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</row>
    <row r="5" spans="1:14" ht="15.75" thickBot="1" x14ac:dyDescent="0.3">
      <c r="A5" s="5" t="s">
        <v>214</v>
      </c>
      <c r="B5" s="2"/>
      <c r="C5" s="2"/>
      <c r="D5" s="70" t="s">
        <v>174</v>
      </c>
      <c r="E5" s="52"/>
      <c r="F5" s="278"/>
      <c r="G5" s="278"/>
      <c r="H5" s="71" t="s">
        <v>178</v>
      </c>
      <c r="I5" s="72" t="s">
        <v>175</v>
      </c>
      <c r="J5" s="72" t="s">
        <v>176</v>
      </c>
      <c r="K5" s="279" t="s">
        <v>177</v>
      </c>
      <c r="L5" s="279"/>
    </row>
    <row r="6" spans="1:14" ht="15.75" thickBot="1" x14ac:dyDescent="0.3">
      <c r="A6" s="46" t="s">
        <v>8</v>
      </c>
      <c r="B6" s="54" t="s">
        <v>2</v>
      </c>
      <c r="C6" s="51">
        <f>I6+I11</f>
        <v>1347</v>
      </c>
      <c r="D6" s="58"/>
      <c r="E6" s="55"/>
      <c r="F6" s="267"/>
      <c r="G6" s="267"/>
      <c r="H6" s="53" t="s">
        <v>219</v>
      </c>
      <c r="I6" s="148">
        <v>1341</v>
      </c>
      <c r="J6" s="48">
        <f>ROUND(I6/4.5,0)</f>
        <v>298</v>
      </c>
      <c r="K6" s="252">
        <f>ROUND(I6*1.9,0)</f>
        <v>2548</v>
      </c>
      <c r="L6" s="252"/>
      <c r="M6" s="35"/>
      <c r="N6" s="35"/>
    </row>
    <row r="7" spans="1:14" ht="15.75" thickBot="1" x14ac:dyDescent="0.3">
      <c r="A7" s="149" t="s">
        <v>8</v>
      </c>
      <c r="B7" s="150" t="s">
        <v>1</v>
      </c>
      <c r="C7" s="151">
        <v>0</v>
      </c>
      <c r="D7" s="58"/>
      <c r="E7" s="55"/>
      <c r="F7" s="2"/>
      <c r="G7" s="55"/>
      <c r="H7" s="53" t="s">
        <v>292</v>
      </c>
      <c r="I7" s="148">
        <v>395</v>
      </c>
      <c r="J7" s="48">
        <f>ROUND(I7/12,0)</f>
        <v>33</v>
      </c>
      <c r="K7" s="252">
        <f>ROUND(I7*0.5,0)</f>
        <v>198</v>
      </c>
      <c r="L7" s="252"/>
      <c r="M7" s="35"/>
      <c r="N7" s="35"/>
    </row>
    <row r="8" spans="1:14" x14ac:dyDescent="0.25">
      <c r="A8" s="280" t="s">
        <v>165</v>
      </c>
      <c r="B8" s="146" t="s">
        <v>217</v>
      </c>
      <c r="C8" s="147">
        <v>60</v>
      </c>
      <c r="D8" s="59">
        <f>ROUND(($C$6+$C$7)/C8,0)</f>
        <v>22</v>
      </c>
      <c r="E8" s="55"/>
      <c r="F8" s="267"/>
      <c r="G8" s="267"/>
      <c r="H8" s="53" t="s">
        <v>293</v>
      </c>
      <c r="I8" s="148">
        <v>73</v>
      </c>
      <c r="J8" s="48">
        <f>I8</f>
        <v>73</v>
      </c>
      <c r="K8" s="252">
        <f>ROUND(I8*2.5,0)</f>
        <v>183</v>
      </c>
      <c r="L8" s="252"/>
      <c r="M8" s="35"/>
      <c r="N8" s="35"/>
    </row>
    <row r="9" spans="1:14" x14ac:dyDescent="0.25">
      <c r="A9" s="281"/>
      <c r="B9" s="49" t="s">
        <v>216</v>
      </c>
      <c r="C9" s="56">
        <v>75</v>
      </c>
      <c r="D9" s="59">
        <f>ROUND(($C$6+$C$7)/C9,0)</f>
        <v>18</v>
      </c>
      <c r="E9" s="55"/>
      <c r="F9" s="267"/>
      <c r="G9" s="267"/>
      <c r="H9" s="53" t="s">
        <v>271</v>
      </c>
      <c r="I9" s="148">
        <v>35</v>
      </c>
      <c r="J9" s="48">
        <f>I9</f>
        <v>35</v>
      </c>
      <c r="K9" s="252">
        <f t="shared" ref="K9:K11" si="0">ROUND(I9*2.5,0)</f>
        <v>88</v>
      </c>
      <c r="L9" s="252"/>
      <c r="M9" s="35"/>
      <c r="N9" s="35"/>
    </row>
    <row r="10" spans="1:14" ht="15.75" thickBot="1" x14ac:dyDescent="0.3">
      <c r="A10" s="282"/>
      <c r="B10" s="50" t="s">
        <v>215</v>
      </c>
      <c r="C10" s="57">
        <v>0</v>
      </c>
      <c r="D10" s="59">
        <v>0</v>
      </c>
      <c r="E10" s="55"/>
      <c r="F10" s="267"/>
      <c r="G10" s="267"/>
      <c r="H10" s="53" t="s">
        <v>181</v>
      </c>
      <c r="I10" s="148">
        <v>48</v>
      </c>
      <c r="J10" s="48">
        <f>I10</f>
        <v>48</v>
      </c>
      <c r="K10" s="252">
        <f t="shared" si="0"/>
        <v>120</v>
      </c>
      <c r="L10" s="252"/>
      <c r="M10" s="35"/>
      <c r="N10" s="35"/>
    </row>
    <row r="11" spans="1:14" x14ac:dyDescent="0.25">
      <c r="A11" s="2"/>
      <c r="B11" s="2"/>
      <c r="C11" s="2"/>
      <c r="D11" s="2"/>
      <c r="E11" s="2"/>
      <c r="F11" s="2"/>
      <c r="G11" s="47"/>
      <c r="H11" s="53" t="s">
        <v>288</v>
      </c>
      <c r="I11" s="148">
        <v>6</v>
      </c>
      <c r="J11" s="48">
        <f>I11</f>
        <v>6</v>
      </c>
      <c r="K11" s="252">
        <f t="shared" si="0"/>
        <v>15</v>
      </c>
      <c r="L11" s="252"/>
      <c r="M11" s="35"/>
      <c r="N11" s="35"/>
    </row>
    <row r="12" spans="1:14" x14ac:dyDescent="0.25">
      <c r="A12" s="182"/>
      <c r="B12" s="182"/>
      <c r="C12" s="182"/>
      <c r="D12" s="182"/>
      <c r="E12" s="2"/>
      <c r="G12" s="47"/>
      <c r="H12" s="53" t="s">
        <v>179</v>
      </c>
      <c r="I12" s="148">
        <f>SUM(I6:I11)</f>
        <v>1898</v>
      </c>
      <c r="J12" s="48">
        <f>SUM(J5:J11)</f>
        <v>493</v>
      </c>
      <c r="K12" s="252">
        <f>SUM(K5:L11)</f>
        <v>3152</v>
      </c>
      <c r="L12" s="252"/>
      <c r="M12" s="35"/>
      <c r="N12" s="35"/>
    </row>
    <row r="13" spans="1:14" x14ac:dyDescent="0.25">
      <c r="A13" s="2"/>
      <c r="B13" s="2"/>
      <c r="C13" s="2"/>
      <c r="D13" s="2"/>
      <c r="E13" s="2"/>
      <c r="F13" s="2"/>
      <c r="G13" s="47"/>
      <c r="H13" s="53"/>
      <c r="I13" s="48"/>
      <c r="J13" s="48"/>
      <c r="K13" s="252"/>
      <c r="L13" s="252"/>
      <c r="M13" s="35"/>
      <c r="N13" s="35"/>
    </row>
    <row r="14" spans="1:14" ht="15.75" thickBot="1" x14ac:dyDescent="0.3">
      <c r="A14" s="2"/>
      <c r="B14" s="2"/>
      <c r="C14" s="2"/>
      <c r="D14" s="2"/>
      <c r="E14" s="2"/>
      <c r="F14" s="2"/>
      <c r="G14" s="47"/>
      <c r="H14" s="47"/>
      <c r="I14" s="47"/>
      <c r="J14" s="47"/>
      <c r="K14" s="47"/>
      <c r="L14" s="47"/>
      <c r="M14" s="35"/>
      <c r="N14" s="35"/>
    </row>
    <row r="15" spans="1:14" x14ac:dyDescent="0.25">
      <c r="A15" s="5" t="s">
        <v>208</v>
      </c>
      <c r="B15" s="2"/>
      <c r="C15" s="253" t="s">
        <v>9</v>
      </c>
      <c r="D15" s="254"/>
      <c r="E15" s="254"/>
      <c r="F15" s="254"/>
      <c r="G15" s="254"/>
      <c r="H15" s="254"/>
      <c r="I15" s="254"/>
      <c r="J15" s="254"/>
      <c r="K15" s="254"/>
      <c r="L15" s="255"/>
    </row>
    <row r="16" spans="1:14" ht="15.75" thickBot="1" x14ac:dyDescent="0.3">
      <c r="A16" s="2"/>
      <c r="B16" s="2"/>
      <c r="C16" s="256"/>
      <c r="D16" s="257"/>
      <c r="E16" s="257"/>
      <c r="F16" s="257"/>
      <c r="G16" s="257"/>
      <c r="H16" s="257"/>
      <c r="I16" s="257"/>
      <c r="J16" s="257"/>
      <c r="K16" s="257"/>
      <c r="L16" s="258"/>
    </row>
    <row r="17" spans="1:12" x14ac:dyDescent="0.25">
      <c r="A17" s="2"/>
      <c r="B17" s="2"/>
      <c r="C17" s="259" t="s">
        <v>10</v>
      </c>
      <c r="D17" s="260"/>
      <c r="E17" s="261"/>
      <c r="F17" s="3"/>
      <c r="G17" s="259" t="s">
        <v>11</v>
      </c>
      <c r="H17" s="260"/>
      <c r="I17" s="260"/>
      <c r="J17" s="261"/>
      <c r="K17" s="3"/>
      <c r="L17" s="265" t="s">
        <v>12</v>
      </c>
    </row>
    <row r="18" spans="1:12" x14ac:dyDescent="0.25">
      <c r="A18" s="2"/>
      <c r="B18" s="2"/>
      <c r="C18" s="262"/>
      <c r="D18" s="263"/>
      <c r="E18" s="264"/>
      <c r="F18" s="3"/>
      <c r="G18" s="262"/>
      <c r="H18" s="263"/>
      <c r="I18" s="263"/>
      <c r="J18" s="264"/>
      <c r="K18" s="3"/>
      <c r="L18" s="266"/>
    </row>
    <row r="19" spans="1:12" ht="16.5" thickBot="1" x14ac:dyDescent="0.3">
      <c r="A19" s="2"/>
      <c r="B19" s="2"/>
      <c r="C19" s="233"/>
      <c r="D19" s="234"/>
      <c r="E19" s="235"/>
      <c r="F19" s="4"/>
      <c r="G19" s="233"/>
      <c r="H19" s="234"/>
      <c r="I19" s="234"/>
      <c r="J19" s="235"/>
      <c r="K19" s="4"/>
      <c r="L19" s="73"/>
    </row>
    <row r="20" spans="1:12" ht="15.75" customHeight="1" x14ac:dyDescent="0.25">
      <c r="A20" s="242" t="s">
        <v>189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4"/>
    </row>
    <row r="21" spans="1:12" ht="15.75" thickBot="1" x14ac:dyDescent="0.3">
      <c r="A21" s="245" t="s">
        <v>190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7"/>
    </row>
    <row r="22" spans="1:12" ht="15.75" thickBot="1" x14ac:dyDescent="0.3">
      <c r="A22" s="92" t="s">
        <v>13</v>
      </c>
      <c r="B22" s="93" t="s">
        <v>14</v>
      </c>
      <c r="C22" s="93" t="s">
        <v>18</v>
      </c>
      <c r="D22" s="93" t="s">
        <v>17</v>
      </c>
      <c r="E22" s="94" t="s">
        <v>15</v>
      </c>
      <c r="F22" s="95"/>
      <c r="G22" s="96" t="s">
        <v>14</v>
      </c>
      <c r="H22" s="97" t="s">
        <v>18</v>
      </c>
      <c r="I22" s="97" t="s">
        <v>17</v>
      </c>
      <c r="J22" s="98" t="s">
        <v>16</v>
      </c>
      <c r="K22" s="95"/>
      <c r="L22" s="15" t="s">
        <v>12</v>
      </c>
    </row>
    <row r="23" spans="1:12" x14ac:dyDescent="0.25">
      <c r="A23" s="99" t="s">
        <v>19</v>
      </c>
      <c r="B23" s="100" t="s">
        <v>27</v>
      </c>
      <c r="C23" s="48">
        <v>0</v>
      </c>
      <c r="D23" s="101"/>
      <c r="E23" s="102"/>
      <c r="F23" s="2"/>
      <c r="G23" s="103" t="s">
        <v>27</v>
      </c>
      <c r="H23" s="104"/>
      <c r="I23" s="105"/>
      <c r="J23" s="106"/>
      <c r="K23" s="2"/>
      <c r="L23" s="107">
        <f>J23+E23</f>
        <v>0</v>
      </c>
    </row>
    <row r="24" spans="1:12" x14ac:dyDescent="0.25">
      <c r="A24" s="99" t="s">
        <v>20</v>
      </c>
      <c r="B24" s="100" t="s">
        <v>27</v>
      </c>
      <c r="C24" s="48">
        <v>0</v>
      </c>
      <c r="D24" s="101"/>
      <c r="E24" s="102"/>
      <c r="F24" s="2"/>
      <c r="G24" s="108" t="s">
        <v>27</v>
      </c>
      <c r="H24" s="48"/>
      <c r="I24" s="101"/>
      <c r="J24" s="102"/>
      <c r="K24" s="2"/>
      <c r="L24" s="109">
        <f t="shared" ref="L24:L33" si="1">J24+E24</f>
        <v>0</v>
      </c>
    </row>
    <row r="25" spans="1:12" x14ac:dyDescent="0.25">
      <c r="A25" s="99" t="s">
        <v>184</v>
      </c>
      <c r="B25" s="100" t="s">
        <v>27</v>
      </c>
      <c r="C25" s="48">
        <f>C23</f>
        <v>0</v>
      </c>
      <c r="D25" s="101"/>
      <c r="E25" s="102"/>
      <c r="F25" s="2"/>
      <c r="G25" s="108" t="s">
        <v>27</v>
      </c>
      <c r="H25" s="48"/>
      <c r="I25" s="101"/>
      <c r="J25" s="102"/>
      <c r="K25" s="2"/>
      <c r="L25" s="109">
        <f t="shared" si="1"/>
        <v>0</v>
      </c>
    </row>
    <row r="26" spans="1:12" x14ac:dyDescent="0.25">
      <c r="A26" s="99" t="s">
        <v>21</v>
      </c>
      <c r="B26" s="100" t="s">
        <v>27</v>
      </c>
      <c r="C26" s="48">
        <v>0</v>
      </c>
      <c r="D26" s="101"/>
      <c r="E26" s="102"/>
      <c r="F26" s="2"/>
      <c r="G26" s="108" t="s">
        <v>27</v>
      </c>
      <c r="H26" s="48"/>
      <c r="I26" s="101"/>
      <c r="J26" s="102"/>
      <c r="K26" s="2"/>
      <c r="L26" s="109">
        <f t="shared" si="1"/>
        <v>0</v>
      </c>
    </row>
    <row r="27" spans="1:12" x14ac:dyDescent="0.25">
      <c r="A27" s="99" t="s">
        <v>22</v>
      </c>
      <c r="B27" s="100" t="s">
        <v>27</v>
      </c>
      <c r="C27" s="48">
        <f>C23</f>
        <v>0</v>
      </c>
      <c r="D27" s="101"/>
      <c r="E27" s="102"/>
      <c r="F27" s="2"/>
      <c r="G27" s="108" t="s">
        <v>27</v>
      </c>
      <c r="H27" s="48"/>
      <c r="I27" s="101"/>
      <c r="J27" s="102"/>
      <c r="K27" s="2"/>
      <c r="L27" s="109">
        <f t="shared" si="1"/>
        <v>0</v>
      </c>
    </row>
    <row r="28" spans="1:12" x14ac:dyDescent="0.25">
      <c r="A28" s="99" t="s">
        <v>23</v>
      </c>
      <c r="B28" s="100" t="s">
        <v>27</v>
      </c>
      <c r="C28" s="48">
        <v>0</v>
      </c>
      <c r="D28" s="101"/>
      <c r="E28" s="102"/>
      <c r="F28" s="2"/>
      <c r="G28" s="108" t="s">
        <v>27</v>
      </c>
      <c r="H28" s="48"/>
      <c r="I28" s="101"/>
      <c r="J28" s="102"/>
      <c r="K28" s="2"/>
      <c r="L28" s="109">
        <f t="shared" si="1"/>
        <v>0</v>
      </c>
    </row>
    <row r="29" spans="1:12" x14ac:dyDescent="0.25">
      <c r="A29" s="99" t="s">
        <v>24</v>
      </c>
      <c r="B29" s="100" t="s">
        <v>27</v>
      </c>
      <c r="C29" s="48">
        <v>0</v>
      </c>
      <c r="D29" s="101"/>
      <c r="E29" s="102"/>
      <c r="F29" s="2"/>
      <c r="G29" s="108" t="s">
        <v>27</v>
      </c>
      <c r="H29" s="48"/>
      <c r="I29" s="101"/>
      <c r="J29" s="102"/>
      <c r="K29" s="2"/>
      <c r="L29" s="109">
        <f t="shared" si="1"/>
        <v>0</v>
      </c>
    </row>
    <row r="30" spans="1:12" x14ac:dyDescent="0.25">
      <c r="A30" s="99" t="s">
        <v>25</v>
      </c>
      <c r="B30" s="100" t="s">
        <v>27</v>
      </c>
      <c r="C30" s="48">
        <v>0</v>
      </c>
      <c r="D30" s="101"/>
      <c r="E30" s="102"/>
      <c r="F30" s="2"/>
      <c r="G30" s="108" t="s">
        <v>27</v>
      </c>
      <c r="H30" s="48"/>
      <c r="I30" s="101"/>
      <c r="J30" s="102"/>
      <c r="K30" s="2"/>
      <c r="L30" s="109">
        <f t="shared" si="1"/>
        <v>0</v>
      </c>
    </row>
    <row r="31" spans="1:12" x14ac:dyDescent="0.25">
      <c r="A31" s="99" t="s">
        <v>26</v>
      </c>
      <c r="B31" s="100" t="s">
        <v>28</v>
      </c>
      <c r="C31" s="48">
        <v>0</v>
      </c>
      <c r="D31" s="101"/>
      <c r="E31" s="102"/>
      <c r="F31" s="2"/>
      <c r="G31" s="108" t="s">
        <v>28</v>
      </c>
      <c r="H31" s="48"/>
      <c r="I31" s="101"/>
      <c r="J31" s="102"/>
      <c r="K31" s="2"/>
      <c r="L31" s="109">
        <f t="shared" si="1"/>
        <v>0</v>
      </c>
    </row>
    <row r="32" spans="1:12" x14ac:dyDescent="0.25">
      <c r="A32" s="99" t="s">
        <v>223</v>
      </c>
      <c r="B32" s="100" t="s">
        <v>27</v>
      </c>
      <c r="C32" s="48">
        <v>0</v>
      </c>
      <c r="D32" s="101"/>
      <c r="E32" s="102"/>
      <c r="F32" s="2"/>
      <c r="G32" s="108"/>
      <c r="H32" s="48"/>
      <c r="I32" s="101"/>
      <c r="J32" s="102"/>
      <c r="K32" s="2"/>
      <c r="L32" s="109">
        <f>E32</f>
        <v>0</v>
      </c>
    </row>
    <row r="33" spans="1:12" x14ac:dyDescent="0.25">
      <c r="A33" s="99" t="s">
        <v>72</v>
      </c>
      <c r="B33" s="48"/>
      <c r="C33" s="48">
        <v>0</v>
      </c>
      <c r="D33" s="101"/>
      <c r="E33" s="102"/>
      <c r="F33" s="2"/>
      <c r="G33" s="110" t="s">
        <v>28</v>
      </c>
      <c r="H33" s="48"/>
      <c r="I33" s="101"/>
      <c r="J33" s="102"/>
      <c r="K33" s="2"/>
      <c r="L33" s="109">
        <f t="shared" si="1"/>
        <v>0</v>
      </c>
    </row>
    <row r="34" spans="1:12" ht="15.75" thickBot="1" x14ac:dyDescent="0.3">
      <c r="A34" s="111" t="s">
        <v>12</v>
      </c>
      <c r="B34" s="112"/>
      <c r="C34" s="112"/>
      <c r="D34" s="113"/>
      <c r="E34" s="114">
        <f>SUM(E23:E33)</f>
        <v>0</v>
      </c>
      <c r="F34" s="115"/>
      <c r="G34" s="116"/>
      <c r="H34" s="112"/>
      <c r="I34" s="113"/>
      <c r="J34" s="114">
        <f>SUM(J23:J33)</f>
        <v>0</v>
      </c>
      <c r="K34" s="115"/>
      <c r="L34" s="117">
        <f>SUM(L23:L33)</f>
        <v>0</v>
      </c>
    </row>
    <row r="35" spans="1:12" ht="15.75" thickBo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5.75" thickBot="1" x14ac:dyDescent="0.3">
      <c r="A36" s="230" t="s">
        <v>191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2"/>
    </row>
    <row r="37" spans="1:12" ht="15.75" thickBot="1" x14ac:dyDescent="0.3">
      <c r="A37" s="118" t="s">
        <v>13</v>
      </c>
      <c r="B37" s="119" t="s">
        <v>14</v>
      </c>
      <c r="C37" s="119" t="s">
        <v>18</v>
      </c>
      <c r="D37" s="119" t="s">
        <v>17</v>
      </c>
      <c r="E37" s="120" t="s">
        <v>15</v>
      </c>
      <c r="F37" s="121"/>
      <c r="G37" s="118" t="s">
        <v>14</v>
      </c>
      <c r="H37" s="119" t="s">
        <v>18</v>
      </c>
      <c r="I37" s="119" t="s">
        <v>17</v>
      </c>
      <c r="J37" s="120" t="s">
        <v>16</v>
      </c>
      <c r="K37" s="121"/>
      <c r="L37" s="122" t="s">
        <v>12</v>
      </c>
    </row>
    <row r="38" spans="1:12" x14ac:dyDescent="0.25">
      <c r="A38" s="99" t="s">
        <v>167</v>
      </c>
      <c r="B38" s="48" t="s">
        <v>27</v>
      </c>
      <c r="C38" s="48">
        <v>2</v>
      </c>
      <c r="D38" s="101">
        <v>5100</v>
      </c>
      <c r="E38" s="102">
        <f>C38*D38</f>
        <v>10200</v>
      </c>
      <c r="F38" s="2"/>
      <c r="G38" s="99" t="s">
        <v>27</v>
      </c>
      <c r="H38" s="48"/>
      <c r="I38" s="101"/>
      <c r="J38" s="102"/>
      <c r="K38" s="2"/>
      <c r="L38" s="107">
        <f t="shared" ref="L38:L39" si="2">J38+E38</f>
        <v>10200</v>
      </c>
    </row>
    <row r="39" spans="1:12" x14ac:dyDescent="0.25">
      <c r="A39" s="99" t="s">
        <v>29</v>
      </c>
      <c r="B39" s="48" t="s">
        <v>27</v>
      </c>
      <c r="C39" s="48">
        <v>1</v>
      </c>
      <c r="D39" s="101">
        <v>1800</v>
      </c>
      <c r="E39" s="102">
        <f>C39*D39</f>
        <v>1800</v>
      </c>
      <c r="F39" s="2"/>
      <c r="G39" s="99" t="s">
        <v>27</v>
      </c>
      <c r="H39" s="48"/>
      <c r="I39" s="101"/>
      <c r="J39" s="102"/>
      <c r="K39" s="2"/>
      <c r="L39" s="109">
        <f t="shared" si="2"/>
        <v>1800</v>
      </c>
    </row>
    <row r="40" spans="1:12" ht="15.75" thickBot="1" x14ac:dyDescent="0.3">
      <c r="A40" s="91" t="s">
        <v>12</v>
      </c>
      <c r="B40" s="123"/>
      <c r="C40" s="123"/>
      <c r="D40" s="123"/>
      <c r="E40" s="124">
        <f>SUM(E38:E39)</f>
        <v>12000</v>
      </c>
      <c r="F40" s="115"/>
      <c r="G40" s="125"/>
      <c r="H40" s="123"/>
      <c r="I40" s="123"/>
      <c r="J40" s="124"/>
      <c r="K40" s="115"/>
      <c r="L40" s="117">
        <f>SUM(L38:L39)</f>
        <v>12000</v>
      </c>
    </row>
    <row r="41" spans="1:12" ht="15.75" thickBo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5.75" thickBot="1" x14ac:dyDescent="0.3">
      <c r="A42" s="230" t="s">
        <v>192</v>
      </c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2"/>
    </row>
    <row r="43" spans="1:12" ht="15.75" thickBot="1" x14ac:dyDescent="0.3">
      <c r="A43" s="118" t="s">
        <v>13</v>
      </c>
      <c r="B43" s="119" t="s">
        <v>14</v>
      </c>
      <c r="C43" s="119" t="s">
        <v>18</v>
      </c>
      <c r="D43" s="119" t="s">
        <v>17</v>
      </c>
      <c r="E43" s="120" t="s">
        <v>15</v>
      </c>
      <c r="F43" s="121"/>
      <c r="G43" s="118" t="s">
        <v>14</v>
      </c>
      <c r="H43" s="119" t="s">
        <v>18</v>
      </c>
      <c r="I43" s="119" t="s">
        <v>17</v>
      </c>
      <c r="J43" s="120" t="s">
        <v>16</v>
      </c>
      <c r="K43" s="121"/>
      <c r="L43" s="122" t="s">
        <v>12</v>
      </c>
    </row>
    <row r="44" spans="1:12" x14ac:dyDescent="0.25">
      <c r="A44" s="99" t="s">
        <v>30</v>
      </c>
      <c r="B44" s="48" t="s">
        <v>27</v>
      </c>
      <c r="C44" s="48">
        <f>J12</f>
        <v>493</v>
      </c>
      <c r="D44" s="101">
        <v>230</v>
      </c>
      <c r="E44" s="102">
        <f>C44*D44</f>
        <v>113390</v>
      </c>
      <c r="F44" s="2"/>
      <c r="G44" s="99" t="s">
        <v>27</v>
      </c>
      <c r="H44" s="48"/>
      <c r="I44" s="101"/>
      <c r="J44" s="102"/>
      <c r="K44" s="2"/>
      <c r="L44" s="107">
        <f>J44+E44</f>
        <v>113390</v>
      </c>
    </row>
    <row r="45" spans="1:12" x14ac:dyDescent="0.25">
      <c r="A45" s="99" t="s">
        <v>31</v>
      </c>
      <c r="B45" s="48" t="s">
        <v>32</v>
      </c>
      <c r="C45" s="48">
        <f>C44</f>
        <v>493</v>
      </c>
      <c r="D45" s="101">
        <v>189</v>
      </c>
      <c r="E45" s="102">
        <f t="shared" ref="E45:E51" si="3">C45*D45</f>
        <v>93177</v>
      </c>
      <c r="F45" s="2"/>
      <c r="G45" s="99" t="s">
        <v>32</v>
      </c>
      <c r="H45" s="48"/>
      <c r="I45" s="101"/>
      <c r="J45" s="102"/>
      <c r="K45" s="2"/>
      <c r="L45" s="109">
        <f t="shared" ref="L45:L53" si="4">J45+E45</f>
        <v>93177</v>
      </c>
    </row>
    <row r="46" spans="1:12" x14ac:dyDescent="0.25">
      <c r="A46" s="99" t="s">
        <v>33</v>
      </c>
      <c r="B46" s="48" t="s">
        <v>32</v>
      </c>
      <c r="C46" s="48">
        <f>C45</f>
        <v>493</v>
      </c>
      <c r="D46" s="101">
        <v>79</v>
      </c>
      <c r="E46" s="102">
        <f t="shared" si="3"/>
        <v>38947</v>
      </c>
      <c r="F46" s="2"/>
      <c r="G46" s="99" t="s">
        <v>32</v>
      </c>
      <c r="H46" s="48"/>
      <c r="I46" s="101"/>
      <c r="J46" s="102"/>
      <c r="K46" s="2"/>
      <c r="L46" s="109">
        <f t="shared" si="4"/>
        <v>38947</v>
      </c>
    </row>
    <row r="47" spans="1:12" ht="17.25" x14ac:dyDescent="0.25">
      <c r="A47" s="99" t="s">
        <v>34</v>
      </c>
      <c r="B47" s="48" t="s">
        <v>218</v>
      </c>
      <c r="C47" s="48">
        <f>K6</f>
        <v>2548</v>
      </c>
      <c r="D47" s="101">
        <v>23</v>
      </c>
      <c r="E47" s="102">
        <f t="shared" si="3"/>
        <v>58604</v>
      </c>
      <c r="F47" s="2"/>
      <c r="G47" s="99" t="s">
        <v>218</v>
      </c>
      <c r="H47" s="48"/>
      <c r="I47" s="101"/>
      <c r="J47" s="102"/>
      <c r="K47" s="2"/>
      <c r="L47" s="109">
        <f t="shared" si="4"/>
        <v>58604</v>
      </c>
    </row>
    <row r="48" spans="1:12" ht="17.25" x14ac:dyDescent="0.25">
      <c r="A48" s="99" t="s">
        <v>35</v>
      </c>
      <c r="B48" s="48" t="s">
        <v>218</v>
      </c>
      <c r="C48" s="48">
        <f>K8</f>
        <v>183</v>
      </c>
      <c r="D48" s="101">
        <v>27</v>
      </c>
      <c r="E48" s="102">
        <f t="shared" si="3"/>
        <v>4941</v>
      </c>
      <c r="F48" s="2"/>
      <c r="G48" s="99" t="s">
        <v>218</v>
      </c>
      <c r="H48" s="48"/>
      <c r="I48" s="101"/>
      <c r="J48" s="102"/>
      <c r="K48" s="2"/>
      <c r="L48" s="109">
        <f t="shared" si="4"/>
        <v>4941</v>
      </c>
    </row>
    <row r="49" spans="1:13" ht="17.25" x14ac:dyDescent="0.25">
      <c r="A49" s="99" t="s">
        <v>36</v>
      </c>
      <c r="B49" s="48" t="s">
        <v>218</v>
      </c>
      <c r="C49" s="48">
        <f>K9</f>
        <v>88</v>
      </c>
      <c r="D49" s="101">
        <v>27</v>
      </c>
      <c r="E49" s="102">
        <f t="shared" si="3"/>
        <v>2376</v>
      </c>
      <c r="F49" s="2"/>
      <c r="G49" s="99" t="s">
        <v>218</v>
      </c>
      <c r="H49" s="48"/>
      <c r="I49" s="101"/>
      <c r="J49" s="102"/>
      <c r="K49" s="2"/>
      <c r="L49" s="109">
        <f t="shared" si="4"/>
        <v>2376</v>
      </c>
    </row>
    <row r="50" spans="1:13" ht="17.25" x14ac:dyDescent="0.25">
      <c r="A50" s="99" t="s">
        <v>180</v>
      </c>
      <c r="B50" s="48" t="s">
        <v>218</v>
      </c>
      <c r="C50" s="48">
        <f>K10</f>
        <v>120</v>
      </c>
      <c r="D50" s="101">
        <v>27</v>
      </c>
      <c r="E50" s="102">
        <f t="shared" si="3"/>
        <v>3240</v>
      </c>
      <c r="F50" s="2"/>
      <c r="G50" s="99" t="s">
        <v>218</v>
      </c>
      <c r="H50" s="48"/>
      <c r="I50" s="101"/>
      <c r="J50" s="102"/>
      <c r="K50" s="2"/>
      <c r="L50" s="109">
        <f t="shared" si="4"/>
        <v>3240</v>
      </c>
    </row>
    <row r="51" spans="1:13" ht="17.25" x14ac:dyDescent="0.25">
      <c r="A51" s="99" t="s">
        <v>37</v>
      </c>
      <c r="B51" s="48" t="s">
        <v>218</v>
      </c>
      <c r="C51" s="48">
        <f>K11</f>
        <v>15</v>
      </c>
      <c r="D51" s="101">
        <v>27</v>
      </c>
      <c r="E51" s="102">
        <f t="shared" si="3"/>
        <v>405</v>
      </c>
      <c r="F51" s="2"/>
      <c r="G51" s="99" t="s">
        <v>218</v>
      </c>
      <c r="H51" s="48"/>
      <c r="I51" s="101"/>
      <c r="J51" s="102"/>
      <c r="K51" s="2"/>
      <c r="L51" s="109">
        <f t="shared" si="4"/>
        <v>405</v>
      </c>
    </row>
    <row r="52" spans="1:13" x14ac:dyDescent="0.25">
      <c r="A52" s="99" t="s">
        <v>267</v>
      </c>
      <c r="B52" s="48"/>
      <c r="C52" s="48"/>
      <c r="D52" s="101"/>
      <c r="E52" s="102"/>
      <c r="F52" s="2"/>
      <c r="G52" s="99" t="s">
        <v>27</v>
      </c>
      <c r="H52" s="48">
        <f>C44*3%</f>
        <v>14.79</v>
      </c>
      <c r="I52" s="101">
        <f>SUM(D44:D46)</f>
        <v>498</v>
      </c>
      <c r="J52" s="102">
        <f>I52*H52</f>
        <v>7365.4199999999992</v>
      </c>
      <c r="K52" s="2"/>
      <c r="L52" s="109">
        <f t="shared" si="4"/>
        <v>7365.4199999999992</v>
      </c>
    </row>
    <row r="53" spans="1:13" x14ac:dyDescent="0.25">
      <c r="A53" s="99" t="s">
        <v>266</v>
      </c>
      <c r="B53" s="48"/>
      <c r="C53" s="48"/>
      <c r="D53" s="101"/>
      <c r="E53" s="102"/>
      <c r="F53" s="2"/>
      <c r="G53" s="99" t="s">
        <v>148</v>
      </c>
      <c r="H53" s="48">
        <f>SUM(C47:C51)*10%</f>
        <v>295.40000000000003</v>
      </c>
      <c r="I53" s="101">
        <f>SUM(E47:E51)/SUM(C47:C51)</f>
        <v>23.549763033175356</v>
      </c>
      <c r="J53" s="102">
        <f>I53*H53</f>
        <v>6956.6000000000013</v>
      </c>
      <c r="K53" s="2"/>
      <c r="L53" s="109">
        <f t="shared" si="4"/>
        <v>6956.6000000000013</v>
      </c>
      <c r="M53" s="22"/>
    </row>
    <row r="54" spans="1:13" ht="15.75" thickBot="1" x14ac:dyDescent="0.3">
      <c r="A54" s="91" t="s">
        <v>12</v>
      </c>
      <c r="B54" s="123"/>
      <c r="C54" s="123"/>
      <c r="D54" s="123"/>
      <c r="E54" s="124">
        <f>SUM(E44:E53)</f>
        <v>315080</v>
      </c>
      <c r="F54" s="115"/>
      <c r="G54" s="125"/>
      <c r="H54" s="123"/>
      <c r="I54" s="123"/>
      <c r="J54" s="124">
        <f>SUM(J44:J53)</f>
        <v>14322.02</v>
      </c>
      <c r="K54" s="115"/>
      <c r="L54" s="117">
        <f>SUM(L44:L53)</f>
        <v>329402.01999999996</v>
      </c>
    </row>
    <row r="55" spans="1:13" ht="15.75" thickBo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ht="15.75" thickBot="1" x14ac:dyDescent="0.3">
      <c r="A56" s="230" t="s">
        <v>193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2"/>
    </row>
    <row r="57" spans="1:13" ht="15.75" thickBot="1" x14ac:dyDescent="0.3">
      <c r="A57" s="118" t="s">
        <v>13</v>
      </c>
      <c r="B57" s="119" t="s">
        <v>14</v>
      </c>
      <c r="C57" s="119" t="s">
        <v>18</v>
      </c>
      <c r="D57" s="119" t="s">
        <v>17</v>
      </c>
      <c r="E57" s="120" t="s">
        <v>15</v>
      </c>
      <c r="F57" s="121"/>
      <c r="G57" s="118" t="s">
        <v>14</v>
      </c>
      <c r="H57" s="119" t="s">
        <v>18</v>
      </c>
      <c r="I57" s="119" t="s">
        <v>17</v>
      </c>
      <c r="J57" s="120" t="s">
        <v>16</v>
      </c>
      <c r="K57" s="121"/>
      <c r="L57" s="122" t="s">
        <v>12</v>
      </c>
    </row>
    <row r="58" spans="1:13" x14ac:dyDescent="0.25">
      <c r="A58" s="99" t="s">
        <v>38</v>
      </c>
      <c r="B58" s="48" t="s">
        <v>27</v>
      </c>
      <c r="C58" s="48">
        <v>1</v>
      </c>
      <c r="D58" s="101">
        <v>910</v>
      </c>
      <c r="E58" s="102">
        <f>C58*D58</f>
        <v>910</v>
      </c>
      <c r="F58" s="2"/>
      <c r="G58" s="99"/>
      <c r="H58" s="48"/>
      <c r="I58" s="101"/>
      <c r="J58" s="102"/>
      <c r="K58" s="2"/>
      <c r="L58" s="107">
        <f>J58+E58</f>
        <v>910</v>
      </c>
    </row>
    <row r="59" spans="1:13" x14ac:dyDescent="0.25">
      <c r="A59" s="99" t="s">
        <v>39</v>
      </c>
      <c r="B59" s="48" t="s">
        <v>27</v>
      </c>
      <c r="C59" s="48">
        <v>1</v>
      </c>
      <c r="D59" s="101">
        <v>810</v>
      </c>
      <c r="E59" s="102">
        <f t="shared" ref="E59:E80" si="5">C59*D59</f>
        <v>810</v>
      </c>
      <c r="F59" s="2"/>
      <c r="G59" s="99"/>
      <c r="H59" s="48"/>
      <c r="I59" s="101"/>
      <c r="J59" s="102"/>
      <c r="K59" s="2"/>
      <c r="L59" s="109">
        <f t="shared" ref="L59:L83" si="6">J59+E59</f>
        <v>810</v>
      </c>
    </row>
    <row r="60" spans="1:13" x14ac:dyDescent="0.25">
      <c r="A60" s="99" t="s">
        <v>40</v>
      </c>
      <c r="B60" s="48" t="s">
        <v>27</v>
      </c>
      <c r="C60" s="48">
        <v>0</v>
      </c>
      <c r="D60" s="101">
        <v>810</v>
      </c>
      <c r="E60" s="102">
        <f t="shared" si="5"/>
        <v>0</v>
      </c>
      <c r="F60" s="2"/>
      <c r="G60" s="99"/>
      <c r="H60" s="48"/>
      <c r="I60" s="101"/>
      <c r="J60" s="102"/>
      <c r="K60" s="2"/>
      <c r="L60" s="109">
        <f t="shared" si="6"/>
        <v>0</v>
      </c>
    </row>
    <row r="61" spans="1:13" x14ac:dyDescent="0.25">
      <c r="A61" s="99" t="s">
        <v>41</v>
      </c>
      <c r="B61" s="48" t="s">
        <v>27</v>
      </c>
      <c r="C61" s="48">
        <v>1</v>
      </c>
      <c r="D61" s="101">
        <v>2980</v>
      </c>
      <c r="E61" s="102">
        <f t="shared" si="5"/>
        <v>2980</v>
      </c>
      <c r="F61" s="2"/>
      <c r="G61" s="99"/>
      <c r="H61" s="48"/>
      <c r="I61" s="101"/>
      <c r="J61" s="102"/>
      <c r="K61" s="2"/>
      <c r="L61" s="109">
        <f t="shared" si="6"/>
        <v>2980</v>
      </c>
    </row>
    <row r="62" spans="1:13" x14ac:dyDescent="0.25">
      <c r="A62" s="99" t="s">
        <v>42</v>
      </c>
      <c r="B62" s="48" t="s">
        <v>27</v>
      </c>
      <c r="C62" s="48">
        <v>2</v>
      </c>
      <c r="D62" s="101">
        <v>800</v>
      </c>
      <c r="E62" s="102">
        <f t="shared" si="5"/>
        <v>1600</v>
      </c>
      <c r="F62" s="2"/>
      <c r="G62" s="99"/>
      <c r="H62" s="48"/>
      <c r="I62" s="101"/>
      <c r="J62" s="102"/>
      <c r="K62" s="2"/>
      <c r="L62" s="109">
        <f t="shared" si="6"/>
        <v>1600</v>
      </c>
    </row>
    <row r="63" spans="1:13" x14ac:dyDescent="0.25">
      <c r="A63" s="99" t="s">
        <v>43</v>
      </c>
      <c r="B63" s="48" t="s">
        <v>27</v>
      </c>
      <c r="C63" s="48">
        <f>C198</f>
        <v>18</v>
      </c>
      <c r="D63" s="101">
        <v>310</v>
      </c>
      <c r="E63" s="102">
        <f t="shared" si="5"/>
        <v>5580</v>
      </c>
      <c r="F63" s="2"/>
      <c r="G63" s="99"/>
      <c r="H63" s="48"/>
      <c r="I63" s="101"/>
      <c r="J63" s="102"/>
      <c r="K63" s="2"/>
      <c r="L63" s="109">
        <f t="shared" si="6"/>
        <v>5580</v>
      </c>
    </row>
    <row r="64" spans="1:13" x14ac:dyDescent="0.25">
      <c r="A64" s="99" t="s">
        <v>44</v>
      </c>
      <c r="B64" s="48" t="s">
        <v>27</v>
      </c>
      <c r="C64" s="48">
        <v>2</v>
      </c>
      <c r="D64" s="101">
        <v>979</v>
      </c>
      <c r="E64" s="102">
        <f t="shared" si="5"/>
        <v>1958</v>
      </c>
      <c r="F64" s="2"/>
      <c r="G64" s="99"/>
      <c r="H64" s="48"/>
      <c r="I64" s="101"/>
      <c r="J64" s="102"/>
      <c r="K64" s="2"/>
      <c r="L64" s="109">
        <f t="shared" si="6"/>
        <v>1958</v>
      </c>
    </row>
    <row r="65" spans="1:12" x14ac:dyDescent="0.25">
      <c r="A65" s="99" t="s">
        <v>45</v>
      </c>
      <c r="B65" s="48" t="s">
        <v>27</v>
      </c>
      <c r="C65" s="48">
        <v>2</v>
      </c>
      <c r="D65" s="101">
        <v>510</v>
      </c>
      <c r="E65" s="102">
        <f t="shared" si="5"/>
        <v>1020</v>
      </c>
      <c r="F65" s="2"/>
      <c r="G65" s="99"/>
      <c r="H65" s="48"/>
      <c r="I65" s="101"/>
      <c r="J65" s="102"/>
      <c r="K65" s="2"/>
      <c r="L65" s="109">
        <f t="shared" si="6"/>
        <v>1020</v>
      </c>
    </row>
    <row r="66" spans="1:12" x14ac:dyDescent="0.25">
      <c r="A66" s="99" t="s">
        <v>46</v>
      </c>
      <c r="B66" s="48" t="s">
        <v>27</v>
      </c>
      <c r="C66" s="48">
        <v>1</v>
      </c>
      <c r="D66" s="101">
        <v>790</v>
      </c>
      <c r="E66" s="102">
        <f t="shared" si="5"/>
        <v>790</v>
      </c>
      <c r="F66" s="2"/>
      <c r="G66" s="99"/>
      <c r="H66" s="48"/>
      <c r="I66" s="101"/>
      <c r="J66" s="102"/>
      <c r="K66" s="2"/>
      <c r="L66" s="109">
        <f t="shared" si="6"/>
        <v>790</v>
      </c>
    </row>
    <row r="67" spans="1:12" x14ac:dyDescent="0.25">
      <c r="A67" s="99" t="s">
        <v>47</v>
      </c>
      <c r="B67" s="48" t="s">
        <v>27</v>
      </c>
      <c r="C67" s="48">
        <v>1</v>
      </c>
      <c r="D67" s="101">
        <v>540</v>
      </c>
      <c r="E67" s="102">
        <f t="shared" si="5"/>
        <v>540</v>
      </c>
      <c r="F67" s="2"/>
      <c r="G67" s="99"/>
      <c r="H67" s="48"/>
      <c r="I67" s="101"/>
      <c r="J67" s="102"/>
      <c r="K67" s="2"/>
      <c r="L67" s="109">
        <f t="shared" si="6"/>
        <v>540</v>
      </c>
    </row>
    <row r="68" spans="1:12" x14ac:dyDescent="0.25">
      <c r="A68" s="99" t="s">
        <v>152</v>
      </c>
      <c r="B68" s="48" t="s">
        <v>27</v>
      </c>
      <c r="C68" s="48">
        <v>1</v>
      </c>
      <c r="D68" s="101">
        <v>1950</v>
      </c>
      <c r="E68" s="102">
        <f t="shared" si="5"/>
        <v>1950</v>
      </c>
      <c r="F68" s="2"/>
      <c r="G68" s="99"/>
      <c r="H68" s="48"/>
      <c r="I68" s="101"/>
      <c r="J68" s="102"/>
      <c r="K68" s="2"/>
      <c r="L68" s="109">
        <f t="shared" si="6"/>
        <v>1950</v>
      </c>
    </row>
    <row r="69" spans="1:12" x14ac:dyDescent="0.25">
      <c r="A69" s="99" t="s">
        <v>48</v>
      </c>
      <c r="B69" s="48" t="s">
        <v>27</v>
      </c>
      <c r="C69" s="48">
        <v>1</v>
      </c>
      <c r="D69" s="101">
        <v>3450</v>
      </c>
      <c r="E69" s="102">
        <f t="shared" si="5"/>
        <v>3450</v>
      </c>
      <c r="F69" s="2"/>
      <c r="G69" s="99"/>
      <c r="H69" s="48"/>
      <c r="I69" s="101"/>
      <c r="J69" s="102"/>
      <c r="K69" s="2"/>
      <c r="L69" s="109">
        <f t="shared" si="6"/>
        <v>3450</v>
      </c>
    </row>
    <row r="70" spans="1:12" x14ac:dyDescent="0.25">
      <c r="A70" s="99" t="s">
        <v>49</v>
      </c>
      <c r="B70" s="48" t="s">
        <v>27</v>
      </c>
      <c r="C70" s="48">
        <v>1</v>
      </c>
      <c r="D70" s="101">
        <v>980</v>
      </c>
      <c r="E70" s="102">
        <f t="shared" si="5"/>
        <v>980</v>
      </c>
      <c r="F70" s="2"/>
      <c r="G70" s="99"/>
      <c r="H70" s="48"/>
      <c r="I70" s="101"/>
      <c r="J70" s="102"/>
      <c r="K70" s="2"/>
      <c r="L70" s="109">
        <f t="shared" si="6"/>
        <v>980</v>
      </c>
    </row>
    <row r="71" spans="1:12" x14ac:dyDescent="0.25">
      <c r="A71" s="99" t="s">
        <v>50</v>
      </c>
      <c r="B71" s="48" t="s">
        <v>27</v>
      </c>
      <c r="C71" s="48">
        <v>1</v>
      </c>
      <c r="D71" s="101">
        <v>800</v>
      </c>
      <c r="E71" s="102">
        <f t="shared" si="5"/>
        <v>800</v>
      </c>
      <c r="F71" s="2"/>
      <c r="G71" s="99"/>
      <c r="H71" s="48"/>
      <c r="I71" s="101"/>
      <c r="J71" s="102"/>
      <c r="K71" s="2"/>
      <c r="L71" s="109">
        <f t="shared" si="6"/>
        <v>800</v>
      </c>
    </row>
    <row r="72" spans="1:12" x14ac:dyDescent="0.25">
      <c r="A72" s="99" t="s">
        <v>51</v>
      </c>
      <c r="B72" s="48" t="s">
        <v>27</v>
      </c>
      <c r="C72" s="48">
        <v>1</v>
      </c>
      <c r="D72" s="101">
        <v>2500</v>
      </c>
      <c r="E72" s="102">
        <f t="shared" si="5"/>
        <v>2500</v>
      </c>
      <c r="F72" s="2"/>
      <c r="G72" s="99"/>
      <c r="H72" s="48"/>
      <c r="I72" s="101"/>
      <c r="J72" s="102"/>
      <c r="K72" s="2"/>
      <c r="L72" s="109">
        <f t="shared" si="6"/>
        <v>2500</v>
      </c>
    </row>
    <row r="73" spans="1:12" x14ac:dyDescent="0.25">
      <c r="A73" s="99" t="s">
        <v>52</v>
      </c>
      <c r="B73" s="48" t="s">
        <v>27</v>
      </c>
      <c r="C73" s="48">
        <v>1</v>
      </c>
      <c r="D73" s="101">
        <v>600</v>
      </c>
      <c r="E73" s="102">
        <f t="shared" si="5"/>
        <v>600</v>
      </c>
      <c r="F73" s="2"/>
      <c r="G73" s="99"/>
      <c r="H73" s="48"/>
      <c r="I73" s="101"/>
      <c r="J73" s="102"/>
      <c r="K73" s="2"/>
      <c r="L73" s="109">
        <f t="shared" si="6"/>
        <v>600</v>
      </c>
    </row>
    <row r="74" spans="1:12" x14ac:dyDescent="0.25">
      <c r="A74" s="99" t="s">
        <v>53</v>
      </c>
      <c r="B74" s="48" t="s">
        <v>27</v>
      </c>
      <c r="C74" s="48">
        <v>1</v>
      </c>
      <c r="D74" s="101">
        <v>560</v>
      </c>
      <c r="E74" s="102">
        <f t="shared" si="5"/>
        <v>560</v>
      </c>
      <c r="F74" s="2"/>
      <c r="G74" s="99"/>
      <c r="H74" s="48"/>
      <c r="I74" s="101"/>
      <c r="J74" s="102"/>
      <c r="K74" s="2"/>
      <c r="L74" s="109">
        <f t="shared" si="6"/>
        <v>560</v>
      </c>
    </row>
    <row r="75" spans="1:12" x14ac:dyDescent="0.25">
      <c r="A75" s="99" t="s">
        <v>54</v>
      </c>
      <c r="B75" s="48" t="s">
        <v>27</v>
      </c>
      <c r="C75" s="48">
        <v>1</v>
      </c>
      <c r="D75" s="101">
        <v>400</v>
      </c>
      <c r="E75" s="102">
        <f t="shared" si="5"/>
        <v>400</v>
      </c>
      <c r="F75" s="2"/>
      <c r="G75" s="99"/>
      <c r="H75" s="48"/>
      <c r="I75" s="101"/>
      <c r="J75" s="102"/>
      <c r="K75" s="2"/>
      <c r="L75" s="109">
        <f t="shared" si="6"/>
        <v>400</v>
      </c>
    </row>
    <row r="76" spans="1:12" x14ac:dyDescent="0.25">
      <c r="A76" s="99" t="s">
        <v>55</v>
      </c>
      <c r="B76" s="48" t="s">
        <v>27</v>
      </c>
      <c r="C76" s="48">
        <v>2</v>
      </c>
      <c r="D76" s="101">
        <v>180</v>
      </c>
      <c r="E76" s="102">
        <f t="shared" si="5"/>
        <v>360</v>
      </c>
      <c r="F76" s="2"/>
      <c r="G76" s="99"/>
      <c r="H76" s="48"/>
      <c r="I76" s="101"/>
      <c r="J76" s="102"/>
      <c r="K76" s="2"/>
      <c r="L76" s="109">
        <f t="shared" si="6"/>
        <v>360</v>
      </c>
    </row>
    <row r="77" spans="1:12" x14ac:dyDescent="0.25">
      <c r="A77" s="99" t="s">
        <v>56</v>
      </c>
      <c r="B77" s="48" t="s">
        <v>27</v>
      </c>
      <c r="C77" s="48">
        <v>1</v>
      </c>
      <c r="D77" s="101">
        <v>250</v>
      </c>
      <c r="E77" s="102">
        <f t="shared" si="5"/>
        <v>250</v>
      </c>
      <c r="F77" s="2"/>
      <c r="G77" s="99"/>
      <c r="H77" s="48"/>
      <c r="I77" s="101"/>
      <c r="J77" s="102"/>
      <c r="K77" s="2"/>
      <c r="L77" s="109">
        <f t="shared" si="6"/>
        <v>250</v>
      </c>
    </row>
    <row r="78" spans="1:12" x14ac:dyDescent="0.25">
      <c r="A78" s="99" t="s">
        <v>57</v>
      </c>
      <c r="B78" s="48" t="s">
        <v>27</v>
      </c>
      <c r="C78" s="48">
        <v>1</v>
      </c>
      <c r="D78" s="101">
        <v>1500</v>
      </c>
      <c r="E78" s="102">
        <f t="shared" si="5"/>
        <v>1500</v>
      </c>
      <c r="F78" s="2"/>
      <c r="G78" s="99"/>
      <c r="H78" s="48"/>
      <c r="I78" s="101"/>
      <c r="J78" s="102"/>
      <c r="K78" s="2"/>
      <c r="L78" s="109">
        <f t="shared" si="6"/>
        <v>1500</v>
      </c>
    </row>
    <row r="79" spans="1:12" x14ac:dyDescent="0.25">
      <c r="A79" s="99" t="s">
        <v>153</v>
      </c>
      <c r="B79" s="48" t="s">
        <v>27</v>
      </c>
      <c r="C79" s="48">
        <v>2</v>
      </c>
      <c r="D79" s="101">
        <v>2500</v>
      </c>
      <c r="E79" s="102">
        <f t="shared" si="5"/>
        <v>5000</v>
      </c>
      <c r="F79" s="2"/>
      <c r="G79" s="99"/>
      <c r="H79" s="48"/>
      <c r="I79" s="101"/>
      <c r="J79" s="102"/>
      <c r="K79" s="2"/>
      <c r="L79" s="109">
        <f t="shared" si="6"/>
        <v>5000</v>
      </c>
    </row>
    <row r="80" spans="1:12" x14ac:dyDescent="0.25">
      <c r="A80" s="99" t="s">
        <v>224</v>
      </c>
      <c r="B80" s="48" t="s">
        <v>27</v>
      </c>
      <c r="C80" s="48">
        <v>1</v>
      </c>
      <c r="D80" s="101">
        <v>85000</v>
      </c>
      <c r="E80" s="102">
        <f t="shared" si="5"/>
        <v>85000</v>
      </c>
      <c r="F80" s="2"/>
      <c r="G80" s="99"/>
      <c r="H80" s="48"/>
      <c r="I80" s="101"/>
      <c r="J80" s="102"/>
      <c r="K80" s="2"/>
      <c r="L80" s="109">
        <f t="shared" si="6"/>
        <v>85000</v>
      </c>
    </row>
    <row r="81" spans="1:12" x14ac:dyDescent="0.25">
      <c r="A81" s="99" t="s">
        <v>58</v>
      </c>
      <c r="B81" s="99" t="s">
        <v>28</v>
      </c>
      <c r="C81" s="48">
        <v>1</v>
      </c>
      <c r="D81" s="101">
        <v>2500</v>
      </c>
      <c r="E81" s="102">
        <f>C81*D81</f>
        <v>2500</v>
      </c>
      <c r="F81" s="67"/>
      <c r="G81" s="99"/>
      <c r="H81" s="48"/>
      <c r="I81" s="101"/>
      <c r="J81" s="102"/>
      <c r="K81" s="2"/>
      <c r="L81" s="109">
        <f t="shared" si="6"/>
        <v>2500</v>
      </c>
    </row>
    <row r="82" spans="1:12" x14ac:dyDescent="0.25">
      <c r="A82" s="99" t="s">
        <v>59</v>
      </c>
      <c r="B82" s="99" t="s">
        <v>28</v>
      </c>
      <c r="C82" s="48">
        <v>1</v>
      </c>
      <c r="D82" s="101">
        <v>15000</v>
      </c>
      <c r="E82" s="102">
        <f t="shared" ref="E82" si="7">C82*D82</f>
        <v>15000</v>
      </c>
      <c r="F82" s="67"/>
      <c r="G82" s="99"/>
      <c r="H82" s="48"/>
      <c r="I82" s="101"/>
      <c r="J82" s="102"/>
      <c r="K82" s="2"/>
      <c r="L82" s="109">
        <f t="shared" si="6"/>
        <v>15000</v>
      </c>
    </row>
    <row r="83" spans="1:12" x14ac:dyDescent="0.25">
      <c r="A83" s="99" t="s">
        <v>60</v>
      </c>
      <c r="B83" s="99"/>
      <c r="C83" s="48"/>
      <c r="D83" s="101"/>
      <c r="E83" s="102"/>
      <c r="F83" s="67"/>
      <c r="G83" s="99" t="s">
        <v>28</v>
      </c>
      <c r="H83" s="48">
        <v>1</v>
      </c>
      <c r="I83" s="101">
        <v>1500</v>
      </c>
      <c r="J83" s="102">
        <f t="shared" ref="J83" si="8">H83*I83</f>
        <v>1500</v>
      </c>
      <c r="K83" s="2"/>
      <c r="L83" s="109">
        <f t="shared" si="6"/>
        <v>1500</v>
      </c>
    </row>
    <row r="84" spans="1:12" ht="15.75" thickBot="1" x14ac:dyDescent="0.3">
      <c r="A84" s="91" t="s">
        <v>12</v>
      </c>
      <c r="B84" s="123"/>
      <c r="C84" s="123"/>
      <c r="D84" s="123"/>
      <c r="E84" s="124">
        <f>SUM(E58:E83)</f>
        <v>137038</v>
      </c>
      <c r="F84" s="115"/>
      <c r="G84" s="125"/>
      <c r="H84" s="123"/>
      <c r="I84" s="123"/>
      <c r="J84" s="124">
        <f>SUM(J58:J83)</f>
        <v>1500</v>
      </c>
      <c r="K84" s="115"/>
      <c r="L84" s="117">
        <f>SUM(L58:L83)</f>
        <v>138538</v>
      </c>
    </row>
    <row r="85" spans="1:12" ht="15.75" thickBot="1" x14ac:dyDescent="0.3">
      <c r="A85" s="6"/>
      <c r="B85" s="6"/>
      <c r="C85" s="6"/>
      <c r="D85" s="6"/>
      <c r="E85" s="30"/>
      <c r="F85" s="6"/>
      <c r="G85" s="6"/>
      <c r="H85" s="6"/>
      <c r="I85" s="6"/>
      <c r="J85" s="6"/>
      <c r="K85" s="6"/>
      <c r="L85" s="6"/>
    </row>
    <row r="86" spans="1:12" ht="15.75" thickBot="1" x14ac:dyDescent="0.3">
      <c r="A86" s="230" t="s">
        <v>194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2"/>
    </row>
    <row r="87" spans="1:12" x14ac:dyDescent="0.25">
      <c r="A87" s="118" t="s">
        <v>13</v>
      </c>
      <c r="B87" s="119" t="s">
        <v>14</v>
      </c>
      <c r="C87" s="119" t="s">
        <v>18</v>
      </c>
      <c r="D87" s="119" t="s">
        <v>17</v>
      </c>
      <c r="E87" s="120" t="s">
        <v>15</v>
      </c>
      <c r="F87" s="121"/>
      <c r="G87" s="118" t="s">
        <v>14</v>
      </c>
      <c r="H87" s="119" t="s">
        <v>18</v>
      </c>
      <c r="I87" s="119" t="s">
        <v>17</v>
      </c>
      <c r="J87" s="120" t="s">
        <v>16</v>
      </c>
      <c r="K87" s="121"/>
      <c r="L87" s="126" t="s">
        <v>12</v>
      </c>
    </row>
    <row r="88" spans="1:12" x14ac:dyDescent="0.25">
      <c r="A88" s="99" t="s">
        <v>61</v>
      </c>
      <c r="B88" s="48" t="s">
        <v>28</v>
      </c>
      <c r="C88" s="48">
        <v>1</v>
      </c>
      <c r="D88" s="101">
        <v>200000</v>
      </c>
      <c r="E88" s="102">
        <f>C88*D88</f>
        <v>200000</v>
      </c>
      <c r="F88" s="2"/>
      <c r="G88" s="99"/>
      <c r="H88" s="48"/>
      <c r="I88" s="101"/>
      <c r="J88" s="102"/>
      <c r="K88" s="2"/>
      <c r="L88" s="109">
        <f>J88+E88</f>
        <v>200000</v>
      </c>
    </row>
    <row r="89" spans="1:12" x14ac:dyDescent="0.25">
      <c r="A89" s="99" t="s">
        <v>62</v>
      </c>
      <c r="B89" s="48" t="s">
        <v>27</v>
      </c>
      <c r="C89" s="48">
        <f>D9+1</f>
        <v>19</v>
      </c>
      <c r="D89" s="101">
        <v>1400</v>
      </c>
      <c r="E89" s="102">
        <f t="shared" ref="E89:E95" si="9">C89*D89</f>
        <v>26600</v>
      </c>
      <c r="F89" s="2"/>
      <c r="G89" s="99"/>
      <c r="H89" s="48"/>
      <c r="I89" s="101"/>
      <c r="J89" s="102"/>
      <c r="K89" s="2"/>
      <c r="L89" s="109">
        <f t="shared" ref="L89:L97" si="10">J89+E89</f>
        <v>26600</v>
      </c>
    </row>
    <row r="90" spans="1:12" x14ac:dyDescent="0.25">
      <c r="A90" s="99" t="s">
        <v>63</v>
      </c>
      <c r="B90" s="48" t="s">
        <v>27</v>
      </c>
      <c r="C90" s="48">
        <f>C89</f>
        <v>19</v>
      </c>
      <c r="D90" s="101">
        <v>1200</v>
      </c>
      <c r="E90" s="102">
        <f t="shared" si="9"/>
        <v>22800</v>
      </c>
      <c r="F90" s="2"/>
      <c r="G90" s="99"/>
      <c r="H90" s="48"/>
      <c r="I90" s="101"/>
      <c r="J90" s="102"/>
      <c r="K90" s="2"/>
      <c r="L90" s="109">
        <f t="shared" si="10"/>
        <v>22800</v>
      </c>
    </row>
    <row r="91" spans="1:12" x14ac:dyDescent="0.25">
      <c r="A91" s="99" t="s">
        <v>64</v>
      </c>
      <c r="B91" s="48" t="s">
        <v>28</v>
      </c>
      <c r="C91" s="48">
        <v>1</v>
      </c>
      <c r="D91" s="101">
        <v>10000</v>
      </c>
      <c r="E91" s="102">
        <f t="shared" si="9"/>
        <v>10000</v>
      </c>
      <c r="F91" s="2"/>
      <c r="G91" s="99"/>
      <c r="H91" s="48"/>
      <c r="I91" s="101"/>
      <c r="J91" s="102"/>
      <c r="K91" s="2"/>
      <c r="L91" s="109">
        <f t="shared" si="10"/>
        <v>10000</v>
      </c>
    </row>
    <row r="92" spans="1:12" x14ac:dyDescent="0.25">
      <c r="A92" s="99" t="s">
        <v>65</v>
      </c>
      <c r="B92" s="48" t="s">
        <v>27</v>
      </c>
      <c r="C92" s="48"/>
      <c r="D92" s="101"/>
      <c r="E92" s="102"/>
      <c r="F92" s="2"/>
      <c r="G92" s="99" t="s">
        <v>28</v>
      </c>
      <c r="H92" s="48">
        <v>1</v>
      </c>
      <c r="I92" s="101">
        <v>10500</v>
      </c>
      <c r="J92" s="102">
        <f t="shared" ref="J92" si="11">H92*I92</f>
        <v>10500</v>
      </c>
      <c r="K92" s="2"/>
      <c r="L92" s="109">
        <f t="shared" si="10"/>
        <v>10500</v>
      </c>
    </row>
    <row r="93" spans="1:12" x14ac:dyDescent="0.25">
      <c r="A93" s="99" t="s">
        <v>66</v>
      </c>
      <c r="B93" s="48" t="s">
        <v>27</v>
      </c>
      <c r="C93" s="48">
        <f>C89</f>
        <v>19</v>
      </c>
      <c r="D93" s="101">
        <v>95</v>
      </c>
      <c r="E93" s="102">
        <f t="shared" si="9"/>
        <v>1805</v>
      </c>
      <c r="F93" s="2"/>
      <c r="G93" s="99"/>
      <c r="H93" s="48"/>
      <c r="I93" s="101"/>
      <c r="J93" s="102"/>
      <c r="K93" s="2"/>
      <c r="L93" s="109">
        <f t="shared" si="10"/>
        <v>1805</v>
      </c>
    </row>
    <row r="94" spans="1:12" x14ac:dyDescent="0.25">
      <c r="A94" s="99" t="s">
        <v>67</v>
      </c>
      <c r="B94" s="48" t="s">
        <v>27</v>
      </c>
      <c r="C94" s="48">
        <v>5</v>
      </c>
      <c r="D94" s="101">
        <v>380</v>
      </c>
      <c r="E94" s="102">
        <f t="shared" si="9"/>
        <v>1900</v>
      </c>
      <c r="F94" s="2"/>
      <c r="G94" s="99"/>
      <c r="H94" s="48"/>
      <c r="I94" s="101"/>
      <c r="J94" s="102"/>
      <c r="K94" s="2"/>
      <c r="L94" s="109">
        <f t="shared" si="10"/>
        <v>1900</v>
      </c>
    </row>
    <row r="95" spans="1:12" x14ac:dyDescent="0.25">
      <c r="A95" s="99" t="s">
        <v>68</v>
      </c>
      <c r="B95" s="48" t="s">
        <v>28</v>
      </c>
      <c r="C95" s="48">
        <v>1</v>
      </c>
      <c r="D95" s="101">
        <v>1000</v>
      </c>
      <c r="E95" s="102">
        <f t="shared" si="9"/>
        <v>1000</v>
      </c>
      <c r="F95" s="2"/>
      <c r="G95" s="99"/>
      <c r="H95" s="48"/>
      <c r="I95" s="101"/>
      <c r="J95" s="102"/>
      <c r="K95" s="2"/>
      <c r="L95" s="109">
        <f t="shared" si="10"/>
        <v>1000</v>
      </c>
    </row>
    <row r="96" spans="1:12" x14ac:dyDescent="0.25">
      <c r="A96" s="99" t="s">
        <v>222</v>
      </c>
      <c r="B96" s="48" t="s">
        <v>28</v>
      </c>
      <c r="C96" s="48"/>
      <c r="D96" s="101"/>
      <c r="E96" s="102"/>
      <c r="F96" s="2"/>
      <c r="G96" s="99" t="s">
        <v>28</v>
      </c>
      <c r="H96" s="48"/>
      <c r="I96" s="101"/>
      <c r="J96" s="102"/>
      <c r="K96" s="2"/>
      <c r="L96" s="109">
        <f>J96</f>
        <v>0</v>
      </c>
    </row>
    <row r="97" spans="1:12" x14ac:dyDescent="0.25">
      <c r="A97" s="99" t="s">
        <v>69</v>
      </c>
      <c r="B97" s="48"/>
      <c r="C97" s="48"/>
      <c r="D97" s="101"/>
      <c r="E97" s="102"/>
      <c r="F97" s="2"/>
      <c r="G97" s="99" t="s">
        <v>28</v>
      </c>
      <c r="H97" s="48">
        <f>C89</f>
        <v>19</v>
      </c>
      <c r="I97" s="101">
        <v>51</v>
      </c>
      <c r="J97" s="102">
        <f>I97*H97</f>
        <v>969</v>
      </c>
      <c r="K97" s="2"/>
      <c r="L97" s="109">
        <f t="shared" si="10"/>
        <v>969</v>
      </c>
    </row>
    <row r="98" spans="1:12" ht="15.75" thickBot="1" x14ac:dyDescent="0.3">
      <c r="A98" s="91" t="s">
        <v>12</v>
      </c>
      <c r="B98" s="123"/>
      <c r="C98" s="123"/>
      <c r="D98" s="123"/>
      <c r="E98" s="124">
        <f>SUM(E88:E97)</f>
        <v>264105</v>
      </c>
      <c r="F98" s="115"/>
      <c r="G98" s="125"/>
      <c r="H98" s="123"/>
      <c r="I98" s="123"/>
      <c r="J98" s="124">
        <f>SUM(J88:J97)</f>
        <v>11469</v>
      </c>
      <c r="K98" s="115"/>
      <c r="L98" s="127">
        <f>SUM(L88:L97)</f>
        <v>275574</v>
      </c>
    </row>
    <row r="99" spans="1:12" ht="15.75" thickBo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5.75" thickBot="1" x14ac:dyDescent="0.3">
      <c r="A100" s="230" t="s">
        <v>195</v>
      </c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2"/>
    </row>
    <row r="101" spans="1:12" x14ac:dyDescent="0.25">
      <c r="A101" s="118" t="s">
        <v>13</v>
      </c>
      <c r="B101" s="119" t="s">
        <v>14</v>
      </c>
      <c r="C101" s="119" t="s">
        <v>18</v>
      </c>
      <c r="D101" s="119" t="s">
        <v>17</v>
      </c>
      <c r="E101" s="120" t="s">
        <v>15</v>
      </c>
      <c r="F101" s="121"/>
      <c r="G101" s="118" t="s">
        <v>14</v>
      </c>
      <c r="H101" s="119" t="s">
        <v>18</v>
      </c>
      <c r="I101" s="119" t="s">
        <v>17</v>
      </c>
      <c r="J101" s="120" t="s">
        <v>16</v>
      </c>
      <c r="K101" s="121"/>
      <c r="L101" s="126" t="s">
        <v>12</v>
      </c>
    </row>
    <row r="102" spans="1:12" x14ac:dyDescent="0.25">
      <c r="A102" s="99" t="s">
        <v>150</v>
      </c>
      <c r="B102" s="48" t="s">
        <v>27</v>
      </c>
      <c r="C102" s="48">
        <f>D8</f>
        <v>22</v>
      </c>
      <c r="D102" s="101">
        <v>1500</v>
      </c>
      <c r="E102" s="102">
        <f>C102*D102</f>
        <v>33000</v>
      </c>
      <c r="F102" s="2"/>
      <c r="G102" s="99"/>
      <c r="H102" s="48"/>
      <c r="I102" s="101"/>
      <c r="J102" s="102"/>
      <c r="K102" s="2"/>
      <c r="L102" s="109">
        <f>J102+E102</f>
        <v>33000</v>
      </c>
    </row>
    <row r="103" spans="1:12" x14ac:dyDescent="0.25">
      <c r="A103" s="99" t="s">
        <v>70</v>
      </c>
      <c r="B103" s="48" t="s">
        <v>27</v>
      </c>
      <c r="C103" s="48"/>
      <c r="D103" s="101"/>
      <c r="E103" s="102"/>
      <c r="F103" s="2"/>
      <c r="G103" s="99" t="s">
        <v>28</v>
      </c>
      <c r="H103" s="48">
        <f>C102</f>
        <v>22</v>
      </c>
      <c r="I103" s="101">
        <v>95</v>
      </c>
      <c r="J103" s="102">
        <f>I103*H103</f>
        <v>2090</v>
      </c>
      <c r="K103" s="2"/>
      <c r="L103" s="109">
        <f t="shared" ref="L103:L105" si="12">J103+E103</f>
        <v>2090</v>
      </c>
    </row>
    <row r="104" spans="1:12" x14ac:dyDescent="0.25">
      <c r="A104" s="99" t="s">
        <v>71</v>
      </c>
      <c r="B104" s="48" t="s">
        <v>27</v>
      </c>
      <c r="C104" s="48"/>
      <c r="D104" s="101"/>
      <c r="E104" s="102"/>
      <c r="F104" s="2"/>
      <c r="G104" s="99" t="s">
        <v>28</v>
      </c>
      <c r="H104" s="48">
        <f>H103*6</f>
        <v>132</v>
      </c>
      <c r="I104" s="101">
        <f>I136</f>
        <v>1.6</v>
      </c>
      <c r="J104" s="102">
        <f t="shared" ref="J104:J105" si="13">I104*H104</f>
        <v>211.20000000000002</v>
      </c>
      <c r="K104" s="2"/>
      <c r="L104" s="109">
        <f t="shared" si="12"/>
        <v>211.20000000000002</v>
      </c>
    </row>
    <row r="105" spans="1:12" x14ac:dyDescent="0.25">
      <c r="A105" s="99" t="s">
        <v>72</v>
      </c>
      <c r="B105" s="48" t="s">
        <v>28</v>
      </c>
      <c r="C105" s="48"/>
      <c r="D105" s="101"/>
      <c r="E105" s="102"/>
      <c r="F105" s="2"/>
      <c r="G105" s="99" t="s">
        <v>28</v>
      </c>
      <c r="H105" s="48">
        <f>C102</f>
        <v>22</v>
      </c>
      <c r="I105" s="101">
        <v>51</v>
      </c>
      <c r="J105" s="102">
        <f t="shared" si="13"/>
        <v>1122</v>
      </c>
      <c r="K105" s="2"/>
      <c r="L105" s="109">
        <f t="shared" si="12"/>
        <v>1122</v>
      </c>
    </row>
    <row r="106" spans="1:12" ht="15.75" thickBot="1" x14ac:dyDescent="0.3">
      <c r="A106" s="91" t="s">
        <v>12</v>
      </c>
      <c r="B106" s="123"/>
      <c r="C106" s="123"/>
      <c r="D106" s="123"/>
      <c r="E106" s="124">
        <f>SUM(E102:E105)</f>
        <v>33000</v>
      </c>
      <c r="F106" s="115"/>
      <c r="G106" s="125"/>
      <c r="H106" s="123"/>
      <c r="I106" s="123"/>
      <c r="J106" s="124">
        <f>SUM(J102:J105)</f>
        <v>3423.2</v>
      </c>
      <c r="K106" s="115"/>
      <c r="L106" s="127">
        <f>SUM(L102:L105)</f>
        <v>36423.199999999997</v>
      </c>
    </row>
    <row r="107" spans="1:12" ht="15.75" thickBo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</row>
    <row r="108" spans="1:12" ht="15.75" thickBot="1" x14ac:dyDescent="0.3">
      <c r="A108" s="230" t="s">
        <v>196</v>
      </c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2"/>
    </row>
    <row r="109" spans="1:12" x14ac:dyDescent="0.25">
      <c r="A109" s="92" t="s">
        <v>13</v>
      </c>
      <c r="B109" s="93" t="s">
        <v>14</v>
      </c>
      <c r="C109" s="93" t="s">
        <v>18</v>
      </c>
      <c r="D109" s="93" t="s">
        <v>17</v>
      </c>
      <c r="E109" s="94" t="s">
        <v>15</v>
      </c>
      <c r="F109" s="128"/>
      <c r="G109" s="92" t="s">
        <v>14</v>
      </c>
      <c r="H109" s="93" t="s">
        <v>18</v>
      </c>
      <c r="I109" s="93" t="s">
        <v>17</v>
      </c>
      <c r="J109" s="94" t="s">
        <v>16</v>
      </c>
      <c r="K109" s="128"/>
      <c r="L109" s="129" t="s">
        <v>12</v>
      </c>
    </row>
    <row r="110" spans="1:12" x14ac:dyDescent="0.25">
      <c r="A110" s="99" t="s">
        <v>73</v>
      </c>
      <c r="B110" s="48" t="s">
        <v>28</v>
      </c>
      <c r="C110" s="48">
        <v>2</v>
      </c>
      <c r="D110" s="101">
        <v>2000</v>
      </c>
      <c r="E110" s="102">
        <f>C110*D110</f>
        <v>4000</v>
      </c>
      <c r="F110" s="2"/>
      <c r="G110" s="99" t="s">
        <v>28</v>
      </c>
      <c r="H110" s="48"/>
      <c r="I110" s="101"/>
      <c r="J110" s="102"/>
      <c r="K110" s="2"/>
      <c r="L110" s="109">
        <f>J110+E110</f>
        <v>4000</v>
      </c>
    </row>
    <row r="111" spans="1:12" x14ac:dyDescent="0.25">
      <c r="A111" s="99" t="s">
        <v>74</v>
      </c>
      <c r="B111" s="48" t="s">
        <v>75</v>
      </c>
      <c r="C111" s="48">
        <v>500</v>
      </c>
      <c r="D111" s="101">
        <v>1.6</v>
      </c>
      <c r="E111" s="102">
        <f t="shared" ref="E111:E113" si="14">C111*D111</f>
        <v>800</v>
      </c>
      <c r="F111" s="2"/>
      <c r="G111" s="99" t="s">
        <v>75</v>
      </c>
      <c r="H111" s="48"/>
      <c r="I111" s="101"/>
      <c r="J111" s="102"/>
      <c r="K111" s="2"/>
      <c r="L111" s="109">
        <f t="shared" ref="L111:L113" si="15">J111+E111</f>
        <v>800</v>
      </c>
    </row>
    <row r="112" spans="1:12" x14ac:dyDescent="0.25">
      <c r="A112" s="99" t="s">
        <v>76</v>
      </c>
      <c r="B112" s="48" t="s">
        <v>77</v>
      </c>
      <c r="C112" s="48">
        <v>15</v>
      </c>
      <c r="D112" s="101">
        <v>260</v>
      </c>
      <c r="E112" s="102">
        <f t="shared" si="14"/>
        <v>3900</v>
      </c>
      <c r="F112" s="2"/>
      <c r="G112" s="99" t="s">
        <v>77</v>
      </c>
      <c r="H112" s="48"/>
      <c r="I112" s="101"/>
      <c r="J112" s="102"/>
      <c r="K112" s="2"/>
      <c r="L112" s="109">
        <f t="shared" si="15"/>
        <v>3900</v>
      </c>
    </row>
    <row r="113" spans="1:12" x14ac:dyDescent="0.25">
      <c r="A113" s="99" t="s">
        <v>78</v>
      </c>
      <c r="B113" s="48" t="s">
        <v>28</v>
      </c>
      <c r="C113" s="48">
        <v>15</v>
      </c>
      <c r="D113" s="101">
        <v>80</v>
      </c>
      <c r="E113" s="102">
        <f t="shared" si="14"/>
        <v>1200</v>
      </c>
      <c r="F113" s="2"/>
      <c r="G113" s="99" t="s">
        <v>28</v>
      </c>
      <c r="H113" s="48"/>
      <c r="I113" s="101"/>
      <c r="J113" s="102"/>
      <c r="K113" s="2"/>
      <c r="L113" s="109">
        <f t="shared" si="15"/>
        <v>1200</v>
      </c>
    </row>
    <row r="114" spans="1:12" ht="15.75" thickBot="1" x14ac:dyDescent="0.3">
      <c r="A114" s="91" t="s">
        <v>12</v>
      </c>
      <c r="B114" s="123"/>
      <c r="C114" s="123"/>
      <c r="D114" s="123"/>
      <c r="E114" s="124">
        <f>SUM(E110:E113)</f>
        <v>9900</v>
      </c>
      <c r="F114" s="115"/>
      <c r="G114" s="125"/>
      <c r="H114" s="123"/>
      <c r="I114" s="123"/>
      <c r="J114" s="124">
        <f>SUM(J110:J113)</f>
        <v>0</v>
      </c>
      <c r="K114" s="115"/>
      <c r="L114" s="127">
        <f>SUM(L110:L113)</f>
        <v>9900</v>
      </c>
    </row>
    <row r="115" spans="1:12" ht="15.75" thickBo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 thickBot="1" x14ac:dyDescent="0.3">
      <c r="A116" s="239" t="s">
        <v>197</v>
      </c>
      <c r="B116" s="240"/>
      <c r="C116" s="240"/>
      <c r="D116" s="240"/>
      <c r="E116" s="240"/>
      <c r="F116" s="240"/>
      <c r="G116" s="240"/>
      <c r="H116" s="240"/>
      <c r="I116" s="240"/>
      <c r="J116" s="240"/>
      <c r="K116" s="240"/>
      <c r="L116" s="241"/>
    </row>
    <row r="117" spans="1:12" ht="15.75" thickBot="1" x14ac:dyDescent="0.3">
      <c r="A117" s="230" t="s">
        <v>198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2"/>
    </row>
    <row r="118" spans="1:12" x14ac:dyDescent="0.25">
      <c r="A118" s="92" t="s">
        <v>13</v>
      </c>
      <c r="B118" s="93" t="s">
        <v>14</v>
      </c>
      <c r="C118" s="93" t="s">
        <v>18</v>
      </c>
      <c r="D118" s="93" t="s">
        <v>17</v>
      </c>
      <c r="E118" s="94" t="s">
        <v>15</v>
      </c>
      <c r="F118" s="128"/>
      <c r="G118" s="92" t="s">
        <v>14</v>
      </c>
      <c r="H118" s="93" t="s">
        <v>18</v>
      </c>
      <c r="I118" s="93" t="s">
        <v>17</v>
      </c>
      <c r="J118" s="94" t="s">
        <v>16</v>
      </c>
      <c r="K118" s="128"/>
      <c r="L118" s="129" t="s">
        <v>12</v>
      </c>
    </row>
    <row r="119" spans="1:12" x14ac:dyDescent="0.25">
      <c r="A119" s="99" t="s">
        <v>182</v>
      </c>
      <c r="B119" s="48" t="s">
        <v>28</v>
      </c>
      <c r="C119" s="48">
        <v>1</v>
      </c>
      <c r="D119" s="101">
        <v>2000</v>
      </c>
      <c r="E119" s="102">
        <f>C119*D119</f>
        <v>2000</v>
      </c>
      <c r="F119" s="2"/>
      <c r="G119" s="99"/>
      <c r="H119" s="48"/>
      <c r="I119" s="101"/>
      <c r="J119" s="102"/>
      <c r="K119" s="2"/>
      <c r="L119" s="109">
        <f>E119+J119</f>
        <v>2000</v>
      </c>
    </row>
    <row r="120" spans="1:12" x14ac:dyDescent="0.25">
      <c r="A120" s="99" t="s">
        <v>79</v>
      </c>
      <c r="B120" s="48" t="s">
        <v>28</v>
      </c>
      <c r="C120" s="48">
        <v>1</v>
      </c>
      <c r="D120" s="101">
        <v>2500</v>
      </c>
      <c r="E120" s="102">
        <f t="shared" ref="E120:E122" si="16">C120*D120</f>
        <v>2500</v>
      </c>
      <c r="F120" s="2"/>
      <c r="G120" s="99"/>
      <c r="H120" s="48"/>
      <c r="I120" s="101"/>
      <c r="J120" s="102"/>
      <c r="K120" s="2"/>
      <c r="L120" s="109">
        <f t="shared" ref="L120:L131" si="17">E120+J120</f>
        <v>2500</v>
      </c>
    </row>
    <row r="121" spans="1:12" x14ac:dyDescent="0.25">
      <c r="A121" s="99" t="s">
        <v>80</v>
      </c>
      <c r="B121" s="48" t="s">
        <v>27</v>
      </c>
      <c r="C121" s="48">
        <v>200</v>
      </c>
      <c r="D121" s="101">
        <v>3.5</v>
      </c>
      <c r="E121" s="102">
        <f t="shared" si="16"/>
        <v>700</v>
      </c>
      <c r="F121" s="2"/>
      <c r="G121" s="99"/>
      <c r="H121" s="48"/>
      <c r="I121" s="101"/>
      <c r="J121" s="102"/>
      <c r="K121" s="2"/>
      <c r="L121" s="109">
        <f t="shared" si="17"/>
        <v>700</v>
      </c>
    </row>
    <row r="122" spans="1:12" x14ac:dyDescent="0.25">
      <c r="A122" s="99" t="s">
        <v>81</v>
      </c>
      <c r="B122" s="48" t="s">
        <v>27</v>
      </c>
      <c r="C122" s="48">
        <v>1000</v>
      </c>
      <c r="D122" s="101">
        <v>0.41</v>
      </c>
      <c r="E122" s="102">
        <f t="shared" si="16"/>
        <v>410</v>
      </c>
      <c r="F122" s="2"/>
      <c r="G122" s="99"/>
      <c r="H122" s="48"/>
      <c r="I122" s="101"/>
      <c r="J122" s="102"/>
      <c r="K122" s="2"/>
      <c r="L122" s="109">
        <f t="shared" si="17"/>
        <v>410</v>
      </c>
    </row>
    <row r="123" spans="1:12" x14ac:dyDescent="0.25">
      <c r="A123" s="99" t="s">
        <v>82</v>
      </c>
      <c r="B123" s="48"/>
      <c r="C123" s="48"/>
      <c r="D123" s="101"/>
      <c r="E123" s="102"/>
      <c r="F123" s="2"/>
      <c r="G123" s="99" t="s">
        <v>149</v>
      </c>
      <c r="H123" s="48">
        <v>1</v>
      </c>
      <c r="I123" s="101">
        <v>2500</v>
      </c>
      <c r="J123" s="102">
        <f>I123*H123</f>
        <v>2500</v>
      </c>
      <c r="K123" s="2"/>
      <c r="L123" s="109">
        <f t="shared" si="17"/>
        <v>2500</v>
      </c>
    </row>
    <row r="124" spans="1:12" x14ac:dyDescent="0.25">
      <c r="A124" s="99" t="s">
        <v>83</v>
      </c>
      <c r="B124" s="48"/>
      <c r="C124" s="48"/>
      <c r="D124" s="101"/>
      <c r="E124" s="102"/>
      <c r="F124" s="2"/>
      <c r="G124" s="99" t="s">
        <v>149</v>
      </c>
      <c r="H124" s="48">
        <v>1</v>
      </c>
      <c r="I124" s="101">
        <v>500</v>
      </c>
      <c r="J124" s="102">
        <f t="shared" ref="J124" si="18">H124*I124</f>
        <v>500</v>
      </c>
      <c r="K124" s="2"/>
      <c r="L124" s="109">
        <f t="shared" si="17"/>
        <v>500</v>
      </c>
    </row>
    <row r="125" spans="1:12" x14ac:dyDescent="0.25">
      <c r="A125" s="99" t="s">
        <v>84</v>
      </c>
      <c r="B125" s="48"/>
      <c r="C125" s="48"/>
      <c r="D125" s="101"/>
      <c r="E125" s="102"/>
      <c r="F125" s="2"/>
      <c r="G125" s="99" t="s">
        <v>28</v>
      </c>
      <c r="H125" s="48">
        <f>H193</f>
        <v>22</v>
      </c>
      <c r="I125" s="101">
        <v>35</v>
      </c>
      <c r="J125" s="102">
        <f t="shared" ref="J125:J131" si="19">I125*H125</f>
        <v>770</v>
      </c>
      <c r="K125" s="2"/>
      <c r="L125" s="109">
        <f t="shared" si="17"/>
        <v>770</v>
      </c>
    </row>
    <row r="126" spans="1:12" x14ac:dyDescent="0.25">
      <c r="A126" s="99" t="s">
        <v>85</v>
      </c>
      <c r="B126" s="48"/>
      <c r="C126" s="48"/>
      <c r="D126" s="101"/>
      <c r="E126" s="102"/>
      <c r="F126" s="2"/>
      <c r="G126" s="99" t="s">
        <v>28</v>
      </c>
      <c r="H126" s="48">
        <v>1</v>
      </c>
      <c r="I126" s="101">
        <v>1000</v>
      </c>
      <c r="J126" s="102">
        <f t="shared" si="19"/>
        <v>1000</v>
      </c>
      <c r="K126" s="2"/>
      <c r="L126" s="109">
        <f t="shared" si="17"/>
        <v>1000</v>
      </c>
    </row>
    <row r="127" spans="1:12" x14ac:dyDescent="0.25">
      <c r="A127" s="99" t="s">
        <v>86</v>
      </c>
      <c r="B127" s="48"/>
      <c r="C127" s="48"/>
      <c r="D127" s="101"/>
      <c r="E127" s="102"/>
      <c r="F127" s="2"/>
      <c r="G127" s="99" t="s">
        <v>28</v>
      </c>
      <c r="H127" s="48">
        <v>1</v>
      </c>
      <c r="I127" s="101">
        <v>1000</v>
      </c>
      <c r="J127" s="102">
        <f t="shared" si="19"/>
        <v>1000</v>
      </c>
      <c r="K127" s="2"/>
      <c r="L127" s="109">
        <f t="shared" si="17"/>
        <v>1000</v>
      </c>
    </row>
    <row r="128" spans="1:12" x14ac:dyDescent="0.25">
      <c r="A128" s="99" t="s">
        <v>87</v>
      </c>
      <c r="B128" s="48"/>
      <c r="C128" s="48"/>
      <c r="D128" s="101"/>
      <c r="E128" s="102"/>
      <c r="F128" s="2"/>
      <c r="G128" s="99" t="s">
        <v>28</v>
      </c>
      <c r="H128" s="48">
        <v>1</v>
      </c>
      <c r="I128" s="101">
        <v>150</v>
      </c>
      <c r="J128" s="102">
        <f t="shared" si="19"/>
        <v>150</v>
      </c>
      <c r="K128" s="2"/>
      <c r="L128" s="109">
        <f t="shared" si="17"/>
        <v>150</v>
      </c>
    </row>
    <row r="129" spans="1:12" x14ac:dyDescent="0.25">
      <c r="A129" s="99" t="s">
        <v>88</v>
      </c>
      <c r="B129" s="48"/>
      <c r="C129" s="48"/>
      <c r="D129" s="101"/>
      <c r="E129" s="102"/>
      <c r="F129" s="2"/>
      <c r="G129" s="99" t="s">
        <v>28</v>
      </c>
      <c r="H129" s="48">
        <v>1</v>
      </c>
      <c r="I129" s="101">
        <v>500</v>
      </c>
      <c r="J129" s="102">
        <f t="shared" si="19"/>
        <v>500</v>
      </c>
      <c r="K129" s="2"/>
      <c r="L129" s="109">
        <f t="shared" si="17"/>
        <v>500</v>
      </c>
    </row>
    <row r="130" spans="1:12" x14ac:dyDescent="0.25">
      <c r="A130" s="99" t="s">
        <v>89</v>
      </c>
      <c r="B130" s="48"/>
      <c r="C130" s="48"/>
      <c r="D130" s="101"/>
      <c r="E130" s="102"/>
      <c r="F130" s="2"/>
      <c r="G130" s="99" t="s">
        <v>28</v>
      </c>
      <c r="H130" s="48">
        <v>1</v>
      </c>
      <c r="I130" s="101">
        <v>500</v>
      </c>
      <c r="J130" s="102">
        <f t="shared" si="19"/>
        <v>500</v>
      </c>
      <c r="K130" s="2"/>
      <c r="L130" s="109">
        <f t="shared" si="17"/>
        <v>500</v>
      </c>
    </row>
    <row r="131" spans="1:12" x14ac:dyDescent="0.25">
      <c r="A131" s="99" t="s">
        <v>90</v>
      </c>
      <c r="B131" s="48"/>
      <c r="C131" s="48"/>
      <c r="D131" s="101"/>
      <c r="E131" s="102"/>
      <c r="F131" s="2"/>
      <c r="G131" s="99" t="s">
        <v>28</v>
      </c>
      <c r="H131" s="48">
        <v>1</v>
      </c>
      <c r="I131" s="101">
        <v>300</v>
      </c>
      <c r="J131" s="102">
        <f t="shared" si="19"/>
        <v>300</v>
      </c>
      <c r="K131" s="2"/>
      <c r="L131" s="109">
        <f t="shared" si="17"/>
        <v>300</v>
      </c>
    </row>
    <row r="132" spans="1:12" ht="15.75" thickBot="1" x14ac:dyDescent="0.3">
      <c r="A132" s="91" t="s">
        <v>12</v>
      </c>
      <c r="B132" s="123"/>
      <c r="C132" s="123"/>
      <c r="D132" s="123"/>
      <c r="E132" s="124">
        <f>SUM(E119:E131)</f>
        <v>5610</v>
      </c>
      <c r="F132" s="115"/>
      <c r="G132" s="125"/>
      <c r="H132" s="123"/>
      <c r="I132" s="123"/>
      <c r="J132" s="124">
        <f>SUM(J119:J131)</f>
        <v>7220</v>
      </c>
      <c r="K132" s="115"/>
      <c r="L132" s="127">
        <f>SUM(L119:L131)</f>
        <v>12830</v>
      </c>
    </row>
    <row r="133" spans="1:12" ht="15.75" thickBo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</row>
    <row r="134" spans="1:12" ht="15.75" thickBot="1" x14ac:dyDescent="0.3">
      <c r="A134" s="230" t="s">
        <v>199</v>
      </c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2"/>
    </row>
    <row r="135" spans="1:12" x14ac:dyDescent="0.25">
      <c r="A135" s="118" t="s">
        <v>13</v>
      </c>
      <c r="B135" s="119" t="s">
        <v>14</v>
      </c>
      <c r="C135" s="119" t="s">
        <v>18</v>
      </c>
      <c r="D135" s="119" t="s">
        <v>17</v>
      </c>
      <c r="E135" s="120" t="s">
        <v>15</v>
      </c>
      <c r="F135" s="121"/>
      <c r="G135" s="118" t="s">
        <v>14</v>
      </c>
      <c r="H135" s="119" t="s">
        <v>18</v>
      </c>
      <c r="I135" s="119" t="s">
        <v>17</v>
      </c>
      <c r="J135" s="120" t="s">
        <v>16</v>
      </c>
      <c r="K135" s="121"/>
      <c r="L135" s="126" t="s">
        <v>12</v>
      </c>
    </row>
    <row r="136" spans="1:12" x14ac:dyDescent="0.25">
      <c r="A136" s="99" t="s">
        <v>91</v>
      </c>
      <c r="B136" s="48"/>
      <c r="C136" s="48"/>
      <c r="D136" s="101"/>
      <c r="E136" s="102"/>
      <c r="F136" s="2"/>
      <c r="G136" s="99" t="s">
        <v>27</v>
      </c>
      <c r="H136" s="53">
        <v>160</v>
      </c>
      <c r="I136" s="101">
        <v>1.6</v>
      </c>
      <c r="J136" s="102">
        <f t="shared" ref="J136:J141" si="20">I136*H136</f>
        <v>256</v>
      </c>
      <c r="K136" s="2"/>
      <c r="L136" s="109">
        <f t="shared" ref="L136:L142" si="21">E136+J136</f>
        <v>256</v>
      </c>
    </row>
    <row r="137" spans="1:12" x14ac:dyDescent="0.25">
      <c r="A137" s="99" t="s">
        <v>92</v>
      </c>
      <c r="B137" s="48"/>
      <c r="C137" s="48"/>
      <c r="D137" s="101"/>
      <c r="E137" s="102"/>
      <c r="F137" s="2"/>
      <c r="G137" s="99" t="s">
        <v>27</v>
      </c>
      <c r="H137" s="53">
        <v>0</v>
      </c>
      <c r="I137" s="101">
        <v>39</v>
      </c>
      <c r="J137" s="102">
        <f t="shared" si="20"/>
        <v>0</v>
      </c>
      <c r="K137" s="2"/>
      <c r="L137" s="109">
        <f t="shared" si="21"/>
        <v>0</v>
      </c>
    </row>
    <row r="138" spans="1:12" x14ac:dyDescent="0.25">
      <c r="A138" s="99" t="s">
        <v>93</v>
      </c>
      <c r="B138" s="48"/>
      <c r="C138" s="48"/>
      <c r="D138" s="101"/>
      <c r="E138" s="102"/>
      <c r="F138" s="2"/>
      <c r="G138" s="99" t="s">
        <v>27</v>
      </c>
      <c r="H138" s="53">
        <v>1</v>
      </c>
      <c r="I138" s="101">
        <v>90</v>
      </c>
      <c r="J138" s="102">
        <f t="shared" si="20"/>
        <v>90</v>
      </c>
      <c r="K138" s="2"/>
      <c r="L138" s="109">
        <f t="shared" si="21"/>
        <v>90</v>
      </c>
    </row>
    <row r="139" spans="1:12" x14ac:dyDescent="0.25">
      <c r="A139" s="99" t="s">
        <v>94</v>
      </c>
      <c r="B139" s="48" t="s">
        <v>27</v>
      </c>
      <c r="C139" s="48">
        <f>C198</f>
        <v>18</v>
      </c>
      <c r="D139" s="101">
        <v>10</v>
      </c>
      <c r="E139" s="102">
        <f>D139*C139</f>
        <v>180</v>
      </c>
      <c r="F139" s="2"/>
      <c r="G139" s="48" t="s">
        <v>27</v>
      </c>
      <c r="H139" s="53">
        <v>3</v>
      </c>
      <c r="I139" s="101">
        <v>10</v>
      </c>
      <c r="J139" s="102">
        <f t="shared" si="20"/>
        <v>30</v>
      </c>
      <c r="K139" s="2"/>
      <c r="L139" s="109">
        <f t="shared" si="21"/>
        <v>210</v>
      </c>
    </row>
    <row r="140" spans="1:12" x14ac:dyDescent="0.25">
      <c r="A140" s="99" t="s">
        <v>95</v>
      </c>
      <c r="B140" s="48"/>
      <c r="C140" s="48"/>
      <c r="D140" s="101"/>
      <c r="E140" s="102"/>
      <c r="F140" s="2"/>
      <c r="G140" s="99" t="s">
        <v>28</v>
      </c>
      <c r="H140" s="53">
        <v>1</v>
      </c>
      <c r="I140" s="101">
        <v>500</v>
      </c>
      <c r="J140" s="102">
        <f t="shared" si="20"/>
        <v>500</v>
      </c>
      <c r="K140" s="2"/>
      <c r="L140" s="109">
        <f t="shared" si="21"/>
        <v>500</v>
      </c>
    </row>
    <row r="141" spans="1:12" x14ac:dyDescent="0.25">
      <c r="A141" s="99" t="s">
        <v>96</v>
      </c>
      <c r="B141" s="48"/>
      <c r="C141" s="48"/>
      <c r="D141" s="101"/>
      <c r="E141" s="102"/>
      <c r="F141" s="2"/>
      <c r="G141" s="99" t="s">
        <v>28</v>
      </c>
      <c r="H141" s="53">
        <v>1</v>
      </c>
      <c r="I141" s="101">
        <v>500</v>
      </c>
      <c r="J141" s="102">
        <f t="shared" si="20"/>
        <v>500</v>
      </c>
      <c r="K141" s="2"/>
      <c r="L141" s="109">
        <f t="shared" si="21"/>
        <v>500</v>
      </c>
    </row>
    <row r="142" spans="1:12" x14ac:dyDescent="0.25">
      <c r="A142" s="99" t="s">
        <v>97</v>
      </c>
      <c r="B142" s="48" t="s">
        <v>27</v>
      </c>
      <c r="C142" s="53"/>
      <c r="D142" s="101"/>
      <c r="E142" s="102"/>
      <c r="F142" s="2"/>
      <c r="G142" s="48" t="s">
        <v>27</v>
      </c>
      <c r="H142" s="53"/>
      <c r="I142" s="101"/>
      <c r="J142" s="102"/>
      <c r="K142" s="2"/>
      <c r="L142" s="109">
        <f t="shared" si="21"/>
        <v>0</v>
      </c>
    </row>
    <row r="143" spans="1:12" ht="15.75" thickBot="1" x14ac:dyDescent="0.3">
      <c r="A143" s="91" t="s">
        <v>12</v>
      </c>
      <c r="B143" s="123"/>
      <c r="C143" s="123"/>
      <c r="D143" s="123"/>
      <c r="E143" s="124">
        <f>SUM(E136:E142)</f>
        <v>180</v>
      </c>
      <c r="F143" s="115"/>
      <c r="G143" s="125"/>
      <c r="H143" s="123"/>
      <c r="I143" s="123"/>
      <c r="J143" s="124">
        <f>SUM(J136:J142)</f>
        <v>1376</v>
      </c>
      <c r="K143" s="115"/>
      <c r="L143" s="127">
        <f>SUM(L136:L142)</f>
        <v>1556</v>
      </c>
    </row>
    <row r="144" spans="1:12" ht="15.75" thickBo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</row>
    <row r="145" spans="1:12" ht="15.75" thickBot="1" x14ac:dyDescent="0.3">
      <c r="A145" s="230" t="s">
        <v>200</v>
      </c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2"/>
    </row>
    <row r="146" spans="1:12" ht="15.75" thickBot="1" x14ac:dyDescent="0.3">
      <c r="A146" s="8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30"/>
    </row>
    <row r="147" spans="1:12" ht="15.75" thickBot="1" x14ac:dyDescent="0.3">
      <c r="A147" s="230" t="s">
        <v>201</v>
      </c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2"/>
    </row>
    <row r="148" spans="1:12" x14ac:dyDescent="0.25">
      <c r="A148" s="118" t="s">
        <v>13</v>
      </c>
      <c r="B148" s="119" t="s">
        <v>14</v>
      </c>
      <c r="C148" s="119" t="s">
        <v>18</v>
      </c>
      <c r="D148" s="119" t="s">
        <v>17</v>
      </c>
      <c r="E148" s="120" t="s">
        <v>15</v>
      </c>
      <c r="F148" s="121"/>
      <c r="G148" s="118" t="s">
        <v>14</v>
      </c>
      <c r="H148" s="119" t="s">
        <v>18</v>
      </c>
      <c r="I148" s="119" t="s">
        <v>17</v>
      </c>
      <c r="J148" s="120" t="s">
        <v>16</v>
      </c>
      <c r="K148" s="121"/>
      <c r="L148" s="126" t="s">
        <v>12</v>
      </c>
    </row>
    <row r="149" spans="1:12" x14ac:dyDescent="0.25">
      <c r="A149" s="99" t="s">
        <v>98</v>
      </c>
      <c r="B149" s="48" t="s">
        <v>99</v>
      </c>
      <c r="C149" s="48">
        <v>15</v>
      </c>
      <c r="D149" s="101">
        <v>50</v>
      </c>
      <c r="E149" s="102">
        <f>C149*D149</f>
        <v>750</v>
      </c>
      <c r="F149" s="2"/>
      <c r="G149" s="48" t="s">
        <v>99</v>
      </c>
      <c r="H149" s="48"/>
      <c r="I149" s="101">
        <f>D149</f>
        <v>50</v>
      </c>
      <c r="J149" s="102">
        <f>H149*I149</f>
        <v>0</v>
      </c>
      <c r="K149" s="2"/>
      <c r="L149" s="109">
        <f t="shared" ref="L149:L152" si="22">E149+J149</f>
        <v>750</v>
      </c>
    </row>
    <row r="150" spans="1:12" x14ac:dyDescent="0.25">
      <c r="A150" s="99" t="s">
        <v>100</v>
      </c>
      <c r="B150" s="48" t="s">
        <v>99</v>
      </c>
      <c r="C150" s="48">
        <v>15</v>
      </c>
      <c r="D150" s="101">
        <v>120</v>
      </c>
      <c r="E150" s="102">
        <f t="shared" ref="E150:E152" si="23">C150*D150</f>
        <v>1800</v>
      </c>
      <c r="F150" s="2"/>
      <c r="G150" s="48" t="s">
        <v>99</v>
      </c>
      <c r="H150" s="48"/>
      <c r="I150" s="101">
        <f t="shared" ref="I150:I152" si="24">D150</f>
        <v>120</v>
      </c>
      <c r="J150" s="102">
        <f t="shared" ref="J150:J152" si="25">H150*I150</f>
        <v>0</v>
      </c>
      <c r="K150" s="2"/>
      <c r="L150" s="109">
        <f t="shared" si="22"/>
        <v>1800</v>
      </c>
    </row>
    <row r="151" spans="1:12" x14ac:dyDescent="0.25">
      <c r="A151" s="99" t="s">
        <v>166</v>
      </c>
      <c r="B151" s="48" t="s">
        <v>99</v>
      </c>
      <c r="C151" s="48">
        <v>15</v>
      </c>
      <c r="D151" s="101">
        <v>25</v>
      </c>
      <c r="E151" s="102">
        <f t="shared" si="23"/>
        <v>375</v>
      </c>
      <c r="F151" s="2"/>
      <c r="G151" s="48" t="s">
        <v>99</v>
      </c>
      <c r="H151" s="48"/>
      <c r="I151" s="101">
        <f t="shared" si="24"/>
        <v>25</v>
      </c>
      <c r="J151" s="102">
        <f t="shared" si="25"/>
        <v>0</v>
      </c>
      <c r="K151" s="2"/>
      <c r="L151" s="109">
        <f t="shared" si="22"/>
        <v>375</v>
      </c>
    </row>
    <row r="152" spans="1:12" x14ac:dyDescent="0.25">
      <c r="A152" s="99" t="s">
        <v>101</v>
      </c>
      <c r="B152" s="48" t="s">
        <v>28</v>
      </c>
      <c r="C152" s="48">
        <v>30</v>
      </c>
      <c r="D152" s="101">
        <v>20</v>
      </c>
      <c r="E152" s="102">
        <f t="shared" si="23"/>
        <v>600</v>
      </c>
      <c r="F152" s="2"/>
      <c r="G152" s="99" t="s">
        <v>28</v>
      </c>
      <c r="H152" s="48"/>
      <c r="I152" s="101">
        <f t="shared" si="24"/>
        <v>20</v>
      </c>
      <c r="J152" s="102">
        <f t="shared" si="25"/>
        <v>0</v>
      </c>
      <c r="K152" s="2"/>
      <c r="L152" s="109">
        <f t="shared" si="22"/>
        <v>600</v>
      </c>
    </row>
    <row r="153" spans="1:12" ht="15.75" thickBot="1" x14ac:dyDescent="0.3">
      <c r="A153" s="91" t="s">
        <v>12</v>
      </c>
      <c r="B153" s="123"/>
      <c r="C153" s="123"/>
      <c r="D153" s="123"/>
      <c r="E153" s="124">
        <f>SUM(E149:E152)</f>
        <v>3525</v>
      </c>
      <c r="F153" s="2"/>
      <c r="G153" s="125"/>
      <c r="H153" s="123"/>
      <c r="I153" s="123"/>
      <c r="J153" s="124">
        <f>SUM(J149:J152)</f>
        <v>0</v>
      </c>
      <c r="K153" s="2"/>
      <c r="L153" s="127">
        <f>SUM(L149:L152)</f>
        <v>3525</v>
      </c>
    </row>
    <row r="154" spans="1:12" x14ac:dyDescent="0.25">
      <c r="A154" s="77"/>
      <c r="L154" s="78"/>
    </row>
    <row r="155" spans="1:12" ht="15.75" thickBot="1" x14ac:dyDescent="0.3">
      <c r="A155" s="236" t="s">
        <v>202</v>
      </c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8"/>
    </row>
    <row r="156" spans="1:12" x14ac:dyDescent="0.25">
      <c r="A156" s="92" t="s">
        <v>13</v>
      </c>
      <c r="B156" s="93" t="s">
        <v>14</v>
      </c>
      <c r="C156" s="93" t="s">
        <v>18</v>
      </c>
      <c r="D156" s="93" t="s">
        <v>17</v>
      </c>
      <c r="E156" s="94" t="s">
        <v>15</v>
      </c>
      <c r="F156" s="121"/>
      <c r="G156" s="92" t="s">
        <v>14</v>
      </c>
      <c r="H156" s="93" t="s">
        <v>18</v>
      </c>
      <c r="I156" s="93" t="s">
        <v>17</v>
      </c>
      <c r="J156" s="94" t="s">
        <v>16</v>
      </c>
      <c r="K156" s="121"/>
      <c r="L156" s="129" t="s">
        <v>12</v>
      </c>
    </row>
    <row r="157" spans="1:12" x14ac:dyDescent="0.25">
      <c r="A157" s="99" t="s">
        <v>103</v>
      </c>
      <c r="B157" s="48" t="s">
        <v>99</v>
      </c>
      <c r="C157" s="53">
        <v>50</v>
      </c>
      <c r="D157" s="101">
        <v>50</v>
      </c>
      <c r="E157" s="102">
        <f>C157*D157</f>
        <v>2500</v>
      </c>
      <c r="F157" s="2"/>
      <c r="G157" s="48" t="s">
        <v>99</v>
      </c>
      <c r="H157" s="48">
        <f>H189</f>
        <v>18</v>
      </c>
      <c r="I157" s="101">
        <v>27</v>
      </c>
      <c r="J157" s="102">
        <f>H157*I157</f>
        <v>486</v>
      </c>
      <c r="K157" s="2"/>
      <c r="L157" s="109">
        <f t="shared" ref="L157:L163" si="26">E157+J157</f>
        <v>2986</v>
      </c>
    </row>
    <row r="158" spans="1:12" x14ac:dyDescent="0.25">
      <c r="A158" s="99" t="s">
        <v>166</v>
      </c>
      <c r="B158" s="48" t="s">
        <v>99</v>
      </c>
      <c r="C158" s="53">
        <v>50</v>
      </c>
      <c r="D158" s="101">
        <v>25</v>
      </c>
      <c r="E158" s="102">
        <f t="shared" ref="E158:E163" si="27">C158*D158</f>
        <v>1250</v>
      </c>
      <c r="F158" s="2"/>
      <c r="G158" s="48" t="s">
        <v>99</v>
      </c>
      <c r="H158" s="48">
        <f>G173</f>
        <v>18</v>
      </c>
      <c r="I158" s="101">
        <v>14</v>
      </c>
      <c r="J158" s="102">
        <f t="shared" ref="J158:J163" si="28">H158*I158</f>
        <v>252</v>
      </c>
      <c r="K158" s="2"/>
      <c r="L158" s="109">
        <f t="shared" si="26"/>
        <v>1502</v>
      </c>
    </row>
    <row r="159" spans="1:12" x14ac:dyDescent="0.25">
      <c r="A159" s="99" t="s">
        <v>101</v>
      </c>
      <c r="B159" s="48" t="s">
        <v>28</v>
      </c>
      <c r="C159" s="53">
        <v>30</v>
      </c>
      <c r="D159" s="101">
        <v>20</v>
      </c>
      <c r="E159" s="102">
        <f t="shared" si="27"/>
        <v>600</v>
      </c>
      <c r="F159" s="2"/>
      <c r="G159" s="48" t="s">
        <v>28</v>
      </c>
      <c r="H159" s="48">
        <v>5</v>
      </c>
      <c r="I159" s="101">
        <v>15</v>
      </c>
      <c r="J159" s="102">
        <f t="shared" si="28"/>
        <v>75</v>
      </c>
      <c r="K159" s="2"/>
      <c r="L159" s="109">
        <f t="shared" si="26"/>
        <v>675</v>
      </c>
    </row>
    <row r="160" spans="1:12" x14ac:dyDescent="0.25">
      <c r="A160" s="99" t="s">
        <v>102</v>
      </c>
      <c r="B160" s="48" t="s">
        <v>77</v>
      </c>
      <c r="C160" s="53">
        <v>10</v>
      </c>
      <c r="D160" s="101">
        <v>250</v>
      </c>
      <c r="E160" s="102">
        <f t="shared" si="27"/>
        <v>2500</v>
      </c>
      <c r="F160" s="2"/>
      <c r="G160" s="48" t="s">
        <v>77</v>
      </c>
      <c r="H160" s="48">
        <v>2</v>
      </c>
      <c r="I160" s="101">
        <v>100</v>
      </c>
      <c r="J160" s="102">
        <f t="shared" si="28"/>
        <v>200</v>
      </c>
      <c r="K160" s="2"/>
      <c r="L160" s="109">
        <f t="shared" si="26"/>
        <v>2700</v>
      </c>
    </row>
    <row r="161" spans="1:12" x14ac:dyDescent="0.25">
      <c r="A161" s="99" t="s">
        <v>104</v>
      </c>
      <c r="B161" s="48" t="s">
        <v>28</v>
      </c>
      <c r="C161" s="53">
        <v>4</v>
      </c>
      <c r="D161" s="101">
        <v>500</v>
      </c>
      <c r="E161" s="102">
        <f t="shared" si="27"/>
        <v>2000</v>
      </c>
      <c r="F161" s="2"/>
      <c r="G161" s="48"/>
      <c r="H161" s="48"/>
      <c r="I161" s="101"/>
      <c r="J161" s="102"/>
      <c r="K161" s="2"/>
      <c r="L161" s="109">
        <f t="shared" si="26"/>
        <v>2000</v>
      </c>
    </row>
    <row r="162" spans="1:12" x14ac:dyDescent="0.25">
      <c r="A162" s="99" t="s">
        <v>105</v>
      </c>
      <c r="B162" s="48" t="s">
        <v>28</v>
      </c>
      <c r="C162" s="53">
        <v>10</v>
      </c>
      <c r="D162" s="101">
        <v>270</v>
      </c>
      <c r="E162" s="102">
        <f t="shared" si="27"/>
        <v>2700</v>
      </c>
      <c r="F162" s="2"/>
      <c r="G162" s="48" t="s">
        <v>28</v>
      </c>
      <c r="H162" s="48">
        <v>1</v>
      </c>
      <c r="I162" s="101">
        <v>270</v>
      </c>
      <c r="J162" s="102">
        <f t="shared" si="28"/>
        <v>270</v>
      </c>
      <c r="K162" s="2"/>
      <c r="L162" s="109">
        <f t="shared" si="26"/>
        <v>2970</v>
      </c>
    </row>
    <row r="163" spans="1:12" x14ac:dyDescent="0.25">
      <c r="A163" s="99" t="s">
        <v>78</v>
      </c>
      <c r="B163" s="48" t="s">
        <v>28</v>
      </c>
      <c r="C163" s="53">
        <v>20</v>
      </c>
      <c r="D163" s="101">
        <v>80</v>
      </c>
      <c r="E163" s="102">
        <f t="shared" si="27"/>
        <v>1600</v>
      </c>
      <c r="F163" s="2"/>
      <c r="G163" s="48" t="s">
        <v>28</v>
      </c>
      <c r="H163" s="48">
        <v>2</v>
      </c>
      <c r="I163" s="101">
        <v>80</v>
      </c>
      <c r="J163" s="102">
        <f t="shared" si="28"/>
        <v>160</v>
      </c>
      <c r="K163" s="2"/>
      <c r="L163" s="109">
        <f t="shared" si="26"/>
        <v>1760</v>
      </c>
    </row>
    <row r="164" spans="1:12" ht="15.75" thickBot="1" x14ac:dyDescent="0.3">
      <c r="A164" s="91" t="s">
        <v>12</v>
      </c>
      <c r="B164" s="123"/>
      <c r="C164" s="123"/>
      <c r="D164" s="123"/>
      <c r="E164" s="124">
        <f>SUM(E157:E163)</f>
        <v>13150</v>
      </c>
      <c r="F164" s="2"/>
      <c r="G164" s="125"/>
      <c r="H164" s="123"/>
      <c r="I164" s="123"/>
      <c r="J164" s="124">
        <f>SUM(J157:J163)</f>
        <v>1443</v>
      </c>
      <c r="K164" s="2"/>
      <c r="L164" s="127">
        <f>SUM(L157:L163)</f>
        <v>14593</v>
      </c>
    </row>
    <row r="165" spans="1:12" x14ac:dyDescent="0.25">
      <c r="A165" s="77"/>
      <c r="L165" s="78"/>
    </row>
    <row r="166" spans="1:12" ht="15.75" thickBot="1" x14ac:dyDescent="0.3">
      <c r="A166" s="236" t="s">
        <v>203</v>
      </c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8"/>
    </row>
    <row r="167" spans="1:12" x14ac:dyDescent="0.25">
      <c r="A167" s="92" t="s">
        <v>13</v>
      </c>
      <c r="B167" s="93" t="s">
        <v>115</v>
      </c>
      <c r="C167" s="93" t="s">
        <v>116</v>
      </c>
      <c r="D167" s="93" t="s">
        <v>117</v>
      </c>
      <c r="E167" s="94" t="s">
        <v>15</v>
      </c>
      <c r="F167" s="121"/>
      <c r="G167" s="92" t="s">
        <v>115</v>
      </c>
      <c r="H167" s="93" t="s">
        <v>116</v>
      </c>
      <c r="I167" s="93" t="s">
        <v>172</v>
      </c>
      <c r="J167" s="94" t="s">
        <v>16</v>
      </c>
      <c r="K167" s="121"/>
      <c r="L167" s="129" t="s">
        <v>12</v>
      </c>
    </row>
    <row r="168" spans="1:12" x14ac:dyDescent="0.25">
      <c r="A168" s="99" t="s">
        <v>106</v>
      </c>
      <c r="B168" s="48"/>
      <c r="C168" s="48"/>
      <c r="D168" s="101"/>
      <c r="E168" s="102"/>
      <c r="F168" s="2"/>
      <c r="G168" s="48">
        <v>1</v>
      </c>
      <c r="H168" s="101">
        <v>3000</v>
      </c>
      <c r="I168" s="101">
        <f>H168*$B$180</f>
        <v>2009.1</v>
      </c>
      <c r="J168" s="102">
        <f t="shared" ref="J168" si="29">(H168+I168)*G168</f>
        <v>5009.1000000000004</v>
      </c>
      <c r="K168" s="2"/>
      <c r="L168" s="109">
        <f t="shared" ref="L168" si="30">J168+E168</f>
        <v>5009.1000000000004</v>
      </c>
    </row>
    <row r="169" spans="1:12" x14ac:dyDescent="0.25">
      <c r="A169" s="99" t="s">
        <v>107</v>
      </c>
      <c r="B169" s="48"/>
      <c r="C169" s="48"/>
      <c r="D169" s="101"/>
      <c r="E169" s="102"/>
      <c r="F169" s="2"/>
      <c r="G169" s="48">
        <v>0.2</v>
      </c>
      <c r="H169" s="101">
        <v>5600</v>
      </c>
      <c r="I169" s="101">
        <f>H169*$B$180</f>
        <v>3750.3199999999997</v>
      </c>
      <c r="J169" s="102">
        <f t="shared" ref="J169:J177" si="31">(H169+I169)*G169</f>
        <v>1870.0640000000001</v>
      </c>
      <c r="K169" s="2"/>
      <c r="L169" s="109">
        <f t="shared" ref="L169:L177" si="32">J169+E169</f>
        <v>1870.0640000000001</v>
      </c>
    </row>
    <row r="170" spans="1:12" x14ac:dyDescent="0.25">
      <c r="A170" s="99" t="s">
        <v>108</v>
      </c>
      <c r="B170" s="48"/>
      <c r="C170" s="48"/>
      <c r="D170" s="101"/>
      <c r="E170" s="102"/>
      <c r="F170" s="2"/>
      <c r="G170" s="48">
        <v>1</v>
      </c>
      <c r="H170" s="101">
        <v>1900</v>
      </c>
      <c r="I170" s="101">
        <f t="shared" ref="I170" si="33">H170*$B$180</f>
        <v>1272.4299999999998</v>
      </c>
      <c r="J170" s="102">
        <f t="shared" si="31"/>
        <v>3172.43</v>
      </c>
      <c r="K170" s="2"/>
      <c r="L170" s="109">
        <f t="shared" si="32"/>
        <v>3172.43</v>
      </c>
    </row>
    <row r="171" spans="1:12" x14ac:dyDescent="0.25">
      <c r="A171" s="99" t="s">
        <v>109</v>
      </c>
      <c r="B171" s="48"/>
      <c r="C171" s="48"/>
      <c r="D171" s="101"/>
      <c r="E171" s="102"/>
      <c r="F171" s="2"/>
      <c r="G171" s="48">
        <f>1</f>
        <v>1</v>
      </c>
      <c r="H171" s="101">
        <v>1760</v>
      </c>
      <c r="I171" s="101">
        <f t="shared" ref="I171:I177" si="34">H171*$B$180</f>
        <v>1178.672</v>
      </c>
      <c r="J171" s="102">
        <f t="shared" si="31"/>
        <v>2938.672</v>
      </c>
      <c r="K171" s="2"/>
      <c r="L171" s="109">
        <f t="shared" si="32"/>
        <v>2938.672</v>
      </c>
    </row>
    <row r="172" spans="1:12" x14ac:dyDescent="0.25">
      <c r="A172" s="99" t="s">
        <v>168</v>
      </c>
      <c r="B172" s="48"/>
      <c r="C172" s="48"/>
      <c r="D172" s="101"/>
      <c r="E172" s="102"/>
      <c r="F172" s="2"/>
      <c r="G172" s="99">
        <v>0</v>
      </c>
      <c r="H172" s="101">
        <v>1700</v>
      </c>
      <c r="I172" s="101">
        <f t="shared" si="34"/>
        <v>1138.49</v>
      </c>
      <c r="J172" s="102">
        <f t="shared" si="31"/>
        <v>0</v>
      </c>
      <c r="K172" s="2"/>
      <c r="L172" s="109">
        <f t="shared" si="32"/>
        <v>0</v>
      </c>
    </row>
    <row r="173" spans="1:12" x14ac:dyDescent="0.25">
      <c r="A173" s="99" t="s">
        <v>169</v>
      </c>
      <c r="B173" s="48"/>
      <c r="C173" s="48"/>
      <c r="D173" s="101"/>
      <c r="E173" s="102"/>
      <c r="F173" s="2"/>
      <c r="G173" s="99">
        <f>D9</f>
        <v>18</v>
      </c>
      <c r="H173" s="101">
        <v>1750</v>
      </c>
      <c r="I173" s="101">
        <f t="shared" si="34"/>
        <v>1171.9749999999999</v>
      </c>
      <c r="J173" s="102">
        <f t="shared" si="31"/>
        <v>52595.549999999996</v>
      </c>
      <c r="K173" s="2"/>
      <c r="L173" s="109">
        <f t="shared" si="32"/>
        <v>52595.549999999996</v>
      </c>
    </row>
    <row r="174" spans="1:12" x14ac:dyDescent="0.25">
      <c r="A174" s="99" t="s">
        <v>112</v>
      </c>
      <c r="B174" s="48"/>
      <c r="C174" s="48"/>
      <c r="D174" s="101"/>
      <c r="E174" s="102"/>
      <c r="F174" s="2"/>
      <c r="G174" s="99">
        <v>0</v>
      </c>
      <c r="H174" s="101">
        <v>1800</v>
      </c>
      <c r="I174" s="101">
        <f t="shared" si="34"/>
        <v>1205.46</v>
      </c>
      <c r="J174" s="102">
        <f t="shared" si="31"/>
        <v>0</v>
      </c>
      <c r="K174" s="2"/>
      <c r="L174" s="109">
        <f t="shared" si="32"/>
        <v>0</v>
      </c>
    </row>
    <row r="175" spans="1:12" x14ac:dyDescent="0.25">
      <c r="A175" s="99" t="s">
        <v>113</v>
      </c>
      <c r="B175" s="48"/>
      <c r="C175" s="48"/>
      <c r="D175" s="101"/>
      <c r="E175" s="102"/>
      <c r="F175" s="2"/>
      <c r="G175" s="99">
        <v>0</v>
      </c>
      <c r="H175" s="101">
        <v>1330</v>
      </c>
      <c r="I175" s="101">
        <f t="shared" si="34"/>
        <v>890.70099999999991</v>
      </c>
      <c r="J175" s="102">
        <f t="shared" si="31"/>
        <v>0</v>
      </c>
      <c r="K175" s="2"/>
      <c r="L175" s="109">
        <f t="shared" si="32"/>
        <v>0</v>
      </c>
    </row>
    <row r="176" spans="1:12" x14ac:dyDescent="0.25">
      <c r="A176" s="99" t="s">
        <v>114</v>
      </c>
      <c r="B176" s="48"/>
      <c r="C176" s="48"/>
      <c r="D176" s="101"/>
      <c r="E176" s="102"/>
      <c r="F176" s="2"/>
      <c r="G176" s="99">
        <v>1</v>
      </c>
      <c r="H176" s="101">
        <v>1760</v>
      </c>
      <c r="I176" s="101">
        <f t="shared" si="34"/>
        <v>1178.672</v>
      </c>
      <c r="J176" s="102">
        <f t="shared" si="31"/>
        <v>2938.672</v>
      </c>
      <c r="K176" s="2"/>
      <c r="L176" s="109">
        <f t="shared" si="32"/>
        <v>2938.672</v>
      </c>
    </row>
    <row r="177" spans="1:12" x14ac:dyDescent="0.25">
      <c r="A177" s="99" t="s">
        <v>252</v>
      </c>
      <c r="B177" s="48"/>
      <c r="C177" s="48"/>
      <c r="D177" s="101"/>
      <c r="E177" s="102"/>
      <c r="F177" s="2"/>
      <c r="G177" s="99">
        <f>G173</f>
        <v>18</v>
      </c>
      <c r="H177" s="101">
        <f>H173*10%</f>
        <v>175</v>
      </c>
      <c r="I177" s="101">
        <f t="shared" si="34"/>
        <v>117.19749999999999</v>
      </c>
      <c r="J177" s="102">
        <f t="shared" si="31"/>
        <v>5259.5550000000003</v>
      </c>
      <c r="K177" s="2"/>
      <c r="L177" s="109">
        <f t="shared" si="32"/>
        <v>5259.5550000000003</v>
      </c>
    </row>
    <row r="178" spans="1:12" ht="15.75" thickBot="1" x14ac:dyDescent="0.3">
      <c r="A178" s="91" t="s">
        <v>12</v>
      </c>
      <c r="B178" s="123"/>
      <c r="C178" s="123"/>
      <c r="D178" s="123"/>
      <c r="E178" s="124"/>
      <c r="F178" s="2"/>
      <c r="G178" s="125"/>
      <c r="H178" s="123"/>
      <c r="I178" s="123"/>
      <c r="J178" s="124">
        <f>SUM(J168:J177)</f>
        <v>73784.043000000005</v>
      </c>
      <c r="K178" s="2"/>
      <c r="L178" s="127">
        <f>SUM(L168:L177)</f>
        <v>73784.043000000005</v>
      </c>
    </row>
    <row r="179" spans="1:12" ht="15.75" thickBot="1" x14ac:dyDescent="0.3">
      <c r="A179" s="77"/>
      <c r="L179" s="78"/>
    </row>
    <row r="180" spans="1:12" ht="15.75" thickBot="1" x14ac:dyDescent="0.3">
      <c r="A180" s="131" t="s">
        <v>173</v>
      </c>
      <c r="B180" s="132">
        <v>0.66969999999999996</v>
      </c>
      <c r="C180" s="133"/>
      <c r="D180" s="134"/>
      <c r="G180" s="135"/>
      <c r="L180" s="78"/>
    </row>
    <row r="181" spans="1:12" x14ac:dyDescent="0.25">
      <c r="A181" s="77"/>
      <c r="L181" s="78"/>
    </row>
    <row r="182" spans="1:12" ht="15.75" thickBot="1" x14ac:dyDescent="0.3">
      <c r="A182" s="236" t="s">
        <v>204</v>
      </c>
      <c r="B182" s="237"/>
      <c r="C182" s="237"/>
      <c r="D182" s="237"/>
      <c r="E182" s="237"/>
      <c r="F182" s="237"/>
      <c r="G182" s="237"/>
      <c r="H182" s="237"/>
      <c r="I182" s="237"/>
      <c r="J182" s="237"/>
      <c r="K182" s="237"/>
      <c r="L182" s="238"/>
    </row>
    <row r="183" spans="1:12" x14ac:dyDescent="0.25">
      <c r="A183" s="92" t="s">
        <v>13</v>
      </c>
      <c r="B183" s="93" t="s">
        <v>118</v>
      </c>
      <c r="C183" s="93" t="s">
        <v>119</v>
      </c>
      <c r="D183" s="93" t="s">
        <v>120</v>
      </c>
      <c r="E183" s="94" t="s">
        <v>15</v>
      </c>
      <c r="F183" s="121"/>
      <c r="G183" s="93" t="s">
        <v>118</v>
      </c>
      <c r="H183" s="93" t="s">
        <v>119</v>
      </c>
      <c r="I183" s="93" t="s">
        <v>120</v>
      </c>
      <c r="J183" s="94" t="s">
        <v>16</v>
      </c>
      <c r="K183" s="121"/>
      <c r="L183" s="129" t="s">
        <v>12</v>
      </c>
    </row>
    <row r="184" spans="1:12" x14ac:dyDescent="0.25">
      <c r="A184" s="99" t="s">
        <v>106</v>
      </c>
      <c r="B184" s="48"/>
      <c r="C184" s="48"/>
      <c r="D184" s="101"/>
      <c r="E184" s="102"/>
      <c r="F184" s="2"/>
      <c r="G184" s="136">
        <v>48</v>
      </c>
      <c r="H184" s="136">
        <f>G168</f>
        <v>1</v>
      </c>
      <c r="I184" s="137">
        <v>4.5</v>
      </c>
      <c r="J184" s="138">
        <f>(G184*H184*I184)-(H168*6%)</f>
        <v>36</v>
      </c>
      <c r="K184" s="139"/>
      <c r="L184" s="140">
        <f>J184+E184</f>
        <v>36</v>
      </c>
    </row>
    <row r="185" spans="1:12" x14ac:dyDescent="0.25">
      <c r="A185" s="99" t="s">
        <v>107</v>
      </c>
      <c r="B185" s="48"/>
      <c r="C185" s="48"/>
      <c r="D185" s="101"/>
      <c r="E185" s="102"/>
      <c r="F185" s="2"/>
      <c r="G185" s="136"/>
      <c r="H185" s="136"/>
      <c r="I185" s="137"/>
      <c r="J185" s="138"/>
      <c r="K185" s="139"/>
      <c r="L185" s="140">
        <f t="shared" ref="L185:L193" si="35">J185+E185</f>
        <v>0</v>
      </c>
    </row>
    <row r="186" spans="1:12" x14ac:dyDescent="0.25">
      <c r="A186" s="99" t="s">
        <v>108</v>
      </c>
      <c r="B186" s="48"/>
      <c r="C186" s="48"/>
      <c r="D186" s="101"/>
      <c r="E186" s="102"/>
      <c r="F186" s="2"/>
      <c r="G186" s="136">
        <v>48</v>
      </c>
      <c r="H186" s="136">
        <f>G170</f>
        <v>1</v>
      </c>
      <c r="I186" s="137">
        <v>4.5</v>
      </c>
      <c r="J186" s="138">
        <v>0</v>
      </c>
      <c r="K186" s="139"/>
      <c r="L186" s="140">
        <f t="shared" si="35"/>
        <v>0</v>
      </c>
    </row>
    <row r="187" spans="1:12" x14ac:dyDescent="0.25">
      <c r="A187" s="99" t="s">
        <v>109</v>
      </c>
      <c r="B187" s="48"/>
      <c r="C187" s="48"/>
      <c r="D187" s="101"/>
      <c r="E187" s="102"/>
      <c r="F187" s="2"/>
      <c r="G187" s="136">
        <v>48</v>
      </c>
      <c r="H187" s="136">
        <f>G171</f>
        <v>1</v>
      </c>
      <c r="I187" s="137">
        <v>4.5</v>
      </c>
      <c r="J187" s="138">
        <f t="shared" ref="J187:J191" si="36">(G187*H187*I187)-(H171*6%)</f>
        <v>110.4</v>
      </c>
      <c r="K187" s="139"/>
      <c r="L187" s="140">
        <f t="shared" si="35"/>
        <v>110.4</v>
      </c>
    </row>
    <row r="188" spans="1:12" x14ac:dyDescent="0.25">
      <c r="A188" s="99" t="s">
        <v>110</v>
      </c>
      <c r="B188" s="48"/>
      <c r="C188" s="48"/>
      <c r="D188" s="101"/>
      <c r="E188" s="102"/>
      <c r="F188" s="2"/>
      <c r="G188" s="136">
        <v>48</v>
      </c>
      <c r="H188" s="136">
        <f t="shared" ref="H188:H191" si="37">G172</f>
        <v>0</v>
      </c>
      <c r="I188" s="137">
        <v>4.5</v>
      </c>
      <c r="J188" s="138">
        <f t="shared" si="36"/>
        <v>-102</v>
      </c>
      <c r="K188" s="139"/>
      <c r="L188" s="140">
        <f t="shared" si="35"/>
        <v>-102</v>
      </c>
    </row>
    <row r="189" spans="1:12" x14ac:dyDescent="0.25">
      <c r="A189" s="99" t="s">
        <v>111</v>
      </c>
      <c r="B189" s="48"/>
      <c r="C189" s="48"/>
      <c r="D189" s="101"/>
      <c r="E189" s="102"/>
      <c r="F189" s="2"/>
      <c r="G189" s="136">
        <v>48</v>
      </c>
      <c r="H189" s="136">
        <f t="shared" si="37"/>
        <v>18</v>
      </c>
      <c r="I189" s="137">
        <v>4.5</v>
      </c>
      <c r="J189" s="138">
        <f t="shared" si="36"/>
        <v>3783</v>
      </c>
      <c r="K189" s="139"/>
      <c r="L189" s="140">
        <f t="shared" si="35"/>
        <v>3783</v>
      </c>
    </row>
    <row r="190" spans="1:12" x14ac:dyDescent="0.25">
      <c r="A190" s="99" t="s">
        <v>112</v>
      </c>
      <c r="B190" s="48"/>
      <c r="C190" s="48"/>
      <c r="D190" s="101"/>
      <c r="E190" s="102"/>
      <c r="F190" s="2"/>
      <c r="G190" s="136">
        <v>48</v>
      </c>
      <c r="H190" s="136">
        <f t="shared" si="37"/>
        <v>0</v>
      </c>
      <c r="I190" s="137">
        <v>4.5</v>
      </c>
      <c r="J190" s="138">
        <f t="shared" si="36"/>
        <v>-108</v>
      </c>
      <c r="K190" s="139"/>
      <c r="L190" s="140">
        <f t="shared" si="35"/>
        <v>-108</v>
      </c>
    </row>
    <row r="191" spans="1:12" x14ac:dyDescent="0.25">
      <c r="A191" s="99" t="s">
        <v>113</v>
      </c>
      <c r="B191" s="48"/>
      <c r="C191" s="48"/>
      <c r="D191" s="101"/>
      <c r="E191" s="102"/>
      <c r="F191" s="2"/>
      <c r="G191" s="136">
        <v>48</v>
      </c>
      <c r="H191" s="136">
        <f t="shared" si="37"/>
        <v>0</v>
      </c>
      <c r="I191" s="137">
        <v>4.5</v>
      </c>
      <c r="J191" s="138">
        <f t="shared" si="36"/>
        <v>-79.8</v>
      </c>
      <c r="K191" s="139"/>
      <c r="L191" s="140">
        <f t="shared" si="35"/>
        <v>-79.8</v>
      </c>
    </row>
    <row r="192" spans="1:12" x14ac:dyDescent="0.25">
      <c r="A192" s="99" t="s">
        <v>114</v>
      </c>
      <c r="B192" s="48"/>
      <c r="C192" s="48"/>
      <c r="D192" s="101"/>
      <c r="E192" s="102"/>
      <c r="F192" s="2"/>
      <c r="G192" s="136">
        <v>48</v>
      </c>
      <c r="H192" s="136">
        <v>1</v>
      </c>
      <c r="I192" s="137">
        <v>4.5</v>
      </c>
      <c r="J192" s="138">
        <f>(G192*H192*I192)-((H176/2)*0.06)</f>
        <v>163.19999999999999</v>
      </c>
      <c r="K192" s="139"/>
      <c r="L192" s="140">
        <f t="shared" si="35"/>
        <v>163.19999999999999</v>
      </c>
    </row>
    <row r="193" spans="1:12" x14ac:dyDescent="0.25">
      <c r="A193" s="99" t="s">
        <v>183</v>
      </c>
      <c r="B193" s="48"/>
      <c r="C193" s="48"/>
      <c r="D193" s="101"/>
      <c r="E193" s="102"/>
      <c r="F193" s="2"/>
      <c r="G193" s="136">
        <v>22</v>
      </c>
      <c r="H193" s="136">
        <f>H184+H186+H187+H189+H192</f>
        <v>22</v>
      </c>
      <c r="I193" s="137">
        <v>12</v>
      </c>
      <c r="J193" s="138">
        <f>(G193*H193*I193)-((H177/2)*0.06)</f>
        <v>5802.75</v>
      </c>
      <c r="K193" s="139"/>
      <c r="L193" s="140">
        <f t="shared" si="35"/>
        <v>5802.75</v>
      </c>
    </row>
    <row r="194" spans="1:12" ht="15.75" thickBot="1" x14ac:dyDescent="0.3">
      <c r="A194" s="91" t="s">
        <v>12</v>
      </c>
      <c r="B194" s="123"/>
      <c r="C194" s="123"/>
      <c r="D194" s="123"/>
      <c r="E194" s="124"/>
      <c r="F194" s="2"/>
      <c r="G194" s="125"/>
      <c r="H194" s="123"/>
      <c r="I194" s="123"/>
      <c r="J194" s="124">
        <f>SUM(J184:J193)-SUM(J186:J192)*6%</f>
        <v>9379.5419999999995</v>
      </c>
      <c r="K194" s="139"/>
      <c r="L194" s="127">
        <f>J194</f>
        <v>9379.5419999999995</v>
      </c>
    </row>
    <row r="195" spans="1:12" x14ac:dyDescent="0.25">
      <c r="A195" s="77" t="s">
        <v>185</v>
      </c>
      <c r="L195" s="78"/>
    </row>
    <row r="196" spans="1:12" ht="15.75" thickBot="1" x14ac:dyDescent="0.3">
      <c r="A196" s="236" t="s">
        <v>205</v>
      </c>
      <c r="B196" s="237"/>
      <c r="C196" s="237"/>
      <c r="D196" s="237"/>
      <c r="E196" s="237"/>
      <c r="F196" s="237"/>
      <c r="G196" s="237"/>
      <c r="H196" s="237"/>
      <c r="I196" s="237"/>
      <c r="J196" s="237"/>
      <c r="K196" s="237"/>
      <c r="L196" s="238"/>
    </row>
    <row r="197" spans="1:12" x14ac:dyDescent="0.25">
      <c r="A197" s="92" t="s">
        <v>13</v>
      </c>
      <c r="B197" s="93" t="s">
        <v>130</v>
      </c>
      <c r="C197" s="93" t="s">
        <v>119</v>
      </c>
      <c r="D197" s="93" t="s">
        <v>120</v>
      </c>
      <c r="E197" s="94" t="s">
        <v>15</v>
      </c>
      <c r="F197" s="121"/>
      <c r="G197" s="93" t="s">
        <v>118</v>
      </c>
      <c r="H197" s="93" t="s">
        <v>119</v>
      </c>
      <c r="I197" s="93" t="s">
        <v>120</v>
      </c>
      <c r="J197" s="94" t="s">
        <v>16</v>
      </c>
      <c r="K197" s="121"/>
      <c r="L197" s="129" t="s">
        <v>12</v>
      </c>
    </row>
    <row r="198" spans="1:12" x14ac:dyDescent="0.25">
      <c r="A198" s="99" t="s">
        <v>121</v>
      </c>
      <c r="B198" s="48">
        <v>1</v>
      </c>
      <c r="C198" s="48">
        <f>G173</f>
        <v>18</v>
      </c>
      <c r="D198" s="101">
        <v>95</v>
      </c>
      <c r="E198" s="102">
        <f>C198*D198*B198</f>
        <v>1710</v>
      </c>
      <c r="F198" s="2"/>
      <c r="G198" s="48">
        <f>B198</f>
        <v>1</v>
      </c>
      <c r="H198" s="48">
        <v>4</v>
      </c>
      <c r="I198" s="101">
        <f>D198</f>
        <v>95</v>
      </c>
      <c r="J198" s="102">
        <f>H198*I198*G198</f>
        <v>380</v>
      </c>
      <c r="K198" s="2"/>
      <c r="L198" s="109">
        <f>J198+E198</f>
        <v>2090</v>
      </c>
    </row>
    <row r="199" spans="1:12" x14ac:dyDescent="0.25">
      <c r="A199" s="99" t="s">
        <v>122</v>
      </c>
      <c r="B199" s="48">
        <v>3</v>
      </c>
      <c r="C199" s="48">
        <f>C198</f>
        <v>18</v>
      </c>
      <c r="D199" s="101">
        <v>63</v>
      </c>
      <c r="E199" s="102">
        <f t="shared" ref="E199:E206" si="38">C199*D199*B199</f>
        <v>3402</v>
      </c>
      <c r="F199" s="2"/>
      <c r="G199" s="48">
        <f t="shared" ref="G199:G206" si="39">B199</f>
        <v>3</v>
      </c>
      <c r="H199" s="48">
        <v>4</v>
      </c>
      <c r="I199" s="101">
        <f t="shared" ref="I199:I206" si="40">D199</f>
        <v>63</v>
      </c>
      <c r="J199" s="102">
        <f t="shared" ref="J199:J206" si="41">H199*I199*G199</f>
        <v>756</v>
      </c>
      <c r="K199" s="2"/>
      <c r="L199" s="109">
        <f t="shared" ref="L199:L206" si="42">J199+E199</f>
        <v>4158</v>
      </c>
    </row>
    <row r="200" spans="1:12" x14ac:dyDescent="0.25">
      <c r="A200" s="99" t="s">
        <v>123</v>
      </c>
      <c r="B200" s="48">
        <v>2</v>
      </c>
      <c r="C200" s="48">
        <f t="shared" ref="C200:C206" si="43">C199</f>
        <v>18</v>
      </c>
      <c r="D200" s="101">
        <v>75</v>
      </c>
      <c r="E200" s="102">
        <f t="shared" si="38"/>
        <v>2700</v>
      </c>
      <c r="F200" s="2"/>
      <c r="G200" s="48">
        <f t="shared" si="39"/>
        <v>2</v>
      </c>
      <c r="H200" s="48">
        <v>4</v>
      </c>
      <c r="I200" s="101">
        <f t="shared" si="40"/>
        <v>75</v>
      </c>
      <c r="J200" s="102">
        <f t="shared" si="41"/>
        <v>600</v>
      </c>
      <c r="K200" s="2"/>
      <c r="L200" s="109">
        <f t="shared" si="42"/>
        <v>3300</v>
      </c>
    </row>
    <row r="201" spans="1:12" x14ac:dyDescent="0.25">
      <c r="A201" s="99" t="s">
        <v>124</v>
      </c>
      <c r="B201" s="48">
        <v>3</v>
      </c>
      <c r="C201" s="48">
        <f t="shared" si="43"/>
        <v>18</v>
      </c>
      <c r="D201" s="101">
        <v>29</v>
      </c>
      <c r="E201" s="102">
        <f t="shared" si="38"/>
        <v>1566</v>
      </c>
      <c r="F201" s="2"/>
      <c r="G201" s="48">
        <f t="shared" si="39"/>
        <v>3</v>
      </c>
      <c r="H201" s="48">
        <v>4</v>
      </c>
      <c r="I201" s="101">
        <f t="shared" si="40"/>
        <v>29</v>
      </c>
      <c r="J201" s="102">
        <f t="shared" si="41"/>
        <v>348</v>
      </c>
      <c r="K201" s="2"/>
      <c r="L201" s="109">
        <f t="shared" si="42"/>
        <v>1914</v>
      </c>
    </row>
    <row r="202" spans="1:12" x14ac:dyDescent="0.25">
      <c r="A202" s="99" t="s">
        <v>125</v>
      </c>
      <c r="B202" s="48">
        <v>2</v>
      </c>
      <c r="C202" s="48">
        <f t="shared" si="43"/>
        <v>18</v>
      </c>
      <c r="D202" s="101">
        <v>38</v>
      </c>
      <c r="E202" s="102">
        <f t="shared" si="38"/>
        <v>1368</v>
      </c>
      <c r="F202" s="2"/>
      <c r="G202" s="48">
        <f t="shared" si="39"/>
        <v>2</v>
      </c>
      <c r="H202" s="48">
        <v>4</v>
      </c>
      <c r="I202" s="101">
        <f t="shared" si="40"/>
        <v>38</v>
      </c>
      <c r="J202" s="102">
        <f t="shared" si="41"/>
        <v>304</v>
      </c>
      <c r="K202" s="2"/>
      <c r="L202" s="109">
        <f t="shared" si="42"/>
        <v>1672</v>
      </c>
    </row>
    <row r="203" spans="1:12" x14ac:dyDescent="0.25">
      <c r="A203" s="99" t="s">
        <v>126</v>
      </c>
      <c r="B203" s="48">
        <v>1</v>
      </c>
      <c r="C203" s="48">
        <f t="shared" si="43"/>
        <v>18</v>
      </c>
      <c r="D203" s="101">
        <v>69</v>
      </c>
      <c r="E203" s="102">
        <f t="shared" si="38"/>
        <v>1242</v>
      </c>
      <c r="F203" s="2"/>
      <c r="G203" s="48">
        <f t="shared" si="39"/>
        <v>1</v>
      </c>
      <c r="H203" s="48">
        <v>4</v>
      </c>
      <c r="I203" s="101">
        <f t="shared" si="40"/>
        <v>69</v>
      </c>
      <c r="J203" s="102">
        <f t="shared" si="41"/>
        <v>276</v>
      </c>
      <c r="K203" s="2"/>
      <c r="L203" s="109">
        <f t="shared" si="42"/>
        <v>1518</v>
      </c>
    </row>
    <row r="204" spans="1:12" x14ac:dyDescent="0.25">
      <c r="A204" s="99" t="s">
        <v>127</v>
      </c>
      <c r="B204" s="48">
        <v>1</v>
      </c>
      <c r="C204" s="48">
        <f t="shared" si="43"/>
        <v>18</v>
      </c>
      <c r="D204" s="101">
        <v>35</v>
      </c>
      <c r="E204" s="102">
        <f t="shared" si="38"/>
        <v>630</v>
      </c>
      <c r="F204" s="2"/>
      <c r="G204" s="48">
        <f t="shared" si="39"/>
        <v>1</v>
      </c>
      <c r="H204" s="48">
        <v>4</v>
      </c>
      <c r="I204" s="101">
        <f t="shared" si="40"/>
        <v>35</v>
      </c>
      <c r="J204" s="102">
        <f t="shared" si="41"/>
        <v>140</v>
      </c>
      <c r="K204" s="2"/>
      <c r="L204" s="109">
        <f t="shared" si="42"/>
        <v>770</v>
      </c>
    </row>
    <row r="205" spans="1:12" x14ac:dyDescent="0.25">
      <c r="A205" s="99" t="s">
        <v>128</v>
      </c>
      <c r="B205" s="48">
        <v>2</v>
      </c>
      <c r="C205" s="48">
        <f t="shared" si="43"/>
        <v>18</v>
      </c>
      <c r="D205" s="101">
        <v>22</v>
      </c>
      <c r="E205" s="102">
        <f t="shared" si="38"/>
        <v>792</v>
      </c>
      <c r="F205" s="2"/>
      <c r="G205" s="48">
        <f t="shared" si="39"/>
        <v>2</v>
      </c>
      <c r="H205" s="48">
        <v>4</v>
      </c>
      <c r="I205" s="101">
        <f t="shared" si="40"/>
        <v>22</v>
      </c>
      <c r="J205" s="102">
        <f t="shared" si="41"/>
        <v>176</v>
      </c>
      <c r="K205" s="2"/>
      <c r="L205" s="109">
        <f t="shared" si="42"/>
        <v>968</v>
      </c>
    </row>
    <row r="206" spans="1:12" x14ac:dyDescent="0.25">
      <c r="A206" s="99" t="s">
        <v>129</v>
      </c>
      <c r="B206" s="48">
        <v>1</v>
      </c>
      <c r="C206" s="48">
        <f t="shared" si="43"/>
        <v>18</v>
      </c>
      <c r="D206" s="101">
        <v>28</v>
      </c>
      <c r="E206" s="102">
        <f t="shared" si="38"/>
        <v>504</v>
      </c>
      <c r="F206" s="2"/>
      <c r="G206" s="48">
        <f t="shared" si="39"/>
        <v>1</v>
      </c>
      <c r="H206" s="48">
        <v>4</v>
      </c>
      <c r="I206" s="101">
        <f t="shared" si="40"/>
        <v>28</v>
      </c>
      <c r="J206" s="102">
        <f t="shared" si="41"/>
        <v>112</v>
      </c>
      <c r="K206" s="2"/>
      <c r="L206" s="109">
        <f t="shared" si="42"/>
        <v>616</v>
      </c>
    </row>
    <row r="207" spans="1:12" ht="15.75" thickBot="1" x14ac:dyDescent="0.3">
      <c r="A207" s="91" t="s">
        <v>12</v>
      </c>
      <c r="B207" s="123"/>
      <c r="C207" s="123"/>
      <c r="D207" s="123"/>
      <c r="E207" s="124">
        <f>SUM(E198:E206)</f>
        <v>13914</v>
      </c>
      <c r="F207" s="115"/>
      <c r="G207" s="125"/>
      <c r="H207" s="123"/>
      <c r="I207" s="123"/>
      <c r="J207" s="124">
        <f>SUM(J198:J206)</f>
        <v>3092</v>
      </c>
      <c r="K207" s="115"/>
      <c r="L207" s="127">
        <f>SUM(L198:L206)</f>
        <v>17006</v>
      </c>
    </row>
    <row r="208" spans="1:12" ht="15.75" thickBot="1" x14ac:dyDescent="0.3">
      <c r="E208" s="22"/>
    </row>
    <row r="209" spans="1:12" ht="15.75" thickBot="1" x14ac:dyDescent="0.3">
      <c r="A209" s="230" t="s">
        <v>206</v>
      </c>
      <c r="B209" s="231"/>
      <c r="C209" s="231"/>
      <c r="D209" s="231"/>
      <c r="E209" s="231"/>
      <c r="F209" s="231"/>
      <c r="G209" s="231"/>
      <c r="H209" s="231"/>
      <c r="I209" s="231"/>
      <c r="J209" s="231"/>
      <c r="K209" s="231"/>
      <c r="L209" s="232"/>
    </row>
    <row r="210" spans="1:12" x14ac:dyDescent="0.25">
      <c r="A210" s="118" t="s">
        <v>13</v>
      </c>
      <c r="B210" s="119" t="s">
        <v>14</v>
      </c>
      <c r="C210" s="119" t="s">
        <v>18</v>
      </c>
      <c r="D210" s="119" t="s">
        <v>120</v>
      </c>
      <c r="E210" s="120" t="s">
        <v>15</v>
      </c>
      <c r="F210" s="121"/>
      <c r="G210" s="119" t="s">
        <v>14</v>
      </c>
      <c r="H210" s="119" t="s">
        <v>18</v>
      </c>
      <c r="I210" s="119" t="s">
        <v>120</v>
      </c>
      <c r="J210" s="120" t="s">
        <v>16</v>
      </c>
      <c r="K210" s="121"/>
      <c r="L210" s="126" t="s">
        <v>12</v>
      </c>
    </row>
    <row r="211" spans="1:12" x14ac:dyDescent="0.25">
      <c r="A211" s="99" t="s">
        <v>131</v>
      </c>
      <c r="B211" s="48" t="s">
        <v>28</v>
      </c>
      <c r="C211" s="48">
        <v>2</v>
      </c>
      <c r="D211" s="101">
        <v>3000</v>
      </c>
      <c r="E211" s="102">
        <f>C211*D211</f>
        <v>6000</v>
      </c>
      <c r="F211" s="2"/>
      <c r="G211" s="48" t="s">
        <v>28</v>
      </c>
      <c r="H211" s="48">
        <v>0</v>
      </c>
      <c r="I211" s="101"/>
      <c r="J211" s="102">
        <f>H211*I211</f>
        <v>0</v>
      </c>
      <c r="K211" s="2"/>
      <c r="L211" s="109">
        <f>J211+E211</f>
        <v>6000</v>
      </c>
    </row>
    <row r="212" spans="1:12" x14ac:dyDescent="0.25">
      <c r="A212" s="99" t="s">
        <v>132</v>
      </c>
      <c r="B212" s="48" t="s">
        <v>28</v>
      </c>
      <c r="C212" s="48">
        <v>2</v>
      </c>
      <c r="D212" s="101">
        <v>3000</v>
      </c>
      <c r="E212" s="102">
        <f t="shared" ref="E212:E213" si="44">C212*D212</f>
        <v>6000</v>
      </c>
      <c r="F212" s="2"/>
      <c r="G212" s="48" t="s">
        <v>28</v>
      </c>
      <c r="H212" s="48">
        <v>0</v>
      </c>
      <c r="I212" s="101"/>
      <c r="J212" s="102">
        <f t="shared" ref="J212:J213" si="45">H212*I212</f>
        <v>0</v>
      </c>
      <c r="K212" s="2"/>
      <c r="L212" s="109">
        <f>J212+E212</f>
        <v>6000</v>
      </c>
    </row>
    <row r="213" spans="1:12" x14ac:dyDescent="0.25">
      <c r="A213" s="99" t="s">
        <v>253</v>
      </c>
      <c r="B213" s="48" t="s">
        <v>28</v>
      </c>
      <c r="C213" s="48">
        <v>1</v>
      </c>
      <c r="D213" s="101">
        <v>5000</v>
      </c>
      <c r="E213" s="102">
        <f t="shared" si="44"/>
        <v>5000</v>
      </c>
      <c r="F213" s="2"/>
      <c r="G213" s="48" t="s">
        <v>28</v>
      </c>
      <c r="H213" s="48">
        <v>0</v>
      </c>
      <c r="I213" s="101"/>
      <c r="J213" s="102">
        <f t="shared" si="45"/>
        <v>0</v>
      </c>
      <c r="K213" s="2"/>
      <c r="L213" s="109">
        <f>J213+E213</f>
        <v>5000</v>
      </c>
    </row>
    <row r="214" spans="1:12" ht="15.75" thickBot="1" x14ac:dyDescent="0.3">
      <c r="A214" s="10" t="s">
        <v>12</v>
      </c>
      <c r="B214" s="8"/>
      <c r="C214" s="8"/>
      <c r="D214" s="8"/>
      <c r="E214" s="124">
        <f>SUM(E211:E213)</f>
        <v>17000</v>
      </c>
      <c r="F214" s="74"/>
      <c r="G214" s="7"/>
      <c r="H214" s="8"/>
      <c r="I214" s="8"/>
      <c r="J214" s="9">
        <f>SUM(J211:J213)</f>
        <v>0</v>
      </c>
      <c r="K214" s="74"/>
      <c r="L214" s="127">
        <f>SUM(L211:L213)</f>
        <v>17000</v>
      </c>
    </row>
    <row r="215" spans="1:12" ht="15.75" thickBot="1" x14ac:dyDescent="0.3">
      <c r="E215" s="22"/>
    </row>
    <row r="216" spans="1:12" ht="15.75" hidden="1" thickBot="1" x14ac:dyDescent="0.3">
      <c r="A216" s="230" t="s">
        <v>254</v>
      </c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2"/>
    </row>
    <row r="217" spans="1:12" hidden="1" x14ac:dyDescent="0.25">
      <c r="A217" s="118" t="s">
        <v>13</v>
      </c>
      <c r="B217" s="119" t="s">
        <v>14</v>
      </c>
      <c r="C217" s="119" t="s">
        <v>18</v>
      </c>
      <c r="D217" s="119" t="s">
        <v>120</v>
      </c>
      <c r="E217" s="120" t="s">
        <v>15</v>
      </c>
      <c r="F217" s="121"/>
      <c r="G217" s="119" t="s">
        <v>14</v>
      </c>
      <c r="H217" s="119" t="s">
        <v>18</v>
      </c>
      <c r="I217" s="119" t="s">
        <v>120</v>
      </c>
      <c r="J217" s="120" t="s">
        <v>16</v>
      </c>
      <c r="K217" s="121"/>
      <c r="L217" s="126" t="s">
        <v>12</v>
      </c>
    </row>
    <row r="218" spans="1:12" hidden="1" x14ac:dyDescent="0.25">
      <c r="A218" s="99" t="s">
        <v>255</v>
      </c>
      <c r="B218" s="48" t="s">
        <v>28</v>
      </c>
      <c r="C218" s="48">
        <v>1</v>
      </c>
      <c r="D218" s="101">
        <v>0</v>
      </c>
      <c r="E218" s="102">
        <f t="shared" ref="E218" si="46">C218*D218</f>
        <v>0</v>
      </c>
      <c r="F218" s="2"/>
      <c r="G218" s="48"/>
      <c r="H218" s="48"/>
      <c r="I218" s="101"/>
      <c r="J218" s="102">
        <f t="shared" ref="J218" si="47">H218*I218</f>
        <v>0</v>
      </c>
      <c r="K218" s="2"/>
      <c r="L218" s="109">
        <f>J218+E218</f>
        <v>0</v>
      </c>
    </row>
    <row r="219" spans="1:12" ht="15.75" hidden="1" thickBot="1" x14ac:dyDescent="0.3">
      <c r="A219" s="10" t="s">
        <v>12</v>
      </c>
      <c r="B219" s="8"/>
      <c r="C219" s="8"/>
      <c r="D219" s="8"/>
      <c r="E219" s="124">
        <f>SUM(E218:E218)</f>
        <v>0</v>
      </c>
      <c r="F219" s="74"/>
      <c r="G219" s="7"/>
      <c r="H219" s="8"/>
      <c r="I219" s="8"/>
      <c r="J219" s="9">
        <f>SUM(J218:J218)</f>
        <v>0</v>
      </c>
      <c r="K219" s="74"/>
      <c r="L219" s="127">
        <f>SUM(L218:L218)</f>
        <v>0</v>
      </c>
    </row>
    <row r="220" spans="1:12" ht="15.75" hidden="1" thickBot="1" x14ac:dyDescent="0.3">
      <c r="E220" s="22"/>
    </row>
    <row r="221" spans="1:12" ht="15.75" thickBot="1" x14ac:dyDescent="0.3">
      <c r="A221" s="141"/>
      <c r="B221" s="250" t="s">
        <v>10</v>
      </c>
      <c r="C221" s="250"/>
      <c r="D221" s="251"/>
      <c r="E221" s="15" t="s">
        <v>15</v>
      </c>
      <c r="F221" s="249" t="s">
        <v>207</v>
      </c>
      <c r="G221" s="250"/>
      <c r="H221" s="250"/>
      <c r="I221" s="251"/>
      <c r="J221" s="15" t="s">
        <v>16</v>
      </c>
      <c r="K221" s="142"/>
      <c r="L221" s="15" t="s">
        <v>12</v>
      </c>
    </row>
    <row r="222" spans="1:12" ht="15.75" thickBot="1" x14ac:dyDescent="0.3">
      <c r="A222" s="12" t="s">
        <v>133</v>
      </c>
      <c r="B222" s="13"/>
      <c r="C222" s="13"/>
      <c r="D222" s="13"/>
      <c r="E222" s="14">
        <f>E214+E207+E194+E178+E164+E153+E143+E132+E114+E106+E98+E84+E54+E40+E34+E219</f>
        <v>824502</v>
      </c>
      <c r="F222" s="13"/>
      <c r="G222" s="13"/>
      <c r="H222" s="13"/>
      <c r="I222" s="13"/>
      <c r="J222" s="14">
        <f>J214+J207+J194+J178+J164+J153+J143+J132+J114+J106+J98+J84+J54+J40+J34</f>
        <v>127008.80500000001</v>
      </c>
      <c r="K222" s="13"/>
      <c r="L222" s="14">
        <f>L214+L207+L194+L178+L164+L153+L143+L132+L114+L106+L98+L84+L54+L40+L34+L219</f>
        <v>951510.80499999993</v>
      </c>
    </row>
    <row r="225" spans="1:12" ht="15" customHeight="1" x14ac:dyDescent="0.25">
      <c r="A225" s="248" t="s">
        <v>170</v>
      </c>
      <c r="B225" s="248"/>
      <c r="C225" s="248"/>
      <c r="D225" s="248"/>
      <c r="E225" s="248"/>
      <c r="F225" s="248"/>
      <c r="G225" s="248"/>
      <c r="H225" s="248"/>
      <c r="I225" s="248"/>
      <c r="J225" s="248"/>
      <c r="K225" s="248"/>
      <c r="L225" s="248"/>
    </row>
    <row r="226" spans="1:12" ht="15" customHeight="1" x14ac:dyDescent="0.25">
      <c r="A226" s="248" t="s">
        <v>171</v>
      </c>
      <c r="B226" s="248"/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</row>
  </sheetData>
  <mergeCells count="47">
    <mergeCell ref="K7:L7"/>
    <mergeCell ref="A8:A10"/>
    <mergeCell ref="F8:G8"/>
    <mergeCell ref="K8:L8"/>
    <mergeCell ref="F9:G9"/>
    <mergeCell ref="K9:L9"/>
    <mergeCell ref="F10:G10"/>
    <mergeCell ref="K10:L10"/>
    <mergeCell ref="F6:G6"/>
    <mergeCell ref="K6:L6"/>
    <mergeCell ref="A1:L2"/>
    <mergeCell ref="A3:L3"/>
    <mergeCell ref="A4:L4"/>
    <mergeCell ref="F5:G5"/>
    <mergeCell ref="K5:L5"/>
    <mergeCell ref="K11:L11"/>
    <mergeCell ref="K12:L12"/>
    <mergeCell ref="K13:L13"/>
    <mergeCell ref="C15:L16"/>
    <mergeCell ref="C17:E18"/>
    <mergeCell ref="G17:J18"/>
    <mergeCell ref="L17:L18"/>
    <mergeCell ref="A225:L225"/>
    <mergeCell ref="A226:L226"/>
    <mergeCell ref="A134:L134"/>
    <mergeCell ref="A145:L145"/>
    <mergeCell ref="A147:L147"/>
    <mergeCell ref="A155:L155"/>
    <mergeCell ref="A166:L166"/>
    <mergeCell ref="A182:L182"/>
    <mergeCell ref="F221:I221"/>
    <mergeCell ref="B221:D221"/>
    <mergeCell ref="A216:L216"/>
    <mergeCell ref="A117:L117"/>
    <mergeCell ref="C19:E19"/>
    <mergeCell ref="G19:J19"/>
    <mergeCell ref="A196:L196"/>
    <mergeCell ref="A209:L209"/>
    <mergeCell ref="A86:L86"/>
    <mergeCell ref="A100:L100"/>
    <mergeCell ref="A108:L108"/>
    <mergeCell ref="A116:L116"/>
    <mergeCell ref="A20:L20"/>
    <mergeCell ref="A21:L21"/>
    <mergeCell ref="A36:L36"/>
    <mergeCell ref="A42:L42"/>
    <mergeCell ref="A56:L56"/>
  </mergeCells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33" workbookViewId="0">
      <selection activeCell="A22" sqref="A22:G45"/>
    </sheetView>
  </sheetViews>
  <sheetFormatPr defaultRowHeight="15" x14ac:dyDescent="0.25"/>
  <cols>
    <col min="1" max="1" width="10.140625" bestFit="1" customWidth="1"/>
    <col min="2" max="2" width="17.42578125" bestFit="1" customWidth="1"/>
    <col min="3" max="3" width="11.42578125" bestFit="1" customWidth="1"/>
    <col min="4" max="4" width="17.140625" customWidth="1"/>
    <col min="5" max="5" width="23" bestFit="1" customWidth="1"/>
    <col min="6" max="6" width="14.7109375" customWidth="1"/>
    <col min="7" max="7" width="19.140625" bestFit="1" customWidth="1"/>
    <col min="8" max="9" width="14.28515625" bestFit="1" customWidth="1"/>
  </cols>
  <sheetData>
    <row r="1" spans="1:9" ht="18" customHeight="1" x14ac:dyDescent="0.25">
      <c r="A1" s="325" t="s">
        <v>297</v>
      </c>
      <c r="B1" s="326"/>
      <c r="C1" s="326"/>
      <c r="D1" s="326"/>
      <c r="E1" s="326"/>
      <c r="F1" s="326"/>
      <c r="G1" s="327"/>
    </row>
    <row r="2" spans="1:9" ht="15.75" thickBot="1" x14ac:dyDescent="0.3">
      <c r="A2" s="328"/>
      <c r="B2" s="329"/>
      <c r="C2" s="329"/>
      <c r="D2" s="329"/>
      <c r="E2" s="329"/>
      <c r="F2" s="329"/>
      <c r="G2" s="330"/>
    </row>
    <row r="3" spans="1:9" ht="18.75" thickBot="1" x14ac:dyDescent="0.3">
      <c r="A3" s="79"/>
      <c r="B3" s="201"/>
      <c r="C3" s="201"/>
      <c r="D3" s="201"/>
      <c r="E3" s="201"/>
      <c r="F3" s="201"/>
      <c r="G3" s="80"/>
    </row>
    <row r="4" spans="1:9" ht="15.75" customHeight="1" thickBot="1" x14ac:dyDescent="0.3">
      <c r="A4" s="249" t="s">
        <v>295</v>
      </c>
      <c r="B4" s="250"/>
      <c r="C4" s="250"/>
      <c r="D4" s="250"/>
      <c r="E4" s="250"/>
      <c r="F4" s="250"/>
      <c r="G4" s="251"/>
      <c r="I4" s="16" t="s">
        <v>287</v>
      </c>
    </row>
    <row r="5" spans="1:9" x14ac:dyDescent="0.25">
      <c r="A5" s="81"/>
      <c r="B5" s="172" t="s">
        <v>134</v>
      </c>
      <c r="C5" s="173" t="s">
        <v>135</v>
      </c>
      <c r="D5" s="173" t="s">
        <v>136</v>
      </c>
      <c r="E5" s="173" t="s">
        <v>147</v>
      </c>
      <c r="F5" s="173" t="s">
        <v>213</v>
      </c>
      <c r="G5" s="174" t="s">
        <v>137</v>
      </c>
      <c r="I5" s="192">
        <v>2.3199999999999998</v>
      </c>
    </row>
    <row r="6" spans="1:9" x14ac:dyDescent="0.25">
      <c r="A6" s="331" t="s">
        <v>2</v>
      </c>
      <c r="B6" s="333">
        <f>'INVEST. E DESPESAS ETP1'!C6</f>
        <v>1347</v>
      </c>
      <c r="C6" s="166">
        <v>4</v>
      </c>
      <c r="D6" s="166">
        <v>4</v>
      </c>
      <c r="E6" s="335">
        <v>0.7</v>
      </c>
      <c r="F6" s="335">
        <v>0.38</v>
      </c>
      <c r="G6" s="66">
        <f>B6*C6*D6*E6*F6</f>
        <v>5732.8320000000003</v>
      </c>
    </row>
    <row r="7" spans="1:9" x14ac:dyDescent="0.25">
      <c r="A7" s="332"/>
      <c r="B7" s="334"/>
      <c r="C7" s="167">
        <v>22</v>
      </c>
      <c r="D7" s="167">
        <v>8.5</v>
      </c>
      <c r="E7" s="336"/>
      <c r="F7" s="335"/>
      <c r="G7" s="66">
        <f>B6*C7*D7*E6*F6</f>
        <v>67002.474000000002</v>
      </c>
    </row>
    <row r="8" spans="1:9" x14ac:dyDescent="0.25">
      <c r="A8" s="65"/>
      <c r="B8" s="32"/>
      <c r="C8" s="32"/>
      <c r="D8" s="32"/>
      <c r="E8" s="33"/>
      <c r="F8" s="31" t="s">
        <v>12</v>
      </c>
      <c r="G8" s="82">
        <f>SUM(G6:G7)</f>
        <v>72735.305999999997</v>
      </c>
    </row>
    <row r="9" spans="1:9" x14ac:dyDescent="0.25">
      <c r="A9" s="77"/>
      <c r="B9" s="202"/>
      <c r="C9" s="202"/>
      <c r="D9" s="202"/>
      <c r="E9" s="202"/>
      <c r="F9" s="202"/>
      <c r="G9" s="78"/>
    </row>
    <row r="10" spans="1:9" x14ac:dyDescent="0.25">
      <c r="A10" s="83"/>
      <c r="B10" s="156" t="s">
        <v>137</v>
      </c>
      <c r="C10" s="156" t="s">
        <v>138</v>
      </c>
      <c r="D10" s="156" t="s">
        <v>139</v>
      </c>
      <c r="E10" s="156" t="s">
        <v>151</v>
      </c>
      <c r="F10" s="156" t="s">
        <v>140</v>
      </c>
      <c r="G10" s="157" t="s">
        <v>141</v>
      </c>
    </row>
    <row r="11" spans="1:9" x14ac:dyDescent="0.25">
      <c r="A11" s="337" t="s">
        <v>2</v>
      </c>
      <c r="B11" s="34">
        <f>$G$8</f>
        <v>72735.305999999997</v>
      </c>
      <c r="C11" s="25">
        <v>0.3</v>
      </c>
      <c r="D11" s="23">
        <f>1.25</f>
        <v>1.25</v>
      </c>
      <c r="E11" s="23">
        <f>D11*B11*C11</f>
        <v>27275.739749999997</v>
      </c>
      <c r="F11" s="34">
        <f>C11*B11</f>
        <v>21820.591799999998</v>
      </c>
      <c r="G11" s="84">
        <f>F11/$F$15</f>
        <v>0.3</v>
      </c>
    </row>
    <row r="12" spans="1:9" x14ac:dyDescent="0.25">
      <c r="A12" s="337"/>
      <c r="B12" s="34">
        <f t="shared" ref="B12:B14" si="0">$G$8</f>
        <v>72735.305999999997</v>
      </c>
      <c r="C12" s="25">
        <v>0.28999999999999998</v>
      </c>
      <c r="D12" s="24">
        <v>2.5</v>
      </c>
      <c r="E12" s="23">
        <f t="shared" ref="E12:E14" si="1">D12*B12*C12</f>
        <v>52733.096849999994</v>
      </c>
      <c r="F12" s="34">
        <f t="shared" ref="F12:F14" si="2">C12*B12</f>
        <v>21093.238739999997</v>
      </c>
      <c r="G12" s="84">
        <f>F12/$F$15</f>
        <v>0.28999999999999998</v>
      </c>
    </row>
    <row r="13" spans="1:9" x14ac:dyDescent="0.25">
      <c r="A13" s="337"/>
      <c r="B13" s="34">
        <f t="shared" si="0"/>
        <v>72735.305999999997</v>
      </c>
      <c r="C13" s="25">
        <v>0.28999999999999998</v>
      </c>
      <c r="D13" s="23">
        <f>3.75</f>
        <v>3.75</v>
      </c>
      <c r="E13" s="23">
        <f t="shared" si="1"/>
        <v>79099.645274999988</v>
      </c>
      <c r="F13" s="34">
        <f t="shared" si="2"/>
        <v>21093.238739999997</v>
      </c>
      <c r="G13" s="84">
        <f>F13/$F$15</f>
        <v>0.28999999999999998</v>
      </c>
    </row>
    <row r="14" spans="1:9" x14ac:dyDescent="0.25">
      <c r="A14" s="337"/>
      <c r="B14" s="34">
        <f t="shared" si="0"/>
        <v>72735.305999999997</v>
      </c>
      <c r="C14" s="25">
        <v>0.12</v>
      </c>
      <c r="D14" s="24">
        <v>5</v>
      </c>
      <c r="E14" s="23">
        <f t="shared" si="1"/>
        <v>43641.183599999997</v>
      </c>
      <c r="F14" s="34">
        <f t="shared" si="2"/>
        <v>8728.236719999999</v>
      </c>
      <c r="G14" s="84">
        <f t="shared" ref="G14" si="3">F14/$F$15</f>
        <v>0.12</v>
      </c>
    </row>
    <row r="15" spans="1:9" ht="15.75" thickBot="1" x14ac:dyDescent="0.3">
      <c r="A15" s="322" t="s">
        <v>220</v>
      </c>
      <c r="B15" s="323"/>
      <c r="C15" s="323"/>
      <c r="D15" s="324"/>
      <c r="E15" s="144">
        <f>SUM(E11:E14)</f>
        <v>202749.66547499999</v>
      </c>
      <c r="F15" s="145">
        <f>SUM(F11:F14)</f>
        <v>72735.305999999997</v>
      </c>
      <c r="G15" s="85"/>
      <c r="I15" s="22"/>
    </row>
    <row r="16" spans="1:9" ht="15.75" thickBot="1" x14ac:dyDescent="0.3">
      <c r="A16" s="309" t="s">
        <v>221</v>
      </c>
      <c r="B16" s="310"/>
      <c r="C16" s="310"/>
      <c r="D16" s="311"/>
      <c r="E16" s="144">
        <f>E15</f>
        <v>202749.66547499999</v>
      </c>
      <c r="F16" s="168"/>
      <c r="G16" s="85"/>
    </row>
    <row r="17" spans="1:7" ht="15.75" thickBot="1" x14ac:dyDescent="0.3">
      <c r="A17" s="170"/>
      <c r="B17" s="203"/>
      <c r="C17" s="203"/>
      <c r="D17" s="203"/>
      <c r="E17" s="171"/>
      <c r="F17" s="204"/>
      <c r="G17" s="78"/>
    </row>
    <row r="18" spans="1:7" x14ac:dyDescent="0.25">
      <c r="A18" s="302"/>
      <c r="B18" s="303"/>
      <c r="C18" s="303"/>
      <c r="D18" s="303"/>
      <c r="E18" s="303"/>
      <c r="F18" s="303"/>
      <c r="G18" s="304"/>
    </row>
    <row r="19" spans="1:7" ht="15" customHeight="1" x14ac:dyDescent="0.25">
      <c r="A19" s="305" t="s">
        <v>289</v>
      </c>
      <c r="B19" s="306"/>
      <c r="C19" s="306"/>
      <c r="D19" s="306"/>
      <c r="E19" s="175">
        <f>E16</f>
        <v>202749.66547499999</v>
      </c>
      <c r="F19" s="307" t="s">
        <v>294</v>
      </c>
      <c r="G19" s="308"/>
    </row>
    <row r="20" spans="1:7" ht="16.5" thickBot="1" x14ac:dyDescent="0.3">
      <c r="A20" s="315"/>
      <c r="B20" s="316"/>
      <c r="C20" s="316"/>
      <c r="D20" s="316"/>
      <c r="E20" s="205"/>
      <c r="F20" s="317">
        <f>E19</f>
        <v>202749.66547499999</v>
      </c>
      <c r="G20" s="318"/>
    </row>
    <row r="21" spans="1:7" ht="15.75" thickBot="1" x14ac:dyDescent="0.3">
      <c r="A21" s="77"/>
      <c r="G21" s="78"/>
    </row>
    <row r="22" spans="1:7" ht="15.75" thickBot="1" x14ac:dyDescent="0.3">
      <c r="A22" s="249" t="s">
        <v>258</v>
      </c>
      <c r="B22" s="250"/>
      <c r="C22" s="250"/>
      <c r="D22" s="250"/>
      <c r="E22" s="250"/>
      <c r="F22" s="250"/>
      <c r="G22" s="251"/>
    </row>
    <row r="23" spans="1:7" ht="15" customHeight="1" thickBot="1" x14ac:dyDescent="0.3">
      <c r="A23" s="75"/>
      <c r="B23" s="206"/>
      <c r="C23" s="206"/>
      <c r="D23" s="206"/>
      <c r="E23" s="206"/>
      <c r="F23" s="89" t="s">
        <v>142</v>
      </c>
      <c r="G23" s="90" t="s">
        <v>143</v>
      </c>
    </row>
    <row r="24" spans="1:7" ht="15.75" customHeight="1" thickBot="1" x14ac:dyDescent="0.3">
      <c r="A24" s="312" t="s">
        <v>259</v>
      </c>
      <c r="B24" s="313"/>
      <c r="C24" s="313"/>
      <c r="D24" s="313"/>
      <c r="E24" s="190">
        <v>0.1</v>
      </c>
      <c r="F24" s="37">
        <f>F20</f>
        <v>202749.66547499999</v>
      </c>
      <c r="G24" s="36">
        <f>F24*E24</f>
        <v>20274.9665475</v>
      </c>
    </row>
    <row r="25" spans="1:7" ht="15.75" thickBot="1" x14ac:dyDescent="0.3">
      <c r="A25" s="86"/>
      <c r="B25" s="207"/>
      <c r="C25" s="207"/>
      <c r="D25" s="207"/>
      <c r="E25" s="208"/>
      <c r="F25" s="18"/>
      <c r="G25" s="87"/>
    </row>
    <row r="26" spans="1:7" ht="15.75" thickBot="1" x14ac:dyDescent="0.3">
      <c r="A26" s="312" t="s">
        <v>284</v>
      </c>
      <c r="B26" s="313"/>
      <c r="C26" s="313"/>
      <c r="D26" s="313"/>
      <c r="E26" s="313"/>
      <c r="F26" s="314"/>
      <c r="G26" s="17">
        <f>'INVEST. E DESPESAS ETP1'!J222</f>
        <v>127008.80500000001</v>
      </c>
    </row>
    <row r="27" spans="1:7" ht="15.75" thickBot="1" x14ac:dyDescent="0.3">
      <c r="A27" s="86"/>
      <c r="B27" s="207"/>
      <c r="C27" s="207"/>
      <c r="D27" s="207"/>
      <c r="E27" s="207"/>
      <c r="F27" s="207"/>
      <c r="G27" s="87"/>
    </row>
    <row r="28" spans="1:7" ht="15.75" thickBot="1" x14ac:dyDescent="0.3">
      <c r="A28" s="312" t="s">
        <v>260</v>
      </c>
      <c r="B28" s="313"/>
      <c r="C28" s="313"/>
      <c r="D28" s="313"/>
      <c r="E28" s="314"/>
      <c r="F28" s="26">
        <v>0.05</v>
      </c>
      <c r="G28" s="17">
        <f>(E16*50%)*F28</f>
        <v>5068.741636875</v>
      </c>
    </row>
    <row r="29" spans="1:7" ht="15.75" thickBot="1" x14ac:dyDescent="0.3">
      <c r="A29" s="319" t="s">
        <v>257</v>
      </c>
      <c r="B29" s="320"/>
      <c r="C29" s="320"/>
      <c r="D29" s="320"/>
      <c r="E29" s="320"/>
      <c r="F29" s="320"/>
      <c r="G29" s="321"/>
    </row>
    <row r="30" spans="1:7" ht="15.75" thickBot="1" x14ac:dyDescent="0.3">
      <c r="A30" s="152"/>
      <c r="B30" s="153"/>
      <c r="C30" s="153"/>
      <c r="D30" s="153"/>
      <c r="E30" s="153"/>
      <c r="F30" s="153"/>
      <c r="G30" s="154"/>
    </row>
    <row r="31" spans="1:7" ht="15.75" thickBot="1" x14ac:dyDescent="0.3">
      <c r="A31" s="312" t="s">
        <v>261</v>
      </c>
      <c r="B31" s="313"/>
      <c r="C31" s="313"/>
      <c r="D31" s="313"/>
      <c r="E31" s="314"/>
      <c r="F31" s="155">
        <v>0.04</v>
      </c>
      <c r="G31" s="17">
        <f>(E16*0.6)*F31</f>
        <v>4865.9919713999998</v>
      </c>
    </row>
    <row r="32" spans="1:7" ht="15.75" thickBot="1" x14ac:dyDescent="0.3">
      <c r="A32" s="319" t="s">
        <v>225</v>
      </c>
      <c r="B32" s="320"/>
      <c r="C32" s="320"/>
      <c r="D32" s="320"/>
      <c r="E32" s="320"/>
      <c r="F32" s="320"/>
      <c r="G32" s="321"/>
    </row>
    <row r="33" spans="1:7" ht="15.75" thickBot="1" x14ac:dyDescent="0.3">
      <c r="A33" s="152"/>
      <c r="B33" s="153"/>
      <c r="C33" s="153"/>
      <c r="D33" s="153"/>
      <c r="E33" s="153"/>
      <c r="F33" s="153"/>
      <c r="G33" s="154"/>
    </row>
    <row r="34" spans="1:7" ht="15.75" thickBot="1" x14ac:dyDescent="0.3">
      <c r="A34" s="312" t="s">
        <v>269</v>
      </c>
      <c r="B34" s="313"/>
      <c r="C34" s="313"/>
      <c r="D34" s="313"/>
      <c r="E34" s="314"/>
      <c r="F34" s="189">
        <v>0.1</v>
      </c>
      <c r="G34" s="17">
        <f>E16*F34</f>
        <v>20274.9665475</v>
      </c>
    </row>
    <row r="35" spans="1:7" ht="15.75" thickBot="1" x14ac:dyDescent="0.3">
      <c r="A35" s="75"/>
      <c r="B35" s="206"/>
      <c r="C35" s="206"/>
      <c r="D35" s="206"/>
      <c r="E35" s="206"/>
      <c r="F35" s="209"/>
      <c r="G35" s="88"/>
    </row>
    <row r="36" spans="1:7" ht="15.75" thickBot="1" x14ac:dyDescent="0.3">
      <c r="A36" s="312" t="s">
        <v>262</v>
      </c>
      <c r="B36" s="313"/>
      <c r="C36" s="313"/>
      <c r="D36" s="313"/>
      <c r="E36" s="313"/>
      <c r="F36" s="314"/>
      <c r="G36" s="17">
        <f>SUM(G34+G28+G26+G24+G31)</f>
        <v>177493.47170327502</v>
      </c>
    </row>
    <row r="37" spans="1:7" ht="15.75" thickBot="1" x14ac:dyDescent="0.3">
      <c r="A37" s="75"/>
      <c r="B37" s="206"/>
      <c r="C37" s="206"/>
      <c r="D37" s="206"/>
      <c r="E37" s="206"/>
      <c r="F37" s="206"/>
      <c r="G37" s="76"/>
    </row>
    <row r="38" spans="1:7" ht="15.75" thickBot="1" x14ac:dyDescent="0.3">
      <c r="A38" s="312" t="s">
        <v>263</v>
      </c>
      <c r="B38" s="313"/>
      <c r="C38" s="313"/>
      <c r="D38" s="313"/>
      <c r="E38" s="313"/>
      <c r="F38" s="313"/>
      <c r="G38" s="314"/>
    </row>
    <row r="39" spans="1:7" x14ac:dyDescent="0.25">
      <c r="A39" s="287" t="s">
        <v>13</v>
      </c>
      <c r="B39" s="288"/>
      <c r="C39" s="288"/>
      <c r="D39" s="288"/>
      <c r="E39" s="289"/>
      <c r="F39" s="19" t="s">
        <v>144</v>
      </c>
      <c r="G39" s="21" t="s">
        <v>145</v>
      </c>
    </row>
    <row r="40" spans="1:7" x14ac:dyDescent="0.25">
      <c r="A40" s="290" t="s">
        <v>146</v>
      </c>
      <c r="B40" s="291"/>
      <c r="C40" s="291"/>
      <c r="D40" s="291"/>
      <c r="E40" s="292"/>
      <c r="F40" s="20">
        <v>0.05</v>
      </c>
      <c r="G40" s="27">
        <f>$E$16*F40</f>
        <v>10137.48327375</v>
      </c>
    </row>
    <row r="41" spans="1:7" ht="15.75" thickBot="1" x14ac:dyDescent="0.3">
      <c r="A41" s="293" t="s">
        <v>256</v>
      </c>
      <c r="B41" s="294"/>
      <c r="C41" s="294"/>
      <c r="D41" s="294"/>
      <c r="E41" s="295"/>
      <c r="F41" s="20">
        <v>3.6499999999999998E-2</v>
      </c>
      <c r="G41" s="27">
        <f>$E$16*F41</f>
        <v>7400.3627898374989</v>
      </c>
    </row>
    <row r="42" spans="1:7" ht="15.75" thickBot="1" x14ac:dyDescent="0.3">
      <c r="A42" s="296" t="s">
        <v>12</v>
      </c>
      <c r="B42" s="297"/>
      <c r="C42" s="297"/>
      <c r="D42" s="297"/>
      <c r="E42" s="297"/>
      <c r="F42" s="29">
        <f>SUM(F40:F41)</f>
        <v>8.6499999999999994E-2</v>
      </c>
      <c r="G42" s="28">
        <f>SUM(G40:G41)</f>
        <v>17537.846063587498</v>
      </c>
    </row>
    <row r="43" spans="1:7" ht="15.75" thickBot="1" x14ac:dyDescent="0.3">
      <c r="A43" s="77"/>
      <c r="B43" s="202"/>
      <c r="C43" s="202"/>
      <c r="D43" s="202"/>
      <c r="E43" s="202"/>
      <c r="F43" s="202"/>
      <c r="G43" s="78"/>
    </row>
    <row r="44" spans="1:7" ht="15.75" thickBot="1" x14ac:dyDescent="0.3">
      <c r="A44" s="298" t="s">
        <v>264</v>
      </c>
      <c r="B44" s="299"/>
      <c r="C44" s="299"/>
      <c r="D44" s="299"/>
      <c r="E44" s="299"/>
      <c r="F44" s="300">
        <f>G42+G36</f>
        <v>195031.31776686251</v>
      </c>
      <c r="G44" s="301"/>
    </row>
    <row r="45" spans="1:7" ht="15.75" thickBot="1" x14ac:dyDescent="0.3">
      <c r="A45" s="283" t="s">
        <v>265</v>
      </c>
      <c r="B45" s="284"/>
      <c r="C45" s="284"/>
      <c r="D45" s="284"/>
      <c r="E45" s="284"/>
      <c r="F45" s="285" t="str">
        <f>IF((F20-F44)&gt;0, "VIÁVEL", "INVIÁVEL")</f>
        <v>VIÁVEL</v>
      </c>
      <c r="G45" s="286"/>
    </row>
    <row r="46" spans="1:7" x14ac:dyDescent="0.25">
      <c r="A46" s="77"/>
    </row>
  </sheetData>
  <mergeCells count="32">
    <mergeCell ref="A15:D15"/>
    <mergeCell ref="A1:G2"/>
    <mergeCell ref="A4:G4"/>
    <mergeCell ref="A6:A7"/>
    <mergeCell ref="B6:B7"/>
    <mergeCell ref="E6:E7"/>
    <mergeCell ref="F6:F7"/>
    <mergeCell ref="A11:A14"/>
    <mergeCell ref="A18:G18"/>
    <mergeCell ref="A19:D19"/>
    <mergeCell ref="F19:G19"/>
    <mergeCell ref="A16:D16"/>
    <mergeCell ref="A38:G38"/>
    <mergeCell ref="A20:D20"/>
    <mergeCell ref="F20:G20"/>
    <mergeCell ref="A22:G22"/>
    <mergeCell ref="A24:D24"/>
    <mergeCell ref="A26:F26"/>
    <mergeCell ref="A28:E28"/>
    <mergeCell ref="A29:G29"/>
    <mergeCell ref="A31:E31"/>
    <mergeCell ref="A32:G32"/>
    <mergeCell ref="A34:E34"/>
    <mergeCell ref="A36:F36"/>
    <mergeCell ref="A45:E45"/>
    <mergeCell ref="F45:G45"/>
    <mergeCell ref="A39:E39"/>
    <mergeCell ref="A40:E40"/>
    <mergeCell ref="A41:E41"/>
    <mergeCell ref="A42:E42"/>
    <mergeCell ref="A44:E44"/>
    <mergeCell ref="F44:G44"/>
  </mergeCells>
  <pageMargins left="0.511811024" right="0.511811024" top="0.78740157499999996" bottom="0.78740157499999996" header="0.31496062000000002" footer="0.31496062000000002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1" zoomScaleNormal="100" workbookViewId="0">
      <selection sqref="A1:G13"/>
    </sheetView>
  </sheetViews>
  <sheetFormatPr defaultColWidth="9.140625" defaultRowHeight="14.25" x14ac:dyDescent="0.2"/>
  <cols>
    <col min="1" max="1" width="35" style="2" customWidth="1"/>
    <col min="2" max="2" width="16.140625" style="2" bestFit="1" customWidth="1"/>
    <col min="3" max="3" width="8.140625" style="2" customWidth="1"/>
    <col min="4" max="4" width="3.7109375" style="2" customWidth="1"/>
    <col min="5" max="5" width="12.7109375" style="2" hidden="1" customWidth="1"/>
    <col min="6" max="6" width="28" style="2" customWidth="1"/>
    <col min="7" max="7" width="38.5703125" style="2" customWidth="1"/>
    <col min="8" max="8" width="9.140625" style="2"/>
    <col min="9" max="9" width="24.85546875" style="2" customWidth="1"/>
    <col min="10" max="10" width="18.42578125" style="2" customWidth="1"/>
    <col min="11" max="11" width="16.5703125" style="2" customWidth="1"/>
    <col min="12" max="16384" width="9.140625" style="2"/>
  </cols>
  <sheetData>
    <row r="1" spans="1:10" ht="33.75" customHeight="1" thickBot="1" x14ac:dyDescent="0.25">
      <c r="A1" s="338" t="s">
        <v>187</v>
      </c>
      <c r="B1" s="339"/>
      <c r="C1" s="339"/>
      <c r="D1" s="339"/>
      <c r="E1" s="339"/>
      <c r="F1" s="339"/>
      <c r="G1" s="340"/>
    </row>
    <row r="2" spans="1:10" x14ac:dyDescent="0.2">
      <c r="A2" s="163" t="s">
        <v>160</v>
      </c>
      <c r="B2" s="342" t="s">
        <v>210</v>
      </c>
      <c r="C2" s="343"/>
      <c r="D2" s="343"/>
      <c r="E2" s="343"/>
      <c r="F2" s="344"/>
      <c r="G2" s="165" t="s">
        <v>186</v>
      </c>
    </row>
    <row r="3" spans="1:10" x14ac:dyDescent="0.2">
      <c r="A3" s="48">
        <v>1</v>
      </c>
      <c r="B3" s="345">
        <v>9</v>
      </c>
      <c r="C3" s="346"/>
      <c r="D3" s="346"/>
      <c r="E3" s="346"/>
      <c r="F3" s="347"/>
      <c r="G3" s="69">
        <f>'CÁLCULO TARIFÁRIO S1'!E15*9</f>
        <v>1824746.9892749998</v>
      </c>
      <c r="I3" s="143"/>
      <c r="J3" s="39"/>
    </row>
    <row r="4" spans="1:10" x14ac:dyDescent="0.2">
      <c r="A4" s="48">
        <v>2</v>
      </c>
      <c r="B4" s="345">
        <v>12</v>
      </c>
      <c r="C4" s="346"/>
      <c r="D4" s="346"/>
      <c r="E4" s="346"/>
      <c r="F4" s="347"/>
      <c r="G4" s="69">
        <f>'CÁLCULO TARIFÁRIO S1'!E15*12</f>
        <v>2432995.9857000001</v>
      </c>
      <c r="J4" s="39"/>
    </row>
    <row r="5" spans="1:10" x14ac:dyDescent="0.2">
      <c r="A5" s="48">
        <v>3</v>
      </c>
      <c r="B5" s="345">
        <v>12</v>
      </c>
      <c r="C5" s="346"/>
      <c r="D5" s="346"/>
      <c r="E5" s="346"/>
      <c r="F5" s="347"/>
      <c r="G5" s="69">
        <f>'CÁLCULO TARIFÁRIO S1'!E15*12</f>
        <v>2432995.9857000001</v>
      </c>
      <c r="J5" s="39"/>
    </row>
    <row r="6" spans="1:10" x14ac:dyDescent="0.2">
      <c r="A6" s="48">
        <v>4</v>
      </c>
      <c r="B6" s="345">
        <v>12</v>
      </c>
      <c r="C6" s="346"/>
      <c r="D6" s="346"/>
      <c r="E6" s="346"/>
      <c r="F6" s="347"/>
      <c r="G6" s="69">
        <f>G5</f>
        <v>2432995.9857000001</v>
      </c>
      <c r="J6" s="39"/>
    </row>
    <row r="7" spans="1:10" x14ac:dyDescent="0.2">
      <c r="A7" s="48">
        <v>5</v>
      </c>
      <c r="B7" s="345">
        <v>12</v>
      </c>
      <c r="C7" s="346"/>
      <c r="D7" s="346"/>
      <c r="E7" s="346"/>
      <c r="F7" s="347"/>
      <c r="G7" s="69">
        <f t="shared" ref="G7:G12" si="0">G6</f>
        <v>2432995.9857000001</v>
      </c>
      <c r="J7" s="39"/>
    </row>
    <row r="8" spans="1:10" x14ac:dyDescent="0.2">
      <c r="A8" s="48">
        <v>6</v>
      </c>
      <c r="B8" s="345">
        <v>12</v>
      </c>
      <c r="C8" s="346"/>
      <c r="D8" s="346"/>
      <c r="E8" s="346"/>
      <c r="F8" s="347"/>
      <c r="G8" s="69">
        <f t="shared" si="0"/>
        <v>2432995.9857000001</v>
      </c>
      <c r="J8" s="39"/>
    </row>
    <row r="9" spans="1:10" x14ac:dyDescent="0.2">
      <c r="A9" s="48">
        <v>7</v>
      </c>
      <c r="B9" s="345">
        <v>12</v>
      </c>
      <c r="C9" s="346"/>
      <c r="D9" s="346"/>
      <c r="E9" s="346"/>
      <c r="F9" s="347"/>
      <c r="G9" s="69">
        <f t="shared" si="0"/>
        <v>2432995.9857000001</v>
      </c>
      <c r="J9" s="39"/>
    </row>
    <row r="10" spans="1:10" x14ac:dyDescent="0.2">
      <c r="A10" s="48">
        <v>8</v>
      </c>
      <c r="B10" s="345">
        <v>12</v>
      </c>
      <c r="C10" s="346"/>
      <c r="D10" s="346"/>
      <c r="E10" s="346"/>
      <c r="F10" s="347"/>
      <c r="G10" s="69">
        <f t="shared" si="0"/>
        <v>2432995.9857000001</v>
      </c>
      <c r="J10" s="39"/>
    </row>
    <row r="11" spans="1:10" x14ac:dyDescent="0.2">
      <c r="A11" s="48">
        <v>9</v>
      </c>
      <c r="B11" s="345">
        <v>12</v>
      </c>
      <c r="C11" s="346"/>
      <c r="D11" s="346"/>
      <c r="E11" s="346"/>
      <c r="F11" s="347"/>
      <c r="G11" s="69">
        <f t="shared" si="0"/>
        <v>2432995.9857000001</v>
      </c>
      <c r="J11" s="39"/>
    </row>
    <row r="12" spans="1:10" x14ac:dyDescent="0.2">
      <c r="A12" s="48">
        <v>10</v>
      </c>
      <c r="B12" s="345">
        <v>12</v>
      </c>
      <c r="C12" s="346"/>
      <c r="D12" s="346"/>
      <c r="E12" s="346"/>
      <c r="F12" s="347"/>
      <c r="G12" s="69">
        <f t="shared" si="0"/>
        <v>2432995.9857000001</v>
      </c>
      <c r="J12" s="39"/>
    </row>
    <row r="13" spans="1:10" x14ac:dyDescent="0.2">
      <c r="A13" s="345" t="s">
        <v>188</v>
      </c>
      <c r="B13" s="346"/>
      <c r="C13" s="346"/>
      <c r="D13" s="346"/>
      <c r="E13" s="346"/>
      <c r="F13" s="347"/>
      <c r="G13" s="69">
        <f>SUM(G3:G12)</f>
        <v>23721710.860575002</v>
      </c>
      <c r="J13" s="39"/>
    </row>
    <row r="14" spans="1:10" x14ac:dyDescent="0.2">
      <c r="B14" s="60"/>
      <c r="C14" s="60"/>
      <c r="D14" s="60"/>
      <c r="E14" s="60"/>
      <c r="F14" s="61"/>
      <c r="G14" s="61"/>
      <c r="J14" s="39"/>
    </row>
    <row r="15" spans="1:10" x14ac:dyDescent="0.2">
      <c r="A15" s="341"/>
      <c r="B15" s="341"/>
      <c r="C15" s="341"/>
      <c r="D15" s="341"/>
      <c r="E15" s="341"/>
      <c r="F15" s="341"/>
      <c r="G15" s="341"/>
      <c r="J15" s="67"/>
    </row>
    <row r="17" spans="10:10" x14ac:dyDescent="0.2">
      <c r="J17" s="68"/>
    </row>
    <row r="18" spans="10:10" x14ac:dyDescent="0.2">
      <c r="J18" s="44"/>
    </row>
    <row r="19" spans="10:10" x14ac:dyDescent="0.2">
      <c r="J19" s="67"/>
    </row>
  </sheetData>
  <mergeCells count="14">
    <mergeCell ref="A1:G1"/>
    <mergeCell ref="A15:G15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A13:F1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sqref="A1:K14"/>
    </sheetView>
  </sheetViews>
  <sheetFormatPr defaultRowHeight="15" x14ac:dyDescent="0.25"/>
  <cols>
    <col min="1" max="1" width="40.28515625" customWidth="1"/>
    <col min="2" max="2" width="15.85546875" bestFit="1" customWidth="1"/>
    <col min="3" max="11" width="15.140625" customWidth="1"/>
  </cols>
  <sheetData>
    <row r="1" spans="1:11" ht="33" customHeight="1" thickBot="1" x14ac:dyDescent="0.3">
      <c r="A1" s="348" t="s">
        <v>243</v>
      </c>
      <c r="B1" s="349"/>
      <c r="C1" s="349"/>
      <c r="D1" s="349"/>
      <c r="E1" s="349"/>
      <c r="F1" s="349"/>
      <c r="G1" s="349"/>
      <c r="H1" s="349"/>
      <c r="I1" s="349"/>
      <c r="J1" s="349"/>
      <c r="K1" s="350"/>
    </row>
    <row r="2" spans="1:11" x14ac:dyDescent="0.25">
      <c r="A2" s="158" t="s">
        <v>226</v>
      </c>
      <c r="B2" s="158" t="s">
        <v>227</v>
      </c>
      <c r="C2" s="158" t="s">
        <v>228</v>
      </c>
      <c r="D2" s="158" t="s">
        <v>229</v>
      </c>
      <c r="E2" s="158" t="s">
        <v>230</v>
      </c>
      <c r="F2" s="158" t="s">
        <v>231</v>
      </c>
      <c r="G2" s="158" t="s">
        <v>232</v>
      </c>
      <c r="H2" s="158" t="s">
        <v>233</v>
      </c>
      <c r="I2" s="158" t="s">
        <v>234</v>
      </c>
      <c r="J2" s="158" t="s">
        <v>235</v>
      </c>
      <c r="K2" s="158" t="s">
        <v>236</v>
      </c>
    </row>
    <row r="3" spans="1:11" x14ac:dyDescent="0.25">
      <c r="A3" s="160" t="s">
        <v>237</v>
      </c>
      <c r="B3" s="161">
        <f>'INVEST. E DESPESAS ETP1'!E34</f>
        <v>0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1:11" x14ac:dyDescent="0.25">
      <c r="A4" s="351" t="s">
        <v>245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</row>
    <row r="5" spans="1:11" x14ac:dyDescent="0.25">
      <c r="A5" s="160" t="s">
        <v>238</v>
      </c>
      <c r="B5" s="161">
        <f>'INVEST. E DESPESAS ETP1'!E40</f>
        <v>12000</v>
      </c>
      <c r="C5" s="162"/>
      <c r="D5" s="162"/>
      <c r="E5" s="162"/>
      <c r="F5" s="162"/>
      <c r="G5" s="161">
        <f>B5</f>
        <v>12000</v>
      </c>
      <c r="H5" s="162"/>
      <c r="I5" s="162"/>
      <c r="J5" s="162"/>
      <c r="K5" s="162"/>
    </row>
    <row r="6" spans="1:11" x14ac:dyDescent="0.25">
      <c r="A6" s="351" t="s">
        <v>246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</row>
    <row r="7" spans="1:11" x14ac:dyDescent="0.25">
      <c r="A7" s="160" t="s">
        <v>240</v>
      </c>
      <c r="B7" s="161">
        <f>'INVEST. E DESPESAS ETP1'!E54</f>
        <v>315080</v>
      </c>
      <c r="C7" s="162"/>
      <c r="D7" s="162"/>
      <c r="E7" s="162"/>
      <c r="F7" s="162"/>
      <c r="G7" s="162"/>
      <c r="H7" s="162"/>
      <c r="I7" s="162"/>
      <c r="J7" s="162"/>
      <c r="K7" s="162"/>
    </row>
    <row r="8" spans="1:11" x14ac:dyDescent="0.25">
      <c r="A8" s="351" t="s">
        <v>247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</row>
    <row r="9" spans="1:11" x14ac:dyDescent="0.25">
      <c r="A9" s="160" t="s">
        <v>239</v>
      </c>
      <c r="B9" s="161">
        <f>'INVEST. E DESPESAS ETP1'!E84</f>
        <v>137038</v>
      </c>
      <c r="C9" s="162"/>
      <c r="D9" s="162"/>
      <c r="E9" s="162"/>
      <c r="F9" s="162"/>
      <c r="G9" s="161">
        <f>'INVEST. E DESPESAS ETP1'!E80</f>
        <v>85000</v>
      </c>
      <c r="H9" s="162"/>
      <c r="I9" s="162"/>
      <c r="J9" s="162"/>
      <c r="K9" s="162"/>
    </row>
    <row r="10" spans="1:11" x14ac:dyDescent="0.25">
      <c r="A10" s="351" t="s">
        <v>248</v>
      </c>
      <c r="B10" s="351"/>
      <c r="C10" s="351"/>
      <c r="D10" s="351"/>
      <c r="E10" s="351"/>
      <c r="F10" s="351"/>
      <c r="G10" s="351"/>
      <c r="H10" s="351"/>
      <c r="I10" s="351"/>
      <c r="J10" s="351"/>
      <c r="K10" s="351"/>
    </row>
    <row r="11" spans="1:11" x14ac:dyDescent="0.25">
      <c r="A11" s="160" t="s">
        <v>241</v>
      </c>
      <c r="B11" s="161">
        <f>'INVEST. E DESPESAS ETP1'!E98</f>
        <v>264105</v>
      </c>
      <c r="C11" s="162"/>
      <c r="D11" s="162"/>
      <c r="E11" s="161">
        <f>SUM('INVEST. E DESPESAS ETP1'!E89)</f>
        <v>26600</v>
      </c>
      <c r="F11" s="162"/>
      <c r="G11" s="161">
        <f>SUM('INVEST. E DESPESAS ETP1'!E90)</f>
        <v>22800</v>
      </c>
      <c r="H11" s="161">
        <f>E11</f>
        <v>26600</v>
      </c>
      <c r="I11" s="162"/>
      <c r="J11" s="162"/>
      <c r="K11" s="162"/>
    </row>
    <row r="12" spans="1:11" x14ac:dyDescent="0.25">
      <c r="A12" s="294" t="s">
        <v>249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</row>
    <row r="13" spans="1:11" x14ac:dyDescent="0.25">
      <c r="A13" s="160" t="s">
        <v>242</v>
      </c>
      <c r="B13" s="161">
        <f>'INVEST. E DESPESAS ETP1'!E106</f>
        <v>33000</v>
      </c>
      <c r="C13" s="162"/>
      <c r="D13" s="162"/>
      <c r="E13" s="162"/>
      <c r="F13" s="161"/>
      <c r="G13" s="161">
        <f>B13</f>
        <v>33000</v>
      </c>
      <c r="H13" s="162"/>
      <c r="I13" s="162"/>
      <c r="J13" s="162"/>
      <c r="K13" s="162"/>
    </row>
    <row r="14" spans="1:11" x14ac:dyDescent="0.25">
      <c r="A14" s="294" t="s">
        <v>250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</row>
    <row r="15" spans="1:11" x14ac:dyDescent="0.25">
      <c r="A15" s="159" t="s">
        <v>244</v>
      </c>
    </row>
  </sheetData>
  <mergeCells count="7">
    <mergeCell ref="A14:K14"/>
    <mergeCell ref="A1:K1"/>
    <mergeCell ref="A8:K8"/>
    <mergeCell ref="A6:K6"/>
    <mergeCell ref="A4:K4"/>
    <mergeCell ref="A10:K10"/>
    <mergeCell ref="A12:K12"/>
  </mergeCells>
  <phoneticPr fontId="22" type="noConversion"/>
  <pageMargins left="0.511811024" right="0.511811024" top="0.78740157499999996" bottom="0.78740157499999996" header="0.31496062000000002" footer="0.31496062000000002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Normal="100" workbookViewId="0">
      <selection activeCell="A24" sqref="A24"/>
    </sheetView>
  </sheetViews>
  <sheetFormatPr defaultColWidth="9.140625" defaultRowHeight="14.25" x14ac:dyDescent="0.2"/>
  <cols>
    <col min="1" max="1" width="35" style="2" customWidth="1"/>
    <col min="2" max="2" width="18" style="2" bestFit="1" customWidth="1"/>
    <col min="3" max="3" width="8.140625" style="2" customWidth="1"/>
    <col min="4" max="4" width="3.7109375" style="2" customWidth="1"/>
    <col min="5" max="5" width="12.7109375" style="2" hidden="1" customWidth="1"/>
    <col min="6" max="6" width="23.85546875" style="2" bestFit="1" customWidth="1"/>
    <col min="7" max="7" width="35" style="2" customWidth="1"/>
    <col min="8" max="8" width="9.140625" style="2"/>
    <col min="9" max="9" width="24.85546875" style="2" customWidth="1"/>
    <col min="10" max="10" width="18.42578125" style="2" customWidth="1"/>
    <col min="11" max="11" width="16.5703125" style="2" customWidth="1"/>
    <col min="12" max="16384" width="9.140625" style="2"/>
  </cols>
  <sheetData>
    <row r="1" spans="1:10" ht="32.25" customHeight="1" thickBot="1" x14ac:dyDescent="0.3">
      <c r="A1" s="348" t="s">
        <v>154</v>
      </c>
      <c r="B1" s="349"/>
      <c r="C1" s="349"/>
      <c r="D1" s="349"/>
      <c r="E1" s="349"/>
      <c r="F1" s="349"/>
      <c r="G1" s="350"/>
    </row>
    <row r="2" spans="1:10" x14ac:dyDescent="0.2">
      <c r="A2" s="163" t="s">
        <v>160</v>
      </c>
      <c r="B2" s="354" t="s">
        <v>158</v>
      </c>
      <c r="C2" s="354"/>
      <c r="D2" s="354"/>
      <c r="E2" s="164"/>
      <c r="F2" s="164" t="s">
        <v>159</v>
      </c>
      <c r="G2" s="165" t="s">
        <v>164</v>
      </c>
    </row>
    <row r="3" spans="1:10" x14ac:dyDescent="0.2">
      <c r="A3" s="48">
        <v>0</v>
      </c>
      <c r="B3" s="353">
        <f>-'INVEST. E DESPESAS ETP1'!E222</f>
        <v>-824502</v>
      </c>
      <c r="C3" s="353"/>
      <c r="D3" s="353"/>
      <c r="E3" s="353"/>
      <c r="F3" s="38">
        <f t="shared" ref="F3:F8" si="0">-PV($B$15,A3,,B3)</f>
        <v>-824502</v>
      </c>
      <c r="G3" s="38">
        <f>F3</f>
        <v>-824502</v>
      </c>
      <c r="J3" s="39"/>
    </row>
    <row r="4" spans="1:10" x14ac:dyDescent="0.2">
      <c r="A4" s="48">
        <v>1</v>
      </c>
      <c r="B4" s="353">
        <f>'CÁLCULO TARIFÁRIO S1'!G34*9</f>
        <v>182474.69892749999</v>
      </c>
      <c r="C4" s="353"/>
      <c r="D4" s="353"/>
      <c r="E4" s="353"/>
      <c r="F4" s="38">
        <f t="shared" si="0"/>
        <v>161840.08774057651</v>
      </c>
      <c r="G4" s="38">
        <f>G3+F4</f>
        <v>-662661.91225942352</v>
      </c>
      <c r="J4" s="39"/>
    </row>
    <row r="5" spans="1:10" x14ac:dyDescent="0.2">
      <c r="A5" s="48">
        <v>2</v>
      </c>
      <c r="B5" s="353">
        <f>'CÁLCULO TARIFÁRIO S1'!G34*12</f>
        <v>243299.59857</v>
      </c>
      <c r="C5" s="353"/>
      <c r="D5" s="353"/>
      <c r="E5" s="353"/>
      <c r="F5" s="38">
        <f t="shared" si="0"/>
        <v>191385.17397259601</v>
      </c>
      <c r="G5" s="38">
        <f>G4+F5</f>
        <v>-471276.73828682752</v>
      </c>
      <c r="J5" s="39"/>
    </row>
    <row r="6" spans="1:10" x14ac:dyDescent="0.2">
      <c r="A6" s="48">
        <v>3</v>
      </c>
      <c r="B6" s="353">
        <f>'CÁLCULO TARIFÁRIO S1'!$G$34*12</f>
        <v>243299.59857</v>
      </c>
      <c r="C6" s="353"/>
      <c r="D6" s="353"/>
      <c r="E6" s="353"/>
      <c r="F6" s="38">
        <f t="shared" si="0"/>
        <v>169742.94809099426</v>
      </c>
      <c r="G6" s="38">
        <f t="shared" ref="G6:G8" si="1">G5+F6</f>
        <v>-301533.79019583325</v>
      </c>
      <c r="J6" s="39"/>
    </row>
    <row r="7" spans="1:10" x14ac:dyDescent="0.2">
      <c r="A7" s="48">
        <v>4</v>
      </c>
      <c r="B7" s="353">
        <f>'CÁLCULO TARIFÁRIO S1'!$G$34*12</f>
        <v>243299.59857</v>
      </c>
      <c r="C7" s="353"/>
      <c r="D7" s="353"/>
      <c r="E7" s="353"/>
      <c r="F7" s="38">
        <f t="shared" si="0"/>
        <v>150548.06926030532</v>
      </c>
      <c r="G7" s="38">
        <f>G6+F7-(SUM(DEPRECIAÇÃO!E11))</f>
        <v>-177585.72093552793</v>
      </c>
      <c r="J7" s="39"/>
    </row>
    <row r="8" spans="1:10" x14ac:dyDescent="0.2">
      <c r="A8" s="48">
        <v>5</v>
      </c>
      <c r="B8" s="353">
        <f>'CÁLCULO TARIFÁRIO S1'!$G$34*12</f>
        <v>243299.59857</v>
      </c>
      <c r="C8" s="353"/>
      <c r="D8" s="353"/>
      <c r="E8" s="353"/>
      <c r="F8" s="38">
        <f t="shared" si="0"/>
        <v>133523.7864836411</v>
      </c>
      <c r="G8" s="38">
        <f t="shared" si="1"/>
        <v>-44061.934451886831</v>
      </c>
      <c r="J8" s="39"/>
    </row>
    <row r="9" spans="1:10" x14ac:dyDescent="0.2">
      <c r="A9" s="48">
        <v>6</v>
      </c>
      <c r="B9" s="353">
        <f>'CÁLCULO TARIFÁRIO S1'!$G$34*12</f>
        <v>243299.59857</v>
      </c>
      <c r="C9" s="353"/>
      <c r="D9" s="353"/>
      <c r="E9" s="353"/>
      <c r="F9" s="38">
        <f t="shared" ref="F9" si="2">-PV($B$15,A9,,B9)</f>
        <v>118424.64433138899</v>
      </c>
      <c r="G9" s="38">
        <f>G8+F9-(SUM(DEPRECIAÇÃO!G5+DEPRECIAÇÃO!G9+DEPRECIAÇÃO!G11+DEPRECIAÇÃO!G13))</f>
        <v>-78437.290120497841</v>
      </c>
      <c r="J9" s="39"/>
    </row>
    <row r="10" spans="1:10" x14ac:dyDescent="0.2">
      <c r="A10" s="48">
        <v>7</v>
      </c>
      <c r="B10" s="353">
        <f>'CÁLCULO TARIFÁRIO S1'!$G$34*12</f>
        <v>243299.59857</v>
      </c>
      <c r="C10" s="353"/>
      <c r="D10" s="353"/>
      <c r="E10" s="353"/>
      <c r="F10" s="38">
        <f t="shared" ref="F10:F13" si="3">-PV($B$15,A10,,B10)</f>
        <v>105032.9439746244</v>
      </c>
      <c r="G10" s="38">
        <f>G9+F10-(SUM(DEPRECIAÇÃO!H11))</f>
        <v>-4.3461458734382177</v>
      </c>
      <c r="J10" s="39"/>
    </row>
    <row r="11" spans="1:10" x14ac:dyDescent="0.2">
      <c r="A11" s="48">
        <v>8</v>
      </c>
      <c r="B11" s="353">
        <f>'CÁLCULO TARIFÁRIO S1'!$G$34*12</f>
        <v>243299.59857</v>
      </c>
      <c r="C11" s="353"/>
      <c r="D11" s="353"/>
      <c r="E11" s="353"/>
      <c r="F11" s="38">
        <f t="shared" si="3"/>
        <v>93155.604412083718</v>
      </c>
      <c r="G11" s="38">
        <f t="shared" ref="G11:G13" si="4">G10+F11</f>
        <v>93151.25826621028</v>
      </c>
      <c r="J11" s="39"/>
    </row>
    <row r="12" spans="1:10" x14ac:dyDescent="0.2">
      <c r="A12" s="48">
        <v>9</v>
      </c>
      <c r="B12" s="353">
        <f>'CÁLCULO TARIFÁRIO S1'!$G$34*12</f>
        <v>243299.59857</v>
      </c>
      <c r="C12" s="353"/>
      <c r="D12" s="353"/>
      <c r="E12" s="353"/>
      <c r="F12" s="38">
        <f t="shared" si="3"/>
        <v>82621.378635994435</v>
      </c>
      <c r="G12" s="38">
        <f t="shared" si="4"/>
        <v>175772.63690220471</v>
      </c>
      <c r="J12" s="39"/>
    </row>
    <row r="13" spans="1:10" x14ac:dyDescent="0.2">
      <c r="A13" s="48">
        <v>10</v>
      </c>
      <c r="B13" s="353">
        <f>'CÁLCULO TARIFÁRIO S1'!$G$34*12</f>
        <v>243299.59857</v>
      </c>
      <c r="C13" s="353"/>
      <c r="D13" s="353"/>
      <c r="E13" s="353"/>
      <c r="F13" s="38">
        <f t="shared" si="3"/>
        <v>73278.384599551602</v>
      </c>
      <c r="G13" s="38">
        <f t="shared" si="4"/>
        <v>249051.02150175633</v>
      </c>
      <c r="J13" s="39"/>
    </row>
    <row r="14" spans="1:10" x14ac:dyDescent="0.2">
      <c r="B14" s="60"/>
      <c r="C14" s="60"/>
      <c r="D14" s="60"/>
      <c r="E14" s="60"/>
      <c r="F14" s="61"/>
      <c r="G14" s="61"/>
      <c r="J14" s="39"/>
    </row>
    <row r="15" spans="1:10" x14ac:dyDescent="0.2">
      <c r="A15" s="41" t="s">
        <v>157</v>
      </c>
      <c r="B15" s="42">
        <v>0.1275</v>
      </c>
      <c r="C15" s="43"/>
      <c r="J15" s="40"/>
    </row>
    <row r="16" spans="1:10" x14ac:dyDescent="0.2">
      <c r="A16" s="41" t="s">
        <v>155</v>
      </c>
      <c r="B16" s="42">
        <f>IRR(B3:B13)</f>
        <v>0.24829230010381775</v>
      </c>
      <c r="C16" s="43" t="s">
        <v>163</v>
      </c>
      <c r="J16" s="44"/>
    </row>
    <row r="17" spans="1:10" x14ac:dyDescent="0.2">
      <c r="A17" s="41" t="s">
        <v>156</v>
      </c>
      <c r="B17" s="45">
        <f>NPV(B15,B4:B13)+B3</f>
        <v>455051.02150175651</v>
      </c>
      <c r="C17" s="43" t="s">
        <v>163</v>
      </c>
      <c r="J17" s="39"/>
    </row>
    <row r="18" spans="1:10" ht="15" thickBot="1" x14ac:dyDescent="0.25">
      <c r="A18" s="62" t="s">
        <v>162</v>
      </c>
      <c r="B18" s="63">
        <f>A10-G10/F11</f>
        <v>7.0000466546902986</v>
      </c>
      <c r="C18" s="64" t="s">
        <v>161</v>
      </c>
    </row>
    <row r="20" spans="1:10" x14ac:dyDescent="0.2">
      <c r="A20" s="352" t="s">
        <v>211</v>
      </c>
      <c r="B20" s="352"/>
      <c r="C20" s="352"/>
      <c r="D20" s="352"/>
      <c r="E20" s="352"/>
      <c r="F20" s="352"/>
      <c r="G20" s="352"/>
    </row>
    <row r="21" spans="1:10" x14ac:dyDescent="0.2">
      <c r="A21" s="352" t="s">
        <v>212</v>
      </c>
      <c r="B21" s="352"/>
      <c r="C21" s="352"/>
      <c r="D21" s="352"/>
      <c r="E21" s="352"/>
      <c r="F21" s="352"/>
      <c r="G21" s="352"/>
    </row>
    <row r="22" spans="1:10" x14ac:dyDescent="0.2">
      <c r="A22" s="169" t="s">
        <v>268</v>
      </c>
      <c r="B22" s="169"/>
      <c r="C22" s="169"/>
      <c r="D22" s="169"/>
      <c r="E22" s="169"/>
      <c r="F22" s="169"/>
      <c r="G22" s="169"/>
    </row>
    <row r="23" spans="1:10" x14ac:dyDescent="0.2">
      <c r="A23" s="2" t="s">
        <v>251</v>
      </c>
    </row>
  </sheetData>
  <mergeCells count="15">
    <mergeCell ref="A1:G1"/>
    <mergeCell ref="B6:E6"/>
    <mergeCell ref="B7:E7"/>
    <mergeCell ref="B8:E8"/>
    <mergeCell ref="B2:D2"/>
    <mergeCell ref="A21:G21"/>
    <mergeCell ref="A20:G20"/>
    <mergeCell ref="B3:E3"/>
    <mergeCell ref="B4:E4"/>
    <mergeCell ref="B5:E5"/>
    <mergeCell ref="B9:E9"/>
    <mergeCell ref="B10:E10"/>
    <mergeCell ref="B11:E11"/>
    <mergeCell ref="B12:E12"/>
    <mergeCell ref="B13:E13"/>
  </mergeCells>
  <pageMargins left="0.511811024" right="0.511811024" top="0.78740157499999996" bottom="0.78740157499999996" header="0.31496062000000002" footer="0.31496062000000002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>
      <selection sqref="A1:G1"/>
    </sheetView>
  </sheetViews>
  <sheetFormatPr defaultColWidth="9.140625" defaultRowHeight="14.25" x14ac:dyDescent="0.2"/>
  <cols>
    <col min="1" max="1" width="35" style="2" customWidth="1"/>
    <col min="2" max="2" width="18" style="2" bestFit="1" customWidth="1"/>
    <col min="3" max="3" width="8.140625" style="2" customWidth="1"/>
    <col min="4" max="4" width="3.7109375" style="2" customWidth="1"/>
    <col min="5" max="5" width="12.7109375" style="2" hidden="1" customWidth="1"/>
    <col min="6" max="6" width="23.85546875" style="2" bestFit="1" customWidth="1"/>
    <col min="7" max="7" width="35" style="2" customWidth="1"/>
    <col min="8" max="8" width="9.140625" style="2"/>
    <col min="9" max="9" width="24.85546875" style="2" customWidth="1"/>
    <col min="10" max="10" width="18.42578125" style="2" customWidth="1"/>
    <col min="11" max="11" width="16.5703125" style="2" customWidth="1"/>
    <col min="12" max="12" width="14.140625" style="2" bestFit="1" customWidth="1"/>
    <col min="13" max="16384" width="9.140625" style="2"/>
  </cols>
  <sheetData>
    <row r="1" spans="1:12" ht="32.25" customHeight="1" thickBot="1" x14ac:dyDescent="0.3">
      <c r="A1" s="348" t="s">
        <v>154</v>
      </c>
      <c r="B1" s="349"/>
      <c r="C1" s="349"/>
      <c r="D1" s="349"/>
      <c r="E1" s="349"/>
      <c r="F1" s="349"/>
      <c r="G1" s="350"/>
    </row>
    <row r="2" spans="1:12" x14ac:dyDescent="0.2">
      <c r="A2" s="163" t="s">
        <v>160</v>
      </c>
      <c r="B2" s="354" t="s">
        <v>158</v>
      </c>
      <c r="C2" s="354"/>
      <c r="D2" s="354"/>
      <c r="E2" s="164"/>
      <c r="F2" s="164" t="s">
        <v>159</v>
      </c>
      <c r="G2" s="165" t="s">
        <v>164</v>
      </c>
    </row>
    <row r="3" spans="1:12" x14ac:dyDescent="0.2">
      <c r="A3" s="99">
        <v>0</v>
      </c>
      <c r="B3" s="353">
        <f>-'INVEST. E DESPESAS ETP1'!E222</f>
        <v>-824502</v>
      </c>
      <c r="C3" s="353"/>
      <c r="D3" s="353"/>
      <c r="E3" s="353"/>
      <c r="F3" s="38">
        <f t="shared" ref="F3:F12" si="0">-PV($B$20,A3,,B3)</f>
        <v>-824502</v>
      </c>
      <c r="G3" s="196">
        <f>F3</f>
        <v>-824502</v>
      </c>
      <c r="J3" s="39"/>
    </row>
    <row r="4" spans="1:12" x14ac:dyDescent="0.2">
      <c r="A4" s="99">
        <v>1</v>
      </c>
      <c r="B4" s="353" t="e">
        <f>#REF!*9</f>
        <v>#REF!</v>
      </c>
      <c r="C4" s="353"/>
      <c r="D4" s="353"/>
      <c r="E4" s="353"/>
      <c r="F4" s="38" t="e">
        <f t="shared" si="0"/>
        <v>#REF!</v>
      </c>
      <c r="G4" s="196" t="e">
        <f>G3+F4</f>
        <v>#REF!</v>
      </c>
      <c r="J4" s="39"/>
    </row>
    <row r="5" spans="1:12" x14ac:dyDescent="0.2">
      <c r="A5" s="99">
        <v>2</v>
      </c>
      <c r="B5" s="353" t="e">
        <f>#REF!*12</f>
        <v>#REF!</v>
      </c>
      <c r="C5" s="353"/>
      <c r="D5" s="353"/>
      <c r="E5" s="353"/>
      <c r="F5" s="38" t="e">
        <f t="shared" si="0"/>
        <v>#REF!</v>
      </c>
      <c r="G5" s="196" t="e">
        <f>G4+F5</f>
        <v>#REF!</v>
      </c>
      <c r="J5" s="39"/>
    </row>
    <row r="6" spans="1:12" x14ac:dyDescent="0.2">
      <c r="A6" s="99">
        <v>3</v>
      </c>
      <c r="B6" s="353">
        <f>'CÁLCULO TARIFÁRIO S1'!$G$34*12</f>
        <v>243299.59857</v>
      </c>
      <c r="C6" s="353"/>
      <c r="D6" s="353"/>
      <c r="E6" s="353"/>
      <c r="F6" s="38">
        <f t="shared" si="0"/>
        <v>165305.45160023411</v>
      </c>
      <c r="G6" s="196" t="e">
        <f t="shared" ref="G6:G8" si="1">G5+F6</f>
        <v>#REF!</v>
      </c>
      <c r="J6" s="39">
        <v>1.5</v>
      </c>
      <c r="K6" s="2">
        <v>21</v>
      </c>
      <c r="L6" s="191">
        <f>K6*J6</f>
        <v>31.5</v>
      </c>
    </row>
    <row r="7" spans="1:12" x14ac:dyDescent="0.2">
      <c r="A7" s="99">
        <v>4</v>
      </c>
      <c r="B7" s="353">
        <f>'CÁLCULO TARIFÁRIO S1'!$G$34*12</f>
        <v>243299.59857</v>
      </c>
      <c r="C7" s="353"/>
      <c r="D7" s="353"/>
      <c r="E7" s="353"/>
      <c r="F7" s="38">
        <f t="shared" si="0"/>
        <v>145323.47393427175</v>
      </c>
      <c r="G7" s="196" t="e">
        <f>G6+F7-(SUM(DEPRECIAÇÃO!E11))</f>
        <v>#REF!</v>
      </c>
      <c r="J7" s="39">
        <v>2.5</v>
      </c>
      <c r="K7" s="2">
        <f>120-K6-3</f>
        <v>96</v>
      </c>
      <c r="L7" s="191">
        <f>K7*J7</f>
        <v>240</v>
      </c>
    </row>
    <row r="8" spans="1:12" x14ac:dyDescent="0.2">
      <c r="A8" s="99">
        <v>5</v>
      </c>
      <c r="B8" s="353">
        <f>'CÁLCULO TARIFÁRIO S1'!$G$34*12</f>
        <v>243299.59857</v>
      </c>
      <c r="C8" s="353"/>
      <c r="D8" s="353"/>
      <c r="E8" s="353"/>
      <c r="F8" s="38">
        <f t="shared" si="0"/>
        <v>127756.90016199715</v>
      </c>
      <c r="G8" s="196" t="e">
        <f t="shared" si="1"/>
        <v>#REF!</v>
      </c>
      <c r="J8" s="39"/>
      <c r="L8" s="191">
        <f>SUM(L6:L7)</f>
        <v>271.5</v>
      </c>
    </row>
    <row r="9" spans="1:12" x14ac:dyDescent="0.2">
      <c r="A9" s="99">
        <v>6</v>
      </c>
      <c r="B9" s="353">
        <f>'CÁLCULO TARIFÁRIO S1'!$G$34*12</f>
        <v>243299.59857</v>
      </c>
      <c r="C9" s="353"/>
      <c r="D9" s="353"/>
      <c r="E9" s="353"/>
      <c r="F9" s="38">
        <f t="shared" si="0"/>
        <v>112313.75838417333</v>
      </c>
      <c r="G9" s="196" t="e">
        <f>G8+F9-(SUM(DEPRECIAÇÃO!G5+DEPRECIAÇÃO!G9+DEPRECIAÇÃO!G11+DEPRECIAÇÃO!G13))</f>
        <v>#REF!</v>
      </c>
      <c r="I9" s="2" t="s">
        <v>286</v>
      </c>
      <c r="J9" s="39">
        <f>L8/(K6+K7)</f>
        <v>2.3205128205128207</v>
      </c>
    </row>
    <row r="10" spans="1:12" x14ac:dyDescent="0.2">
      <c r="A10" s="99">
        <v>7</v>
      </c>
      <c r="B10" s="353">
        <f>'CÁLCULO TARIFÁRIO S1'!$G$34*12</f>
        <v>243299.59857</v>
      </c>
      <c r="C10" s="353"/>
      <c r="D10" s="353"/>
      <c r="E10" s="353"/>
      <c r="F10" s="38">
        <f t="shared" si="0"/>
        <v>98737.370008064463</v>
      </c>
      <c r="G10" s="196" t="e">
        <f>G9+F10-(SUM(DEPRECIAÇÃO!H11))</f>
        <v>#REF!</v>
      </c>
      <c r="J10" s="39"/>
    </row>
    <row r="11" spans="1:12" x14ac:dyDescent="0.2">
      <c r="A11" s="99">
        <v>8</v>
      </c>
      <c r="B11" s="353">
        <f>'CÁLCULO TARIFÁRIO S1'!$G$34*12</f>
        <v>243299.59857</v>
      </c>
      <c r="C11" s="353"/>
      <c r="D11" s="353"/>
      <c r="E11" s="353"/>
      <c r="F11" s="38">
        <f t="shared" si="0"/>
        <v>86802.083523573165</v>
      </c>
      <c r="G11" s="196" t="e">
        <f t="shared" ref="G11:G18" si="2">G10+F11</f>
        <v>#REF!</v>
      </c>
      <c r="J11" s="39"/>
    </row>
    <row r="12" spans="1:12" x14ac:dyDescent="0.2">
      <c r="A12" s="99">
        <v>9</v>
      </c>
      <c r="B12" s="353">
        <f>'CÁLCULO TARIFÁRIO S1'!$G$34*12</f>
        <v>243299.59857</v>
      </c>
      <c r="C12" s="353"/>
      <c r="D12" s="353"/>
      <c r="E12" s="353"/>
      <c r="F12" s="38">
        <f t="shared" si="0"/>
        <v>76309.523976767625</v>
      </c>
      <c r="G12" s="196" t="e">
        <f t="shared" si="2"/>
        <v>#REF!</v>
      </c>
      <c r="J12" s="39"/>
    </row>
    <row r="13" spans="1:12" ht="15" thickBot="1" x14ac:dyDescent="0.25">
      <c r="A13" s="197">
        <v>10</v>
      </c>
      <c r="B13" s="356">
        <f>'CÁLCULO TARIFÁRIO S1'!G34*12</f>
        <v>243299.59857</v>
      </c>
      <c r="C13" s="357"/>
      <c r="D13" s="358"/>
      <c r="E13" s="198"/>
      <c r="F13" s="199">
        <f t="shared" ref="F13:F18" si="3">-PV($B$20,A13,,B13)</f>
        <v>67085.295803751753</v>
      </c>
      <c r="G13" s="200" t="e">
        <f t="shared" si="2"/>
        <v>#REF!</v>
      </c>
      <c r="J13" s="39"/>
    </row>
    <row r="14" spans="1:12" x14ac:dyDescent="0.2">
      <c r="A14" s="193">
        <v>11</v>
      </c>
      <c r="B14" s="359">
        <f>'CÁLCULO TARIFÁRIO S1'!G34*12</f>
        <v>243299.59857</v>
      </c>
      <c r="C14" s="360"/>
      <c r="D14" s="361"/>
      <c r="E14" s="194"/>
      <c r="F14" s="195">
        <f t="shared" si="3"/>
        <v>58976.084223078462</v>
      </c>
      <c r="G14" s="195" t="e">
        <f t="shared" si="2"/>
        <v>#REF!</v>
      </c>
      <c r="J14" s="39"/>
    </row>
    <row r="15" spans="1:12" x14ac:dyDescent="0.2">
      <c r="A15" s="48">
        <v>12</v>
      </c>
      <c r="B15" s="362">
        <f>'CÁLCULO TARIFÁRIO S1'!G34*12</f>
        <v>243299.59857</v>
      </c>
      <c r="C15" s="363"/>
      <c r="D15" s="364"/>
      <c r="E15" s="176"/>
      <c r="F15" s="38">
        <f t="shared" si="3"/>
        <v>51847.107009299754</v>
      </c>
      <c r="G15" s="38" t="e">
        <f t="shared" si="2"/>
        <v>#REF!</v>
      </c>
      <c r="J15" s="39"/>
    </row>
    <row r="16" spans="1:12" x14ac:dyDescent="0.2">
      <c r="A16" s="48">
        <v>13</v>
      </c>
      <c r="B16" s="362">
        <f>'CÁLCULO TARIFÁRIO S1'!G34*12</f>
        <v>243299.59857</v>
      </c>
      <c r="C16" s="363"/>
      <c r="D16" s="364"/>
      <c r="E16" s="176"/>
      <c r="F16" s="38">
        <f t="shared" si="3"/>
        <v>45579.874293889894</v>
      </c>
      <c r="G16" s="38" t="e">
        <f t="shared" si="2"/>
        <v>#REF!</v>
      </c>
      <c r="J16" s="40"/>
    </row>
    <row r="17" spans="1:10" x14ac:dyDescent="0.2">
      <c r="A17" s="48">
        <v>14</v>
      </c>
      <c r="B17" s="362">
        <f>'CÁLCULO TARIFÁRIO S1'!G34*12</f>
        <v>243299.59857</v>
      </c>
      <c r="C17" s="363"/>
      <c r="D17" s="364"/>
      <c r="E17" s="176"/>
      <c r="F17" s="38">
        <f t="shared" si="3"/>
        <v>40070.219159463646</v>
      </c>
      <c r="G17" s="38" t="e">
        <f t="shared" si="2"/>
        <v>#REF!</v>
      </c>
      <c r="J17" s="44"/>
    </row>
    <row r="18" spans="1:10" x14ac:dyDescent="0.2">
      <c r="A18" s="48">
        <v>15</v>
      </c>
      <c r="B18" s="353">
        <f>'CÁLCULO TARIFÁRIO S1'!$G$34*12</f>
        <v>243299.59857</v>
      </c>
      <c r="C18" s="353"/>
      <c r="D18" s="353"/>
      <c r="E18" s="353"/>
      <c r="F18" s="38">
        <f t="shared" si="3"/>
        <v>35226.566294033975</v>
      </c>
      <c r="G18" s="38" t="e">
        <f t="shared" si="2"/>
        <v>#REF!</v>
      </c>
      <c r="J18" s="39"/>
    </row>
    <row r="19" spans="1:10" x14ac:dyDescent="0.2">
      <c r="B19" s="60"/>
      <c r="C19" s="60"/>
      <c r="D19" s="60"/>
      <c r="E19" s="60"/>
      <c r="F19" s="61"/>
      <c r="G19" s="61"/>
    </row>
    <row r="20" spans="1:10" x14ac:dyDescent="0.2">
      <c r="A20" s="41" t="s">
        <v>157</v>
      </c>
      <c r="B20" s="42">
        <v>0.13750000000000001</v>
      </c>
      <c r="C20" s="43"/>
    </row>
    <row r="21" spans="1:10" x14ac:dyDescent="0.2">
      <c r="A21" s="41" t="s">
        <v>155</v>
      </c>
      <c r="B21" s="42" t="e">
        <f>IRR(B3:B18)</f>
        <v>#VALUE!</v>
      </c>
      <c r="C21" s="43" t="s">
        <v>163</v>
      </c>
    </row>
    <row r="22" spans="1:10" x14ac:dyDescent="0.2">
      <c r="A22" s="41" t="s">
        <v>156</v>
      </c>
      <c r="B22" s="45" t="e">
        <f>NPV(B20,B4:B18)+B3</f>
        <v>#REF!</v>
      </c>
      <c r="C22" s="43" t="s">
        <v>163</v>
      </c>
    </row>
    <row r="23" spans="1:10" ht="15" thickBot="1" x14ac:dyDescent="0.25">
      <c r="A23" s="62" t="s">
        <v>162</v>
      </c>
      <c r="B23" s="63" t="e">
        <f>A10-G10/F11</f>
        <v>#REF!</v>
      </c>
      <c r="C23" s="64" t="s">
        <v>161</v>
      </c>
    </row>
    <row r="25" spans="1:10" x14ac:dyDescent="0.2">
      <c r="A25" s="355" t="s">
        <v>211</v>
      </c>
      <c r="B25" s="355"/>
      <c r="C25" s="355"/>
      <c r="D25" s="355"/>
      <c r="E25" s="355"/>
      <c r="F25" s="355"/>
      <c r="G25" s="355"/>
    </row>
    <row r="26" spans="1:10" x14ac:dyDescent="0.2">
      <c r="A26" s="355" t="s">
        <v>212</v>
      </c>
      <c r="B26" s="355"/>
      <c r="C26" s="355"/>
      <c r="D26" s="355"/>
      <c r="E26" s="355"/>
      <c r="F26" s="355"/>
      <c r="G26" s="355"/>
    </row>
    <row r="27" spans="1:10" x14ac:dyDescent="0.2">
      <c r="A27" s="188" t="s">
        <v>268</v>
      </c>
      <c r="B27" s="188"/>
      <c r="C27" s="188"/>
      <c r="D27" s="188"/>
      <c r="E27" s="188"/>
      <c r="F27" s="188"/>
      <c r="G27" s="188"/>
    </row>
    <row r="28" spans="1:10" x14ac:dyDescent="0.2">
      <c r="A28" s="182" t="s">
        <v>251</v>
      </c>
      <c r="B28" s="182"/>
      <c r="C28" s="182"/>
      <c r="D28" s="182"/>
      <c r="E28" s="182"/>
      <c r="F28" s="182"/>
      <c r="G28" s="182"/>
    </row>
  </sheetData>
  <mergeCells count="20">
    <mergeCell ref="B12:E12"/>
    <mergeCell ref="A1:G1"/>
    <mergeCell ref="B2:D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8:E18"/>
    <mergeCell ref="A25:G25"/>
    <mergeCell ref="A26:G26"/>
    <mergeCell ref="B13:D13"/>
    <mergeCell ref="B14:D14"/>
    <mergeCell ref="B15:D15"/>
    <mergeCell ref="B16:D16"/>
    <mergeCell ref="B17:D17"/>
  </mergeCells>
  <pageMargins left="0.511811024" right="0.511811024" top="0.78740157499999996" bottom="0.78740157499999996" header="0.31496062000000002" footer="0.31496062000000002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HORÁRIOS </vt:lpstr>
      <vt:lpstr>INVEST. E DESPESAS ETP1</vt:lpstr>
      <vt:lpstr>CÁLCULO TARIFÁRIO S1</vt:lpstr>
      <vt:lpstr>RECEITA ESTIMADA</vt:lpstr>
      <vt:lpstr>DEPRECIAÇÃO</vt:lpstr>
      <vt:lpstr>TIR VPL</vt:lpstr>
      <vt:lpstr>TIR VPL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Marlise Mallmann</cp:lastModifiedBy>
  <cp:lastPrinted>2021-12-27T12:59:31Z</cp:lastPrinted>
  <dcterms:created xsi:type="dcterms:W3CDTF">2018-09-24T12:41:23Z</dcterms:created>
  <dcterms:modified xsi:type="dcterms:W3CDTF">2025-12-30T14:23:49Z</dcterms:modified>
</cp:coreProperties>
</file>