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18-2023 Coleta Seletiva do Lixo\Planilha - Orçamento sem valores\"/>
    </mc:Choice>
  </mc:AlternateContent>
  <xr:revisionPtr revIDLastSave="0" documentId="13_ncr:1_{1B204AE8-752D-41FA-8F71-2E355912733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. Coleta Domiciliar" sheetId="1" r:id="rId1"/>
    <sheet name="2. Containers" sheetId="8" r:id="rId2"/>
    <sheet name="3.Encargos Sociais" sheetId="2" r:id="rId3"/>
    <sheet name="4.CAGED" sheetId="3" r:id="rId4"/>
    <sheet name="5.BDI" sheetId="4" r:id="rId5"/>
    <sheet name="6. Depreciação" sheetId="5" r:id="rId6"/>
    <sheet name="7.Remuneração de capital" sheetId="6" r:id="rId7"/>
    <sheet name="8. Dimensionamento" sheetId="7" r:id="rId8"/>
  </sheets>
  <definedNames>
    <definedName name="AbaDeprec">'6. Depreciação'!$A$1</definedName>
    <definedName name="AbaRemun">'7.Remuneração de capital'!$A$1</definedName>
    <definedName name="_xlnm.Print_Area" localSheetId="0">'1. Coleta Domiciliar'!$A$1:$F$508</definedName>
    <definedName name="_xlnm.Print_Area" localSheetId="1">'2. Containers'!#REF!</definedName>
    <definedName name="_xlnm.Print_Area" localSheetId="2">'3.Encargos Sociais'!$A$1:$C$39</definedName>
    <definedName name="_xlnm.Print_Titles" localSheetId="0">'1. Coleta Domiciliar'!$1:$5</definedName>
    <definedName name="_xlnm.Print_Titles" localSheetId="1">'2. Containers'!#REF!</definedName>
  </definedNames>
  <calcPr calcId="191029"/>
</workbook>
</file>

<file path=xl/calcChain.xml><?xml version="1.0" encoding="utf-8"?>
<calcChain xmlns="http://schemas.openxmlformats.org/spreadsheetml/2006/main">
  <c r="E168" i="1" l="1"/>
  <c r="E155" i="1"/>
  <c r="A19" i="1"/>
  <c r="E138" i="1"/>
  <c r="C138" i="1"/>
  <c r="C137" i="1"/>
  <c r="E137" i="1" s="1"/>
  <c r="C358" i="1"/>
  <c r="A50" i="1" l="1"/>
  <c r="E45" i="8"/>
  <c r="E37" i="8"/>
  <c r="E26" i="8"/>
  <c r="C22" i="8"/>
  <c r="E71" i="8"/>
  <c r="D54" i="8"/>
  <c r="E53" i="8"/>
  <c r="E52" i="8"/>
  <c r="C44" i="8"/>
  <c r="E44" i="8" s="1"/>
  <c r="C36" i="8"/>
  <c r="D30" i="8"/>
  <c r="E30" i="8" s="1"/>
  <c r="C23" i="8"/>
  <c r="E19" i="8"/>
  <c r="F45" i="8" l="1"/>
  <c r="C32" i="8"/>
  <c r="E54" i="8"/>
  <c r="F55" i="8" s="1"/>
  <c r="D22" i="8"/>
  <c r="E22" i="8" s="1"/>
  <c r="E130" i="1"/>
  <c r="E129" i="1"/>
  <c r="D415" i="1"/>
  <c r="D280" i="1"/>
  <c r="D392" i="1"/>
  <c r="D23" i="8" l="1"/>
  <c r="E23" i="8" s="1"/>
  <c r="E24" i="8" s="1"/>
  <c r="D25" i="8" s="1"/>
  <c r="E25" i="8" s="1"/>
  <c r="F26" i="8" s="1"/>
  <c r="C33" i="8"/>
  <c r="D34" i="8" s="1"/>
  <c r="E34" i="8" s="1"/>
  <c r="E35" i="8" s="1"/>
  <c r="D36" i="8" s="1"/>
  <c r="E36" i="8" s="1"/>
  <c r="F37" i="8" s="1"/>
  <c r="C21" i="7"/>
  <c r="C14" i="7"/>
  <c r="C15" i="4"/>
  <c r="C20" i="4" s="1"/>
  <c r="F13" i="4"/>
  <c r="E13" i="4"/>
  <c r="D13" i="4"/>
  <c r="C25" i="3"/>
  <c r="C27" i="3" s="1"/>
  <c r="C23" i="3"/>
  <c r="C17" i="2"/>
  <c r="E484" i="1"/>
  <c r="E482" i="1"/>
  <c r="D483" i="1" s="1"/>
  <c r="E483" i="1" s="1"/>
  <c r="E474" i="1"/>
  <c r="E473" i="1"/>
  <c r="E472" i="1"/>
  <c r="C454" i="1"/>
  <c r="C452" i="1"/>
  <c r="E452" i="1" s="1"/>
  <c r="E450" i="1"/>
  <c r="D439" i="1"/>
  <c r="D437" i="1"/>
  <c r="C437" i="1"/>
  <c r="C445" i="1" s="1"/>
  <c r="E445" i="1" s="1"/>
  <c r="F446" i="1" s="1"/>
  <c r="E48" i="1" s="1"/>
  <c r="C427" i="1"/>
  <c r="E427" i="1" s="1"/>
  <c r="C426" i="1"/>
  <c r="E426" i="1" s="1"/>
  <c r="C425" i="1"/>
  <c r="C420" i="1"/>
  <c r="E415" i="1"/>
  <c r="C409" i="1"/>
  <c r="E405" i="1"/>
  <c r="C394" i="1"/>
  <c r="C392" i="1"/>
  <c r="E392" i="1" s="1"/>
  <c r="D385" i="1"/>
  <c r="C385" i="1"/>
  <c r="D379" i="1"/>
  <c r="D377" i="1"/>
  <c r="D375" i="1"/>
  <c r="D373" i="1"/>
  <c r="C371" i="1"/>
  <c r="C377" i="1" s="1"/>
  <c r="C360" i="1"/>
  <c r="E358" i="1"/>
  <c r="D345" i="1"/>
  <c r="D343" i="1"/>
  <c r="D341" i="1"/>
  <c r="D339" i="1"/>
  <c r="C337" i="1"/>
  <c r="C345" i="1" s="1"/>
  <c r="E329" i="1"/>
  <c r="C327" i="1"/>
  <c r="E327" i="1" s="1"/>
  <c r="C326" i="1"/>
  <c r="E326" i="1" s="1"/>
  <c r="C325" i="1"/>
  <c r="C320" i="1"/>
  <c r="C315" i="1"/>
  <c r="D314" i="1"/>
  <c r="D309" i="1"/>
  <c r="E309" i="1" s="1"/>
  <c r="C302" i="1"/>
  <c r="C298" i="1"/>
  <c r="C314" i="1" s="1"/>
  <c r="C297" i="1"/>
  <c r="E293" i="1"/>
  <c r="C311" i="1" s="1"/>
  <c r="C282" i="1"/>
  <c r="C280" i="1"/>
  <c r="E280" i="1" s="1"/>
  <c r="D278" i="1"/>
  <c r="D273" i="1"/>
  <c r="C273" i="1"/>
  <c r="D267" i="1"/>
  <c r="D265" i="1"/>
  <c r="D263" i="1"/>
  <c r="D261" i="1"/>
  <c r="C259" i="1"/>
  <c r="C267" i="1" s="1"/>
  <c r="D258" i="1"/>
  <c r="D336" i="1" s="1"/>
  <c r="D370" i="1" s="1"/>
  <c r="D371" i="1" s="1"/>
  <c r="C248" i="1"/>
  <c r="C246" i="1"/>
  <c r="E246" i="1" s="1"/>
  <c r="E244" i="1"/>
  <c r="D233" i="1"/>
  <c r="D231" i="1"/>
  <c r="D229" i="1"/>
  <c r="D227" i="1"/>
  <c r="D225" i="1"/>
  <c r="C225" i="1"/>
  <c r="C233" i="1" s="1"/>
  <c r="E217" i="1"/>
  <c r="C215" i="1"/>
  <c r="E215" i="1" s="1"/>
  <c r="C214" i="1"/>
  <c r="E214" i="1" s="1"/>
  <c r="C213" i="1"/>
  <c r="C208" i="1"/>
  <c r="C203" i="1"/>
  <c r="D202" i="1"/>
  <c r="D197" i="1"/>
  <c r="E197" i="1" s="1"/>
  <c r="C190" i="1"/>
  <c r="C189" i="1"/>
  <c r="C186" i="1"/>
  <c r="C202" i="1" s="1"/>
  <c r="C185" i="1"/>
  <c r="C184" i="1"/>
  <c r="E181" i="1"/>
  <c r="D213" i="1" s="1"/>
  <c r="E171" i="1"/>
  <c r="D169" i="1"/>
  <c r="E169" i="1" s="1"/>
  <c r="D167" i="1"/>
  <c r="E167" i="1" s="1"/>
  <c r="D166" i="1"/>
  <c r="E166" i="1" s="1"/>
  <c r="D165" i="1"/>
  <c r="E165" i="1" s="1"/>
  <c r="D164" i="1"/>
  <c r="E164" i="1" s="1"/>
  <c r="D163" i="1"/>
  <c r="E163" i="1" s="1"/>
  <c r="E158" i="1"/>
  <c r="E156" i="1"/>
  <c r="E153" i="1"/>
  <c r="E152" i="1"/>
  <c r="E151" i="1"/>
  <c r="E150" i="1"/>
  <c r="E149" i="1"/>
  <c r="E148" i="1"/>
  <c r="E147" i="1"/>
  <c r="E131" i="1"/>
  <c r="A121" i="1"/>
  <c r="C116" i="1"/>
  <c r="C115" i="1"/>
  <c r="E104" i="1"/>
  <c r="E105" i="1" s="1"/>
  <c r="D106" i="1" s="1"/>
  <c r="E100" i="1"/>
  <c r="D92" i="1"/>
  <c r="E92" i="1" s="1"/>
  <c r="E90" i="1"/>
  <c r="E86" i="1"/>
  <c r="D78" i="1"/>
  <c r="E78" i="1" s="1"/>
  <c r="E77" i="1"/>
  <c r="E67" i="1"/>
  <c r="A67" i="1"/>
  <c r="E66" i="1"/>
  <c r="A66" i="1"/>
  <c r="C123" i="1"/>
  <c r="E123" i="1" s="1"/>
  <c r="A62" i="1"/>
  <c r="E61" i="1"/>
  <c r="A61" i="1"/>
  <c r="E60" i="1"/>
  <c r="A60" i="1"/>
  <c r="A52" i="1"/>
  <c r="A51" i="1"/>
  <c r="A49" i="1"/>
  <c r="A48" i="1"/>
  <c r="A47" i="1"/>
  <c r="A46" i="1"/>
  <c r="A45" i="1"/>
  <c r="A44" i="1"/>
  <c r="A43" i="1"/>
  <c r="A42" i="1"/>
  <c r="A41" i="1"/>
  <c r="A39" i="1"/>
  <c r="A38" i="1"/>
  <c r="A37" i="1"/>
  <c r="A36" i="1"/>
  <c r="A35" i="1"/>
  <c r="A34" i="1"/>
  <c r="A33" i="1"/>
  <c r="A32" i="1"/>
  <c r="A31" i="1"/>
  <c r="A30" i="1"/>
  <c r="A28" i="1"/>
  <c r="A27" i="1"/>
  <c r="A26" i="1"/>
  <c r="A25" i="1"/>
  <c r="A24" i="1"/>
  <c r="A23" i="1"/>
  <c r="A22" i="1"/>
  <c r="A21" i="1"/>
  <c r="A20" i="1"/>
  <c r="A18" i="1"/>
  <c r="A17" i="1"/>
  <c r="A16" i="1"/>
  <c r="A15" i="1"/>
  <c r="A14" i="1"/>
  <c r="A13" i="1"/>
  <c r="A12" i="1"/>
  <c r="C157" i="1" l="1"/>
  <c r="C135" i="1"/>
  <c r="E135" i="1" s="1"/>
  <c r="C122" i="1"/>
  <c r="E122" i="1" s="1"/>
  <c r="C136" i="1"/>
  <c r="E136" i="1" s="1"/>
  <c r="D440" i="1"/>
  <c r="D408" i="1"/>
  <c r="E408" i="1" s="1"/>
  <c r="D409" i="1" s="1"/>
  <c r="E409" i="1" s="1"/>
  <c r="D410" i="1" s="1"/>
  <c r="E410" i="1" s="1"/>
  <c r="F411" i="1" s="1"/>
  <c r="E44" i="1" s="1"/>
  <c r="D425" i="1"/>
  <c r="E425" i="1" s="1"/>
  <c r="D428" i="1" s="1"/>
  <c r="E428" i="1" s="1"/>
  <c r="F429" i="1" s="1"/>
  <c r="E46" i="1" s="1"/>
  <c r="C493" i="1"/>
  <c r="C63" i="8"/>
  <c r="E63" i="8" s="1"/>
  <c r="F64" i="8" s="1"/>
  <c r="F66" i="8" s="1"/>
  <c r="E267" i="1"/>
  <c r="E202" i="1"/>
  <c r="F59" i="8"/>
  <c r="E213" i="1"/>
  <c r="D216" i="1" s="1"/>
  <c r="E216" i="1" s="1"/>
  <c r="F217" i="1" s="1"/>
  <c r="E24" i="1" s="1"/>
  <c r="E273" i="1"/>
  <c r="F274" i="1" s="1"/>
  <c r="E30" i="1" s="1"/>
  <c r="F475" i="1"/>
  <c r="F477" i="1" s="1"/>
  <c r="E51" i="1" s="1"/>
  <c r="D325" i="1"/>
  <c r="E325" i="1" s="1"/>
  <c r="D328" i="1" s="1"/>
  <c r="E328" i="1" s="1"/>
  <c r="F329" i="1" s="1"/>
  <c r="E35" i="1" s="1"/>
  <c r="D259" i="1"/>
  <c r="E259" i="1" s="1"/>
  <c r="C239" i="1"/>
  <c r="E239" i="1" s="1"/>
  <c r="F240" i="1" s="1"/>
  <c r="E26" i="1" s="1"/>
  <c r="E314" i="1"/>
  <c r="E345" i="1"/>
  <c r="C351" i="1"/>
  <c r="E351" i="1" s="1"/>
  <c r="F352" i="1" s="1"/>
  <c r="E37" i="1" s="1"/>
  <c r="D453" i="1"/>
  <c r="E453" i="1" s="1"/>
  <c r="D454" i="1" s="1"/>
  <c r="E454" i="1" s="1"/>
  <c r="F455" i="1" s="1"/>
  <c r="E63" i="1"/>
  <c r="E225" i="1"/>
  <c r="C231" i="1"/>
  <c r="E231" i="1" s="1"/>
  <c r="D337" i="1"/>
  <c r="D346" i="1" s="1"/>
  <c r="C343" i="1"/>
  <c r="E343" i="1" s="1"/>
  <c r="E377" i="1"/>
  <c r="C227" i="1"/>
  <c r="E227" i="1" s="1"/>
  <c r="C339" i="1"/>
  <c r="E339" i="1" s="1"/>
  <c r="F484" i="1"/>
  <c r="F486" i="1" s="1"/>
  <c r="E52" i="1" s="1"/>
  <c r="D234" i="1"/>
  <c r="D116" i="1"/>
  <c r="E116" i="1" s="1"/>
  <c r="E186" i="1"/>
  <c r="D189" i="1" s="1"/>
  <c r="E189" i="1" s="1"/>
  <c r="D190" i="1" s="1"/>
  <c r="E190" i="1" s="1"/>
  <c r="E437" i="1"/>
  <c r="D157" i="1"/>
  <c r="E157" i="1" s="1"/>
  <c r="F158" i="1" s="1"/>
  <c r="E233" i="1"/>
  <c r="C229" i="1"/>
  <c r="E229" i="1" s="1"/>
  <c r="D247" i="1"/>
  <c r="E247" i="1" s="1"/>
  <c r="D248" i="1" s="1"/>
  <c r="C265" i="1"/>
  <c r="E265" i="1" s="1"/>
  <c r="C375" i="1"/>
  <c r="E375" i="1" s="1"/>
  <c r="E385" i="1"/>
  <c r="F386" i="1" s="1"/>
  <c r="E41" i="1" s="1"/>
  <c r="E371" i="1"/>
  <c r="D380" i="1"/>
  <c r="C33" i="3"/>
  <c r="C28" i="3"/>
  <c r="D93" i="1"/>
  <c r="E93" i="1" s="1"/>
  <c r="D95" i="1" s="1"/>
  <c r="E95" i="1" s="1"/>
  <c r="E96" i="1" s="1"/>
  <c r="D170" i="1"/>
  <c r="C15" i="7"/>
  <c r="C17" i="7"/>
  <c r="C22" i="7" s="1"/>
  <c r="C24" i="7" s="1"/>
  <c r="E356" i="1"/>
  <c r="D359" i="1" s="1"/>
  <c r="E359" i="1" s="1"/>
  <c r="D360" i="1" s="1"/>
  <c r="E360" i="1" s="1"/>
  <c r="F361" i="1" s="1"/>
  <c r="E38" i="1" s="1"/>
  <c r="D390" i="1"/>
  <c r="E390" i="1" s="1"/>
  <c r="D393" i="1" s="1"/>
  <c r="E393" i="1" s="1"/>
  <c r="D394" i="1" s="1"/>
  <c r="E394" i="1" s="1"/>
  <c r="F395" i="1" s="1"/>
  <c r="E42" i="1" s="1"/>
  <c r="E128" i="1"/>
  <c r="F131" i="1" s="1"/>
  <c r="E18" i="1" s="1"/>
  <c r="C170" i="1"/>
  <c r="C263" i="1"/>
  <c r="E263" i="1" s="1"/>
  <c r="E278" i="1"/>
  <c r="D281" i="1" s="1"/>
  <c r="E281" i="1" s="1"/>
  <c r="D282" i="1" s="1"/>
  <c r="E282" i="1" s="1"/>
  <c r="F283" i="1" s="1"/>
  <c r="E31" i="1" s="1"/>
  <c r="D296" i="1"/>
  <c r="E296" i="1" s="1"/>
  <c r="D297" i="1" s="1"/>
  <c r="E297" i="1" s="1"/>
  <c r="C341" i="1"/>
  <c r="E341" i="1" s="1"/>
  <c r="C373" i="1"/>
  <c r="E373" i="1" s="1"/>
  <c r="C417" i="1"/>
  <c r="C418" i="1" s="1"/>
  <c r="D419" i="1" s="1"/>
  <c r="E419" i="1" s="1"/>
  <c r="D420" i="1" s="1"/>
  <c r="E420" i="1" s="1"/>
  <c r="F421" i="1" s="1"/>
  <c r="E45" i="1" s="1"/>
  <c r="C439" i="1"/>
  <c r="E439" i="1" s="1"/>
  <c r="C26" i="3"/>
  <c r="D80" i="1"/>
  <c r="E80" i="1" s="1"/>
  <c r="C121" i="1"/>
  <c r="E121" i="1" s="1"/>
  <c r="D184" i="1"/>
  <c r="E184" i="1" s="1"/>
  <c r="D185" i="1" s="1"/>
  <c r="E185" i="1" s="1"/>
  <c r="C261" i="1"/>
  <c r="E261" i="1" s="1"/>
  <c r="C379" i="1"/>
  <c r="E379" i="1" s="1"/>
  <c r="E298" i="1"/>
  <c r="F138" i="1" l="1"/>
  <c r="E19" i="1" s="1"/>
  <c r="F69" i="8"/>
  <c r="D301" i="1"/>
  <c r="E301" i="1" s="1"/>
  <c r="D302" i="1" s="1"/>
  <c r="E302" i="1" s="1"/>
  <c r="E303" i="1" s="1"/>
  <c r="D304" i="1" s="1"/>
  <c r="E304" i="1" s="1"/>
  <c r="F305" i="1" s="1"/>
  <c r="C316" i="1"/>
  <c r="F71" i="8"/>
  <c r="E463" i="1" s="1"/>
  <c r="E49" i="1"/>
  <c r="C204" i="1"/>
  <c r="C205" i="1" s="1"/>
  <c r="D206" i="1" s="1"/>
  <c r="E206" i="1" s="1"/>
  <c r="E248" i="1"/>
  <c r="F249" i="1" s="1"/>
  <c r="E27" i="1" s="1"/>
  <c r="D115" i="1"/>
  <c r="E115" i="1" s="1"/>
  <c r="D268" i="1"/>
  <c r="F124" i="1"/>
  <c r="E17" i="1" s="1"/>
  <c r="F441" i="1"/>
  <c r="F457" i="1" s="1"/>
  <c r="C199" i="1"/>
  <c r="C200" i="1" s="1"/>
  <c r="D201" i="1" s="1"/>
  <c r="E201" i="1" s="1"/>
  <c r="E337" i="1"/>
  <c r="F347" i="1" s="1"/>
  <c r="E36" i="1" s="1"/>
  <c r="F235" i="1"/>
  <c r="E25" i="1" s="1"/>
  <c r="C312" i="1"/>
  <c r="D313" i="1" s="1"/>
  <c r="E313" i="1" s="1"/>
  <c r="F269" i="1"/>
  <c r="E29" i="1" s="1"/>
  <c r="E191" i="1"/>
  <c r="D192" i="1" s="1"/>
  <c r="E192" i="1" s="1"/>
  <c r="F193" i="1" s="1"/>
  <c r="E22" i="1" s="1"/>
  <c r="D97" i="1"/>
  <c r="E170" i="1"/>
  <c r="F171" i="1" s="1"/>
  <c r="F173" i="1" s="1"/>
  <c r="D81" i="1"/>
  <c r="E81" i="1" s="1"/>
  <c r="E82" i="1" s="1"/>
  <c r="C32" i="2"/>
  <c r="C25" i="2"/>
  <c r="C34" i="2" s="1"/>
  <c r="C36" i="2" s="1"/>
  <c r="F381" i="1"/>
  <c r="C317" i="1" l="1"/>
  <c r="D318" i="1" s="1"/>
  <c r="E318" i="1" s="1"/>
  <c r="E319" i="1" s="1"/>
  <c r="D320" i="1" s="1"/>
  <c r="E320" i="1" s="1"/>
  <c r="F321" i="1" s="1"/>
  <c r="E464" i="1"/>
  <c r="F465" i="1"/>
  <c r="E50" i="1" s="1"/>
  <c r="F117" i="1"/>
  <c r="E16" i="1" s="1"/>
  <c r="E207" i="1"/>
  <c r="D208" i="1" s="1"/>
  <c r="E208" i="1" s="1"/>
  <c r="F209" i="1" s="1"/>
  <c r="E23" i="1" s="1"/>
  <c r="E21" i="1" s="1"/>
  <c r="E47" i="1"/>
  <c r="E43" i="1" s="1"/>
  <c r="F285" i="1"/>
  <c r="D83" i="1"/>
  <c r="C37" i="2"/>
  <c r="C106" i="1" s="1"/>
  <c r="E33" i="1"/>
  <c r="E28" i="1"/>
  <c r="E20" i="1"/>
  <c r="E40" i="1"/>
  <c r="F397" i="1"/>
  <c r="E34" i="1" l="1"/>
  <c r="E32" i="1" s="1"/>
  <c r="F363" i="1"/>
  <c r="F251" i="1"/>
  <c r="F287" i="1" s="1"/>
  <c r="E97" i="1"/>
  <c r="E98" i="1" s="1"/>
  <c r="D99" i="1" s="1"/>
  <c r="E99" i="1" s="1"/>
  <c r="F100" i="1" s="1"/>
  <c r="E14" i="1" s="1"/>
  <c r="C83" i="1"/>
  <c r="E83" i="1" s="1"/>
  <c r="E84" i="1" s="1"/>
  <c r="D85" i="1" s="1"/>
  <c r="E85" i="1" s="1"/>
  <c r="F86" i="1" s="1"/>
  <c r="E106" i="1"/>
  <c r="E107" i="1" s="1"/>
  <c r="D108" i="1" s="1"/>
  <c r="E108" i="1" s="1"/>
  <c r="F109" i="1" s="1"/>
  <c r="E15" i="1" s="1"/>
  <c r="E39" i="1"/>
  <c r="F399" i="1" l="1"/>
  <c r="F467" i="1" s="1"/>
  <c r="E54" i="1"/>
  <c r="F140" i="1"/>
  <c r="E13" i="1"/>
  <c r="F488" i="1" l="1"/>
  <c r="D493" i="1" l="1"/>
  <c r="E493" i="1" l="1"/>
  <c r="F494" i="1" s="1"/>
  <c r="F496" i="1" s="1"/>
  <c r="F499" i="1" s="1"/>
  <c r="F504" i="1" s="1"/>
  <c r="E12" i="1" l="1"/>
  <c r="E53" i="1" s="1"/>
  <c r="E55" i="1" s="1"/>
  <c r="F18" i="1" l="1"/>
  <c r="F43" i="1"/>
  <c r="F52" i="1"/>
  <c r="F21" i="1"/>
  <c r="F30" i="1"/>
  <c r="F32" i="1"/>
  <c r="F27" i="1"/>
  <c r="F39" i="1"/>
  <c r="F36" i="1"/>
  <c r="F50" i="1"/>
  <c r="F26" i="1"/>
  <c r="F31" i="1"/>
  <c r="F20" i="1"/>
  <c r="F49" i="1"/>
  <c r="F14" i="1"/>
  <c r="F37" i="1"/>
  <c r="F41" i="1"/>
  <c r="F15" i="1"/>
  <c r="F29" i="1"/>
  <c r="F24" i="1"/>
  <c r="F17" i="1"/>
  <c r="F35" i="1"/>
  <c r="F23" i="1"/>
  <c r="F28" i="1"/>
  <c r="F51" i="1"/>
  <c r="F19" i="1"/>
  <c r="F33" i="1"/>
  <c r="F40" i="1"/>
  <c r="F45" i="1"/>
  <c r="F54" i="1"/>
  <c r="F38" i="1"/>
  <c r="F47" i="1"/>
  <c r="F13" i="1"/>
  <c r="F42" i="1"/>
  <c r="F48" i="1"/>
  <c r="F34" i="1"/>
  <c r="F44" i="1"/>
  <c r="F16" i="1"/>
  <c r="F46" i="1"/>
  <c r="F25" i="1"/>
  <c r="F22" i="1"/>
  <c r="F12" i="1"/>
  <c r="F53" i="1"/>
  <c r="F5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Clauber Bridi</author>
  </authors>
  <commentList>
    <comment ref="A10" authorId="0" shapeId="0" xr:uid="{00000000-0006-0000-0000-000001000000}">
      <text>
        <r>
          <rPr>
            <sz val="10"/>
            <rFont val="Arial"/>
            <family val="2"/>
          </rPr>
          <t xml:space="preserve">Qualquer custo previsto no edital e não contemplado nesta planilha modelo deverá ser devidamente incluído
</t>
        </r>
      </text>
    </comment>
    <comment ref="B71" authorId="0" shapeId="0" xr:uid="{00000000-0006-0000-0000-000002000000}">
      <text>
        <r>
          <rPr>
            <sz val="10"/>
            <rFont val="Arial"/>
            <family val="2"/>
          </rPr>
          <t xml:space="preserve">Informar o fator de utilização das equipes de coleta. 
Por exemplo:
Equipes com utilização integral = 100%
Equipes com utilização parcial = n° horas trabalhadas por semana /44 horas
</t>
        </r>
      </text>
    </comment>
    <comment ref="D77" authorId="0" shapeId="0" xr:uid="{00000000-0006-0000-0000-000003000000}">
      <text>
        <r>
          <rPr>
            <sz val="9"/>
            <color rgb="FF000000"/>
            <rFont val="Tahoma"/>
            <family val="2"/>
            <charset val="1"/>
          </rPr>
          <t>Informar o Piso da categoria fixado na Convenção Coletiva</t>
        </r>
      </text>
    </comment>
    <comment ref="C78" authorId="0" shapeId="0" xr:uid="{00000000-0006-0000-0000-000004000000}">
      <text>
        <r>
          <rPr>
            <sz val="10"/>
            <rFont val="Arial"/>
            <family val="2"/>
          </rPr>
          <t xml:space="preserve">Informar o número de horas extras trabalhadas nos domingos e feriados em horário diurno
</t>
        </r>
      </text>
    </comment>
    <comment ref="A80" authorId="0" shapeId="0" xr:uid="{00000000-0006-0000-0000-000005000000}">
      <text>
        <r>
          <rPr>
            <sz val="10"/>
            <rFont val="Arial"/>
            <family val="2"/>
          </rPr>
          <t xml:space="preserve">Cálculo do descanso semanal remunerado incidente sobre as horas extras habitualmente prestadas. Considerada a média de 63 feriados + domingos e 302 dias trabalhados por ano
</t>
        </r>
      </text>
    </comment>
    <comment ref="C83" authorId="0" shapeId="0" xr:uid="{00000000-0006-0000-0000-000006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85" authorId="0" shapeId="0" xr:uid="{00000000-0006-0000-0000-000007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D90" authorId="0" shapeId="0" xr:uid="{00000000-0006-0000-0000-000008000000}">
      <text>
        <r>
          <rPr>
            <sz val="9"/>
            <color rgb="FF000000"/>
            <rFont val="Tahoma"/>
            <family val="2"/>
            <charset val="1"/>
          </rPr>
          <t>Informar o Piso da categoria fixado na Convenção Coletiva</t>
        </r>
      </text>
    </comment>
    <comment ref="D91" authorId="0" shapeId="0" xr:uid="{00000000-0006-0000-0000-000009000000}">
      <text>
        <r>
          <rPr>
            <sz val="9"/>
            <color rgb="FF000000"/>
            <rFont val="Tahoma"/>
            <family val="2"/>
            <charset val="1"/>
          </rPr>
          <t>Informar o valor do salário Mínimo Nacional</t>
        </r>
      </text>
    </comment>
    <comment ref="C92" authorId="0" shapeId="0" xr:uid="{00000000-0006-0000-0000-00000A000000}">
      <text>
        <r>
          <rPr>
            <sz val="9"/>
            <color rgb="FF000000"/>
            <rFont val="Tahoma"/>
            <family val="2"/>
            <charset val="1"/>
          </rPr>
          <t>Informar o número de horas extras trabalhadas em horário diurno nos domingos e feriados</t>
        </r>
      </text>
    </comment>
    <comment ref="A93" authorId="0" shapeId="0" xr:uid="{00000000-0006-0000-0000-00000B000000}">
      <text>
        <r>
          <rPr>
            <sz val="10"/>
            <rFont val="Arial"/>
            <family val="2"/>
          </rPr>
          <t xml:space="preserve">Cálculo do descanso semanal remunerado incidente sobre as horas extras habitualmente prestadas. Considerada a média de 63 feriados + domingos e 302 dias trabalhados por ano
</t>
        </r>
      </text>
    </comment>
    <comment ref="C94" authorId="0" shapeId="0" xr:uid="{00000000-0006-0000-0000-00000C000000}">
      <text>
        <r>
          <rPr>
            <sz val="9"/>
            <color rgb="FF000000"/>
            <rFont val="Tahoma"/>
            <family val="2"/>
            <charset val="1"/>
          </rPr>
          <t xml:space="preserve">Informar 1 se a base de cálculo for o Salário Mínimo Nacional; Informar 2 se a base de cálculo for o Piso da Categoria; 
</t>
        </r>
      </text>
    </comment>
    <comment ref="C95" authorId="0" shapeId="0" xr:uid="{00000000-0006-0000-0000-00000D000000}">
      <text>
        <r>
          <rPr>
            <sz val="9"/>
            <color rgb="FF000000"/>
            <rFont val="Tahoma"/>
            <family val="2"/>
            <charset val="1"/>
          </rPr>
          <t>Percentual estabelecido nas Normas de Segurança de Trabalho ou pelo laudo de responsável técnico devidamente habilitado</t>
        </r>
      </text>
    </comment>
    <comment ref="C97" authorId="0" shapeId="0" xr:uid="{00000000-0006-0000-0000-00000E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99" authorId="0" shapeId="0" xr:uid="{00000000-0006-0000-0000-00000F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C106" authorId="0" shapeId="0" xr:uid="{00000000-0006-0000-0000-000010000000}">
      <text>
        <r>
          <rPr>
            <sz val="9"/>
            <color rgb="FF000000"/>
            <rFont val="Tahoma"/>
            <family val="2"/>
            <charset val="1"/>
          </rPr>
          <t xml:space="preserve">Preencher a planilha Encargos Sociais e CAGED </t>
        </r>
      </text>
    </comment>
    <comment ref="C108" authorId="0" shapeId="0" xr:uid="{00000000-0006-0000-0000-000011000000}">
      <text>
        <r>
          <rPr>
            <sz val="9"/>
            <color rgb="FF000000"/>
            <rFont val="Tahoma"/>
            <family val="2"/>
            <charset val="1"/>
          </rPr>
          <t>Informar a quantidade de trabalhadores na função</t>
        </r>
      </text>
    </comment>
    <comment ref="D113" authorId="0" shapeId="0" xr:uid="{00000000-0006-0000-0000-000012000000}">
      <text>
        <r>
          <rPr>
            <sz val="9"/>
            <color rgb="FF000000"/>
            <rFont val="Tahoma"/>
            <family val="2"/>
            <charset val="1"/>
          </rPr>
          <t>Informar o valor unitário do VT no município</t>
        </r>
      </text>
    </comment>
    <comment ref="C114" authorId="0" shapeId="0" xr:uid="{00000000-0006-0000-0000-000013000000}">
      <text>
        <r>
          <rPr>
            <sz val="9"/>
            <color rgb="FF000000"/>
            <rFont val="Tahoma"/>
            <family val="2"/>
            <charset val="1"/>
          </rPr>
          <t>Informar o número médio de dias trabalhados por mês</t>
        </r>
      </text>
    </comment>
    <comment ref="D115" authorId="0" shapeId="0" xr:uid="{00000000-0006-0000-0000-000014000000}">
      <text>
        <r>
          <rPr>
            <sz val="9"/>
            <color rgb="FF000000"/>
            <rFont val="Tahoma"/>
            <family val="2"/>
            <charset val="1"/>
          </rPr>
          <t>Valor Unitário considerando o desconto legal de até 6% do salário</t>
        </r>
      </text>
    </comment>
    <comment ref="D121" authorId="0" shapeId="0" xr:uid="{00000000-0006-0000-0000-000015000000}">
      <text>
        <r>
          <rPr>
            <sz val="9"/>
            <color rgb="FF000000"/>
            <rFont val="Tahoma"/>
            <family val="2"/>
            <charset val="1"/>
          </rPr>
          <t>Informar o valor unitário diário do vale refeição, considerando o desconto aplicável ao funcionário, conforme Convenção Coletiva da categoria.</t>
        </r>
      </text>
    </comment>
    <comment ref="D123" authorId="0" shapeId="0" xr:uid="{00000000-0006-0000-0000-000016000000}">
      <text>
        <r>
          <rPr>
            <sz val="9"/>
            <color rgb="FF000000"/>
            <rFont val="Tahoma"/>
            <family val="2"/>
            <charset val="1"/>
          </rPr>
          <t>Informar o valor unitário diário do vale refeição, considerando o desconto aplicável ao funcionário, conforme Convenção Coletiva da categoria.</t>
        </r>
      </text>
    </comment>
    <comment ref="D128" authorId="0" shapeId="0" xr:uid="{45AFC4D5-717D-4322-9FA6-68E5BB25C183}">
      <text>
        <r>
          <rPr>
            <sz val="9"/>
            <color rgb="FF000000"/>
            <rFont val="Tahoma"/>
            <family val="2"/>
            <charset val="1"/>
          </rPr>
          <t>Informar o valor unitário diário do vale refeição, considerando o desconto aplicável ao funcionário, conforme Convenção Coletiva da categoria.</t>
        </r>
      </text>
    </comment>
    <comment ref="D129" authorId="0" shapeId="0" xr:uid="{8046DACE-B91E-47D4-8B16-7128018D3ACD}">
      <text>
        <r>
          <rPr>
            <sz val="9"/>
            <color rgb="FF000000"/>
            <rFont val="Tahoma"/>
            <family val="2"/>
            <charset val="1"/>
          </rPr>
          <t>Informar o valor unitário diário do vale refeição, considerando o desconto aplicável ao funcionário, conforme Convenção Coletiva da categoria.</t>
        </r>
      </text>
    </comment>
    <comment ref="D130" authorId="0" shapeId="0" xr:uid="{377E0EF1-DB11-4151-983E-BCD815979F1D}">
      <text>
        <r>
          <rPr>
            <sz val="9"/>
            <color rgb="FF000000"/>
            <rFont val="Tahoma"/>
            <family val="2"/>
            <charset val="1"/>
          </rPr>
          <t>Informar o valor unitário diário do vale refeição, considerando o desconto aplicável ao funcionário, conforme Convenção Coletiva da categoria.</t>
        </r>
      </text>
    </comment>
    <comment ref="D135" authorId="0" shapeId="0" xr:uid="{FF8CCFE1-74AD-4E15-9EE1-253658AED53B}">
      <text>
        <r>
          <rPr>
            <sz val="9"/>
            <color rgb="FF000000"/>
            <rFont val="Tahoma"/>
            <family val="2"/>
            <charset val="1"/>
          </rPr>
          <t xml:space="preserve">Informar o valor unitário mesal do Plano de Beneficio Social Familiar, conforme convenção. </t>
        </r>
      </text>
    </comment>
    <comment ref="D136" authorId="0" shapeId="0" xr:uid="{6DCB7A15-6698-4388-8A49-4B5BE9111417}">
      <text>
        <r>
          <rPr>
            <sz val="9"/>
            <color rgb="FF000000"/>
            <rFont val="Tahoma"/>
            <family val="2"/>
            <charset val="1"/>
          </rPr>
          <t xml:space="preserve">Informar o valor unitário mesal do Plano de Beneficio Social Familiar, conforme convenção. </t>
        </r>
      </text>
    </comment>
    <comment ref="D137" authorId="0" shapeId="0" xr:uid="{D209C051-F226-49AD-94D1-B5ED59482EF0}">
      <text>
        <r>
          <rPr>
            <sz val="9"/>
            <color rgb="FF000000"/>
            <rFont val="Tahoma"/>
            <family val="2"/>
            <charset val="1"/>
          </rPr>
          <t xml:space="preserve">Informar o valor unitário mesal do Plano de Beneficio Social Familiar, conforme convenção. </t>
        </r>
      </text>
    </comment>
    <comment ref="C147" authorId="0" shapeId="0" xr:uid="{00000000-0006-0000-0000-000017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47" authorId="0" shapeId="0" xr:uid="{00000000-0006-0000-0000-000018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48" authorId="0" shapeId="0" xr:uid="{00000000-0006-0000-0000-000019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48" authorId="0" shapeId="0" xr:uid="{00000000-0006-0000-0000-00001A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49" authorId="0" shapeId="0" xr:uid="{00000000-0006-0000-0000-00001B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49" authorId="0" shapeId="0" xr:uid="{00000000-0006-0000-0000-00001C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50" authorId="0" shapeId="0" xr:uid="{00000000-0006-0000-0000-00001D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50" authorId="0" shapeId="0" xr:uid="{00000000-0006-0000-0000-00001E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51" authorId="0" shapeId="0" xr:uid="{00000000-0006-0000-0000-00001F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51" authorId="0" shapeId="0" xr:uid="{00000000-0006-0000-0000-000020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52" authorId="0" shapeId="0" xr:uid="{00000000-0006-0000-0000-000021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52" authorId="0" shapeId="0" xr:uid="{00000000-0006-0000-0000-000022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53" authorId="0" shapeId="0" xr:uid="{00000000-0006-0000-0000-000023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53" authorId="0" shapeId="0" xr:uid="{00000000-0006-0000-0000-000024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54" authorId="0" shapeId="0" xr:uid="{00000000-0006-0000-0000-000025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54" authorId="0" shapeId="0" xr:uid="{00000000-0006-0000-0000-000026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55" authorId="0" shapeId="0" xr:uid="{B7F4088C-6936-4E5A-B3F5-1DE5D89C4F3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55" authorId="0" shapeId="0" xr:uid="{8C5EDD22-AA97-454F-89CB-ED159CFC60EC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56" authorId="0" shapeId="0" xr:uid="{00000000-0006-0000-0000-000027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56" authorId="0" shapeId="0" xr:uid="{00000000-0006-0000-0000-000028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EPI</t>
        </r>
      </text>
    </comment>
    <comment ref="C163" authorId="0" shapeId="0" xr:uid="{00000000-0006-0000-0000-000029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64" authorId="0" shapeId="0" xr:uid="{00000000-0006-0000-0000-00002A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65" authorId="0" shapeId="0" xr:uid="{00000000-0006-0000-0000-00002B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66" authorId="0" shapeId="0" xr:uid="{00000000-0006-0000-0000-00002C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67" authorId="0" shapeId="0" xr:uid="{00000000-0006-0000-0000-00002D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C168" authorId="0" shapeId="0" xr:uid="{3872CAF3-9A3C-4E2B-BF55-8497A1833399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68" authorId="1" shapeId="0" xr:uid="{F006E989-9A6D-4F28-994B-7B5311C35E09}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C169" authorId="0" shapeId="0" xr:uid="{00000000-0006-0000-0000-00002E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estimada em meses, para cada EPI
</t>
        </r>
      </text>
    </comment>
    <comment ref="D181" authorId="0" shapeId="0" xr:uid="{00000000-0006-0000-0000-00002F000000}">
      <text>
        <r>
          <rPr>
            <sz val="9"/>
            <color rgb="FF000000"/>
            <rFont val="Tahoma"/>
            <family val="2"/>
            <charset val="1"/>
          </rPr>
          <t>Informar o preço unitário do chassis do caminhão de coleta</t>
        </r>
      </text>
    </comment>
    <comment ref="C182" authorId="0" shapeId="0" xr:uid="{00000000-0006-0000-0000-000030000000}">
      <text>
        <r>
          <rPr>
            <sz val="9"/>
            <color rgb="FF000000"/>
            <rFont val="Tahoma"/>
            <family val="2"/>
            <charset val="1"/>
          </rPr>
          <t>Informar a vida útil estimada para o caminhão, em anos</t>
        </r>
      </text>
    </comment>
    <comment ref="C183" authorId="0" shapeId="0" xr:uid="{00000000-0006-0000-0000-000031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veículo proposto.</t>
        </r>
      </text>
    </comment>
    <comment ref="C184" authorId="0" shapeId="0" xr:uid="{00000000-0006-0000-0000-000032000000}">
      <text>
        <r>
          <rPr>
            <sz val="10"/>
            <rFont val="Arial"/>
            <family val="2"/>
          </rPr>
          <t xml:space="preserve">Informar o valor da depreciação do caminhão, adotando o valor sugerido pelo TCE ou outro valor estimado 
</t>
        </r>
      </text>
    </comment>
    <comment ref="D186" authorId="0" shapeId="0" xr:uid="{00000000-0006-0000-0000-000033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equipamento compactador
</t>
        </r>
      </text>
    </comment>
    <comment ref="C187" authorId="0" shapeId="0" xr:uid="{00000000-0006-0000-0000-000034000000}">
      <text>
        <r>
          <rPr>
            <sz val="9"/>
            <color rgb="FF000000"/>
            <rFont val="Tahoma"/>
            <family val="2"/>
            <charset val="1"/>
          </rPr>
          <t>Informar a vida útil estimada para o compactador, em anos</t>
        </r>
      </text>
    </comment>
    <comment ref="C188" authorId="0" shapeId="0" xr:uid="{00000000-0006-0000-0000-000035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compactador proposto.</t>
        </r>
      </text>
    </comment>
    <comment ref="C189" authorId="0" shapeId="0" xr:uid="{00000000-0006-0000-0000-000036000000}">
      <text>
        <r>
          <rPr>
            <sz val="10"/>
            <rFont val="Arial"/>
            <family val="2"/>
          </rPr>
          <t xml:space="preserve">Informar o valor da depreciação do compactador, adotando o valor sugerido pelo TCE ou outro valor estimado 
</t>
        </r>
      </text>
    </comment>
    <comment ref="C192" authorId="0" shapeId="0" xr:uid="{00000000-0006-0000-0000-000037000000}">
      <text>
        <r>
          <rPr>
            <sz val="9"/>
            <color rgb="FF000000"/>
            <rFont val="Tahoma"/>
            <family val="2"/>
            <charset val="1"/>
          </rPr>
          <t>Informar a quantidade de caminhões compactadores do respectivo modelo</t>
        </r>
      </text>
    </comment>
    <comment ref="C198" authorId="0" shapeId="0" xr:uid="{00000000-0006-0000-0000-000038000000}">
      <text>
        <r>
          <rPr>
            <sz val="10"/>
            <rFont val="Arial"/>
            <family val="2"/>
          </rPr>
          <t xml:space="preserve">Informar a taxa de juros anual para remuneração do capital. Recomenda-se o uso da Taxa SELIC
</t>
        </r>
      </text>
    </comment>
    <comment ref="D214" authorId="0" shapeId="0" xr:uid="{00000000-0006-0000-0000-000039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obrigatório e licenciamento anual de um caminhão
</t>
        </r>
      </text>
    </comment>
    <comment ref="D215" authorId="0" shapeId="0" xr:uid="{00000000-0006-0000-0000-00003A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contra terceiros de um caminhão, se houver previsão no Projeto Básico
</t>
        </r>
      </text>
    </comment>
    <comment ref="B221" authorId="0" shapeId="0" xr:uid="{00000000-0006-0000-0000-00003B000000}">
      <text>
        <r>
          <rPr>
            <sz val="9"/>
            <color rgb="FF000000"/>
            <rFont val="Tahoma"/>
            <family val="2"/>
            <charset val="1"/>
          </rPr>
          <t xml:space="preserve">Informar a quilometragem mensal percorrida, de acordo com o projeto básico
</t>
        </r>
      </text>
    </comment>
    <comment ref="C224" authorId="0" shapeId="0" xr:uid="{00000000-0006-0000-0000-00003C000000}">
      <text>
        <r>
          <rPr>
            <sz val="9"/>
            <color rgb="FF000000"/>
            <rFont val="Tahoma"/>
            <family val="2"/>
            <charset val="1"/>
          </rPr>
          <t>Informar o consumo estimado do veículo em km/l</t>
        </r>
      </text>
    </comment>
    <comment ref="D224" authorId="0" shapeId="0" xr:uid="{00000000-0006-0000-0000-00003D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combustivel
</t>
        </r>
      </text>
    </comment>
    <comment ref="C226" authorId="0" shapeId="0" xr:uid="{00000000-0006-0000-0000-00003E000000}">
      <text>
        <r>
          <rPr>
            <sz val="9"/>
            <color rgb="FF000000"/>
            <rFont val="Tahoma"/>
            <family val="2"/>
            <charset val="1"/>
          </rPr>
          <t>Informar o consumo de óleo do motor a cada 1000km</t>
        </r>
      </text>
    </comment>
    <comment ref="D226" authorId="0" shapeId="0" xr:uid="{00000000-0006-0000-0000-00003F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do motor
</t>
        </r>
      </text>
    </comment>
    <comment ref="C228" authorId="0" shapeId="0" xr:uid="{00000000-0006-0000-0000-000040000000}">
      <text>
        <r>
          <rPr>
            <sz val="9"/>
            <color rgb="FF000000"/>
            <rFont val="Tahoma"/>
            <family val="2"/>
            <charset val="1"/>
          </rPr>
          <t>Informar o consumo de óleo da transmissão a cada 1000km</t>
        </r>
      </text>
    </comment>
    <comment ref="D228" authorId="0" shapeId="0" xr:uid="{00000000-0006-0000-0000-000041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da transmissão
</t>
        </r>
      </text>
    </comment>
    <comment ref="C230" authorId="0" shapeId="0" xr:uid="{00000000-0006-0000-0000-000042000000}">
      <text>
        <r>
          <rPr>
            <sz val="9"/>
            <color rgb="FF000000"/>
            <rFont val="Tahoma"/>
            <family val="2"/>
            <charset val="1"/>
          </rPr>
          <t>Informar o consumo de óleo hidráulico a cada 1000km</t>
        </r>
      </text>
    </comment>
    <comment ref="D230" authorId="0" shapeId="0" xr:uid="{00000000-0006-0000-0000-000043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hidráulico
</t>
        </r>
      </text>
    </comment>
    <comment ref="C232" authorId="0" shapeId="0" xr:uid="{00000000-0006-0000-0000-000044000000}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232" authorId="0" shapeId="0" xr:uid="{00000000-0006-0000-0000-000045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D239" authorId="0" shapeId="0" xr:uid="{00000000-0006-0000-0000-000046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C244" authorId="0" shapeId="0" xr:uid="{00000000-0006-0000-0000-000047000000}">
      <text>
        <r>
          <rPr>
            <sz val="9"/>
            <color rgb="FF000000"/>
            <rFont val="Tahoma"/>
            <family val="2"/>
            <charset val="1"/>
          </rPr>
          <t>Informar a quantidade de pneus novos de 1 caminhão</t>
        </r>
      </text>
    </comment>
    <comment ref="D244" authorId="0" shapeId="0" xr:uid="{00000000-0006-0000-0000-000048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pneu
</t>
        </r>
      </text>
    </comment>
    <comment ref="C245" authorId="0" shapeId="0" xr:uid="{00000000-0006-0000-0000-000049000000}">
      <text>
        <r>
          <rPr>
            <sz val="9"/>
            <color rgb="FF000000"/>
            <rFont val="Tahoma"/>
            <family val="2"/>
            <charset val="1"/>
          </rPr>
          <t>Informar o número de recapagens por pneu</t>
        </r>
      </text>
    </comment>
    <comment ref="D246" authorId="0" shapeId="0" xr:uid="{00000000-0006-0000-0000-00004A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recapagem
</t>
        </r>
      </text>
    </comment>
    <comment ref="C247" authorId="0" shapeId="0" xr:uid="{00000000-0006-0000-0000-00004B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média dos pneus considerando todas as recapagens, em km
</t>
        </r>
      </text>
    </comment>
    <comment ref="B255" authorId="0" shapeId="0" xr:uid="{00000000-0006-0000-0000-00004C000000}">
      <text>
        <r>
          <rPr>
            <sz val="9"/>
            <color rgb="FF000000"/>
            <rFont val="Tahoma"/>
            <family val="2"/>
            <charset val="1"/>
          </rPr>
          <t xml:space="preserve">Informar a quilometragem mensal percorrida, de acordo com o projeto básico
</t>
        </r>
      </text>
    </comment>
    <comment ref="C258" authorId="0" shapeId="0" xr:uid="{00000000-0006-0000-0000-00004D000000}">
      <text>
        <r>
          <rPr>
            <sz val="9"/>
            <color rgb="FF000000"/>
            <rFont val="Tahoma"/>
            <family val="2"/>
            <charset val="1"/>
          </rPr>
          <t>Informar o consumo estimado do veículo em km/l</t>
        </r>
      </text>
    </comment>
    <comment ref="D258" authorId="0" shapeId="0" xr:uid="{00000000-0006-0000-0000-00004E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combustivel
</t>
        </r>
      </text>
    </comment>
    <comment ref="C260" authorId="0" shapeId="0" xr:uid="{00000000-0006-0000-0000-00004F000000}">
      <text>
        <r>
          <rPr>
            <sz val="9"/>
            <color rgb="FF000000"/>
            <rFont val="Tahoma"/>
            <family val="2"/>
            <charset val="1"/>
          </rPr>
          <t>Informar o consumo de óleo do motor a cada 1000km</t>
        </r>
      </text>
    </comment>
    <comment ref="D260" authorId="0" shapeId="0" xr:uid="{00000000-0006-0000-0000-000050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do motor
</t>
        </r>
      </text>
    </comment>
    <comment ref="C262" authorId="0" shapeId="0" xr:uid="{00000000-0006-0000-0000-000051000000}">
      <text>
        <r>
          <rPr>
            <sz val="9"/>
            <color rgb="FF000000"/>
            <rFont val="Tahoma"/>
            <family val="2"/>
            <charset val="1"/>
          </rPr>
          <t>Informar o consumo de óleo da transmissão a cada 1000km</t>
        </r>
      </text>
    </comment>
    <comment ref="D262" authorId="0" shapeId="0" xr:uid="{00000000-0006-0000-0000-000052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da transmissão
</t>
        </r>
      </text>
    </comment>
    <comment ref="C264" authorId="0" shapeId="0" xr:uid="{00000000-0006-0000-0000-000053000000}">
      <text>
        <r>
          <rPr>
            <sz val="9"/>
            <color rgb="FF000000"/>
            <rFont val="Tahoma"/>
            <family val="2"/>
            <charset val="1"/>
          </rPr>
          <t>Informar o consumo de óleo hidráulico a cada 1000km</t>
        </r>
      </text>
    </comment>
    <comment ref="D264" authorId="0" shapeId="0" xr:uid="{00000000-0006-0000-0000-000054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hidráulico
</t>
        </r>
      </text>
    </comment>
    <comment ref="C266" authorId="0" shapeId="0" xr:uid="{00000000-0006-0000-0000-000055000000}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266" authorId="0" shapeId="0" xr:uid="{00000000-0006-0000-0000-000056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D273" authorId="0" shapeId="0" xr:uid="{00000000-0006-0000-0000-000057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C278" authorId="0" shapeId="0" xr:uid="{00000000-0006-0000-0000-000058000000}">
      <text>
        <r>
          <rPr>
            <sz val="9"/>
            <color rgb="FF000000"/>
            <rFont val="Tahoma"/>
            <family val="2"/>
            <charset val="1"/>
          </rPr>
          <t>Informar a quantidade de pneus novos de 1 caminhão</t>
        </r>
      </text>
    </comment>
    <comment ref="D278" authorId="0" shapeId="0" xr:uid="{00000000-0006-0000-0000-000059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pneu
</t>
        </r>
      </text>
    </comment>
    <comment ref="C279" authorId="0" shapeId="0" xr:uid="{00000000-0006-0000-0000-00005A000000}">
      <text>
        <r>
          <rPr>
            <sz val="9"/>
            <color rgb="FF000000"/>
            <rFont val="Tahoma"/>
            <family val="2"/>
            <charset val="1"/>
          </rPr>
          <t>Informar o número de recapagens por pneu</t>
        </r>
      </text>
    </comment>
    <comment ref="D280" authorId="0" shapeId="0" xr:uid="{00000000-0006-0000-0000-00005B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recapagem
</t>
        </r>
      </text>
    </comment>
    <comment ref="C281" authorId="0" shapeId="0" xr:uid="{00000000-0006-0000-0000-00005C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média dos pneus considerando todas as recapagens, em km
</t>
        </r>
      </text>
    </comment>
    <comment ref="D293" authorId="0" shapeId="0" xr:uid="{00000000-0006-0000-0000-00005D000000}">
      <text>
        <r>
          <rPr>
            <sz val="9"/>
            <color rgb="FF000000"/>
            <rFont val="Tahoma"/>
            <family val="2"/>
            <charset val="1"/>
          </rPr>
          <t>Informar o preço unitário do chassis do caminhão de coleta</t>
        </r>
      </text>
    </comment>
    <comment ref="C294" authorId="0" shapeId="0" xr:uid="{00000000-0006-0000-0000-00005E000000}">
      <text>
        <r>
          <rPr>
            <sz val="9"/>
            <color rgb="FF000000"/>
            <rFont val="Tahoma"/>
            <family val="2"/>
            <charset val="1"/>
          </rPr>
          <t>Informar a vida útil estimada para o caminhão, em anos</t>
        </r>
      </text>
    </comment>
    <comment ref="C295" authorId="0" shapeId="0" xr:uid="{00000000-0006-0000-0000-00005F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veículo proposto.</t>
        </r>
      </text>
    </comment>
    <comment ref="C296" authorId="0" shapeId="0" xr:uid="{00000000-0006-0000-0000-000060000000}">
      <text>
        <r>
          <rPr>
            <sz val="10"/>
            <rFont val="Arial"/>
            <family val="2"/>
          </rPr>
          <t xml:space="preserve">Informar o valor da depreciação do caminhão, adotando o valor sugerido pelo TCE ou outro valor estimado 
</t>
        </r>
      </text>
    </comment>
    <comment ref="D298" authorId="0" shapeId="0" xr:uid="{00000000-0006-0000-0000-000061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equipamento compactador
</t>
        </r>
      </text>
    </comment>
    <comment ref="C299" authorId="0" shapeId="0" xr:uid="{00000000-0006-0000-0000-000062000000}">
      <text>
        <r>
          <rPr>
            <sz val="9"/>
            <color rgb="FF000000"/>
            <rFont val="Tahoma"/>
            <family val="2"/>
            <charset val="1"/>
          </rPr>
          <t>Informar a vida útil estimada para o compactador, em anos</t>
        </r>
      </text>
    </comment>
    <comment ref="C300" authorId="0" shapeId="0" xr:uid="{00000000-0006-0000-0000-000063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compactador proposto.</t>
        </r>
      </text>
    </comment>
    <comment ref="C301" authorId="0" shapeId="0" xr:uid="{00000000-0006-0000-0000-000064000000}">
      <text>
        <r>
          <rPr>
            <sz val="10"/>
            <rFont val="Arial"/>
            <family val="2"/>
          </rPr>
          <t xml:space="preserve">Informar o valor da depreciação do compactador, adotando o valor sugerido pelo TCE ou outro valor estimado 
</t>
        </r>
      </text>
    </comment>
    <comment ref="C304" authorId="0" shapeId="0" xr:uid="{00000000-0006-0000-0000-000065000000}">
      <text>
        <r>
          <rPr>
            <sz val="9"/>
            <color rgb="FF000000"/>
            <rFont val="Tahoma"/>
            <family val="2"/>
            <charset val="1"/>
          </rPr>
          <t>Informar a quantidade de caminhões compactadores do respectivo modelo</t>
        </r>
      </text>
    </comment>
    <comment ref="C310" authorId="0" shapeId="0" xr:uid="{00000000-0006-0000-0000-000066000000}">
      <text>
        <r>
          <rPr>
            <sz val="10"/>
            <rFont val="Arial"/>
            <family val="2"/>
          </rPr>
          <t xml:space="preserve">Informar a taxa de juros anual para remuneração do capital. Recomenda-se o uso da Taxa SELIC
</t>
        </r>
      </text>
    </comment>
    <comment ref="D326" authorId="0" shapeId="0" xr:uid="{00000000-0006-0000-0000-000067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obrigatório e licenciamento anual de um caminhão
</t>
        </r>
      </text>
    </comment>
    <comment ref="D327" authorId="0" shapeId="0" xr:uid="{00000000-0006-0000-0000-000068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contra terceiros de um caminhão, se houver previsão no Projeto Básico
</t>
        </r>
      </text>
    </comment>
    <comment ref="B333" authorId="0" shapeId="0" xr:uid="{00000000-0006-0000-0000-000069000000}">
      <text>
        <r>
          <rPr>
            <sz val="9"/>
            <color rgb="FF000000"/>
            <rFont val="Tahoma"/>
            <family val="2"/>
            <charset val="1"/>
          </rPr>
          <t xml:space="preserve">Informar a quilometragem mensal percorrida, de acordo com o projeto básico
</t>
        </r>
      </text>
    </comment>
    <comment ref="C336" authorId="0" shapeId="0" xr:uid="{00000000-0006-0000-0000-00006A000000}">
      <text>
        <r>
          <rPr>
            <sz val="9"/>
            <color rgb="FF000000"/>
            <rFont val="Tahoma"/>
            <family val="2"/>
            <charset val="1"/>
          </rPr>
          <t>Informar o consumo estimado do veículo em km/l</t>
        </r>
      </text>
    </comment>
    <comment ref="D336" authorId="0" shapeId="0" xr:uid="{00000000-0006-0000-0000-00006B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combustivel
</t>
        </r>
      </text>
    </comment>
    <comment ref="C338" authorId="0" shapeId="0" xr:uid="{00000000-0006-0000-0000-00006C000000}">
      <text>
        <r>
          <rPr>
            <sz val="9"/>
            <color rgb="FF000000"/>
            <rFont val="Tahoma"/>
            <family val="2"/>
            <charset val="1"/>
          </rPr>
          <t>Informar o consumo de óleo do motor a cada 1000km</t>
        </r>
      </text>
    </comment>
    <comment ref="D338" authorId="0" shapeId="0" xr:uid="{00000000-0006-0000-0000-00006D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do motor
</t>
        </r>
      </text>
    </comment>
    <comment ref="C340" authorId="0" shapeId="0" xr:uid="{00000000-0006-0000-0000-00006E000000}">
      <text>
        <r>
          <rPr>
            <sz val="9"/>
            <color rgb="FF000000"/>
            <rFont val="Tahoma"/>
            <family val="2"/>
            <charset val="1"/>
          </rPr>
          <t>Informar o consumo de óleo da transmissão a cada 1000km</t>
        </r>
      </text>
    </comment>
    <comment ref="D340" authorId="0" shapeId="0" xr:uid="{00000000-0006-0000-0000-00006F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da transmissão
</t>
        </r>
      </text>
    </comment>
    <comment ref="C342" authorId="0" shapeId="0" xr:uid="{00000000-0006-0000-0000-000070000000}">
      <text>
        <r>
          <rPr>
            <sz val="9"/>
            <color rgb="FF000000"/>
            <rFont val="Tahoma"/>
            <family val="2"/>
            <charset val="1"/>
          </rPr>
          <t>Informar o consumo de óleo hidráulico a cada 1000km</t>
        </r>
      </text>
    </comment>
    <comment ref="D342" authorId="0" shapeId="0" xr:uid="{00000000-0006-0000-0000-000071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hidráulico
</t>
        </r>
      </text>
    </comment>
    <comment ref="C344" authorId="0" shapeId="0" xr:uid="{00000000-0006-0000-0000-000072000000}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344" authorId="0" shapeId="0" xr:uid="{00000000-0006-0000-0000-000073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D351" authorId="0" shapeId="0" xr:uid="{00000000-0006-0000-0000-000074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C356" authorId="0" shapeId="0" xr:uid="{00000000-0006-0000-0000-000075000000}">
      <text>
        <r>
          <rPr>
            <sz val="9"/>
            <color rgb="FF000000"/>
            <rFont val="Tahoma"/>
            <family val="2"/>
            <charset val="1"/>
          </rPr>
          <t>Informar a quantidade de pneus novos de 1 caminhão</t>
        </r>
      </text>
    </comment>
    <comment ref="D356" authorId="0" shapeId="0" xr:uid="{00000000-0006-0000-0000-000076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pneu
</t>
        </r>
      </text>
    </comment>
    <comment ref="C357" authorId="0" shapeId="0" xr:uid="{00000000-0006-0000-0000-000077000000}">
      <text>
        <r>
          <rPr>
            <sz val="9"/>
            <color rgb="FF000000"/>
            <rFont val="Tahoma"/>
            <family val="2"/>
            <charset val="1"/>
          </rPr>
          <t>Informar o número de recapagens por pneu</t>
        </r>
      </text>
    </comment>
    <comment ref="D358" authorId="0" shapeId="0" xr:uid="{00000000-0006-0000-0000-000078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recapagem
</t>
        </r>
      </text>
    </comment>
    <comment ref="C359" authorId="0" shapeId="0" xr:uid="{00000000-0006-0000-0000-000079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média dos pneus considerando todas as recapagens, em km
</t>
        </r>
      </text>
    </comment>
    <comment ref="B367" authorId="0" shapeId="0" xr:uid="{00000000-0006-0000-0000-00007A000000}">
      <text>
        <r>
          <rPr>
            <sz val="9"/>
            <color rgb="FF000000"/>
            <rFont val="Tahoma"/>
            <family val="2"/>
            <charset val="1"/>
          </rPr>
          <t xml:space="preserve">Informar a quilometragem mensal percorrida, de acordo com o projeto básico
</t>
        </r>
      </text>
    </comment>
    <comment ref="C370" authorId="0" shapeId="0" xr:uid="{00000000-0006-0000-0000-00007B000000}">
      <text>
        <r>
          <rPr>
            <sz val="9"/>
            <color rgb="FF000000"/>
            <rFont val="Tahoma"/>
            <family val="2"/>
            <charset val="1"/>
          </rPr>
          <t>Informar o consumo estimado do veículo em km/l</t>
        </r>
      </text>
    </comment>
    <comment ref="D370" authorId="0" shapeId="0" xr:uid="{00000000-0006-0000-0000-00007C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combustivel
</t>
        </r>
      </text>
    </comment>
    <comment ref="C372" authorId="0" shapeId="0" xr:uid="{00000000-0006-0000-0000-00007D000000}">
      <text>
        <r>
          <rPr>
            <sz val="9"/>
            <color rgb="FF000000"/>
            <rFont val="Tahoma"/>
            <family val="2"/>
            <charset val="1"/>
          </rPr>
          <t>Informar o consumo de óleo do motor a cada 1000km</t>
        </r>
      </text>
    </comment>
    <comment ref="D372" authorId="0" shapeId="0" xr:uid="{00000000-0006-0000-0000-00007E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do motor
</t>
        </r>
      </text>
    </comment>
    <comment ref="C374" authorId="0" shapeId="0" xr:uid="{00000000-0006-0000-0000-00007F000000}">
      <text>
        <r>
          <rPr>
            <sz val="9"/>
            <color rgb="FF000000"/>
            <rFont val="Tahoma"/>
            <family val="2"/>
            <charset val="1"/>
          </rPr>
          <t>Informar o consumo de óleo da transmissão a cada 1000km</t>
        </r>
      </text>
    </comment>
    <comment ref="D374" authorId="0" shapeId="0" xr:uid="{00000000-0006-0000-0000-000080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da transmissão
</t>
        </r>
      </text>
    </comment>
    <comment ref="C376" authorId="0" shapeId="0" xr:uid="{00000000-0006-0000-0000-000081000000}">
      <text>
        <r>
          <rPr>
            <sz val="9"/>
            <color rgb="FF000000"/>
            <rFont val="Tahoma"/>
            <family val="2"/>
            <charset val="1"/>
          </rPr>
          <t>Informar o consumo de óleo hidráulico a cada 1000km</t>
        </r>
      </text>
    </comment>
    <comment ref="D376" authorId="0" shapeId="0" xr:uid="{00000000-0006-0000-0000-000082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hidráulico
</t>
        </r>
      </text>
    </comment>
    <comment ref="C378" authorId="0" shapeId="0" xr:uid="{00000000-0006-0000-0000-000083000000}">
      <text>
        <r>
          <rPr>
            <sz val="9"/>
            <color rgb="FF000000"/>
            <rFont val="Tahoma"/>
            <family val="2"/>
            <charset val="1"/>
          </rPr>
          <t>Informar o consumo de graxa a cada 1000km</t>
        </r>
      </text>
    </comment>
    <comment ref="D378" authorId="0" shapeId="0" xr:uid="{00000000-0006-0000-0000-000084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da graxa
</t>
        </r>
      </text>
    </comment>
    <comment ref="D385" authorId="0" shapeId="0" xr:uid="{00000000-0006-0000-0000-000085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C390" authorId="0" shapeId="0" xr:uid="{00000000-0006-0000-0000-000086000000}">
      <text>
        <r>
          <rPr>
            <sz val="9"/>
            <color rgb="FF000000"/>
            <rFont val="Tahoma"/>
            <family val="2"/>
            <charset val="1"/>
          </rPr>
          <t>Informar a quantidade de pneus novos de 1 caminhão</t>
        </r>
      </text>
    </comment>
    <comment ref="D390" authorId="0" shapeId="0" xr:uid="{00000000-0006-0000-0000-000087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pneu
</t>
        </r>
      </text>
    </comment>
    <comment ref="C391" authorId="0" shapeId="0" xr:uid="{00000000-0006-0000-0000-000088000000}">
      <text>
        <r>
          <rPr>
            <sz val="9"/>
            <color rgb="FF000000"/>
            <rFont val="Tahoma"/>
            <family val="2"/>
            <charset val="1"/>
          </rPr>
          <t>Informar o número de recapagens por pneu</t>
        </r>
      </text>
    </comment>
    <comment ref="D392" authorId="0" shapeId="0" xr:uid="{00000000-0006-0000-0000-000089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recapagem
</t>
        </r>
      </text>
    </comment>
    <comment ref="C393" authorId="0" shapeId="0" xr:uid="{00000000-0006-0000-0000-00008A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média dos pneus considerando todas as recapagens, em km
</t>
        </r>
      </text>
    </comment>
    <comment ref="D405" authorId="0" shapeId="0" xr:uid="{00000000-0006-0000-0000-00008B000000}">
      <text>
        <r>
          <rPr>
            <sz val="9"/>
            <color rgb="FF000000"/>
            <rFont val="Tahoma"/>
            <family val="2"/>
            <charset val="1"/>
          </rPr>
          <t>Informar o preço unitário do chassis do caminhão de coleta</t>
        </r>
      </text>
    </comment>
    <comment ref="C406" authorId="0" shapeId="0" xr:uid="{00000000-0006-0000-0000-00008C000000}">
      <text>
        <r>
          <rPr>
            <sz val="9"/>
            <color rgb="FF000000"/>
            <rFont val="Tahoma"/>
            <family val="2"/>
            <charset val="1"/>
          </rPr>
          <t>Informar a vida útil estimada para o caminhão, em anos</t>
        </r>
      </text>
    </comment>
    <comment ref="C407" authorId="0" shapeId="0" xr:uid="{00000000-0006-0000-0000-00008D000000}">
      <text>
        <r>
          <rPr>
            <sz val="9"/>
            <color rgb="FF000000"/>
            <rFont val="Tahoma"/>
            <family val="2"/>
            <charset val="1"/>
          </rPr>
          <t>Na elaboração do orçamento-base da licitação, informar 0 (zero). Na proposta da licitante, informar a idade do veículo proposto.</t>
        </r>
      </text>
    </comment>
    <comment ref="C408" authorId="0" shapeId="0" xr:uid="{00000000-0006-0000-0000-00008E000000}">
      <text>
        <r>
          <rPr>
            <sz val="10"/>
            <rFont val="Arial"/>
            <family val="2"/>
          </rPr>
          <t xml:space="preserve">Informar o valor da depreciação do caminhão, adotando o valor sugerido pelo TCE ou outro valor estimado 
</t>
        </r>
      </text>
    </comment>
    <comment ref="C410" authorId="0" shapeId="0" xr:uid="{00000000-0006-0000-0000-00008F000000}">
      <text>
        <r>
          <rPr>
            <sz val="9"/>
            <color rgb="FF000000"/>
            <rFont val="Tahoma"/>
            <family val="2"/>
            <charset val="1"/>
          </rPr>
          <t>Informar a quantidade de caminhões compactadores do respectivo modelo</t>
        </r>
      </text>
    </comment>
    <comment ref="C416" authorId="0" shapeId="0" xr:uid="{00000000-0006-0000-0000-000090000000}">
      <text>
        <r>
          <rPr>
            <sz val="10"/>
            <rFont val="Arial"/>
            <family val="2"/>
          </rPr>
          <t xml:space="preserve">Informar a taxa de juros anual para remuneração do capital. Recomenda-se o uso da Taxa SELIC
</t>
        </r>
      </text>
    </comment>
    <comment ref="D426" authorId="0" shapeId="0" xr:uid="{00000000-0006-0000-0000-000091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obrigatório e licenciamento anual de um caminhão
</t>
        </r>
      </text>
    </comment>
    <comment ref="D427" authorId="0" shapeId="0" xr:uid="{00000000-0006-0000-0000-000092000000}">
      <text>
        <r>
          <rPr>
            <sz val="9"/>
            <color rgb="FF000000"/>
            <rFont val="Tahoma"/>
            <family val="2"/>
            <charset val="1"/>
          </rPr>
          <t xml:space="preserve">Informar o valor do seguro contra terceiros de um caminhão, se houver previsão no Projeto Básico
</t>
        </r>
      </text>
    </comment>
    <comment ref="B433" authorId="0" shapeId="0" xr:uid="{00000000-0006-0000-0000-000093000000}">
      <text>
        <r>
          <rPr>
            <sz val="9"/>
            <color rgb="FF000000"/>
            <rFont val="Tahoma"/>
            <family val="2"/>
            <charset val="1"/>
          </rPr>
          <t xml:space="preserve">Informar a quilometragem mensal percorrida, de acordo com o projeto básico
</t>
        </r>
      </text>
    </comment>
    <comment ref="C436" authorId="0" shapeId="0" xr:uid="{00000000-0006-0000-0000-000094000000}">
      <text>
        <r>
          <rPr>
            <sz val="9"/>
            <color rgb="FF000000"/>
            <rFont val="Tahoma"/>
            <family val="2"/>
            <charset val="1"/>
          </rPr>
          <t>Informar o consumo estimado do veículo em km/l</t>
        </r>
      </text>
    </comment>
    <comment ref="D436" authorId="0" shapeId="0" xr:uid="{00000000-0006-0000-0000-000095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combustivel
</t>
        </r>
      </text>
    </comment>
    <comment ref="C438" authorId="0" shapeId="0" xr:uid="{00000000-0006-0000-0000-000096000000}">
      <text>
        <r>
          <rPr>
            <sz val="9"/>
            <color rgb="FF000000"/>
            <rFont val="Tahoma"/>
            <family val="2"/>
            <charset val="1"/>
          </rPr>
          <t>Informar o consumo de óleo do motor a cada 1000km</t>
        </r>
      </text>
    </comment>
    <comment ref="D438" authorId="0" shapeId="0" xr:uid="{00000000-0006-0000-0000-000097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do litro do óleo do motor
</t>
        </r>
      </text>
    </comment>
    <comment ref="D445" authorId="0" shapeId="0" xr:uid="{00000000-0006-0000-0000-000098000000}">
      <text>
        <r>
          <rPr>
            <sz val="9"/>
            <color rgb="FF000000"/>
            <rFont val="Tahoma"/>
            <family val="2"/>
            <charset val="1"/>
          </rPr>
          <t xml:space="preserve">Informar o custo de manutenção em R$/km rodado
</t>
        </r>
      </text>
    </comment>
    <comment ref="C450" authorId="0" shapeId="0" xr:uid="{00000000-0006-0000-0000-000099000000}">
      <text>
        <r>
          <rPr>
            <sz val="9"/>
            <color rgb="FF000000"/>
            <rFont val="Tahoma"/>
            <family val="2"/>
            <charset val="1"/>
          </rPr>
          <t>Informar a quantidade de pneus novos de 1 caminhão</t>
        </r>
      </text>
    </comment>
    <comment ref="D450" authorId="0" shapeId="0" xr:uid="{00000000-0006-0000-0000-00009A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pneu
</t>
        </r>
      </text>
    </comment>
    <comment ref="C451" authorId="0" shapeId="0" xr:uid="{00000000-0006-0000-0000-00009B000000}">
      <text>
        <r>
          <rPr>
            <sz val="9"/>
            <color rgb="FF000000"/>
            <rFont val="Tahoma"/>
            <family val="2"/>
            <charset val="1"/>
          </rPr>
          <t>Informar o número de recapagens por pneu</t>
        </r>
      </text>
    </comment>
    <comment ref="D452" authorId="0" shapeId="0" xr:uid="{00000000-0006-0000-0000-00009C000000}">
      <text>
        <r>
          <rPr>
            <sz val="9"/>
            <color rgb="FF000000"/>
            <rFont val="Tahoma"/>
            <family val="2"/>
            <charset val="1"/>
          </rPr>
          <t xml:space="preserve">Informar o preço unitário de cada recapagem
</t>
        </r>
      </text>
    </comment>
    <comment ref="C453" authorId="0" shapeId="0" xr:uid="{00000000-0006-0000-0000-00009D000000}">
      <text>
        <r>
          <rPr>
            <sz val="9"/>
            <color rgb="FF000000"/>
            <rFont val="Tahoma"/>
            <family val="2"/>
            <charset val="1"/>
          </rPr>
          <t xml:space="preserve">Informar a durabilidade média dos pneus considerando todas as recapagens, em km
</t>
        </r>
      </text>
    </comment>
    <comment ref="C472" authorId="0" shapeId="0" xr:uid="{00000000-0006-0000-0000-00009E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472" authorId="0" shapeId="0" xr:uid="{00000000-0006-0000-0000-00009F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473" authorId="0" shapeId="0" xr:uid="{00000000-0006-0000-0000-0000A0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473" authorId="0" shapeId="0" xr:uid="{00000000-0006-0000-0000-0000A1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C474" authorId="0" shapeId="0" xr:uid="{00000000-0006-0000-0000-0000A2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474" authorId="0" shapeId="0" xr:uid="{00000000-0006-0000-0000-0000A3000000}">
      <text>
        <r>
          <rPr>
            <sz val="9"/>
            <color rgb="FF000000"/>
            <rFont val="Tahoma"/>
            <family val="2"/>
            <charset val="1"/>
          </rPr>
          <t>Informar o valor unitário estimado para aquisição de cada material</t>
        </r>
      </text>
    </comment>
    <comment ref="A479" authorId="0" shapeId="0" xr:uid="{00000000-0006-0000-0000-0000A4000000}">
      <text>
        <r>
          <rPr>
            <sz val="10"/>
            <rFont val="Arial"/>
            <family val="2"/>
          </rPr>
          <t xml:space="preserve">Especificar somente quando for exigido no Projeto Básico
</t>
        </r>
      </text>
    </comment>
    <comment ref="D482" authorId="0" shapeId="0" xr:uid="{00000000-0006-0000-0000-0000A5000000}">
      <text>
        <r>
          <rPr>
            <sz val="9"/>
            <color rgb="FF000000"/>
            <rFont val="Tahoma"/>
            <family val="2"/>
            <charset val="1"/>
          </rPr>
          <t>Informar o valor total para instalação do equipamento de monitoramento da frota, se houver previsão no Projeto Básico</t>
        </r>
      </text>
    </comment>
    <comment ref="C493" authorId="0" shapeId="0" xr:uid="{00000000-0006-0000-0000-0000A6000000}">
      <text>
        <r>
          <rPr>
            <sz val="9"/>
            <color rgb="FF000000"/>
            <rFont val="Tahoma"/>
            <family val="2"/>
            <charset val="1"/>
          </rPr>
          <t>Preencher a aba 4.BDI</t>
        </r>
      </text>
    </comment>
    <comment ref="D502" authorId="0" shapeId="0" xr:uid="{00000000-0006-0000-0000-0000A7000000}">
      <text>
        <r>
          <rPr>
            <sz val="9"/>
            <color rgb="FF000000"/>
            <rFont val="Tahoma"/>
            <family val="2"/>
            <charset val="1"/>
          </rPr>
          <t xml:space="preserve">Informar a quantidade média coletada nos últimos 12 meses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2" authorId="0" shapeId="0" xr:uid="{00000000-0006-0000-0300-000001000000}">
      <text>
        <r>
          <rPr>
            <sz val="10"/>
            <rFont val="Arial"/>
            <family val="2"/>
          </rPr>
          <t xml:space="preserve">Informar o % de Administração Central estimado
</t>
        </r>
      </text>
    </comment>
    <comment ref="C13" authorId="0" shapeId="0" xr:uid="{00000000-0006-0000-0300-000002000000}">
      <text>
        <r>
          <rPr>
            <sz val="10"/>
            <rFont val="Arial"/>
            <family val="2"/>
          </rPr>
          <t xml:space="preserve">Informar o % de Seguros, Riscos e Garantia estimado
</t>
        </r>
      </text>
    </comment>
    <comment ref="C14" authorId="0" shapeId="0" xr:uid="{00000000-0006-0000-0300-000003000000}">
      <text>
        <r>
          <rPr>
            <sz val="10"/>
            <rFont val="Arial"/>
            <family val="2"/>
          </rPr>
          <t xml:space="preserve">Informar o % de Lucro estimado
</t>
        </r>
      </text>
    </comment>
    <comment ref="E15" authorId="0" shapeId="0" xr:uid="{00000000-0006-0000-0300-000004000000}">
      <text>
        <r>
          <rPr>
            <b/>
            <sz val="9"/>
            <color rgb="FF000000"/>
            <rFont val="Tahoma"/>
            <family val="2"/>
            <charset val="1"/>
          </rPr>
          <t>Informar o valor anual da taxa financeira, em percentual. Admite-se utilizar a SELIC</t>
        </r>
      </text>
    </comment>
    <comment ref="C16" authorId="0" shapeId="0" xr:uid="{00000000-0006-0000-0300-000005000000}">
      <text>
        <r>
          <rPr>
            <sz val="10"/>
            <rFont val="Arial"/>
            <family val="2"/>
          </rPr>
          <t xml:space="preserve">Informar o percentual de ISS, de acordo com a legislação tributária do município onde serão prestados os serviços. De 2% até o limite de 5%.
</t>
        </r>
      </text>
    </comment>
    <comment ref="E16" authorId="0" shapeId="0" xr:uid="{00000000-0006-0000-0300-000006000000}">
      <text>
        <r>
          <rPr>
            <sz val="10"/>
            <rFont val="Arial"/>
            <family val="2"/>
          </rPr>
          <t xml:space="preserve">Informar a média de dias úteis entre data de pagamento prevista no contrato e a data final do período de adimplemento da parcela
</t>
        </r>
      </text>
    </comment>
    <comment ref="C17" authorId="0" shapeId="0" xr:uid="{00000000-0006-0000-0300-000007000000}">
      <text>
        <r>
          <rPr>
            <sz val="10"/>
            <rFont val="Arial"/>
            <family val="2"/>
          </rPr>
          <t xml:space="preserve">Informar o valor estimado de PIS/COFINS. 
</t>
        </r>
        <r>
          <rPr>
            <sz val="9"/>
            <color rgb="FF000000"/>
            <rFont val="Tahoma"/>
            <family val="2"/>
            <charset val="1"/>
          </rPr>
          <t>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2" authorId="0" shapeId="0" xr:uid="{00000000-0006-0000-0600-000001000000}">
      <text>
        <r>
          <rPr>
            <sz val="8"/>
            <color rgb="FF000000"/>
            <rFont val="Tahoma"/>
            <family val="2"/>
            <charset val="1"/>
          </rPr>
          <t>Informar a população do município a ser atendida</t>
        </r>
      </text>
    </comment>
    <comment ref="C13" authorId="0" shapeId="0" xr:uid="{00000000-0006-0000-0600-000002000000}">
      <text>
        <r>
          <rPr>
            <b/>
            <sz val="9"/>
            <color rgb="FF000000"/>
            <rFont val="Tahoma"/>
            <family val="2"/>
            <charset val="1"/>
          </rPr>
          <t>Caso o município possua informações de pesagem, ajustar com o valor da geração média per capita realizada nos últimos 12 meses</t>
        </r>
      </text>
    </comment>
    <comment ref="C14" authorId="0" shapeId="0" xr:uid="{00000000-0006-0000-0600-000003000000}">
      <text>
        <r>
          <rPr>
            <sz val="9"/>
            <color rgb="FF000000"/>
            <rFont val="Tahoma"/>
            <family val="2"/>
            <charset val="1"/>
          </rPr>
          <t>retorna a geração diária a ser recolhida</t>
        </r>
      </text>
    </comment>
    <comment ref="C16" authorId="0" shapeId="0" xr:uid="{00000000-0006-0000-0600-000004000000}">
      <text>
        <r>
          <rPr>
            <b/>
            <sz val="8"/>
            <color rgb="FF000000"/>
            <rFont val="Tahoma"/>
            <family val="2"/>
          </rPr>
          <t>Informe o número de dias de coleta por semana</t>
        </r>
      </text>
    </comment>
    <comment ref="C19" authorId="0" shapeId="0" xr:uid="{00000000-0006-0000-0600-000005000000}">
      <text>
        <r>
          <rPr>
            <sz val="10"/>
            <rFont val="Arial"/>
            <family val="2"/>
          </rPr>
          <t>Informar 1 para caminhão toco; Informar 2 para caminhão truck</t>
        </r>
        <r>
          <rPr>
            <b/>
            <sz val="8"/>
            <color rgb="FF000000"/>
            <rFont val="Tahoma"/>
            <family val="2"/>
            <charset val="1"/>
          </rPr>
          <t xml:space="preserve"> </t>
        </r>
      </text>
    </comment>
    <comment ref="C20" authorId="0" shapeId="0" xr:uid="{00000000-0006-0000-0600-000006000000}">
      <text>
        <r>
          <rPr>
            <sz val="8"/>
            <color rgb="FF000000"/>
            <rFont val="Tahoma"/>
            <family val="2"/>
            <charset val="1"/>
          </rPr>
          <t>Informar a capacidade do compactador em m³</t>
        </r>
      </text>
    </comment>
    <comment ref="C23" authorId="0" shapeId="0" xr:uid="{00000000-0006-0000-0600-000007000000}">
      <text>
        <r>
          <rPr>
            <sz val="8"/>
            <color rgb="FF000000"/>
            <rFont val="Tahoma"/>
            <family val="2"/>
            <charset val="1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<sst xmlns="http://schemas.openxmlformats.org/spreadsheetml/2006/main" count="1002" uniqueCount="392">
  <si>
    <t>PREFEITURA MUNICIPAL DE TRÊS DE MAIO</t>
  </si>
  <si>
    <t>COLETA SELETIVA E TRIAGEM DOS RSU SECO E ORGÂNICO, TRANSPORTE DOS ORGANICOS</t>
  </si>
  <si>
    <t>E REJEITOS DOS SECOS ATÉ A DISPOSIÇÃO FINAL</t>
  </si>
  <si>
    <t xml:space="preserve">1. Coleta de Resíduos Sólidos </t>
  </si>
  <si>
    <t>Planilha de Composição de Custos</t>
  </si>
  <si>
    <t>Orçamento Sintético</t>
  </si>
  <si>
    <t>BDI</t>
  </si>
  <si>
    <t>Descrição do Item</t>
  </si>
  <si>
    <t>Custo (R$/mês)</t>
  </si>
  <si>
    <t>%</t>
  </si>
  <si>
    <t xml:space="preserve">3.1.7. Consumos </t>
  </si>
  <si>
    <t xml:space="preserve">3.2.7. Consumos </t>
  </si>
  <si>
    <t>PREÇO TOTAL MENSAL COM A COLETA</t>
  </si>
  <si>
    <t>Quantitativos</t>
  </si>
  <si>
    <t>Mão-de-obra</t>
  </si>
  <si>
    <t>Quantidade</t>
  </si>
  <si>
    <t>Total de mão-de-obra (postos de trabalho)</t>
  </si>
  <si>
    <t>Veículos e Equipamentos</t>
  </si>
  <si>
    <t>3.3. Veículo de Apoio</t>
  </si>
  <si>
    <t>Fator de utilização (FU)</t>
  </si>
  <si>
    <t>1. Mão-de-obra</t>
  </si>
  <si>
    <t>1.1. Coletor Turno Dia</t>
  </si>
  <si>
    <t>Discriminação</t>
  </si>
  <si>
    <t>Unidade</t>
  </si>
  <si>
    <t>Custo unitário</t>
  </si>
  <si>
    <t>Subtotal</t>
  </si>
  <si>
    <r>
      <rPr>
        <b/>
        <sz val="9"/>
        <rFont val="Arial"/>
        <family val="2"/>
        <charset val="1"/>
      </rPr>
      <t xml:space="preserve">Total </t>
    </r>
    <r>
      <rPr>
        <b/>
        <u/>
        <sz val="9"/>
        <rFont val="Arial"/>
        <family val="2"/>
        <charset val="1"/>
      </rPr>
      <t>(R$)</t>
    </r>
  </si>
  <si>
    <t>Piso da categoria</t>
  </si>
  <si>
    <t>mês</t>
  </si>
  <si>
    <t>Horas Extras (100%)</t>
  </si>
  <si>
    <t>hora</t>
  </si>
  <si>
    <t>Horas Extras (50%)</t>
  </si>
  <si>
    <t>Descanso Semanal Remunerado (DSR) - hora extra</t>
  </si>
  <si>
    <t>R$</t>
  </si>
  <si>
    <t>Adicional de Insalubridade</t>
  </si>
  <si>
    <t>Soma</t>
  </si>
  <si>
    <t>Encargos Sociais</t>
  </si>
  <si>
    <t>Total por Coletor</t>
  </si>
  <si>
    <t>Total do Efetivo</t>
  </si>
  <si>
    <t>homem</t>
  </si>
  <si>
    <t>Fator de utilização</t>
  </si>
  <si>
    <t>1.2. Motorista Turno do Dia</t>
  </si>
  <si>
    <t>Piso da categoria (2)</t>
  </si>
  <si>
    <t>Salário mínimo nacional (1)</t>
  </si>
  <si>
    <t>Base de cálculo da Insalubridade</t>
  </si>
  <si>
    <t>Total por Motorista</t>
  </si>
  <si>
    <t>1.3. Supervisor de Coleta</t>
  </si>
  <si>
    <t xml:space="preserve">Piso da categoria </t>
  </si>
  <si>
    <t>Total</t>
  </si>
  <si>
    <t>1.4. Vale Transporte</t>
  </si>
  <si>
    <t>Vale Transporte</t>
  </si>
  <si>
    <t>Dias Trabalhados por mês</t>
  </si>
  <si>
    <t>dia</t>
  </si>
  <si>
    <t>Coletor</t>
  </si>
  <si>
    <t>vale</t>
  </si>
  <si>
    <t>Motorista</t>
  </si>
  <si>
    <t>1.5. Vale-refeição (diário)</t>
  </si>
  <si>
    <t>unidade</t>
  </si>
  <si>
    <t xml:space="preserve">Motorista </t>
  </si>
  <si>
    <t xml:space="preserve">Supervisor de Coleta </t>
  </si>
  <si>
    <t>1.6. Auxílio Alimentação (mensal)</t>
  </si>
  <si>
    <t>Custo Mensal com Mão-de-obra (R$/mês)</t>
  </si>
  <si>
    <t>2. Uniformes e Equipamentos de Proteção Individual</t>
  </si>
  <si>
    <t>2.1. Uniformes e EPIs para Coletor</t>
  </si>
  <si>
    <t>Durabilidade (meses)</t>
  </si>
  <si>
    <t>Jaqueta com reflexivo (NBR 15.292)</t>
  </si>
  <si>
    <t>Calça</t>
  </si>
  <si>
    <t>Camiseta</t>
  </si>
  <si>
    <t>Boné</t>
  </si>
  <si>
    <t>Botina de segurança c/ palmilha aço</t>
  </si>
  <si>
    <t>par</t>
  </si>
  <si>
    <t>Meia de algodão com cano alto</t>
  </si>
  <si>
    <t>Capa de chuva amarela com reflexivo</t>
  </si>
  <si>
    <t>Luva de proteção</t>
  </si>
  <si>
    <t>Protetor solar FPS 30</t>
  </si>
  <si>
    <t>frasco 120g</t>
  </si>
  <si>
    <t>2.2. Uniformes e EPIs para demais categorias</t>
  </si>
  <si>
    <t>Custo Mensal com Uniformes e EPIs (R$/mês)</t>
  </si>
  <si>
    <t>3. Veículos e Equipamentos</t>
  </si>
  <si>
    <t>3.1.1. Depreciação</t>
  </si>
  <si>
    <t>Custo de aquisição do chassis</t>
  </si>
  <si>
    <t>Vida útil do chassis</t>
  </si>
  <si>
    <t>anos</t>
  </si>
  <si>
    <t>Idade do veículo</t>
  </si>
  <si>
    <t>Depreciação do chassis</t>
  </si>
  <si>
    <t>Depreciação mensal veículos coletores</t>
  </si>
  <si>
    <t>Custo de aquisição do compactador</t>
  </si>
  <si>
    <t>Vida útil do compactador</t>
  </si>
  <si>
    <t>Idade do compactador</t>
  </si>
  <si>
    <t>Depreciação do compactador</t>
  </si>
  <si>
    <t>Depreciação mensal do compactador</t>
  </si>
  <si>
    <t>Total por veículo</t>
  </si>
  <si>
    <t>Total da frota</t>
  </si>
  <si>
    <t>3.1.2. Remuneração do Capital</t>
  </si>
  <si>
    <t>Custo do chassis</t>
  </si>
  <si>
    <t>Taxa de juros anual nominal</t>
  </si>
  <si>
    <t>Valor do veículo proposto (V0)</t>
  </si>
  <si>
    <t>Investimento médio total do chassis</t>
  </si>
  <si>
    <t>Remuneração mensal de capital do chassis</t>
  </si>
  <si>
    <t>Custo do compactador</t>
  </si>
  <si>
    <t>Valor do compactador proposto (V0)</t>
  </si>
  <si>
    <t>Investimento médio total do compactador</t>
  </si>
  <si>
    <t>Remuneração mensal de capital do compactador</t>
  </si>
  <si>
    <t>3.1.3. Impostos e Seguros</t>
  </si>
  <si>
    <t>IPVA</t>
  </si>
  <si>
    <t>Licenciamento e Seguro obrigatório</t>
  </si>
  <si>
    <t>Seguro contra terceiros</t>
  </si>
  <si>
    <t>Impostos e seguros mensais</t>
  </si>
  <si>
    <t>3.1.4. Consumos</t>
  </si>
  <si>
    <t>Quilometragem mensal</t>
  </si>
  <si>
    <t>Consumo</t>
  </si>
  <si>
    <t>Custo de óleo diesel / km rodado</t>
  </si>
  <si>
    <t>km/l</t>
  </si>
  <si>
    <t>Custo mensal com óleo diesel</t>
  </si>
  <si>
    <t>km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</si>
  <si>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</si>
  <si>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</si>
  <si>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</si>
  <si>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</si>
  <si>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</si>
  <si>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</si>
  <si>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</si>
  <si>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</si>
  <si>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</si>
  <si>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</si>
  <si>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</si>
  <si>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</si>
  <si>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3.1.5. Manutenção</t>
  </si>
  <si>
    <t>Custo de manutenção dos caminhões</t>
  </si>
  <si>
    <t>3.1.6. Pneus</t>
  </si>
  <si>
    <t>Custo do jogo de pneus xxx/xx Rxx</t>
  </si>
  <si>
    <t>Número de recapagens por pneu</t>
  </si>
  <si>
    <t>Custo de recapagem</t>
  </si>
  <si>
    <r>
      <rPr>
        <sz val="10"/>
        <rFont val="Arial"/>
        <family val="2"/>
        <charset val="1"/>
      </rPr>
      <t xml:space="preserve">Custo jg. compl. + </t>
    </r>
    <r>
      <rPr>
        <sz val="10"/>
        <color rgb="FFFF0000"/>
        <rFont val="Arial"/>
        <family val="2"/>
        <charset val="1"/>
      </rPr>
      <t>X</t>
    </r>
    <r>
      <rPr>
        <sz val="10"/>
        <rFont val="Arial"/>
        <family val="2"/>
        <charset val="1"/>
      </rPr>
      <t xml:space="preserve"> recap./ km rodado</t>
    </r>
  </si>
  <si>
    <t>km/jogo</t>
  </si>
  <si>
    <t>Custo mensal com pneus</t>
  </si>
  <si>
    <t>Custo Mensal com Veículo Coletor Compactador 15 m³ (Coleta)</t>
  </si>
  <si>
    <t>3.1.7. Consumos Transporte até o Aterro Sanitário de Giruá</t>
  </si>
  <si>
    <t>3.1.8. Manutenção</t>
  </si>
  <si>
    <t>3.1.9. Pneus</t>
  </si>
  <si>
    <t>Custo total Mensal do Transporte até o Aterro Sanitário de Giruá</t>
  </si>
  <si>
    <t>Custo total Mensal com Coleta e Transporte (orgânico)</t>
  </si>
  <si>
    <t>3.2. Veículo Caminhão Baú (Coleta Seletiva), capacidade minima 30 m³</t>
  </si>
  <si>
    <t>3.2.1. Depreciação</t>
  </si>
  <si>
    <t>Custo de aquisição do Baú</t>
  </si>
  <si>
    <t>3.2.2. Remuneração do Capital</t>
  </si>
  <si>
    <t>3.2.3. Impostos e Seguros</t>
  </si>
  <si>
    <t>3.2.4. Consumos Coleta (Seco)</t>
  </si>
  <si>
    <t>3.2.5. Manutenção</t>
  </si>
  <si>
    <t>3.2.6. Pneus</t>
  </si>
  <si>
    <t>Custo Mensal com Veículo Baú 30 m³ (Coleta)</t>
  </si>
  <si>
    <t>3.2.7. Consumos Transporte até a Estação de Triagem em Santa Rosa</t>
  </si>
  <si>
    <t>3.2.8. Manutenção</t>
  </si>
  <si>
    <t>3.2.9. Pneus</t>
  </si>
  <si>
    <t xml:space="preserve">Custo do jogo de pneus </t>
  </si>
  <si>
    <t>Custo Total Mensal do Transporte até a Estação de Triagem em Santa Rosa</t>
  </si>
  <si>
    <t>Custo Total Mensal com Coleta e Transporte (Seco)</t>
  </si>
  <si>
    <t>3.3.1. Depreciação</t>
  </si>
  <si>
    <t>3.3.2. Remuneração do Capital</t>
  </si>
  <si>
    <t>3.3.3. Impostos e Seguros</t>
  </si>
  <si>
    <t>3.3.4. Consumos</t>
  </si>
  <si>
    <t>Custo do combustível/ km rodado</t>
  </si>
  <si>
    <t>Custo mensal com gasolina</t>
  </si>
  <si>
    <t>3.3.5. Manutenção</t>
  </si>
  <si>
    <t>3.3.6. Pneus</t>
  </si>
  <si>
    <t>Custo do jogo de pneus</t>
  </si>
  <si>
    <t>Custo Total Mensal com Veículo de Apoio</t>
  </si>
  <si>
    <t>Recipiente térmico para água (5L)</t>
  </si>
  <si>
    <t>Pá de Concha</t>
  </si>
  <si>
    <t>Vassoura</t>
  </si>
  <si>
    <t>Custo Mensal com Ferramentas e Materiais de Consumo (R$/mês)</t>
  </si>
  <si>
    <t>Implantação dos equipamentos de monitoramento</t>
  </si>
  <si>
    <t>cj</t>
  </si>
  <si>
    <t>Custo mensal com implantação</t>
  </si>
  <si>
    <t>Custo Mensal com Monitoramento da Frota (R$/mês)</t>
  </si>
  <si>
    <t>CUSTO TOTAL MENSAL COM DESPESAS OPERACIONAIS (R$/mês)</t>
  </si>
  <si>
    <t>Benefícios e despesas indiretas</t>
  </si>
  <si>
    <t>CUSTO MENSAL COM BDI (R$/mês)</t>
  </si>
  <si>
    <t>PREÇO MENSAL TOTAL (R$/mês)</t>
  </si>
  <si>
    <t xml:space="preserve">Quantidade média de resíduos coletados por mês: </t>
  </si>
  <si>
    <t>toneladas</t>
  </si>
  <si>
    <t>PREÇO POR TONELADA COLETADA:  [A/B]</t>
  </si>
  <si>
    <t>R$/tonelada</t>
  </si>
  <si>
    <t>Orientações para preenchimento:</t>
  </si>
  <si>
    <t>1. Preencha previamente os dados de entrada na planilha 3.CAGED</t>
  </si>
  <si>
    <t>O TCE/RS não se responsabiliza pelo uso incorreto desta planilha.</t>
  </si>
  <si>
    <t>O orçamento deve ser realizado por responsável técnico habilitado e é de responsabilidade do seu autor.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</si>
  <si>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</si>
  <si>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</si>
  <si>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</si>
  <si>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</si>
  <si>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</si>
  <si>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</si>
  <si>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</si>
  <si>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</si>
  <si>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</si>
  <si>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</si>
  <si>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</si>
  <si>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</si>
  <si>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</si>
  <si>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</si>
  <si>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</si>
  <si>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</si>
  <si>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</si>
  <si>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</si>
  <si>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</si>
  <si>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</si>
  <si>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</si>
  <si>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</si>
  <si>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</si>
  <si>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</si>
  <si>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</si>
  <si>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</si>
  <si>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</si>
  <si>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</si>
  <si>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</si>
  <si>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</si>
  <si>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</si>
  <si>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</si>
  <si>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</si>
  <si>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</si>
  <si>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</si>
  <si>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</si>
  <si>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</si>
  <si>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</si>
  <si>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</si>
  <si>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</si>
  <si>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</si>
  <si>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</si>
  <si>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</si>
  <si>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</si>
  <si>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</si>
  <si>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</si>
  <si>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</si>
  <si>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</si>
  <si>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</si>
  <si>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</si>
  <si>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</si>
  <si>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</si>
  <si>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</si>
  <si>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</si>
  <si>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</si>
  <si>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CÁLCULO DAS VERBAS INDENIZATÓRIAS DOS EMPREGADOS NO SETOR DE COLETA DE RSU</t>
  </si>
  <si>
    <t>Tendo em vista que o CAGED foi descontinuado em janeiro de 2020, esta planilha foi atualizada até 31/12/2019.</t>
  </si>
  <si>
    <t>Preencha as células em amarelo</t>
  </si>
  <si>
    <t>3. CAGED</t>
  </si>
  <si>
    <t>Rio Grande do Sul  - Coleta de Resíduos Não-Perigosos - CNAE 38114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</si>
  <si>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</si>
  <si>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</si>
  <si>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</si>
  <si>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</si>
  <si>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</si>
  <si>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</si>
  <si>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</si>
  <si>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</si>
  <si>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</si>
  <si>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</si>
  <si>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</si>
  <si>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 xml:space="preserve"> </t>
  </si>
  <si>
    <t>Indicadores</t>
  </si>
  <si>
    <t>Estoque recuperado início do Período 01-01-2019</t>
  </si>
  <si>
    <t>Estoque recuperado final do Período 31-12-2019</t>
  </si>
  <si>
    <t>Variação Emprego Absoluta de 01-01-2019 a 31-12-2019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</si>
  <si>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</si>
  <si>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</si>
  <si>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</si>
  <si>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</si>
  <si>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</si>
  <si>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</si>
  <si>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</si>
  <si>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</si>
  <si>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</si>
  <si>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Multa FGTS</t>
  </si>
  <si>
    <t>Ajustado, de acordo com a nova Lei Federal nº 13.932/2019</t>
  </si>
  <si>
    <t>1. Esta planilha é somente um modelo-base e deve ser ajustada conforme cada caso concreto.</t>
  </si>
  <si>
    <t>2. Preencher somente células em amarelo</t>
  </si>
  <si>
    <t>4. Composição do BDI - Benefícios e Despesas Indiretas</t>
  </si>
  <si>
    <t>Referência estudo TCE</t>
  </si>
  <si>
    <t>1° Quartil</t>
  </si>
  <si>
    <t>Médio</t>
  </si>
  <si>
    <t>3° Quartil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</si>
  <si>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</si>
  <si>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</si>
  <si>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</si>
  <si>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</si>
  <si>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</si>
  <si>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</si>
  <si>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</si>
  <si>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</si>
  <si>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</si>
  <si>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</si>
  <si>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</si>
  <si>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</si>
  <si>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</si>
  <si>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</si>
  <si>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</si>
  <si>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</si>
  <si>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5. Depreciação Referencial TCE/RS (%)</t>
  </si>
  <si>
    <t>Idade do veículo (ano)</t>
  </si>
  <si>
    <t>Depreciação Média</t>
  </si>
  <si>
    <t>6. Remuneração de Capital</t>
  </si>
  <si>
    <t>Fórmula de cálculo da remuneração de capital:</t>
  </si>
  <si>
    <r>
      <rPr>
        <sz val="12"/>
        <color rgb="FF000000"/>
        <rFont val="Arial"/>
        <family val="2"/>
        <charset val="1"/>
      </rPr>
      <t>J</t>
    </r>
    <r>
      <rPr>
        <vertAlign val="subscript"/>
        <sz val="12"/>
        <color rgb="FF000000"/>
        <rFont val="Arial"/>
        <family val="2"/>
        <charset val="1"/>
      </rPr>
      <t>m</t>
    </r>
    <r>
      <rPr>
        <sz val="12"/>
        <color rgb="FF000000"/>
        <rFont val="Arial"/>
        <family val="2"/>
        <charset val="1"/>
      </rPr>
      <t xml:space="preserve"> = remuneração de capital mensal</t>
    </r>
  </si>
  <si>
    <t>i = taxa de juros do mercado (sugere-se adotar a taxa SELIC)</t>
  </si>
  <si>
    <t>Im = investimento médio</t>
  </si>
  <si>
    <r>
      <rPr>
        <sz val="12"/>
        <color rgb="FF000000"/>
        <rFont val="Arial"/>
        <family val="2"/>
        <charset val="1"/>
      </rPr>
      <t>V</t>
    </r>
    <r>
      <rPr>
        <vertAlign val="subscript"/>
        <sz val="12"/>
        <color rgb="FF000000"/>
        <rFont val="Arial"/>
        <family val="2"/>
        <charset val="1"/>
      </rPr>
      <t>0</t>
    </r>
    <r>
      <rPr>
        <sz val="12"/>
        <color rgb="FF000000"/>
        <rFont val="Arial"/>
        <family val="2"/>
        <charset val="1"/>
      </rPr>
      <t xml:space="preserve"> = valor inicial do bem</t>
    </r>
  </si>
  <si>
    <r>
      <rPr>
        <sz val="12"/>
        <color rgb="FF000000"/>
        <rFont val="Arial"/>
        <family val="2"/>
        <charset val="1"/>
      </rPr>
      <t>V</t>
    </r>
    <r>
      <rPr>
        <vertAlign val="subscript"/>
        <sz val="12"/>
        <color rgb="FF000000"/>
        <rFont val="Arial"/>
        <family val="2"/>
        <charset val="1"/>
      </rPr>
      <t>r</t>
    </r>
    <r>
      <rPr>
        <sz val="12"/>
        <color rgb="FF000000"/>
        <rFont val="Arial"/>
        <family val="2"/>
        <charset val="1"/>
      </rPr>
      <t xml:space="preserve"> = valor residual do bem</t>
    </r>
  </si>
  <si>
    <t>n = vida útil do bem em anos</t>
  </si>
  <si>
    <t>1. Esta planilha é somente um modelo de cálculo expedito e deve ser ajustada conforme cada caso concreto.</t>
  </si>
  <si>
    <t>2. Dimensionar separadamente setores atendidos por veículos de capacidade de carga diferentes.</t>
  </si>
  <si>
    <t>3. Preencher somente células em amarelo</t>
  </si>
  <si>
    <t>7. Dimensionamento da frota</t>
  </si>
  <si>
    <t>Indicador</t>
  </si>
  <si>
    <t>Unid</t>
  </si>
  <si>
    <t>População (H)</t>
  </si>
  <si>
    <t>hab</t>
  </si>
  <si>
    <t>Geração per capita (G)</t>
  </si>
  <si>
    <t>Kg/hab.dia</t>
  </si>
  <si>
    <t>Geração total diária (Qd)</t>
  </si>
  <si>
    <t>ton/dia</t>
  </si>
  <si>
    <t>Geração Mensal</t>
  </si>
  <si>
    <t>ton</t>
  </si>
  <si>
    <t>Número de dias de coleta por semana (Dc)</t>
  </si>
  <si>
    <t>Quantitativo diário de coleta (Qc)</t>
  </si>
  <si>
    <t>Densidade RSU compactado</t>
  </si>
  <si>
    <t>Kg/m³</t>
  </si>
  <si>
    <t>Tipo de Veículo (1 = toco, 2 = truck)</t>
  </si>
  <si>
    <t>Capacidade do Compactador</t>
  </si>
  <si>
    <t>m³</t>
  </si>
  <si>
    <t>Capacidade nominal de carga (Cc)</t>
  </si>
  <si>
    <t>Número de Cargas por dia (Nc)</t>
  </si>
  <si>
    <t>Número total de percursos de coleta por veículo, por dia (Np)</t>
  </si>
  <si>
    <t>Número de veículos da Frota (F)</t>
  </si>
  <si>
    <t xml:space="preserve">PLANILHA DE CUSTOS </t>
  </si>
  <si>
    <r>
      <t>3.1. Veículo Coletor Compactador</t>
    </r>
    <r>
      <rPr>
        <sz val="10"/>
        <color rgb="FFFF0000"/>
        <rFont val="Arial"/>
        <family val="2"/>
        <charset val="1"/>
      </rPr>
      <t xml:space="preserve"> 15</t>
    </r>
    <r>
      <rPr>
        <sz val="10"/>
        <rFont val="Arial"/>
        <family val="2"/>
        <charset val="1"/>
      </rPr>
      <t xml:space="preserve"> m³</t>
    </r>
  </si>
  <si>
    <t xml:space="preserve">4. Disponibilização de Container  </t>
  </si>
  <si>
    <t>Total (R$)</t>
  </si>
  <si>
    <t xml:space="preserve">Disponibilização de Conteineres para a Coleta Regular, com limpoeza, lavagem e higienização </t>
  </si>
  <si>
    <t>Custo mensal com disponibilização de contêineres</t>
  </si>
  <si>
    <t>Custo Total Mensal com Veículos,Equipamentos e Disponibilização de Conteineres (R$/mês)</t>
  </si>
  <si>
    <t>5. Ferramentas e Materiais de Consumo</t>
  </si>
  <si>
    <t>6. Monitoramento da Frota</t>
  </si>
  <si>
    <t>7. Benefícios e Despesas Indiretas - BDI</t>
  </si>
  <si>
    <t xml:space="preserve">1. Esta planilha é somente um modelo-base, devendo ser adaptada para cada caso concreto. </t>
  </si>
  <si>
    <t>Qualquer custo previsto no edital e não contemplado nesta planilha deverá ser devidamente incluído.</t>
  </si>
  <si>
    <t>2. Conteineres para a Coleta Regular</t>
  </si>
  <si>
    <t>Município de Três de Maio</t>
  </si>
  <si>
    <t>Contêiner em metal ou polipropileno com capacidade mínima de 700L</t>
  </si>
  <si>
    <t>1.1.1. Depreciação</t>
  </si>
  <si>
    <t>Custo de aquisição do contêiner</t>
  </si>
  <si>
    <t>Vida útil do contêiner</t>
  </si>
  <si>
    <t>Idade do contêiner</t>
  </si>
  <si>
    <t>Depreciação do contêiner</t>
  </si>
  <si>
    <t>Depreciação mensal dos contêineres</t>
  </si>
  <si>
    <t>Total por contêiner</t>
  </si>
  <si>
    <t>Total dos contêineres</t>
  </si>
  <si>
    <t>1.1.2. Remuneração de Capital</t>
  </si>
  <si>
    <t>Custo do contêiner</t>
  </si>
  <si>
    <t>Valor do equipamento proposto (V0)</t>
  </si>
  <si>
    <t>Investimento médio total do contêiner</t>
  </si>
  <si>
    <t>Remuneração mensal de capital do contêiner</t>
  </si>
  <si>
    <t xml:space="preserve">Composição própria </t>
  </si>
  <si>
    <t>Pesquisa de preço</t>
  </si>
  <si>
    <t>Limpeza e higienização dos contêineres de RSU</t>
  </si>
  <si>
    <t>Banco de dados SINAPI - 05/2023</t>
  </si>
  <si>
    <t>Incluso: Veículo, motorista, depreciação, juros, manutenção, demais materiais necessários</t>
  </si>
  <si>
    <t>Custo da hora produtiva (CHP) - SINAPI 93402</t>
  </si>
  <si>
    <t>horas</t>
  </si>
  <si>
    <t>Custo da hora improdutiva (CHI) - SINAPI 93403</t>
  </si>
  <si>
    <t>PREÇO MENSAL POR CONTÊINER (R$/mês)</t>
  </si>
  <si>
    <t>A PM TRÊS DE MAIO não se responsabiliza pelo uso incorreto desta planilha.</t>
  </si>
  <si>
    <t>3. As células azuis deverão ter seus valores preenchidos em outra planilha do arquivo.</t>
  </si>
  <si>
    <t>1.2. Limpeza e Higienização dos Contêineres</t>
  </si>
  <si>
    <t>2. Benefícios e Despesas Indiretas - BDI</t>
  </si>
  <si>
    <t>1. DISPONIBILIZAÇÃO DE CONTÊINERES</t>
  </si>
  <si>
    <t>1.3. Guindauto hidráulico para troca, limpeza e higienização dos contêineres (Munhão)</t>
  </si>
  <si>
    <t>*Estimativa de 48/172 = CHP/CHI do total de 220 horas</t>
  </si>
  <si>
    <t xml:space="preserve">7. Custo Total Com Coleta </t>
  </si>
  <si>
    <t xml:space="preserve">8. Custo Total com Transporte </t>
  </si>
  <si>
    <t>Custo do Baú</t>
  </si>
  <si>
    <t>Valor do Baú proposto (V0)</t>
  </si>
  <si>
    <t>Vida útil do Baú</t>
  </si>
  <si>
    <t>DATA BASE ______________ DE 20___</t>
  </si>
  <si>
    <t>1.7. Plano de Benefício Social Familiar (mensal)</t>
  </si>
  <si>
    <t xml:space="preserve"> Unidade </t>
  </si>
  <si>
    <t xml:space="preserve">Quantidade </t>
  </si>
  <si>
    <t xml:space="preserve">Custo unitário </t>
  </si>
  <si>
    <t xml:space="preserve">Subtotal Total </t>
  </si>
  <si>
    <t xml:space="preserve">Coletor </t>
  </si>
  <si>
    <t>Higienização de uniformes e EPIs</t>
  </si>
  <si>
    <t>R$ mensal</t>
  </si>
  <si>
    <t>OBS.: Esse Arquivo (XLS) serve apenas para edição, sendo o seu correto preenchimento de responsabilidade única e exclusiva do Licitante, o qual deve observar os mesmos critérios estabelecidos nos arquivos disponibilizados no site (PDF)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</si>
</sst>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&quot;R$ &quot;#,##0.00"/>
    <numFmt numFmtId="166" formatCode="_-* #,##0.00_-;\-* #,##0.00_-;_-* \-??_-;_-@_-"/>
    <numFmt numFmtId="167" formatCode="&quot;R$ &quot;#,##0.00_);&quot;(R$ &quot;#,##0.00\)"/>
    <numFmt numFmtId="168" formatCode="_(* #,##0_);_(* \(#,##0\);_(* \-??_);_(@_)"/>
    <numFmt numFmtId="169" formatCode="0.00000"/>
    <numFmt numFmtId="170" formatCode="_(* #,##0.000_);_(* \(#,##0.000\);_(* \-??_);_(@_)"/>
    <numFmt numFmtId="171" formatCode="0.0000"/>
    <numFmt numFmtId="172" formatCode="_-* #,##0.000_-;\-* #,##0.000_-;_-* \-??_-;_-@_-"/>
    <numFmt numFmtId="173" formatCode="_-* #,##0.00_-;\-* #,##0.00_-;_-* \-?_-;_-@_-"/>
    <numFmt numFmtId="174" formatCode="_-* #,##0_-;\-* #,##0_-;_-* \-?_-;_-@_-"/>
    <numFmt numFmtId="175" formatCode="&quot;R$&quot;\ #,##0.00"/>
    <numFmt numFmtId="178" formatCode="_-&quot;R$&quot;\ * #,##0.00_-;\-&quot;R$&quot;\ * #,##0.00_-;_-&quot;R$&quot;\ * &quot;-&quot;??_-;_-@_-"/>
  </numFmts>
  <fonts count="39" x14ac:knownFonts="1">
    <font>
      <sz val="1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Arial"/>
      <family val="2"/>
      <charset val="1"/>
    </font>
    <font>
      <b/>
      <sz val="9"/>
      <name val="Arial"/>
      <family val="2"/>
      <charset val="1"/>
    </font>
    <font>
      <b/>
      <u/>
      <sz val="9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u/>
      <sz val="10"/>
      <color rgb="FF0000FF"/>
      <name val="Arial"/>
      <family val="2"/>
      <charset val="1"/>
    </font>
    <font>
      <sz val="10"/>
      <color rgb="FFFF0000"/>
      <name val="Arial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9"/>
      <color rgb="FF000000"/>
      <name val="Tahoma"/>
      <family val="2"/>
      <charset val="1"/>
    </font>
    <font>
      <b/>
      <sz val="12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3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9"/>
      <color rgb="FF000000"/>
      <name val="Tahoma"/>
      <family val="2"/>
      <charset val="1"/>
    </font>
    <font>
      <sz val="12"/>
      <color rgb="FF000000"/>
      <name val="Arial"/>
      <family val="2"/>
      <charset val="1"/>
    </font>
    <font>
      <vertAlign val="subscript"/>
      <sz val="12"/>
      <color rgb="FF000000"/>
      <name val="Arial"/>
      <family val="2"/>
      <charset val="1"/>
    </font>
    <font>
      <sz val="11"/>
      <color rgb="FF202124"/>
      <name val="Arial"/>
      <family val="2"/>
      <charset val="1"/>
    </font>
    <font>
      <sz val="8"/>
      <color rgb="FF000000"/>
      <name val="Tahoma"/>
      <family val="2"/>
      <charset val="1"/>
    </font>
    <font>
      <b/>
      <sz val="8"/>
      <color rgb="FF000000"/>
      <name val="Tahoma"/>
      <family val="2"/>
    </font>
    <font>
      <b/>
      <sz val="8"/>
      <color rgb="FF000000"/>
      <name val="Tahoma"/>
      <family val="2"/>
      <charset val="1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0070C0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EEECE1"/>
      </patternFill>
    </fill>
    <fill>
      <patternFill patternType="solid">
        <fgColor rgb="FFBFBFBF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rgb="FF00FA9A"/>
        <bgColor rgb="FF00FFFF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DDD9C3"/>
      </patternFill>
    </fill>
    <fill>
      <patternFill patternType="solid">
        <fgColor rgb="FFA6A6A6"/>
        <bgColor rgb="FFBFBFBF"/>
      </patternFill>
    </fill>
    <fill>
      <patternFill patternType="solid">
        <fgColor rgb="FFDDD9C3"/>
        <bgColor rgb="FFD9D9D9"/>
      </patternFill>
    </fill>
    <fill>
      <patternFill patternType="solid">
        <fgColor rgb="FFEEECE1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D9D9D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164" fontId="28" fillId="0" borderId="0" applyBorder="0" applyProtection="0"/>
    <xf numFmtId="9" fontId="28" fillId="0" borderId="0" applyBorder="0" applyProtection="0"/>
    <xf numFmtId="0" fontId="11" fillId="0" borderId="0" applyBorder="0" applyProtection="0"/>
    <xf numFmtId="44" fontId="29" fillId="0" borderId="0" applyFont="0" applyFill="0" applyBorder="0" applyAlignment="0" applyProtection="0"/>
    <xf numFmtId="178" fontId="28" fillId="0" borderId="0" applyFont="0" applyFill="0" applyBorder="0" applyAlignment="0" applyProtection="0"/>
  </cellStyleXfs>
  <cellXfs count="416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1" applyFont="1" applyBorder="1" applyAlignment="1" applyProtection="1">
      <alignment vertical="center"/>
    </xf>
    <xf numFmtId="164" fontId="0" fillId="0" borderId="0" xfId="1" applyFont="1" applyBorder="1" applyAlignment="1" applyProtection="1">
      <alignment vertical="center"/>
    </xf>
    <xf numFmtId="0" fontId="0" fillId="0" borderId="0" xfId="0" applyAlignment="1">
      <alignment vertical="center"/>
    </xf>
    <xf numFmtId="164" fontId="4" fillId="0" borderId="0" xfId="1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6" xfId="1" applyFont="1" applyBorder="1" applyAlignment="1" applyProtection="1">
      <alignment vertical="center"/>
    </xf>
    <xf numFmtId="164" fontId="6" fillId="3" borderId="2" xfId="1" applyFont="1" applyFill="1" applyBorder="1" applyAlignment="1" applyProtection="1">
      <alignment horizontal="right" vertical="center"/>
    </xf>
    <xf numFmtId="10" fontId="6" fillId="3" borderId="2" xfId="2" applyNumberFormat="1" applyFont="1" applyFill="1" applyBorder="1" applyAlignment="1" applyProtection="1">
      <alignment vertical="center"/>
    </xf>
    <xf numFmtId="164" fontId="6" fillId="3" borderId="8" xfId="1" applyFont="1" applyFill="1" applyBorder="1" applyAlignment="1" applyProtection="1">
      <alignment vertical="center"/>
    </xf>
    <xf numFmtId="164" fontId="2" fillId="0" borderId="9" xfId="1" applyFont="1" applyBorder="1" applyAlignment="1" applyProtection="1">
      <alignment horizontal="center" vertical="center"/>
    </xf>
    <xf numFmtId="164" fontId="0" fillId="0" borderId="10" xfId="1" applyFont="1" applyBorder="1" applyAlignment="1" applyProtection="1">
      <alignment vertical="center"/>
    </xf>
    <xf numFmtId="164" fontId="2" fillId="0" borderId="10" xfId="1" applyFont="1" applyBorder="1" applyAlignment="1" applyProtection="1">
      <alignment vertical="center"/>
    </xf>
    <xf numFmtId="164" fontId="2" fillId="0" borderId="11" xfId="1" applyFont="1" applyBorder="1" applyAlignment="1" applyProtection="1">
      <alignment vertical="center"/>
    </xf>
    <xf numFmtId="164" fontId="2" fillId="0" borderId="12" xfId="1" applyFont="1" applyBorder="1" applyAlignment="1" applyProtection="1">
      <alignment horizontal="center" vertical="center"/>
    </xf>
    <xf numFmtId="164" fontId="2" fillId="0" borderId="13" xfId="1" applyFont="1" applyBorder="1" applyAlignment="1" applyProtection="1">
      <alignment vertical="center"/>
    </xf>
    <xf numFmtId="164" fontId="2" fillId="0" borderId="14" xfId="0" applyNumberFormat="1" applyFont="1" applyBorder="1" applyAlignment="1">
      <alignment vertical="center"/>
    </xf>
    <xf numFmtId="164" fontId="2" fillId="0" borderId="14" xfId="1" applyFont="1" applyBorder="1" applyAlignment="1" applyProtection="1">
      <alignment vertical="center"/>
    </xf>
    <xf numFmtId="165" fontId="2" fillId="0" borderId="15" xfId="0" applyNumberFormat="1" applyFont="1" applyBorder="1" applyAlignment="1">
      <alignment vertical="center"/>
    </xf>
    <xf numFmtId="10" fontId="2" fillId="0" borderId="16" xfId="2" applyNumberFormat="1" applyFont="1" applyBorder="1" applyAlignment="1" applyProtection="1">
      <alignment vertical="center"/>
    </xf>
    <xf numFmtId="164" fontId="2" fillId="0" borderId="0" xfId="1" applyFont="1" applyBorder="1" applyAlignment="1" applyProtection="1">
      <alignment vertical="center"/>
    </xf>
    <xf numFmtId="0" fontId="2" fillId="0" borderId="0" xfId="0" applyFont="1" applyAlignment="1">
      <alignment vertical="center"/>
    </xf>
    <xf numFmtId="164" fontId="0" fillId="0" borderId="13" xfId="1" applyFont="1" applyBorder="1" applyAlignment="1" applyProtection="1">
      <alignment vertical="center"/>
    </xf>
    <xf numFmtId="164" fontId="0" fillId="0" borderId="14" xfId="0" applyNumberFormat="1" applyBorder="1" applyAlignment="1">
      <alignment vertical="center"/>
    </xf>
    <xf numFmtId="164" fontId="0" fillId="0" borderId="14" xfId="1" applyFont="1" applyBorder="1" applyAlignment="1" applyProtection="1">
      <alignment vertical="center"/>
    </xf>
    <xf numFmtId="165" fontId="0" fillId="0" borderId="15" xfId="0" applyNumberFormat="1" applyBorder="1" applyAlignment="1">
      <alignment vertical="center"/>
    </xf>
    <xf numFmtId="10" fontId="0" fillId="0" borderId="16" xfId="2" applyNumberFormat="1" applyFont="1" applyBorder="1" applyAlignment="1" applyProtection="1">
      <alignment vertical="center"/>
    </xf>
    <xf numFmtId="166" fontId="0" fillId="0" borderId="0" xfId="0" applyNumberFormat="1" applyAlignment="1">
      <alignment vertical="center"/>
    </xf>
    <xf numFmtId="164" fontId="2" fillId="0" borderId="13" xfId="1" applyFont="1" applyBorder="1" applyAlignment="1" applyProtection="1">
      <alignment horizontal="left" vertical="center"/>
    </xf>
    <xf numFmtId="4" fontId="2" fillId="0" borderId="14" xfId="0" applyNumberFormat="1" applyFont="1" applyBorder="1" applyAlignment="1">
      <alignment horizontal="center" vertical="center"/>
    </xf>
    <xf numFmtId="164" fontId="1" fillId="0" borderId="13" xfId="1" applyFont="1" applyBorder="1" applyAlignment="1" applyProtection="1">
      <alignment horizontal="left" vertical="center"/>
    </xf>
    <xf numFmtId="4" fontId="0" fillId="0" borderId="14" xfId="0" applyNumberFormat="1" applyBorder="1" applyAlignment="1">
      <alignment horizontal="center" vertical="center"/>
    </xf>
    <xf numFmtId="164" fontId="2" fillId="0" borderId="17" xfId="1" applyFont="1" applyBorder="1" applyAlignment="1" applyProtection="1">
      <alignment vertical="center"/>
    </xf>
    <xf numFmtId="164" fontId="2" fillId="0" borderId="18" xfId="1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1" applyFont="1" applyBorder="1" applyAlignment="1" applyProtection="1">
      <alignment vertical="center"/>
    </xf>
    <xf numFmtId="167" fontId="2" fillId="0" borderId="19" xfId="0" applyNumberFormat="1" applyFont="1" applyBorder="1" applyAlignment="1">
      <alignment vertical="center"/>
    </xf>
    <xf numFmtId="9" fontId="2" fillId="0" borderId="20" xfId="2" applyFont="1" applyBorder="1" applyAlignment="1" applyProtection="1">
      <alignment vertical="center"/>
    </xf>
    <xf numFmtId="164" fontId="2" fillId="0" borderId="23" xfId="1" applyFont="1" applyBorder="1" applyAlignment="1" applyProtection="1">
      <alignment horizontal="right" vertical="center"/>
    </xf>
    <xf numFmtId="164" fontId="1" fillId="0" borderId="9" xfId="1" applyFont="1" applyBorder="1" applyAlignment="1" applyProtection="1">
      <alignment vertical="center"/>
    </xf>
    <xf numFmtId="164" fontId="1" fillId="0" borderId="10" xfId="1" applyFont="1" applyBorder="1" applyAlignment="1" applyProtection="1">
      <alignment vertical="center"/>
    </xf>
    <xf numFmtId="0" fontId="0" fillId="0" borderId="10" xfId="0" applyBorder="1" applyAlignment="1">
      <alignment vertical="center"/>
    </xf>
    <xf numFmtId="1" fontId="1" fillId="0" borderId="12" xfId="1" applyNumberFormat="1" applyFont="1" applyBorder="1" applyAlignment="1" applyProtection="1">
      <alignment horizontal="center" vertical="center"/>
    </xf>
    <xf numFmtId="164" fontId="1" fillId="0" borderId="13" xfId="1" applyFont="1" applyBorder="1" applyAlignment="1" applyProtection="1">
      <alignment vertical="center"/>
    </xf>
    <xf numFmtId="164" fontId="1" fillId="0" borderId="14" xfId="1" applyFont="1" applyBorder="1" applyAlignment="1" applyProtection="1">
      <alignment vertical="center"/>
    </xf>
    <xf numFmtId="0" fontId="0" fillId="0" borderId="14" xfId="0" applyBorder="1" applyAlignment="1">
      <alignment vertical="center"/>
    </xf>
    <xf numFmtId="1" fontId="1" fillId="0" borderId="24" xfId="1" applyNumberFormat="1" applyFont="1" applyBorder="1" applyAlignment="1" applyProtection="1">
      <alignment horizontal="center" vertical="center"/>
    </xf>
    <xf numFmtId="164" fontId="2" fillId="0" borderId="18" xfId="1" applyFont="1" applyBorder="1" applyAlignment="1" applyProtection="1">
      <alignment vertical="center"/>
    </xf>
    <xf numFmtId="4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" fontId="2" fillId="0" borderId="25" xfId="1" applyNumberFormat="1" applyFont="1" applyBorder="1" applyAlignment="1" applyProtection="1">
      <alignment horizontal="center" vertical="center"/>
    </xf>
    <xf numFmtId="164" fontId="2" fillId="0" borderId="5" xfId="1" applyFont="1" applyBorder="1" applyAlignment="1" applyProtection="1">
      <alignment vertical="center"/>
    </xf>
    <xf numFmtId="4" fontId="2" fillId="0" borderId="0" xfId="0" applyNumberFormat="1" applyFont="1" applyAlignment="1">
      <alignment vertical="center"/>
    </xf>
    <xf numFmtId="164" fontId="1" fillId="0" borderId="6" xfId="1" applyFont="1" applyBorder="1" applyAlignment="1" applyProtection="1">
      <alignment vertical="center"/>
    </xf>
    <xf numFmtId="164" fontId="1" fillId="0" borderId="27" xfId="1" applyFont="1" applyBorder="1" applyAlignment="1" applyProtection="1">
      <alignment vertical="center"/>
    </xf>
    <xf numFmtId="164" fontId="1" fillId="0" borderId="28" xfId="1" applyFont="1" applyBorder="1" applyAlignment="1" applyProtection="1">
      <alignment vertical="center"/>
    </xf>
    <xf numFmtId="0" fontId="1" fillId="0" borderId="28" xfId="0" applyFont="1" applyBorder="1" applyAlignment="1">
      <alignment vertical="center"/>
    </xf>
    <xf numFmtId="1" fontId="1" fillId="0" borderId="29" xfId="1" applyNumberFormat="1" applyFont="1" applyBorder="1" applyAlignment="1" applyProtection="1">
      <alignment horizontal="center" vertical="center"/>
    </xf>
    <xf numFmtId="164" fontId="1" fillId="0" borderId="30" xfId="1" applyFont="1" applyBorder="1" applyAlignment="1" applyProtection="1">
      <alignment vertical="center"/>
    </xf>
    <xf numFmtId="164" fontId="1" fillId="0" borderId="31" xfId="1" applyFont="1" applyBorder="1" applyAlignment="1" applyProtection="1">
      <alignment vertical="center"/>
    </xf>
    <xf numFmtId="0" fontId="1" fillId="0" borderId="32" xfId="0" applyFont="1" applyBorder="1" applyAlignment="1">
      <alignment vertical="center"/>
    </xf>
    <xf numFmtId="1" fontId="1" fillId="0" borderId="33" xfId="1" applyNumberFormat="1" applyFont="1" applyBorder="1" applyAlignment="1" applyProtection="1">
      <alignment horizontal="center" vertical="center"/>
    </xf>
    <xf numFmtId="164" fontId="2" fillId="0" borderId="30" xfId="1" applyFont="1" applyBorder="1" applyAlignment="1" applyProtection="1">
      <alignment vertical="center"/>
    </xf>
    <xf numFmtId="168" fontId="1" fillId="0" borderId="0" xfId="1" applyNumberFormat="1" applyFont="1" applyBorder="1" applyAlignment="1" applyProtection="1">
      <alignment horizontal="center" vertical="center"/>
    </xf>
    <xf numFmtId="164" fontId="2" fillId="0" borderId="7" xfId="1" applyFont="1" applyBorder="1" applyAlignment="1" applyProtection="1">
      <alignment vertical="center"/>
    </xf>
    <xf numFmtId="9" fontId="2" fillId="4" borderId="8" xfId="2" applyFont="1" applyFill="1" applyBorder="1" applyAlignment="1" applyProtection="1">
      <alignment vertical="center"/>
    </xf>
    <xf numFmtId="168" fontId="2" fillId="0" borderId="0" xfId="1" applyNumberFormat="1" applyFont="1" applyBorder="1" applyAlignment="1" applyProtection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164" fontId="7" fillId="5" borderId="34" xfId="1" applyFont="1" applyFill="1" applyBorder="1" applyAlignment="1" applyProtection="1">
      <alignment horizontal="center" vertical="center"/>
    </xf>
    <xf numFmtId="164" fontId="7" fillId="5" borderId="20" xfId="1" applyFont="1" applyFill="1" applyBorder="1" applyAlignment="1" applyProtection="1">
      <alignment horizontal="center" vertical="center"/>
    </xf>
    <xf numFmtId="164" fontId="1" fillId="6" borderId="0" xfId="1" applyFont="1" applyFill="1" applyBorder="1" applyAlignment="1" applyProtection="1">
      <alignment vertical="center"/>
    </xf>
    <xf numFmtId="0" fontId="1" fillId="6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164" fontId="1" fillId="0" borderId="35" xfId="1" applyFont="1" applyBorder="1" applyAlignment="1" applyProtection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1" applyFont="1" applyBorder="1" applyAlignment="1" applyProtection="1">
      <alignment horizontal="center" vertical="center"/>
    </xf>
    <xf numFmtId="164" fontId="2" fillId="0" borderId="36" xfId="1" applyFont="1" applyBorder="1" applyAlignment="1" applyProtection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164" fontId="1" fillId="7" borderId="15" xfId="1" applyFont="1" applyFill="1" applyBorder="1" applyAlignment="1" applyProtection="1">
      <alignment horizontal="center" vertical="center"/>
    </xf>
    <xf numFmtId="164" fontId="1" fillId="0" borderId="15" xfId="1" applyFont="1" applyBorder="1" applyAlignment="1" applyProtection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64" fontId="1" fillId="0" borderId="0" xfId="1" applyFont="1" applyBorder="1" applyAlignment="1" applyProtection="1">
      <alignment horizontal="right" vertical="center"/>
    </xf>
    <xf numFmtId="164" fontId="1" fillId="0" borderId="15" xfId="1" applyFont="1" applyBorder="1" applyAlignment="1" applyProtection="1">
      <alignment vertical="center"/>
    </xf>
    <xf numFmtId="164" fontId="2" fillId="5" borderId="8" xfId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right" vertical="center"/>
    </xf>
    <xf numFmtId="166" fontId="1" fillId="6" borderId="0" xfId="0" applyNumberFormat="1" applyFont="1" applyFill="1" applyAlignment="1">
      <alignment vertical="center"/>
    </xf>
    <xf numFmtId="168" fontId="1" fillId="0" borderId="15" xfId="1" applyNumberFormat="1" applyFont="1" applyBorder="1" applyAlignment="1" applyProtection="1">
      <alignment vertical="center"/>
    </xf>
    <xf numFmtId="164" fontId="1" fillId="4" borderId="15" xfId="1" applyFont="1" applyFill="1" applyBorder="1" applyAlignment="1" applyProtection="1">
      <alignment horizontal="center" vertical="center"/>
    </xf>
    <xf numFmtId="169" fontId="1" fillId="0" borderId="0" xfId="0" applyNumberFormat="1" applyFont="1" applyAlignment="1">
      <alignment vertical="center"/>
    </xf>
    <xf numFmtId="164" fontId="2" fillId="5" borderId="21" xfId="1" applyFont="1" applyFill="1" applyBorder="1" applyAlignment="1" applyProtection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1" applyFont="1" applyBorder="1" applyAlignment="1" applyProtection="1">
      <alignment vertical="center"/>
    </xf>
    <xf numFmtId="164" fontId="2" fillId="0" borderId="8" xfId="1" applyFont="1" applyBorder="1" applyAlignment="1" applyProtection="1">
      <alignment vertical="center"/>
    </xf>
    <xf numFmtId="0" fontId="7" fillId="5" borderId="34" xfId="0" applyFont="1" applyFill="1" applyBorder="1" applyAlignment="1">
      <alignment horizontal="center" vertical="center" wrapText="1"/>
    </xf>
    <xf numFmtId="13" fontId="1" fillId="4" borderId="15" xfId="0" applyNumberFormat="1" applyFont="1" applyFill="1" applyBorder="1" applyAlignment="1">
      <alignment horizontal="center" vertical="center"/>
    </xf>
    <xf numFmtId="164" fontId="1" fillId="4" borderId="35" xfId="1" applyFont="1" applyFill="1" applyBorder="1" applyAlignment="1" applyProtection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2" xfId="1" applyFont="1" applyBorder="1" applyAlignment="1" applyProtection="1">
      <alignment vertical="center"/>
    </xf>
    <xf numFmtId="164" fontId="1" fillId="0" borderId="8" xfId="1" applyFont="1" applyBorder="1" applyAlignment="1" applyProtection="1">
      <alignment vertical="center"/>
    </xf>
    <xf numFmtId="164" fontId="2" fillId="5" borderId="21" xfId="1" applyFont="1" applyFill="1" applyBorder="1" applyAlignment="1" applyProtection="1">
      <alignment horizontal="center" vertical="center"/>
    </xf>
    <xf numFmtId="166" fontId="1" fillId="0" borderId="0" xfId="0" applyNumberFormat="1" applyFont="1" applyAlignment="1">
      <alignment vertical="center"/>
    </xf>
    <xf numFmtId="0" fontId="11" fillId="0" borderId="0" xfId="3" applyBorder="1" applyAlignment="1" applyProtection="1">
      <alignment vertical="center"/>
    </xf>
    <xf numFmtId="164" fontId="1" fillId="0" borderId="0" xfId="1" applyFont="1" applyBorder="1" applyAlignment="1" applyProtection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164" fontId="2" fillId="0" borderId="37" xfId="1" applyFont="1" applyBorder="1" applyAlignment="1" applyProtection="1">
      <alignment horizontal="center" vertical="center"/>
    </xf>
    <xf numFmtId="164" fontId="1" fillId="7" borderId="15" xfId="1" applyFont="1" applyFill="1" applyBorder="1" applyAlignment="1" applyProtection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64" fontId="2" fillId="0" borderId="15" xfId="1" applyFont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26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164" fontId="7" fillId="5" borderId="38" xfId="1" applyFont="1" applyFill="1" applyBorder="1" applyAlignment="1" applyProtection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4" borderId="15" xfId="0" applyNumberFormat="1" applyFont="1" applyFill="1" applyBorder="1" applyAlignment="1">
      <alignment vertical="center"/>
    </xf>
    <xf numFmtId="4" fontId="1" fillId="4" borderId="15" xfId="0" applyNumberFormat="1" applyFont="1" applyFill="1" applyBorder="1" applyAlignment="1">
      <alignment horizontal="center" vertical="center"/>
    </xf>
    <xf numFmtId="168" fontId="1" fillId="0" borderId="15" xfId="1" applyNumberFormat="1" applyFont="1" applyBorder="1" applyAlignment="1" applyProtection="1">
      <alignment horizontal="center" vertical="center"/>
    </xf>
    <xf numFmtId="170" fontId="1" fillId="0" borderId="15" xfId="1" applyNumberFormat="1" applyFont="1" applyBorder="1" applyAlignment="1" applyProtection="1">
      <alignment horizontal="center" vertical="center"/>
    </xf>
    <xf numFmtId="168" fontId="2" fillId="0" borderId="15" xfId="1" applyNumberFormat="1" applyFont="1" applyBorder="1" applyAlignment="1" applyProtection="1">
      <alignment horizontal="center" vertical="center"/>
    </xf>
    <xf numFmtId="170" fontId="2" fillId="0" borderId="15" xfId="1" applyNumberFormat="1" applyFont="1" applyBorder="1" applyAlignment="1" applyProtection="1">
      <alignment horizontal="center" vertical="center"/>
    </xf>
    <xf numFmtId="170" fontId="1" fillId="0" borderId="0" xfId="1" applyNumberFormat="1" applyFont="1" applyBorder="1" applyAlignment="1" applyProtection="1">
      <alignment vertical="center"/>
    </xf>
    <xf numFmtId="0" fontId="13" fillId="0" borderId="15" xfId="0" applyFont="1" applyBorder="1" applyAlignment="1">
      <alignment horizontal="center" vertical="center"/>
    </xf>
    <xf numFmtId="164" fontId="14" fillId="0" borderId="15" xfId="1" applyFont="1" applyBorder="1" applyAlignment="1" applyProtection="1">
      <alignment horizontal="center" vertical="center"/>
    </xf>
    <xf numFmtId="164" fontId="12" fillId="0" borderId="0" xfId="1" applyFont="1" applyBorder="1" applyAlignment="1" applyProtection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0" xfId="1" applyFont="1" applyBorder="1" applyAlignment="1" applyProtection="1">
      <alignment vertical="center"/>
    </xf>
    <xf numFmtId="0" fontId="1" fillId="0" borderId="3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64" fontId="1" fillId="4" borderId="14" xfId="1" applyFont="1" applyFill="1" applyBorder="1" applyAlignment="1" applyProtection="1">
      <alignment vertical="center"/>
    </xf>
    <xf numFmtId="164" fontId="1" fillId="0" borderId="17" xfId="1" applyFont="1" applyBorder="1" applyAlignment="1" applyProtection="1">
      <alignment vertical="center"/>
    </xf>
    <xf numFmtId="164" fontId="2" fillId="0" borderId="8" xfId="1" applyFont="1" applyBorder="1" applyAlignment="1" applyProtection="1">
      <alignment horizontal="right" vertical="center"/>
    </xf>
    <xf numFmtId="164" fontId="2" fillId="5" borderId="21" xfId="1" applyFont="1" applyFill="1" applyBorder="1" applyAlignment="1" applyProtection="1">
      <alignment horizontal="right" vertical="center"/>
    </xf>
    <xf numFmtId="0" fontId="1" fillId="0" borderId="0" xfId="0" applyFont="1"/>
    <xf numFmtId="4" fontId="1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7" fillId="0" borderId="41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10" fontId="17" fillId="0" borderId="24" xfId="0" applyNumberFormat="1" applyFont="1" applyBorder="1" applyAlignment="1">
      <alignment horizontal="right" vertical="center"/>
    </xf>
    <xf numFmtId="0" fontId="18" fillId="0" borderId="15" xfId="0" applyFont="1" applyBorder="1" applyAlignment="1">
      <alignment horizontal="left" vertical="center"/>
    </xf>
    <xf numFmtId="10" fontId="18" fillId="0" borderId="24" xfId="0" applyNumberFormat="1" applyFont="1" applyBorder="1" applyAlignment="1">
      <alignment horizontal="right" vertical="center"/>
    </xf>
    <xf numFmtId="0" fontId="17" fillId="8" borderId="41" xfId="0" applyFont="1" applyFill="1" applyBorder="1" applyAlignment="1">
      <alignment horizontal="left" vertical="center"/>
    </xf>
    <xf numFmtId="0" fontId="18" fillId="8" borderId="15" xfId="0" applyFont="1" applyFill="1" applyBorder="1" applyAlignment="1">
      <alignment horizontal="left" vertical="center"/>
    </xf>
    <xf numFmtId="10" fontId="18" fillId="8" borderId="2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0" fontId="1" fillId="0" borderId="0" xfId="0" applyNumberFormat="1" applyFont="1"/>
    <xf numFmtId="9" fontId="17" fillId="0" borderId="0" xfId="2" applyFont="1" applyBorder="1" applyAlignment="1" applyProtection="1">
      <alignment horizontal="right" vertical="center"/>
    </xf>
    <xf numFmtId="0" fontId="17" fillId="0" borderId="15" xfId="0" applyFont="1" applyBorder="1" applyAlignment="1">
      <alignment horizontal="left" vertical="center" wrapText="1"/>
    </xf>
    <xf numFmtId="0" fontId="17" fillId="9" borderId="42" xfId="0" applyFont="1" applyFill="1" applyBorder="1" applyAlignment="1">
      <alignment horizontal="left" vertical="center"/>
    </xf>
    <xf numFmtId="0" fontId="18" fillId="9" borderId="43" xfId="0" applyFont="1" applyFill="1" applyBorder="1" applyAlignment="1">
      <alignment horizontal="left" vertical="center"/>
    </xf>
    <xf numFmtId="10" fontId="18" fillId="9" borderId="44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10" fontId="18" fillId="0" borderId="0" xfId="0" applyNumberFormat="1" applyFont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10" fontId="17" fillId="0" borderId="0" xfId="0" applyNumberFormat="1" applyFont="1" applyAlignment="1">
      <alignment horizontal="right" vertical="center"/>
    </xf>
    <xf numFmtId="0" fontId="17" fillId="2" borderId="0" xfId="0" applyFont="1" applyFill="1" applyAlignment="1">
      <alignment horizontal="left" vertical="center"/>
    </xf>
    <xf numFmtId="0" fontId="19" fillId="0" borderId="0" xfId="0" applyFont="1" applyAlignment="1">
      <alignment horizontal="justify" vertical="center"/>
    </xf>
    <xf numFmtId="0" fontId="11" fillId="0" borderId="0" xfId="3" applyBorder="1" applyAlignment="1" applyProtection="1">
      <alignment horizontal="left" vertical="center"/>
    </xf>
    <xf numFmtId="0" fontId="9" fillId="0" borderId="0" xfId="0" applyFont="1"/>
    <xf numFmtId="0" fontId="17" fillId="0" borderId="0" xfId="0" applyFont="1" applyAlignment="1">
      <alignment horizontal="right" vertical="center"/>
    </xf>
    <xf numFmtId="0" fontId="2" fillId="0" borderId="0" xfId="0" applyFont="1"/>
    <xf numFmtId="0" fontId="20" fillId="0" borderId="0" xfId="0" applyFont="1"/>
    <xf numFmtId="0" fontId="18" fillId="0" borderId="13" xfId="0" applyFont="1" applyBorder="1"/>
    <xf numFmtId="0" fontId="4" fillId="0" borderId="16" xfId="0" applyFont="1" applyBorder="1"/>
    <xf numFmtId="0" fontId="18" fillId="0" borderId="45" xfId="0" applyFont="1" applyBorder="1"/>
    <xf numFmtId="0" fontId="18" fillId="4" borderId="24" xfId="0" applyFont="1" applyFill="1" applyBorder="1"/>
    <xf numFmtId="0" fontId="18" fillId="0" borderId="41" xfId="0" applyFont="1" applyBorder="1"/>
    <xf numFmtId="0" fontId="4" fillId="0" borderId="41" xfId="0" applyFont="1" applyBorder="1"/>
    <xf numFmtId="0" fontId="4" fillId="4" borderId="24" xfId="0" applyFont="1" applyFill="1" applyBorder="1"/>
    <xf numFmtId="0" fontId="4" fillId="0" borderId="45" xfId="0" applyFont="1" applyBorder="1"/>
    <xf numFmtId="0" fontId="4" fillId="4" borderId="29" xfId="0" applyFont="1" applyFill="1" applyBorder="1"/>
    <xf numFmtId="0" fontId="4" fillId="0" borderId="27" xfId="0" applyFont="1" applyBorder="1"/>
    <xf numFmtId="0" fontId="4" fillId="0" borderId="46" xfId="0" applyFont="1" applyBorder="1"/>
    <xf numFmtId="0" fontId="4" fillId="4" borderId="47" xfId="0" applyFont="1" applyFill="1" applyBorder="1"/>
    <xf numFmtId="0" fontId="4" fillId="0" borderId="2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29" xfId="0" applyFont="1" applyBorder="1"/>
    <xf numFmtId="10" fontId="18" fillId="0" borderId="24" xfId="2" applyNumberFormat="1" applyFont="1" applyBorder="1" applyProtection="1"/>
    <xf numFmtId="171" fontId="5" fillId="0" borderId="24" xfId="0" applyNumberFormat="1" applyFont="1" applyBorder="1"/>
    <xf numFmtId="0" fontId="18" fillId="0" borderId="24" xfId="0" applyFont="1" applyBorder="1"/>
    <xf numFmtId="0" fontId="18" fillId="0" borderId="29" xfId="0" applyFont="1" applyBorder="1"/>
    <xf numFmtId="9" fontId="18" fillId="0" borderId="24" xfId="2" applyFont="1" applyBorder="1" applyProtection="1"/>
    <xf numFmtId="0" fontId="18" fillId="0" borderId="18" xfId="0" applyFont="1" applyBorder="1"/>
    <xf numFmtId="9" fontId="5" fillId="0" borderId="25" xfId="2" applyFont="1" applyBorder="1" applyProtection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9" fontId="4" fillId="0" borderId="41" xfId="2" applyFont="1" applyBorder="1" applyProtection="1"/>
    <xf numFmtId="9" fontId="4" fillId="0" borderId="15" xfId="2" applyFont="1" applyBorder="1" applyAlignment="1" applyProtection="1">
      <alignment horizontal="center"/>
    </xf>
    <xf numFmtId="9" fontId="4" fillId="0" borderId="24" xfId="2" applyFont="1" applyBorder="1" applyProtection="1"/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/>
    </xf>
    <xf numFmtId="10" fontId="4" fillId="4" borderId="12" xfId="0" applyNumberFormat="1" applyFont="1" applyFill="1" applyBorder="1" applyAlignment="1">
      <alignment horizontal="center" vertical="center"/>
    </xf>
    <xf numFmtId="10" fontId="4" fillId="0" borderId="41" xfId="2" applyNumberFormat="1" applyFont="1" applyBorder="1" applyAlignment="1" applyProtection="1">
      <alignment horizontal="right"/>
    </xf>
    <xf numFmtId="10" fontId="4" fillId="0" borderId="15" xfId="2" applyNumberFormat="1" applyFont="1" applyBorder="1" applyAlignment="1" applyProtection="1">
      <alignment horizontal="right"/>
    </xf>
    <xf numFmtId="10" fontId="4" fillId="0" borderId="24" xfId="2" applyNumberFormat="1" applyFont="1" applyBorder="1" applyAlignment="1" applyProtection="1">
      <alignment horizontal="right"/>
    </xf>
    <xf numFmtId="0" fontId="4" fillId="0" borderId="41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10" fontId="4" fillId="4" borderId="24" xfId="0" applyNumberFormat="1" applyFont="1" applyFill="1" applyBorder="1" applyAlignment="1">
      <alignment horizontal="center" vertical="center"/>
    </xf>
    <xf numFmtId="10" fontId="4" fillId="0" borderId="24" xfId="0" applyNumberFormat="1" applyFont="1" applyBorder="1" applyAlignment="1">
      <alignment horizontal="center" vertical="center"/>
    </xf>
    <xf numFmtId="10" fontId="4" fillId="4" borderId="15" xfId="2" applyNumberFormat="1" applyFont="1" applyFill="1" applyBorder="1" applyAlignment="1" applyProtection="1">
      <alignment horizontal="center"/>
    </xf>
    <xf numFmtId="10" fontId="4" fillId="0" borderId="24" xfId="2" applyNumberFormat="1" applyFont="1" applyBorder="1" applyProtection="1"/>
    <xf numFmtId="0" fontId="4" fillId="0" borderId="41" xfId="0" applyFont="1" applyBorder="1" applyAlignment="1">
      <alignment horizontal="right"/>
    </xf>
    <xf numFmtId="0" fontId="4" fillId="4" borderId="15" xfId="0" applyFont="1" applyFill="1" applyBorder="1" applyAlignment="1">
      <alignment horizontal="center"/>
    </xf>
    <xf numFmtId="0" fontId="4" fillId="0" borderId="42" xfId="0" applyFont="1" applyBorder="1" applyAlignment="1">
      <alignment horizontal="left" vertical="center"/>
    </xf>
    <xf numFmtId="10" fontId="4" fillId="4" borderId="44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3" xfId="0" applyFont="1" applyBorder="1" applyAlignment="1">
      <alignment vertical="center"/>
    </xf>
    <xf numFmtId="0" fontId="5" fillId="8" borderId="7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/>
    </xf>
    <xf numFmtId="10" fontId="5" fillId="8" borderId="8" xfId="0" applyNumberFormat="1" applyFont="1" applyFill="1" applyBorder="1" applyAlignment="1">
      <alignment horizontal="center" vertical="center" wrapText="1"/>
    </xf>
    <xf numFmtId="10" fontId="4" fillId="0" borderId="42" xfId="2" applyNumberFormat="1" applyFont="1" applyBorder="1" applyAlignment="1" applyProtection="1">
      <alignment horizontal="right"/>
    </xf>
    <xf numFmtId="10" fontId="4" fillId="0" borderId="43" xfId="2" applyNumberFormat="1" applyFont="1" applyBorder="1" applyAlignment="1" applyProtection="1">
      <alignment horizontal="right"/>
    </xf>
    <xf numFmtId="10" fontId="4" fillId="0" borderId="44" xfId="2" applyNumberFormat="1" applyFont="1" applyBorder="1" applyAlignment="1" applyProtection="1">
      <alignment horizontal="right"/>
    </xf>
    <xf numFmtId="0" fontId="18" fillId="0" borderId="41" xfId="0" applyFont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2" fontId="17" fillId="11" borderId="15" xfId="0" applyNumberFormat="1" applyFont="1" applyFill="1" applyBorder="1" applyAlignment="1">
      <alignment horizontal="right" vertical="center"/>
    </xf>
    <xf numFmtId="0" fontId="17" fillId="0" borderId="42" xfId="0" applyFont="1" applyBorder="1" applyAlignment="1">
      <alignment horizontal="center" vertical="center"/>
    </xf>
    <xf numFmtId="2" fontId="17" fillId="11" borderId="43" xfId="0" applyNumberFormat="1" applyFont="1" applyFill="1" applyBorder="1" applyAlignment="1">
      <alignment horizontal="right" vertical="center"/>
    </xf>
    <xf numFmtId="0" fontId="3" fillId="10" borderId="3" xfId="0" applyFont="1" applyFill="1" applyBorder="1" applyAlignment="1">
      <alignment horizontal="center"/>
    </xf>
    <xf numFmtId="0" fontId="1" fillId="0" borderId="54" xfId="0" applyFont="1" applyBorder="1"/>
    <xf numFmtId="0" fontId="22" fillId="0" borderId="54" xfId="0" applyFont="1" applyBorder="1" applyAlignment="1">
      <alignment horizontal="justify"/>
    </xf>
    <xf numFmtId="0" fontId="22" fillId="0" borderId="55" xfId="0" applyFont="1" applyBorder="1" applyAlignment="1">
      <alignment horizontal="justify"/>
    </xf>
    <xf numFmtId="0" fontId="3" fillId="0" borderId="4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41" xfId="0" applyFont="1" applyBorder="1"/>
    <xf numFmtId="0" fontId="5" fillId="0" borderId="15" xfId="0" applyFont="1" applyBorder="1"/>
    <xf numFmtId="0" fontId="5" fillId="0" borderId="24" xfId="0" applyFont="1" applyBorder="1"/>
    <xf numFmtId="0" fontId="4" fillId="0" borderId="15" xfId="0" applyFont="1" applyBorder="1"/>
    <xf numFmtId="3" fontId="24" fillId="0" borderId="0" xfId="0" applyNumberFormat="1" applyFont="1"/>
    <xf numFmtId="172" fontId="17" fillId="0" borderId="24" xfId="1" applyNumberFormat="1" applyFont="1" applyBorder="1" applyAlignment="1" applyProtection="1">
      <alignment horizontal="center" vertical="center" wrapText="1"/>
    </xf>
    <xf numFmtId="173" fontId="4" fillId="0" borderId="24" xfId="0" applyNumberFormat="1" applyFont="1" applyBorder="1"/>
    <xf numFmtId="2" fontId="4" fillId="0" borderId="24" xfId="0" applyNumberFormat="1" applyFont="1" applyBorder="1"/>
    <xf numFmtId="173" fontId="4" fillId="4" borderId="24" xfId="0" applyNumberFormat="1" applyFont="1" applyFill="1" applyBorder="1"/>
    <xf numFmtId="174" fontId="4" fillId="4" borderId="24" xfId="0" applyNumberFormat="1" applyFont="1" applyFill="1" applyBorder="1"/>
    <xf numFmtId="0" fontId="4" fillId="0" borderId="42" xfId="0" applyFont="1" applyBorder="1"/>
    <xf numFmtId="0" fontId="4" fillId="0" borderId="43" xfId="0" applyFont="1" applyBorder="1"/>
    <xf numFmtId="173" fontId="4" fillId="0" borderId="44" xfId="0" applyNumberFormat="1" applyFont="1" applyBorder="1"/>
    <xf numFmtId="0" fontId="9" fillId="0" borderId="35" xfId="0" applyFont="1" applyBorder="1" applyAlignment="1">
      <alignment vertical="center"/>
    </xf>
    <xf numFmtId="0" fontId="9" fillId="0" borderId="35" xfId="0" applyFont="1" applyBorder="1" applyAlignment="1">
      <alignment horizontal="center" vertical="center"/>
    </xf>
    <xf numFmtId="164" fontId="9" fillId="0" borderId="35" xfId="1" applyFont="1" applyBorder="1" applyAlignment="1" applyProtection="1">
      <alignment horizontal="center" vertical="center"/>
    </xf>
    <xf numFmtId="164" fontId="9" fillId="0" borderId="0" xfId="1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2" fontId="1" fillId="0" borderId="15" xfId="0" applyNumberFormat="1" applyFont="1" applyBorder="1" applyAlignment="1">
      <alignment horizontal="center" vertical="center"/>
    </xf>
    <xf numFmtId="164" fontId="1" fillId="0" borderId="0" xfId="1" applyFont="1" applyBorder="1" applyAlignment="1" applyProtection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Font="1" applyBorder="1" applyAlignment="1" applyProtection="1">
      <alignment horizontal="center" vertical="center"/>
    </xf>
    <xf numFmtId="164" fontId="2" fillId="12" borderId="8" xfId="1" applyFont="1" applyFill="1" applyBorder="1" applyAlignment="1" applyProtection="1">
      <alignment horizontal="center" vertical="center"/>
    </xf>
    <xf numFmtId="168" fontId="1" fillId="0" borderId="0" xfId="0" applyNumberFormat="1" applyFont="1" applyAlignment="1">
      <alignment vertical="center"/>
    </xf>
    <xf numFmtId="164" fontId="2" fillId="12" borderId="21" xfId="1" applyFont="1" applyFill="1" applyBorder="1" applyAlignment="1" applyProtection="1">
      <alignment vertical="center"/>
    </xf>
    <xf numFmtId="164" fontId="2" fillId="12" borderId="21" xfId="1" applyFont="1" applyFill="1" applyBorder="1" applyAlignment="1" applyProtection="1">
      <alignment horizontal="center" vertical="center"/>
    </xf>
    <xf numFmtId="4" fontId="1" fillId="0" borderId="35" xfId="0" applyNumberFormat="1" applyFont="1" applyBorder="1" applyAlignment="1">
      <alignment horizontal="center" vertical="center"/>
    </xf>
    <xf numFmtId="170" fontId="1" fillId="0" borderId="35" xfId="1" applyNumberFormat="1" applyFont="1" applyBorder="1" applyAlignment="1" applyProtection="1">
      <alignment horizontal="center" vertical="center"/>
    </xf>
    <xf numFmtId="4" fontId="1" fillId="0" borderId="15" xfId="1" applyNumberFormat="1" applyFont="1" applyBorder="1" applyAlignment="1" applyProtection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164" fontId="7" fillId="0" borderId="34" xfId="1" applyFont="1" applyBorder="1" applyAlignment="1" applyProtection="1">
      <alignment horizontal="center" vertical="center"/>
    </xf>
    <xf numFmtId="164" fontId="7" fillId="0" borderId="20" xfId="1" applyFont="1" applyBorder="1" applyAlignment="1" applyProtection="1">
      <alignment horizontal="center" vertical="center"/>
    </xf>
    <xf numFmtId="43" fontId="2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75" fontId="1" fillId="0" borderId="0" xfId="0" applyNumberFormat="1" applyFont="1" applyAlignment="1">
      <alignment vertical="center"/>
    </xf>
    <xf numFmtId="164" fontId="1" fillId="13" borderId="15" xfId="1" applyFont="1" applyFill="1" applyBorder="1" applyAlignment="1" applyProtection="1">
      <alignment vertical="center"/>
    </xf>
    <xf numFmtId="43" fontId="1" fillId="0" borderId="0" xfId="0" applyNumberFormat="1" applyFont="1" applyAlignment="1">
      <alignment vertical="center"/>
    </xf>
    <xf numFmtId="43" fontId="12" fillId="0" borderId="0" xfId="0" applyNumberFormat="1" applyFont="1" applyAlignment="1">
      <alignment vertical="center"/>
    </xf>
    <xf numFmtId="164" fontId="30" fillId="0" borderId="0" xfId="1" applyFont="1" applyBorder="1" applyAlignment="1" applyProtection="1">
      <alignment vertical="center"/>
    </xf>
    <xf numFmtId="0" fontId="12" fillId="0" borderId="15" xfId="0" applyFont="1" applyBorder="1" applyAlignment="1">
      <alignment vertical="center"/>
    </xf>
    <xf numFmtId="44" fontId="12" fillId="0" borderId="15" xfId="4" applyFont="1" applyFill="1" applyBorder="1" applyAlignment="1">
      <alignment vertical="center"/>
    </xf>
    <xf numFmtId="43" fontId="12" fillId="0" borderId="15" xfId="0" applyNumberFormat="1" applyFont="1" applyBorder="1" applyAlignment="1">
      <alignment vertical="center"/>
    </xf>
    <xf numFmtId="44" fontId="1" fillId="0" borderId="0" xfId="0" applyNumberFormat="1" applyFont="1" applyAlignment="1">
      <alignment vertical="center"/>
    </xf>
    <xf numFmtId="44" fontId="28" fillId="0" borderId="0" xfId="4" applyFont="1"/>
    <xf numFmtId="44" fontId="1" fillId="0" borderId="0" xfId="4" applyFont="1" applyFill="1" applyAlignment="1">
      <alignment vertical="center"/>
    </xf>
    <xf numFmtId="44" fontId="1" fillId="0" borderId="0" xfId="4" applyFont="1" applyAlignment="1">
      <alignment vertical="center"/>
    </xf>
    <xf numFmtId="44" fontId="10" fillId="0" borderId="0" xfId="0" applyNumberFormat="1" applyFont="1" applyAlignment="1">
      <alignment vertical="center"/>
    </xf>
    <xf numFmtId="44" fontId="0" fillId="0" borderId="0" xfId="4" applyFont="1" applyAlignment="1">
      <alignment vertical="center"/>
    </xf>
    <xf numFmtId="3" fontId="1" fillId="14" borderId="15" xfId="0" applyNumberFormat="1" applyFont="1" applyFill="1" applyBorder="1" applyAlignment="1">
      <alignment vertical="center"/>
    </xf>
    <xf numFmtId="164" fontId="7" fillId="5" borderId="23" xfId="1" applyFont="1" applyFill="1" applyBorder="1" applyAlignment="1" applyProtection="1">
      <alignment horizontal="center" vertical="center"/>
    </xf>
    <xf numFmtId="164" fontId="2" fillId="0" borderId="15" xfId="1" applyFont="1" applyBorder="1" applyAlignment="1" applyProtection="1">
      <alignment vertical="center"/>
    </xf>
    <xf numFmtId="164" fontId="1" fillId="0" borderId="15" xfId="1" applyFont="1" applyBorder="1" applyAlignment="1" applyProtection="1">
      <alignment horizontal="right" vertical="center"/>
    </xf>
    <xf numFmtId="164" fontId="2" fillId="5" borderId="15" xfId="1" applyFont="1" applyFill="1" applyBorder="1" applyAlignment="1" applyProtection="1">
      <alignment vertical="center"/>
    </xf>
    <xf numFmtId="2" fontId="1" fillId="0" borderId="0" xfId="0" applyNumberFormat="1" applyFont="1" applyAlignment="1">
      <alignment vertical="center"/>
    </xf>
    <xf numFmtId="164" fontId="1" fillId="4" borderId="35" xfId="1" applyFont="1" applyFill="1" applyBorder="1" applyAlignment="1" applyProtection="1">
      <alignment horizontal="center" vertical="center" wrapText="1"/>
    </xf>
    <xf numFmtId="164" fontId="2" fillId="15" borderId="15" xfId="1" applyFont="1" applyFill="1" applyBorder="1" applyAlignment="1" applyProtection="1">
      <alignment horizontal="center" vertical="center"/>
    </xf>
    <xf numFmtId="0" fontId="2" fillId="15" borderId="15" xfId="0" applyFont="1" applyFill="1" applyBorder="1" applyAlignment="1">
      <alignment horizontal="center" vertical="center"/>
    </xf>
    <xf numFmtId="0" fontId="1" fillId="15" borderId="15" xfId="0" applyFont="1" applyFill="1" applyBorder="1" applyAlignment="1">
      <alignment horizontal="center" vertical="center"/>
    </xf>
    <xf numFmtId="164" fontId="1" fillId="15" borderId="15" xfId="1" applyFont="1" applyFill="1" applyBorder="1" applyAlignment="1" applyProtection="1">
      <alignment horizontal="center" vertical="center"/>
    </xf>
    <xf numFmtId="164" fontId="2" fillId="15" borderId="36" xfId="1" applyFont="1" applyFill="1" applyBorder="1" applyAlignment="1" applyProtection="1">
      <alignment horizontal="center" vertical="center"/>
    </xf>
    <xf numFmtId="0" fontId="28" fillId="0" borderId="15" xfId="0" applyFont="1" applyBorder="1" applyAlignment="1">
      <alignment vertical="center"/>
    </xf>
    <xf numFmtId="164" fontId="2" fillId="15" borderId="21" xfId="1" applyFont="1" applyFill="1" applyBorder="1" applyAlignment="1" applyProtection="1">
      <alignment horizontal="center" vertical="center"/>
    </xf>
    <xf numFmtId="0" fontId="1" fillId="14" borderId="15" xfId="0" applyFont="1" applyFill="1" applyBorder="1" applyAlignment="1">
      <alignment horizontal="center" vertical="center"/>
    </xf>
    <xf numFmtId="164" fontId="1" fillId="14" borderId="15" xfId="1" applyFont="1" applyFill="1" applyBorder="1" applyAlignment="1" applyProtection="1">
      <alignment horizontal="center" vertical="center"/>
    </xf>
    <xf numFmtId="164" fontId="31" fillId="0" borderId="7" xfId="1" applyFont="1" applyBorder="1" applyAlignment="1" applyProtection="1">
      <alignment vertical="center"/>
    </xf>
    <xf numFmtId="164" fontId="33" fillId="0" borderId="0" xfId="1" applyFont="1" applyBorder="1" applyAlignment="1" applyProtection="1">
      <alignment vertical="center"/>
    </xf>
    <xf numFmtId="164" fontId="31" fillId="0" borderId="15" xfId="1" applyFont="1" applyBorder="1" applyAlignment="1" applyProtection="1">
      <alignment horizontal="center" vertical="center"/>
    </xf>
    <xf numFmtId="0" fontId="31" fillId="0" borderId="15" xfId="0" applyFont="1" applyBorder="1" applyAlignment="1">
      <alignment horizontal="center" vertical="center"/>
    </xf>
    <xf numFmtId="164" fontId="31" fillId="12" borderId="15" xfId="1" applyFont="1" applyFill="1" applyBorder="1" applyAlignment="1" applyProtection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164" fontId="0" fillId="0" borderId="15" xfId="1" applyFont="1" applyBorder="1" applyAlignment="1" applyProtection="1">
      <alignment vertical="center"/>
    </xf>
    <xf numFmtId="0" fontId="0" fillId="0" borderId="15" xfId="0" applyBorder="1" applyAlignment="1">
      <alignment vertical="center"/>
    </xf>
    <xf numFmtId="164" fontId="2" fillId="0" borderId="15" xfId="0" applyNumberFormat="1" applyFont="1" applyBorder="1" applyAlignment="1">
      <alignment vertical="center"/>
    </xf>
    <xf numFmtId="164" fontId="2" fillId="12" borderId="15" xfId="0" applyNumberFormat="1" applyFont="1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1" fillId="16" borderId="15" xfId="0" applyFont="1" applyFill="1" applyBorder="1" applyAlignment="1">
      <alignment horizontal="center" vertical="center"/>
    </xf>
    <xf numFmtId="164" fontId="1" fillId="17" borderId="15" xfId="1" applyFont="1" applyFill="1" applyBorder="1" applyAlignment="1" applyProtection="1">
      <alignment vertical="center"/>
    </xf>
    <xf numFmtId="2" fontId="2" fillId="16" borderId="15" xfId="0" applyNumberFormat="1" applyFont="1" applyFill="1" applyBorder="1" applyAlignment="1">
      <alignment horizontal="right" vertical="center"/>
    </xf>
    <xf numFmtId="0" fontId="0" fillId="18" borderId="15" xfId="0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19" borderId="15" xfId="0" applyNumberFormat="1" applyFill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18" borderId="15" xfId="0" applyNumberFormat="1" applyFill="1" applyBorder="1" applyAlignment="1">
      <alignment vertical="center"/>
    </xf>
    <xf numFmtId="164" fontId="2" fillId="0" borderId="15" xfId="0" applyNumberFormat="1" applyFont="1" applyBorder="1" applyAlignment="1">
      <alignment horizontal="center" vertical="center"/>
    </xf>
    <xf numFmtId="164" fontId="0" fillId="12" borderId="15" xfId="0" applyNumberFormat="1" applyFill="1" applyBorder="1" applyAlignment="1">
      <alignment vertical="center"/>
    </xf>
    <xf numFmtId="170" fontId="1" fillId="0" borderId="0" xfId="0" applyNumberFormat="1" applyFont="1" applyAlignment="1">
      <alignment vertical="center"/>
    </xf>
    <xf numFmtId="0" fontId="31" fillId="0" borderId="2" xfId="0" applyFont="1" applyBorder="1" applyAlignment="1">
      <alignment vertical="center"/>
    </xf>
    <xf numFmtId="164" fontId="31" fillId="12" borderId="21" xfId="0" applyNumberFormat="1" applyFont="1" applyFill="1" applyBorder="1" applyAlignment="1">
      <alignment vertical="center"/>
    </xf>
    <xf numFmtId="44" fontId="0" fillId="0" borderId="15" xfId="4" applyFont="1" applyBorder="1" applyAlignment="1">
      <alignment vertical="center"/>
    </xf>
    <xf numFmtId="44" fontId="31" fillId="12" borderId="15" xfId="4" applyFont="1" applyFill="1" applyBorder="1" applyAlignment="1">
      <alignment horizontal="center" vertical="center"/>
    </xf>
    <xf numFmtId="10" fontId="31" fillId="16" borderId="15" xfId="2" applyNumberFormat="1" applyFont="1" applyFill="1" applyBorder="1"/>
    <xf numFmtId="173" fontId="2" fillId="0" borderId="0" xfId="0" applyNumberFormat="1" applyFont="1" applyAlignment="1">
      <alignment vertical="center"/>
    </xf>
    <xf numFmtId="173" fontId="31" fillId="12" borderId="15" xfId="0" applyNumberFormat="1" applyFont="1" applyFill="1" applyBorder="1" applyAlignment="1">
      <alignment vertical="center"/>
    </xf>
    <xf numFmtId="173" fontId="31" fillId="12" borderId="20" xfId="0" applyNumberFormat="1" applyFont="1" applyFill="1" applyBorder="1" applyAlignment="1">
      <alignment vertical="center"/>
    </xf>
    <xf numFmtId="164" fontId="34" fillId="0" borderId="7" xfId="1" applyFont="1" applyBorder="1" applyAlignment="1" applyProtection="1">
      <alignment vertical="center"/>
    </xf>
    <xf numFmtId="0" fontId="34" fillId="0" borderId="2" xfId="0" applyFont="1" applyBorder="1" applyAlignment="1">
      <alignment vertical="center"/>
    </xf>
    <xf numFmtId="173" fontId="34" fillId="0" borderId="21" xfId="0" applyNumberFormat="1" applyFont="1" applyBorder="1" applyAlignment="1">
      <alignment vertical="center"/>
    </xf>
    <xf numFmtId="164" fontId="34" fillId="12" borderId="21" xfId="0" applyNumberFormat="1" applyFont="1" applyFill="1" applyBorder="1" applyAlignment="1">
      <alignment vertical="center"/>
    </xf>
    <xf numFmtId="10" fontId="0" fillId="14" borderId="15" xfId="0" applyNumberForma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4" fontId="36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4" fontId="37" fillId="0" borderId="0" xfId="0" applyNumberFormat="1" applyFont="1" applyAlignment="1">
      <alignment vertical="center"/>
    </xf>
    <xf numFmtId="164" fontId="28" fillId="0" borderId="0" xfId="1" applyBorder="1" applyAlignment="1" applyProtection="1">
      <alignment vertical="center"/>
    </xf>
    <xf numFmtId="9" fontId="31" fillId="14" borderId="21" xfId="2" applyFont="1" applyFill="1" applyBorder="1"/>
    <xf numFmtId="173" fontId="2" fillId="0" borderId="15" xfId="0" applyNumberFormat="1" applyFont="1" applyBorder="1" applyAlignment="1">
      <alignment vertical="center"/>
    </xf>
    <xf numFmtId="173" fontId="0" fillId="0" borderId="15" xfId="0" applyNumberFormat="1" applyBorder="1" applyAlignment="1">
      <alignment vertical="center"/>
    </xf>
    <xf numFmtId="165" fontId="31" fillId="0" borderId="15" xfId="0" applyNumberFormat="1" applyFont="1" applyBorder="1" applyAlignment="1">
      <alignment vertical="center"/>
    </xf>
    <xf numFmtId="164" fontId="1" fillId="17" borderId="15" xfId="1" applyFont="1" applyFill="1" applyBorder="1" applyAlignment="1" applyProtection="1">
      <alignment horizontal="center" vertical="center"/>
    </xf>
    <xf numFmtId="164" fontId="28" fillId="16" borderId="15" xfId="2" applyNumberFormat="1" applyFill="1" applyBorder="1" applyProtection="1"/>
    <xf numFmtId="164" fontId="9" fillId="14" borderId="35" xfId="1" applyFont="1" applyFill="1" applyBorder="1" applyAlignment="1" applyProtection="1">
      <alignment horizontal="center" vertical="center"/>
    </xf>
    <xf numFmtId="2" fontId="1" fillId="14" borderId="15" xfId="0" applyNumberFormat="1" applyFont="1" applyFill="1" applyBorder="1" applyAlignment="1">
      <alignment horizontal="center" vertical="center"/>
    </xf>
    <xf numFmtId="164" fontId="1" fillId="14" borderId="35" xfId="1" applyFont="1" applyFill="1" applyBorder="1" applyAlignment="1" applyProtection="1">
      <alignment horizontal="center" vertical="center"/>
    </xf>
    <xf numFmtId="1" fontId="1" fillId="14" borderId="15" xfId="0" applyNumberFormat="1" applyFont="1" applyFill="1" applyBorder="1" applyAlignment="1">
      <alignment horizontal="center" vertical="center"/>
    </xf>
    <xf numFmtId="164" fontId="1" fillId="14" borderId="0" xfId="1" applyFont="1" applyFill="1" applyBorder="1" applyAlignment="1" applyProtection="1">
      <alignment vertical="center"/>
    </xf>
    <xf numFmtId="0" fontId="1" fillId="14" borderId="0" xfId="0" applyFont="1" applyFill="1" applyAlignment="1">
      <alignment vertical="center"/>
    </xf>
    <xf numFmtId="170" fontId="1" fillId="14" borderId="35" xfId="1" applyNumberFormat="1" applyFont="1" applyFill="1" applyBorder="1" applyAlignment="1" applyProtection="1">
      <alignment horizontal="center" vertical="center"/>
    </xf>
    <xf numFmtId="4" fontId="1" fillId="14" borderId="35" xfId="0" applyNumberFormat="1" applyFont="1" applyFill="1" applyBorder="1" applyAlignment="1">
      <alignment horizontal="center" vertical="center"/>
    </xf>
    <xf numFmtId="4" fontId="1" fillId="14" borderId="15" xfId="0" applyNumberFormat="1" applyFont="1" applyFill="1" applyBorder="1" applyAlignment="1">
      <alignment horizontal="center" vertical="center"/>
    </xf>
    <xf numFmtId="0" fontId="1" fillId="14" borderId="35" xfId="0" applyFont="1" applyFill="1" applyBorder="1" applyAlignment="1">
      <alignment horizontal="center" vertical="center"/>
    </xf>
    <xf numFmtId="3" fontId="1" fillId="14" borderId="15" xfId="0" applyNumberFormat="1" applyFont="1" applyFill="1" applyBorder="1" applyAlignment="1">
      <alignment horizontal="center" vertical="center"/>
    </xf>
    <xf numFmtId="164" fontId="1" fillId="16" borderId="15" xfId="1" applyFont="1" applyFill="1" applyBorder="1" applyAlignment="1" applyProtection="1">
      <alignment horizontal="center" vertical="center"/>
    </xf>
    <xf numFmtId="0" fontId="1" fillId="12" borderId="15" xfId="0" applyFont="1" applyFill="1" applyBorder="1" applyAlignment="1">
      <alignment vertical="center"/>
    </xf>
    <xf numFmtId="164" fontId="1" fillId="12" borderId="15" xfId="1" applyFont="1" applyFill="1" applyBorder="1" applyAlignment="1" applyProtection="1">
      <alignment vertical="center"/>
    </xf>
    <xf numFmtId="164" fontId="1" fillId="0" borderId="35" xfId="1" applyFont="1" applyBorder="1" applyAlignment="1" applyProtection="1">
      <alignment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34" xfId="0" applyFont="1" applyFill="1" applyBorder="1" applyAlignment="1">
      <alignment horizontal="center" vertical="center"/>
    </xf>
    <xf numFmtId="164" fontId="31" fillId="12" borderId="34" xfId="1" applyFont="1" applyFill="1" applyBorder="1" applyAlignment="1" applyProtection="1">
      <alignment horizontal="center" vertical="center"/>
    </xf>
    <xf numFmtId="164" fontId="31" fillId="12" borderId="20" xfId="1" applyFont="1" applyFill="1" applyBorder="1" applyAlignment="1" applyProtection="1">
      <alignment horizontal="center" vertical="center"/>
    </xf>
    <xf numFmtId="0" fontId="28" fillId="0" borderId="15" xfId="0" applyFont="1" applyBorder="1" applyAlignment="1">
      <alignment horizontal="center" vertical="center"/>
    </xf>
    <xf numFmtId="164" fontId="28" fillId="14" borderId="35" xfId="1" applyFill="1" applyBorder="1" applyAlignment="1">
      <alignment horizontal="center" vertical="center"/>
    </xf>
    <xf numFmtId="164" fontId="28" fillId="0" borderId="15" xfId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0" borderId="22" xfId="1" applyFont="1" applyBorder="1" applyAlignment="1" applyProtection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4" fontId="6" fillId="3" borderId="7" xfId="1" applyFont="1" applyFill="1" applyBorder="1" applyAlignment="1" applyProtection="1">
      <alignment horizontal="center" vertical="center"/>
    </xf>
    <xf numFmtId="164" fontId="2" fillId="0" borderId="13" xfId="1" applyFont="1" applyBorder="1" applyAlignment="1" applyProtection="1">
      <alignment horizontal="left" vertical="center"/>
    </xf>
    <xf numFmtId="164" fontId="6" fillId="3" borderId="21" xfId="1" applyFont="1" applyFill="1" applyBorder="1" applyAlignment="1" applyProtection="1">
      <alignment horizontal="center" vertical="center"/>
    </xf>
    <xf numFmtId="164" fontId="32" fillId="12" borderId="50" xfId="1" applyFont="1" applyFill="1" applyBorder="1" applyAlignment="1" applyProtection="1">
      <alignment horizontal="center" vertical="center"/>
    </xf>
    <xf numFmtId="164" fontId="32" fillId="12" borderId="51" xfId="1" applyFont="1" applyFill="1" applyBorder="1" applyAlignment="1" applyProtection="1">
      <alignment horizontal="center" vertical="center"/>
    </xf>
    <xf numFmtId="164" fontId="32" fillId="12" borderId="52" xfId="1" applyFont="1" applyFill="1" applyBorder="1" applyAlignment="1" applyProtection="1">
      <alignment horizontal="center" vertical="center"/>
    </xf>
    <xf numFmtId="164" fontId="32" fillId="12" borderId="5" xfId="1" applyFont="1" applyFill="1" applyBorder="1" applyAlignment="1" applyProtection="1">
      <alignment horizontal="center" vertical="center"/>
    </xf>
    <xf numFmtId="164" fontId="32" fillId="12" borderId="0" xfId="1" applyFont="1" applyFill="1" applyBorder="1" applyAlignment="1" applyProtection="1">
      <alignment horizontal="center" vertical="center"/>
    </xf>
    <xf numFmtId="164" fontId="32" fillId="12" borderId="6" xfId="1" applyFont="1" applyFill="1" applyBorder="1" applyAlignment="1" applyProtection="1">
      <alignment horizontal="center" vertical="center"/>
    </xf>
    <xf numFmtId="164" fontId="32" fillId="12" borderId="18" xfId="1" applyFont="1" applyFill="1" applyBorder="1" applyAlignment="1" applyProtection="1">
      <alignment horizontal="center" vertical="center"/>
    </xf>
    <xf numFmtId="164" fontId="32" fillId="12" borderId="1" xfId="1" applyFont="1" applyFill="1" applyBorder="1" applyAlignment="1" applyProtection="1">
      <alignment horizontal="center" vertical="center"/>
    </xf>
    <xf numFmtId="164" fontId="32" fillId="12" borderId="53" xfId="1" applyFont="1" applyFill="1" applyBorder="1" applyAlignment="1" applyProtection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10" borderId="40" xfId="0" applyFont="1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9" fontId="5" fillId="0" borderId="40" xfId="2" applyFont="1" applyBorder="1" applyAlignment="1" applyProtection="1">
      <alignment horizontal="center"/>
    </xf>
    <xf numFmtId="0" fontId="4" fillId="0" borderId="43" xfId="0" applyFont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</cellXfs>
  <cellStyles count="6">
    <cellStyle name="Hiperlink" xfId="3" builtinId="8"/>
    <cellStyle name="Moeda" xfId="4" builtinId="4"/>
    <cellStyle name="Moeda 2" xfId="5" xr:uid="{30EB52D1-FDBA-4E05-8CEF-6C238BD0FDAB}"/>
    <cellStyle name="Normal" xfId="0" builtinId="0"/>
    <cellStyle name="Porcentagem" xfId="2" builtinId="5"/>
    <cellStyle name="Vírgula" xfId="1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BFBFBF"/>
      <rgbColor rgb="FFFF99CC"/>
      <rgbColor rgb="FFCC99FF"/>
      <rgbColor rgb="FFDDD9C3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133200</xdr:colOff>
      <xdr:row>4</xdr:row>
      <xdr:rowOff>28440</xdr:rowOff>
    </xdr:from>
    <xdr:to>
      <xdr:col>0</xdr:col>
      <xdr:colOff>1418040</xdr:colOff>
      <xdr:row>6</xdr:row>
      <xdr:rowOff>65520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3200" y="742680"/>
          <a:ext cx="1284840" cy="360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85680</xdr:colOff>
      <xdr:row>7</xdr:row>
      <xdr:rowOff>9360</xdr:rowOff>
    </xdr:from>
    <xdr:to>
      <xdr:col>0</xdr:col>
      <xdr:colOff>2122920</xdr:colOff>
      <xdr:row>9</xdr:row>
      <xdr:rowOff>55800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5680" y="1209240"/>
          <a:ext cx="2037240" cy="3704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38"/>
  <sheetViews>
    <sheetView tabSelected="1" view="pageBreakPreview" topLeftCell="A133" zoomScaleNormal="100" zoomScaleSheetLayoutView="100" workbookViewId="0">
      <selection activeCell="H12" sqref="H12"/>
    </sheetView>
  </sheetViews>
  <sheetFormatPr defaultColWidth="9.140625" defaultRowHeight="12.75" x14ac:dyDescent="0.2"/>
  <cols>
    <col min="1" max="1" width="44.5703125" style="1" customWidth="1"/>
    <col min="2" max="2" width="16" style="1" customWidth="1"/>
    <col min="3" max="3" width="11.85546875" style="1" customWidth="1"/>
    <col min="4" max="4" width="14.7109375" style="2" customWidth="1"/>
    <col min="5" max="5" width="15.42578125" style="2" customWidth="1"/>
    <col min="6" max="6" width="13.28515625" style="2" customWidth="1"/>
    <col min="7" max="7" width="28.140625" style="2" customWidth="1"/>
    <col min="8" max="8" width="12" style="1" bestFit="1" customWidth="1"/>
    <col min="9" max="9" width="14.5703125" style="1" customWidth="1"/>
    <col min="10" max="10" width="13.42578125" style="1" customWidth="1"/>
    <col min="11" max="11" width="14.28515625" style="1" bestFit="1" customWidth="1"/>
    <col min="12" max="13" width="9.140625" style="1"/>
    <col min="14" max="14" width="17.28515625" style="1" customWidth="1"/>
    <col min="15" max="15" width="12.140625" style="1" bestFit="1" customWidth="1"/>
    <col min="16" max="16" width="20.7109375" style="1" customWidth="1"/>
    <col min="17" max="1024" width="9.140625" style="1"/>
  </cols>
  <sheetData>
    <row r="1" spans="1:7" x14ac:dyDescent="0.2">
      <c r="A1" s="390" t="s">
        <v>0</v>
      </c>
      <c r="B1" s="390"/>
      <c r="C1" s="390"/>
      <c r="D1" s="390"/>
      <c r="E1" s="390"/>
      <c r="F1" s="390"/>
    </row>
    <row r="2" spans="1:7" x14ac:dyDescent="0.2">
      <c r="A2" s="390" t="s">
        <v>333</v>
      </c>
      <c r="B2" s="390"/>
      <c r="C2" s="390"/>
      <c r="D2" s="390"/>
      <c r="E2" s="390"/>
      <c r="F2" s="390"/>
    </row>
    <row r="3" spans="1:7" x14ac:dyDescent="0.2">
      <c r="A3" s="390" t="s">
        <v>1</v>
      </c>
      <c r="B3" s="390"/>
      <c r="C3" s="390"/>
      <c r="D3" s="390"/>
      <c r="E3" s="390"/>
      <c r="F3" s="390"/>
    </row>
    <row r="4" spans="1:7" ht="20.25" customHeight="1" thickBot="1" x14ac:dyDescent="0.25">
      <c r="A4" s="391" t="s">
        <v>2</v>
      </c>
      <c r="B4" s="391"/>
      <c r="C4" s="391"/>
      <c r="D4" s="391"/>
      <c r="E4" s="391"/>
      <c r="F4" s="391"/>
    </row>
    <row r="5" spans="1:7" s="4" customFormat="1" ht="21.75" customHeight="1" thickBot="1" x14ac:dyDescent="0.25">
      <c r="A5" s="392" t="s">
        <v>382</v>
      </c>
      <c r="B5" s="392"/>
      <c r="C5" s="392"/>
      <c r="D5" s="392"/>
      <c r="E5" s="392"/>
      <c r="F5" s="392"/>
      <c r="G5" s="3"/>
    </row>
    <row r="6" spans="1:7" s="4" customFormat="1" ht="37.5" customHeight="1" thickBot="1" x14ac:dyDescent="0.25">
      <c r="A6" s="415" t="s">
        <v>391</v>
      </c>
      <c r="B6" s="415"/>
      <c r="C6" s="415"/>
      <c r="D6" s="415"/>
      <c r="E6" s="415"/>
      <c r="F6" s="415"/>
      <c r="G6" s="3"/>
    </row>
    <row r="7" spans="1:7" s="6" customFormat="1" ht="18" x14ac:dyDescent="0.2">
      <c r="A7" s="395" t="s">
        <v>3</v>
      </c>
      <c r="B7" s="395"/>
      <c r="C7" s="395"/>
      <c r="D7" s="395"/>
      <c r="E7" s="395"/>
      <c r="F7" s="395"/>
      <c r="G7" s="5"/>
    </row>
    <row r="8" spans="1:7" s="6" customFormat="1" ht="21.75" customHeight="1" x14ac:dyDescent="0.2">
      <c r="A8" s="396" t="s">
        <v>4</v>
      </c>
      <c r="B8" s="396"/>
      <c r="C8" s="396"/>
      <c r="D8" s="396"/>
      <c r="E8" s="396"/>
      <c r="F8" s="396"/>
      <c r="G8" s="5"/>
    </row>
    <row r="9" spans="1:7" s="4" customFormat="1" ht="10.9" customHeight="1" x14ac:dyDescent="0.2">
      <c r="A9" s="7"/>
      <c r="B9" s="8"/>
      <c r="C9" s="8"/>
      <c r="D9" s="3"/>
      <c r="E9" s="3"/>
      <c r="F9" s="9"/>
      <c r="G9" s="3"/>
    </row>
    <row r="10" spans="1:7" s="4" customFormat="1" ht="15.75" customHeight="1" x14ac:dyDescent="0.2">
      <c r="A10" s="397" t="s">
        <v>5</v>
      </c>
      <c r="B10" s="397"/>
      <c r="C10" s="397"/>
      <c r="D10" s="10" t="s">
        <v>6</v>
      </c>
      <c r="E10" s="11"/>
      <c r="F10" s="12"/>
      <c r="G10" s="3"/>
    </row>
    <row r="11" spans="1:7" s="4" customFormat="1" ht="15.75" customHeight="1" x14ac:dyDescent="0.2">
      <c r="A11" s="13" t="s">
        <v>7</v>
      </c>
      <c r="B11" s="14"/>
      <c r="C11" s="14"/>
      <c r="D11" s="15"/>
      <c r="E11" s="16" t="s">
        <v>8</v>
      </c>
      <c r="F11" s="17" t="s">
        <v>9</v>
      </c>
      <c r="G11" s="2"/>
    </row>
    <row r="12" spans="1:7" s="24" customFormat="1" ht="15.75" customHeight="1" x14ac:dyDescent="0.2">
      <c r="A12" s="18" t="str">
        <f>A73</f>
        <v>1. Mão-de-obra</v>
      </c>
      <c r="B12" s="19"/>
      <c r="C12" s="20"/>
      <c r="D12" s="20"/>
      <c r="E12" s="21">
        <f>E13+E14+E15+E16+E17+E18</f>
        <v>0</v>
      </c>
      <c r="F12" s="22">
        <f>IFERROR(E12/$E$55,0)</f>
        <v>0</v>
      </c>
      <c r="G12" s="23"/>
    </row>
    <row r="13" spans="1:7" s="4" customFormat="1" ht="15.75" customHeight="1" x14ac:dyDescent="0.2">
      <c r="A13" s="25" t="str">
        <f>A75</f>
        <v>1.1. Coletor Turno Dia</v>
      </c>
      <c r="B13" s="26"/>
      <c r="C13" s="27"/>
      <c r="D13" s="27"/>
      <c r="E13" s="28">
        <f>F86+(F86*E10)</f>
        <v>0</v>
      </c>
      <c r="F13" s="29">
        <f t="shared" ref="F13:F54" si="0">IFERROR(E13/$E$55,0)</f>
        <v>0</v>
      </c>
      <c r="G13" s="3"/>
    </row>
    <row r="14" spans="1:7" s="4" customFormat="1" ht="15.75" customHeight="1" x14ac:dyDescent="0.2">
      <c r="A14" s="25" t="str">
        <f>A88</f>
        <v>1.2. Motorista Turno do Dia</v>
      </c>
      <c r="B14" s="26"/>
      <c r="C14" s="27"/>
      <c r="D14" s="27"/>
      <c r="E14" s="28">
        <f>F100+(F100*E10)</f>
        <v>0</v>
      </c>
      <c r="F14" s="29">
        <f t="shared" si="0"/>
        <v>0</v>
      </c>
      <c r="G14" s="3"/>
    </row>
    <row r="15" spans="1:7" s="4" customFormat="1" ht="15.75" customHeight="1" x14ac:dyDescent="0.2">
      <c r="A15" s="25" t="str">
        <f>A102</f>
        <v>1.3. Supervisor de Coleta</v>
      </c>
      <c r="B15" s="26"/>
      <c r="C15" s="27"/>
      <c r="D15" s="27"/>
      <c r="E15" s="28">
        <f>F109+(F109*E10)</f>
        <v>0</v>
      </c>
      <c r="F15" s="29">
        <f t="shared" si="0"/>
        <v>0</v>
      </c>
      <c r="G15" s="2"/>
    </row>
    <row r="16" spans="1:7" s="4" customFormat="1" ht="15.75" customHeight="1" x14ac:dyDescent="0.2">
      <c r="A16" s="25" t="str">
        <f>A111</f>
        <v>1.4. Vale Transporte</v>
      </c>
      <c r="B16" s="26"/>
      <c r="C16" s="27"/>
      <c r="D16" s="27"/>
      <c r="E16" s="28">
        <f>F117+(F117*E10)</f>
        <v>0</v>
      </c>
      <c r="F16" s="29">
        <f t="shared" si="0"/>
        <v>0</v>
      </c>
      <c r="G16" s="3"/>
    </row>
    <row r="17" spans="1:9" s="4" customFormat="1" ht="15.75" customHeight="1" x14ac:dyDescent="0.2">
      <c r="A17" s="25" t="str">
        <f>A119</f>
        <v>1.5. Vale-refeição (diário)</v>
      </c>
      <c r="B17" s="26"/>
      <c r="C17" s="27"/>
      <c r="D17" s="27"/>
      <c r="E17" s="28">
        <f>F124+(F124*E10)</f>
        <v>0</v>
      </c>
      <c r="F17" s="29">
        <f t="shared" si="0"/>
        <v>0</v>
      </c>
      <c r="G17" s="2"/>
    </row>
    <row r="18" spans="1:9" s="4" customFormat="1" ht="15.75" customHeight="1" x14ac:dyDescent="0.2">
      <c r="A18" s="25" t="str">
        <f>A126</f>
        <v>1.6. Auxílio Alimentação (mensal)</v>
      </c>
      <c r="B18" s="26"/>
      <c r="C18" s="27"/>
      <c r="D18" s="27"/>
      <c r="E18" s="28">
        <f>F131+(F131*E10)</f>
        <v>0</v>
      </c>
      <c r="F18" s="29">
        <f t="shared" si="0"/>
        <v>0</v>
      </c>
      <c r="G18" s="3"/>
      <c r="H18" s="30"/>
    </row>
    <row r="19" spans="1:9" s="4" customFormat="1" ht="15.75" customHeight="1" x14ac:dyDescent="0.2">
      <c r="A19" s="25" t="str">
        <f>A133</f>
        <v>1.7. Plano de Benefício Social Familiar (mensal)</v>
      </c>
      <c r="B19" s="26"/>
      <c r="C19" s="27"/>
      <c r="D19" s="27"/>
      <c r="E19" s="28">
        <f>F138+(F138*E10)</f>
        <v>0</v>
      </c>
      <c r="F19" s="29">
        <f t="shared" si="0"/>
        <v>0</v>
      </c>
      <c r="G19" s="3"/>
      <c r="H19" s="30"/>
    </row>
    <row r="20" spans="1:9" s="24" customFormat="1" ht="15.75" customHeight="1" x14ac:dyDescent="0.2">
      <c r="A20" s="398" t="str">
        <f>A142</f>
        <v>2. Uniformes e Equipamentos de Proteção Individual</v>
      </c>
      <c r="B20" s="398"/>
      <c r="C20" s="398"/>
      <c r="D20" s="20"/>
      <c r="E20" s="21">
        <f>F173+(F173*E10)</f>
        <v>0</v>
      </c>
      <c r="F20" s="29">
        <f t="shared" si="0"/>
        <v>0</v>
      </c>
      <c r="G20" s="23"/>
    </row>
    <row r="21" spans="1:9" s="24" customFormat="1" ht="15.75" customHeight="1" x14ac:dyDescent="0.2">
      <c r="A21" s="31" t="str">
        <f>A177</f>
        <v>3.1. Veículo Coletor Compactador 15 m³</v>
      </c>
      <c r="B21" s="32"/>
      <c r="C21" s="20"/>
      <c r="D21" s="20"/>
      <c r="E21" s="21">
        <f>SUM(E22:E27)</f>
        <v>0</v>
      </c>
      <c r="F21" s="22">
        <f t="shared" si="0"/>
        <v>0</v>
      </c>
      <c r="G21" s="23"/>
    </row>
    <row r="22" spans="1:9" s="4" customFormat="1" ht="15.75" customHeight="1" x14ac:dyDescent="0.2">
      <c r="A22" s="33" t="str">
        <f>A179</f>
        <v>3.1.1. Depreciação</v>
      </c>
      <c r="B22" s="34"/>
      <c r="C22" s="27"/>
      <c r="D22" s="27"/>
      <c r="E22" s="28">
        <f>F193+(F193*E10)</f>
        <v>0</v>
      </c>
      <c r="F22" s="29">
        <f t="shared" si="0"/>
        <v>0</v>
      </c>
      <c r="G22" s="3"/>
    </row>
    <row r="23" spans="1:9" s="4" customFormat="1" ht="15.75" customHeight="1" x14ac:dyDescent="0.2">
      <c r="A23" s="33" t="str">
        <f>A195</f>
        <v>3.1.2. Remuneração do Capital</v>
      </c>
      <c r="B23" s="34"/>
      <c r="C23" s="27"/>
      <c r="D23" s="27"/>
      <c r="E23" s="28">
        <f>F209+(F209*E10)</f>
        <v>0</v>
      </c>
      <c r="F23" s="29">
        <f t="shared" si="0"/>
        <v>0</v>
      </c>
      <c r="G23" s="3"/>
      <c r="I23" s="30"/>
    </row>
    <row r="24" spans="1:9" s="4" customFormat="1" ht="15.75" customHeight="1" x14ac:dyDescent="0.2">
      <c r="A24" s="33" t="str">
        <f>A211</f>
        <v>3.1.3. Impostos e Seguros</v>
      </c>
      <c r="B24" s="34"/>
      <c r="C24" s="27"/>
      <c r="D24" s="27"/>
      <c r="E24" s="28">
        <f>F217+(F217*E10)</f>
        <v>0</v>
      </c>
      <c r="F24" s="29">
        <f t="shared" si="0"/>
        <v>0</v>
      </c>
      <c r="G24" s="3"/>
    </row>
    <row r="25" spans="1:9" s="4" customFormat="1" ht="15.75" customHeight="1" x14ac:dyDescent="0.2">
      <c r="A25" s="33" t="str">
        <f>A219</f>
        <v>3.1.4. Consumos</v>
      </c>
      <c r="B25" s="34"/>
      <c r="C25" s="27"/>
      <c r="D25" s="27"/>
      <c r="E25" s="28">
        <f>F235+(F235*E10)</f>
        <v>0</v>
      </c>
      <c r="F25" s="29">
        <f t="shared" si="0"/>
        <v>0</v>
      </c>
      <c r="G25" s="3"/>
    </row>
    <row r="26" spans="1:9" s="4" customFormat="1" ht="15.75" customHeight="1" x14ac:dyDescent="0.2">
      <c r="A26" s="33" t="str">
        <f>A237</f>
        <v>3.1.5. Manutenção</v>
      </c>
      <c r="B26" s="34"/>
      <c r="C26" s="27"/>
      <c r="D26" s="27"/>
      <c r="E26" s="28">
        <f>F240+(F240*E10)</f>
        <v>0</v>
      </c>
      <c r="F26" s="29">
        <f t="shared" si="0"/>
        <v>0</v>
      </c>
      <c r="G26" s="3"/>
    </row>
    <row r="27" spans="1:9" s="4" customFormat="1" ht="15.75" customHeight="1" x14ac:dyDescent="0.2">
      <c r="A27" s="33" t="str">
        <f>A242</f>
        <v>3.1.6. Pneus</v>
      </c>
      <c r="B27" s="34"/>
      <c r="C27" s="27"/>
      <c r="D27" s="27"/>
      <c r="E27" s="28">
        <f>F249+(F249*E10)</f>
        <v>0</v>
      </c>
      <c r="F27" s="29">
        <f t="shared" si="0"/>
        <v>0</v>
      </c>
      <c r="G27" s="3"/>
    </row>
    <row r="28" spans="1:9" s="24" customFormat="1" ht="15.75" customHeight="1" x14ac:dyDescent="0.2">
      <c r="A28" s="31" t="str">
        <f>A285</f>
        <v>Custo total Mensal do Transporte até o Aterro Sanitário de Giruá</v>
      </c>
      <c r="B28" s="32"/>
      <c r="C28" s="20"/>
      <c r="D28" s="20"/>
      <c r="E28" s="21">
        <f>SUM(E29:E31)</f>
        <v>0</v>
      </c>
      <c r="F28" s="22">
        <f t="shared" si="0"/>
        <v>0</v>
      </c>
      <c r="G28" s="23"/>
    </row>
    <row r="29" spans="1:9" s="4" customFormat="1" ht="15.75" customHeight="1" x14ac:dyDescent="0.2">
      <c r="A29" s="33" t="s">
        <v>10</v>
      </c>
      <c r="B29" s="34"/>
      <c r="C29" s="27"/>
      <c r="D29" s="27"/>
      <c r="E29" s="28">
        <f>F269+(F269*E10)</f>
        <v>0</v>
      </c>
      <c r="F29" s="29">
        <f t="shared" si="0"/>
        <v>0</v>
      </c>
      <c r="G29" s="3"/>
    </row>
    <row r="30" spans="1:9" s="4" customFormat="1" ht="15.75" customHeight="1" x14ac:dyDescent="0.2">
      <c r="A30" s="33" t="str">
        <f>A271</f>
        <v>3.1.8. Manutenção</v>
      </c>
      <c r="B30" s="34"/>
      <c r="C30" s="27"/>
      <c r="D30" s="27"/>
      <c r="E30" s="28">
        <f>F274+(F274*E10)</f>
        <v>0</v>
      </c>
      <c r="F30" s="29">
        <f t="shared" si="0"/>
        <v>0</v>
      </c>
      <c r="G30" s="3"/>
    </row>
    <row r="31" spans="1:9" s="4" customFormat="1" ht="15.75" customHeight="1" x14ac:dyDescent="0.2">
      <c r="A31" s="33" t="str">
        <f>A276</f>
        <v>3.1.9. Pneus</v>
      </c>
      <c r="B31" s="34"/>
      <c r="C31" s="27"/>
      <c r="D31" s="27"/>
      <c r="E31" s="28">
        <f>F283+(F283*E10)</f>
        <v>0</v>
      </c>
      <c r="F31" s="29">
        <f t="shared" si="0"/>
        <v>0</v>
      </c>
      <c r="G31" s="3"/>
    </row>
    <row r="32" spans="1:9" s="24" customFormat="1" ht="15.75" customHeight="1" x14ac:dyDescent="0.2">
      <c r="A32" s="31" t="str">
        <f>A289</f>
        <v>3.2. Veículo Caminhão Baú (Coleta Seletiva), capacidade minima 30 m³</v>
      </c>
      <c r="B32" s="32"/>
      <c r="C32" s="20"/>
      <c r="D32" s="20"/>
      <c r="E32" s="21">
        <f>SUM(E33+E34+E35+E36+E37+E38)</f>
        <v>0</v>
      </c>
      <c r="F32" s="29">
        <f t="shared" si="0"/>
        <v>0</v>
      </c>
      <c r="G32" s="23"/>
    </row>
    <row r="33" spans="1:8" s="4" customFormat="1" ht="15.75" customHeight="1" x14ac:dyDescent="0.2">
      <c r="A33" s="33" t="str">
        <f>A291</f>
        <v>3.2.1. Depreciação</v>
      </c>
      <c r="B33" s="34"/>
      <c r="C33" s="27"/>
      <c r="D33" s="27"/>
      <c r="E33" s="28">
        <f>F305+(F305*E10)</f>
        <v>0</v>
      </c>
      <c r="F33" s="29">
        <f t="shared" si="0"/>
        <v>0</v>
      </c>
      <c r="G33" s="3"/>
    </row>
    <row r="34" spans="1:8" s="4" customFormat="1" ht="15.75" customHeight="1" x14ac:dyDescent="0.2">
      <c r="A34" s="33" t="str">
        <f>A307</f>
        <v>3.2.2. Remuneração do Capital</v>
      </c>
      <c r="B34" s="34"/>
      <c r="C34" s="27"/>
      <c r="D34" s="27"/>
      <c r="E34" s="28">
        <f>F321+(F321*E10)</f>
        <v>0</v>
      </c>
      <c r="F34" s="29">
        <f t="shared" si="0"/>
        <v>0</v>
      </c>
      <c r="G34" s="3"/>
      <c r="H34" s="3"/>
    </row>
    <row r="35" spans="1:8" s="4" customFormat="1" ht="15.75" customHeight="1" x14ac:dyDescent="0.2">
      <c r="A35" s="33" t="str">
        <f>A323</f>
        <v>3.2.3. Impostos e Seguros</v>
      </c>
      <c r="B35" s="34"/>
      <c r="C35" s="27"/>
      <c r="D35" s="27"/>
      <c r="E35" s="28">
        <f>F329+(F329*E10)</f>
        <v>0</v>
      </c>
      <c r="F35" s="29">
        <f t="shared" si="0"/>
        <v>0</v>
      </c>
      <c r="G35" s="3"/>
    </row>
    <row r="36" spans="1:8" s="4" customFormat="1" ht="15.75" customHeight="1" x14ac:dyDescent="0.2">
      <c r="A36" s="33" t="str">
        <f>A331</f>
        <v>3.2.4. Consumos Coleta (Seco)</v>
      </c>
      <c r="B36" s="34"/>
      <c r="C36" s="27"/>
      <c r="D36" s="27"/>
      <c r="E36" s="28">
        <f>F347+(F347*E10)</f>
        <v>0</v>
      </c>
      <c r="F36" s="29">
        <f t="shared" si="0"/>
        <v>0</v>
      </c>
    </row>
    <row r="37" spans="1:8" s="4" customFormat="1" ht="15.75" customHeight="1" x14ac:dyDescent="0.2">
      <c r="A37" s="33" t="str">
        <f>A349</f>
        <v>3.2.5. Manutenção</v>
      </c>
      <c r="B37" s="34"/>
      <c r="C37" s="27"/>
      <c r="D37" s="27"/>
      <c r="E37" s="28">
        <f>F352+(F352*E10)</f>
        <v>0</v>
      </c>
      <c r="F37" s="29">
        <f t="shared" si="0"/>
        <v>0</v>
      </c>
      <c r="G37" s="3"/>
    </row>
    <row r="38" spans="1:8" s="4" customFormat="1" ht="15.75" customHeight="1" x14ac:dyDescent="0.2">
      <c r="A38" s="33" t="str">
        <f>A354</f>
        <v>3.2.6. Pneus</v>
      </c>
      <c r="B38" s="34"/>
      <c r="C38" s="27"/>
      <c r="D38" s="27"/>
      <c r="E38" s="28">
        <f>F361+(F361*E10)</f>
        <v>0</v>
      </c>
      <c r="F38" s="29">
        <f t="shared" si="0"/>
        <v>0</v>
      </c>
      <c r="G38" s="3"/>
    </row>
    <row r="39" spans="1:8" s="24" customFormat="1" ht="15.75" customHeight="1" x14ac:dyDescent="0.2">
      <c r="A39" s="31" t="str">
        <f>A397</f>
        <v>Custo Total Mensal do Transporte até a Estação de Triagem em Santa Rosa</v>
      </c>
      <c r="B39" s="32"/>
      <c r="C39" s="20"/>
      <c r="D39" s="20"/>
      <c r="E39" s="21" t="e">
        <f>SUM(E40:E42)</f>
        <v>#VALUE!</v>
      </c>
      <c r="F39" s="29">
        <f t="shared" si="0"/>
        <v>0</v>
      </c>
      <c r="G39" s="23"/>
    </row>
    <row r="40" spans="1:8" s="4" customFormat="1" ht="15.75" customHeight="1" x14ac:dyDescent="0.2">
      <c r="A40" s="33" t="s">
        <v>11</v>
      </c>
      <c r="B40" s="34"/>
      <c r="C40" s="27"/>
      <c r="D40" s="27"/>
      <c r="E40" s="28">
        <f>F381+(F381*E10)</f>
        <v>0</v>
      </c>
      <c r="F40" s="29">
        <f t="shared" si="0"/>
        <v>0</v>
      </c>
      <c r="G40" s="3"/>
    </row>
    <row r="41" spans="1:8" s="4" customFormat="1" ht="15.75" customHeight="1" x14ac:dyDescent="0.2">
      <c r="A41" s="33" t="str">
        <f>A383</f>
        <v>3.2.8. Manutenção</v>
      </c>
      <c r="B41" s="34"/>
      <c r="C41" s="27"/>
      <c r="D41" s="27"/>
      <c r="E41" s="28">
        <f>F386+(F386*E10)</f>
        <v>0</v>
      </c>
      <c r="F41" s="29">
        <f t="shared" si="0"/>
        <v>0</v>
      </c>
      <c r="G41" s="3"/>
    </row>
    <row r="42" spans="1:8" s="4" customFormat="1" ht="15.75" customHeight="1" x14ac:dyDescent="0.2">
      <c r="A42" s="33" t="str">
        <f>A388</f>
        <v>3.2.9. Pneus</v>
      </c>
      <c r="B42" s="34"/>
      <c r="C42" s="27"/>
      <c r="D42" s="27"/>
      <c r="E42" s="28" t="e">
        <f>F395+(F395*E10)</f>
        <v>#VALUE!</v>
      </c>
      <c r="F42" s="29">
        <f t="shared" si="0"/>
        <v>0</v>
      </c>
      <c r="G42" s="3"/>
    </row>
    <row r="43" spans="1:8" s="24" customFormat="1" ht="15.75" customHeight="1" x14ac:dyDescent="0.2">
      <c r="A43" s="31" t="str">
        <f>A401</f>
        <v>3.3. Veículo de Apoio</v>
      </c>
      <c r="B43" s="32"/>
      <c r="C43" s="20"/>
      <c r="D43" s="20"/>
      <c r="E43" s="21">
        <f>SUM(E44:E49)</f>
        <v>0</v>
      </c>
      <c r="F43" s="29">
        <f t="shared" si="0"/>
        <v>0</v>
      </c>
      <c r="G43" s="23"/>
    </row>
    <row r="44" spans="1:8" s="4" customFormat="1" ht="15.75" customHeight="1" x14ac:dyDescent="0.2">
      <c r="A44" s="33" t="str">
        <f>A403</f>
        <v>3.3.1. Depreciação</v>
      </c>
      <c r="B44" s="34"/>
      <c r="C44" s="27"/>
      <c r="D44" s="27"/>
      <c r="E44" s="28">
        <f>F411+(F411*E10)</f>
        <v>0</v>
      </c>
      <c r="F44" s="29">
        <f t="shared" si="0"/>
        <v>0</v>
      </c>
      <c r="G44" s="3"/>
    </row>
    <row r="45" spans="1:8" s="4" customFormat="1" ht="15.75" customHeight="1" x14ac:dyDescent="0.2">
      <c r="A45" s="33" t="str">
        <f>A413</f>
        <v>3.3.2. Remuneração do Capital</v>
      </c>
      <c r="B45" s="34"/>
      <c r="C45" s="27"/>
      <c r="D45" s="27"/>
      <c r="E45" s="28">
        <f>F421+(F421*E10)</f>
        <v>0</v>
      </c>
      <c r="F45" s="29">
        <f t="shared" si="0"/>
        <v>0</v>
      </c>
      <c r="G45" s="3"/>
    </row>
    <row r="46" spans="1:8" s="4" customFormat="1" ht="15.75" customHeight="1" x14ac:dyDescent="0.2">
      <c r="A46" s="33" t="str">
        <f>A423</f>
        <v>3.3.3. Impostos e Seguros</v>
      </c>
      <c r="B46" s="34"/>
      <c r="C46" s="27"/>
      <c r="D46" s="27"/>
      <c r="E46" s="28">
        <f>F429+(F429*E10)</f>
        <v>0</v>
      </c>
      <c r="F46" s="29">
        <f t="shared" si="0"/>
        <v>0</v>
      </c>
      <c r="G46" s="3"/>
    </row>
    <row r="47" spans="1:8" s="4" customFormat="1" ht="15.75" customHeight="1" x14ac:dyDescent="0.2">
      <c r="A47" s="33" t="str">
        <f>A431</f>
        <v>3.3.4. Consumos</v>
      </c>
      <c r="B47" s="34"/>
      <c r="C47" s="27"/>
      <c r="D47" s="27"/>
      <c r="E47" s="28">
        <f>F441+(F441*E10)</f>
        <v>0</v>
      </c>
      <c r="F47" s="29">
        <f t="shared" si="0"/>
        <v>0</v>
      </c>
      <c r="G47" s="3"/>
    </row>
    <row r="48" spans="1:8" s="4" customFormat="1" ht="15.75" customHeight="1" x14ac:dyDescent="0.2">
      <c r="A48" s="33" t="str">
        <f>A443</f>
        <v>3.3.5. Manutenção</v>
      </c>
      <c r="B48" s="34"/>
      <c r="C48" s="27"/>
      <c r="D48" s="27"/>
      <c r="E48" s="28">
        <f>F446+(F446*E10)</f>
        <v>0</v>
      </c>
      <c r="F48" s="29">
        <f t="shared" si="0"/>
        <v>0</v>
      </c>
      <c r="G48" s="3"/>
    </row>
    <row r="49" spans="1:8" s="4" customFormat="1" ht="15.75" customHeight="1" x14ac:dyDescent="0.2">
      <c r="A49" s="33" t="str">
        <f>A448</f>
        <v>3.3.6. Pneus</v>
      </c>
      <c r="B49" s="34"/>
      <c r="C49" s="27"/>
      <c r="D49" s="27"/>
      <c r="E49" s="28">
        <f>F455+(F455*E10)</f>
        <v>0</v>
      </c>
      <c r="F49" s="29">
        <f t="shared" si="0"/>
        <v>0</v>
      </c>
      <c r="G49" s="3"/>
    </row>
    <row r="50" spans="1:8" s="4" customFormat="1" ht="15.75" customHeight="1" x14ac:dyDescent="0.2">
      <c r="A50" s="31" t="str">
        <f>A460</f>
        <v xml:space="preserve">4. Disponibilização de Container  </v>
      </c>
      <c r="B50" s="34"/>
      <c r="C50" s="27"/>
      <c r="D50" s="27"/>
      <c r="E50" s="365">
        <f>F465+(F465*E10)</f>
        <v>0</v>
      </c>
      <c r="F50" s="29">
        <f t="shared" si="0"/>
        <v>0</v>
      </c>
      <c r="G50" s="3"/>
    </row>
    <row r="51" spans="1:8" s="24" customFormat="1" ht="15.75" customHeight="1" x14ac:dyDescent="0.2">
      <c r="A51" s="31" t="str">
        <f>A469</f>
        <v>5. Ferramentas e Materiais de Consumo</v>
      </c>
      <c r="B51" s="32"/>
      <c r="C51" s="20"/>
      <c r="D51" s="20"/>
      <c r="E51" s="21">
        <f>+F477+(F477*E10)</f>
        <v>0</v>
      </c>
      <c r="F51" s="22">
        <f t="shared" si="0"/>
        <v>0</v>
      </c>
      <c r="G51" s="23"/>
    </row>
    <row r="52" spans="1:8" s="24" customFormat="1" ht="15.75" customHeight="1" x14ac:dyDescent="0.2">
      <c r="A52" s="31" t="str">
        <f>A479</f>
        <v>6. Monitoramento da Frota</v>
      </c>
      <c r="B52" s="32"/>
      <c r="C52" s="20"/>
      <c r="D52" s="20"/>
      <c r="E52" s="21">
        <f>+F486+(F486*E10)</f>
        <v>0</v>
      </c>
      <c r="F52" s="22">
        <f t="shared" si="0"/>
        <v>0</v>
      </c>
      <c r="G52" s="23"/>
    </row>
    <row r="53" spans="1:8" s="24" customFormat="1" ht="15.75" customHeight="1" x14ac:dyDescent="0.2">
      <c r="A53" s="31" t="s">
        <v>377</v>
      </c>
      <c r="B53" s="32"/>
      <c r="C53" s="20"/>
      <c r="D53" s="20"/>
      <c r="E53" s="21">
        <f>E52+E51+E43+E32+E21+E20+E12</f>
        <v>0</v>
      </c>
      <c r="F53" s="22">
        <f t="shared" si="0"/>
        <v>0</v>
      </c>
      <c r="G53" s="23"/>
    </row>
    <row r="54" spans="1:8" s="24" customFormat="1" ht="15.75" customHeight="1" x14ac:dyDescent="0.2">
      <c r="A54" s="31" t="s">
        <v>378</v>
      </c>
      <c r="B54" s="32"/>
      <c r="C54" s="20"/>
      <c r="D54" s="35"/>
      <c r="E54" s="21" t="e">
        <f>E39+E28</f>
        <v>#VALUE!</v>
      </c>
      <c r="F54" s="22">
        <f t="shared" si="0"/>
        <v>0</v>
      </c>
      <c r="G54" s="23"/>
      <c r="H54" s="287"/>
    </row>
    <row r="55" spans="1:8" s="4" customFormat="1" ht="15.75" customHeight="1" x14ac:dyDescent="0.2">
      <c r="A55" s="36" t="s">
        <v>12</v>
      </c>
      <c r="B55" s="37"/>
      <c r="C55" s="38"/>
      <c r="D55" s="38"/>
      <c r="E55" s="39" t="e">
        <f>E54+E53+E50</f>
        <v>#VALUE!</v>
      </c>
      <c r="F55" s="40">
        <f>F54+F53</f>
        <v>0</v>
      </c>
      <c r="G55" s="3"/>
    </row>
    <row r="58" spans="1:8" s="4" customFormat="1" ht="15" customHeight="1" x14ac:dyDescent="0.2">
      <c r="A58" s="399" t="s">
        <v>13</v>
      </c>
      <c r="B58" s="399"/>
      <c r="C58" s="399"/>
      <c r="D58" s="399"/>
      <c r="E58" s="399"/>
      <c r="F58" s="2"/>
      <c r="G58" s="3"/>
    </row>
    <row r="59" spans="1:8" s="4" customFormat="1" ht="15" customHeight="1" x14ac:dyDescent="0.2">
      <c r="A59" s="393" t="s">
        <v>14</v>
      </c>
      <c r="B59" s="393"/>
      <c r="C59" s="393"/>
      <c r="D59" s="393"/>
      <c r="E59" s="41" t="s">
        <v>15</v>
      </c>
      <c r="F59" s="2"/>
      <c r="G59" s="3"/>
    </row>
    <row r="60" spans="1:8" s="4" customFormat="1" ht="15" customHeight="1" x14ac:dyDescent="0.2">
      <c r="A60" s="42" t="str">
        <f>+A75</f>
        <v>1.1. Coletor Turno Dia</v>
      </c>
      <c r="B60" s="43"/>
      <c r="C60" s="43"/>
      <c r="D60" s="44"/>
      <c r="E60" s="45">
        <f>C85</f>
        <v>9</v>
      </c>
      <c r="F60" s="2"/>
      <c r="G60" s="3"/>
    </row>
    <row r="61" spans="1:8" s="4" customFormat="1" ht="15" customHeight="1" x14ac:dyDescent="0.2">
      <c r="A61" s="46" t="str">
        <f>+A88</f>
        <v>1.2. Motorista Turno do Dia</v>
      </c>
      <c r="B61" s="47"/>
      <c r="C61" s="47"/>
      <c r="D61" s="48"/>
      <c r="E61" s="49">
        <f>C99</f>
        <v>3</v>
      </c>
      <c r="F61" s="2"/>
      <c r="G61" s="3"/>
    </row>
    <row r="62" spans="1:8" s="4" customFormat="1" ht="15" customHeight="1" x14ac:dyDescent="0.2">
      <c r="A62" s="46" t="str">
        <f>+A102</f>
        <v>1.3. Supervisor de Coleta</v>
      </c>
      <c r="B62" s="47"/>
      <c r="C62" s="47"/>
      <c r="D62" s="48"/>
      <c r="E62" s="49">
        <v>1</v>
      </c>
      <c r="F62" s="2"/>
      <c r="G62" s="3"/>
    </row>
    <row r="63" spans="1:8" s="4" customFormat="1" ht="15" customHeight="1" x14ac:dyDescent="0.2">
      <c r="A63" s="50" t="s">
        <v>16</v>
      </c>
      <c r="B63" s="51"/>
      <c r="C63" s="51"/>
      <c r="D63" s="52"/>
      <c r="E63" s="53">
        <f>SUM(E60:E62)</f>
        <v>13</v>
      </c>
      <c r="F63" s="2"/>
      <c r="G63" s="3"/>
    </row>
    <row r="64" spans="1:8" s="4" customFormat="1" ht="15" customHeight="1" x14ac:dyDescent="0.2">
      <c r="A64" s="54"/>
      <c r="B64" s="55"/>
      <c r="C64" s="2"/>
      <c r="D64" s="2"/>
      <c r="E64" s="56"/>
      <c r="F64" s="2"/>
      <c r="G64" s="3"/>
    </row>
    <row r="65" spans="1:11" s="4" customFormat="1" ht="15" customHeight="1" x14ac:dyDescent="0.2">
      <c r="A65" s="394" t="s">
        <v>17</v>
      </c>
      <c r="B65" s="394"/>
      <c r="C65" s="394"/>
      <c r="D65" s="394"/>
      <c r="E65" s="41" t="s">
        <v>15</v>
      </c>
      <c r="F65" s="1"/>
      <c r="G65" s="3"/>
    </row>
    <row r="66" spans="1:11" s="4" customFormat="1" ht="15" customHeight="1" x14ac:dyDescent="0.2">
      <c r="A66" s="57" t="str">
        <f>+A177</f>
        <v>3.1. Veículo Coletor Compactador 15 m³</v>
      </c>
      <c r="B66" s="58"/>
      <c r="C66" s="58"/>
      <c r="D66" s="59"/>
      <c r="E66" s="60">
        <f>C192</f>
        <v>0</v>
      </c>
      <c r="F66" s="1"/>
      <c r="G66" s="3"/>
      <c r="K66" s="302"/>
    </row>
    <row r="67" spans="1:11" s="4" customFormat="1" ht="15" customHeight="1" x14ac:dyDescent="0.2">
      <c r="A67" s="61" t="str">
        <f>A289</f>
        <v>3.2. Veículo Caminhão Baú (Coleta Seletiva), capacidade minima 30 m³</v>
      </c>
      <c r="B67" s="62"/>
      <c r="C67" s="62"/>
      <c r="D67" s="63"/>
      <c r="E67" s="64">
        <f>C304</f>
        <v>1</v>
      </c>
      <c r="F67" s="1"/>
      <c r="G67" s="3"/>
    </row>
    <row r="68" spans="1:11" s="4" customFormat="1" ht="15" customHeight="1" x14ac:dyDescent="0.2">
      <c r="A68" s="61" t="s">
        <v>18</v>
      </c>
      <c r="B68" s="62"/>
      <c r="C68" s="62"/>
      <c r="D68" s="63"/>
      <c r="E68" s="64">
        <v>1</v>
      </c>
      <c r="F68" s="1"/>
      <c r="G68" s="3"/>
      <c r="K68" s="302"/>
    </row>
    <row r="69" spans="1:11" s="4" customFormat="1" ht="15" customHeight="1" x14ac:dyDescent="0.2">
      <c r="A69" s="65" t="s">
        <v>17</v>
      </c>
      <c r="B69" s="62"/>
      <c r="C69" s="62"/>
      <c r="D69" s="63"/>
      <c r="E69" s="64">
        <v>4</v>
      </c>
      <c r="F69" s="1"/>
      <c r="G69" s="3"/>
      <c r="K69" s="302"/>
    </row>
    <row r="70" spans="1:11" s="4" customFormat="1" x14ac:dyDescent="0.2">
      <c r="A70" s="2"/>
      <c r="B70" s="2"/>
      <c r="C70" s="2"/>
      <c r="D70" s="1"/>
      <c r="E70" s="66"/>
      <c r="F70" s="1"/>
      <c r="G70" s="3"/>
    </row>
    <row r="71" spans="1:11" s="24" customFormat="1" ht="15.75" customHeight="1" x14ac:dyDescent="0.2">
      <c r="A71" s="67" t="s">
        <v>19</v>
      </c>
      <c r="B71" s="68"/>
      <c r="C71" s="23"/>
      <c r="E71" s="69"/>
      <c r="G71" s="23"/>
    </row>
    <row r="72" spans="1:11" s="4" customFormat="1" ht="15.75" customHeight="1" x14ac:dyDescent="0.2">
      <c r="A72" s="2"/>
      <c r="B72" s="2"/>
      <c r="C72" s="2"/>
      <c r="D72" s="1"/>
      <c r="E72" s="66"/>
      <c r="F72" s="1"/>
      <c r="G72" s="3"/>
    </row>
    <row r="73" spans="1:11" ht="13.15" customHeight="1" x14ac:dyDescent="0.2">
      <c r="A73" s="24" t="s">
        <v>20</v>
      </c>
    </row>
    <row r="74" spans="1:11" ht="11.25" customHeight="1" x14ac:dyDescent="0.2"/>
    <row r="75" spans="1:11" ht="13.9" customHeight="1" x14ac:dyDescent="0.2">
      <c r="A75" s="1" t="s">
        <v>21</v>
      </c>
    </row>
    <row r="76" spans="1:11" ht="13.9" customHeight="1" x14ac:dyDescent="0.2">
      <c r="A76" s="70" t="s">
        <v>22</v>
      </c>
      <c r="B76" s="71" t="s">
        <v>23</v>
      </c>
      <c r="C76" s="71" t="s">
        <v>15</v>
      </c>
      <c r="D76" s="72" t="s">
        <v>24</v>
      </c>
      <c r="E76" s="72" t="s">
        <v>25</v>
      </c>
      <c r="F76" s="73" t="s">
        <v>26</v>
      </c>
    </row>
    <row r="77" spans="1:11" s="269" customFormat="1" ht="13.15" customHeight="1" x14ac:dyDescent="0.2">
      <c r="A77" s="265" t="s">
        <v>27</v>
      </c>
      <c r="B77" s="266" t="s">
        <v>28</v>
      </c>
      <c r="C77" s="266">
        <v>1</v>
      </c>
      <c r="D77" s="368"/>
      <c r="E77" s="267">
        <f>C77*D77</f>
        <v>0</v>
      </c>
      <c r="F77" s="268"/>
      <c r="G77" s="268"/>
    </row>
    <row r="78" spans="1:11" s="1" customFormat="1" x14ac:dyDescent="0.2">
      <c r="A78" s="84" t="s">
        <v>29</v>
      </c>
      <c r="B78" s="85" t="s">
        <v>30</v>
      </c>
      <c r="C78" s="369"/>
      <c r="D78" s="87">
        <f>D77/220*2</f>
        <v>0</v>
      </c>
      <c r="E78" s="87">
        <f>C78*D78</f>
        <v>0</v>
      </c>
      <c r="F78" s="2"/>
      <c r="G78" s="271"/>
    </row>
    <row r="79" spans="1:11" s="1" customFormat="1" x14ac:dyDescent="0.2">
      <c r="A79" s="84" t="s">
        <v>31</v>
      </c>
      <c r="B79" s="85"/>
      <c r="C79" s="270">
        <v>0</v>
      </c>
      <c r="D79" s="87">
        <v>10.57</v>
      </c>
      <c r="E79" s="87"/>
      <c r="F79" s="2"/>
      <c r="G79" s="271"/>
    </row>
    <row r="80" spans="1:11" s="1" customFormat="1" ht="13.15" customHeight="1" x14ac:dyDescent="0.2">
      <c r="A80" s="84" t="s">
        <v>32</v>
      </c>
      <c r="B80" s="85" t="s">
        <v>33</v>
      </c>
      <c r="C80" s="272">
        <v>1</v>
      </c>
      <c r="D80" s="87">
        <f>63/302*(SUM(E78:E78))</f>
        <v>0</v>
      </c>
      <c r="E80" s="87">
        <f>D80</f>
        <v>0</v>
      </c>
      <c r="F80" s="2"/>
      <c r="G80" s="2"/>
    </row>
    <row r="81" spans="1:16" s="1" customFormat="1" x14ac:dyDescent="0.2">
      <c r="A81" s="84" t="s">
        <v>34</v>
      </c>
      <c r="B81" s="85" t="s">
        <v>9</v>
      </c>
      <c r="C81" s="85">
        <v>40</v>
      </c>
      <c r="D81" s="87">
        <f>SUM(E77:E80)</f>
        <v>0</v>
      </c>
      <c r="E81" s="87">
        <f>C81*D81/100</f>
        <v>0</v>
      </c>
      <c r="F81" s="2"/>
      <c r="G81" s="2"/>
      <c r="N81" s="299"/>
      <c r="P81" s="299"/>
    </row>
    <row r="82" spans="1:16" s="1" customFormat="1" x14ac:dyDescent="0.2">
      <c r="A82" s="80" t="s">
        <v>35</v>
      </c>
      <c r="B82" s="81"/>
      <c r="C82" s="81"/>
      <c r="D82" s="82"/>
      <c r="E82" s="83">
        <f>SUM(E77:E81)</f>
        <v>0</v>
      </c>
      <c r="F82" s="2"/>
      <c r="G82" s="2"/>
      <c r="N82" s="298"/>
      <c r="P82" s="299"/>
    </row>
    <row r="83" spans="1:16" s="1" customFormat="1" x14ac:dyDescent="0.2">
      <c r="A83" s="84" t="s">
        <v>36</v>
      </c>
      <c r="B83" s="85" t="s">
        <v>9</v>
      </c>
      <c r="C83" s="379">
        <f>'3.Encargos Sociais'!$C$37*100</f>
        <v>0</v>
      </c>
      <c r="D83" s="87">
        <f>E82</f>
        <v>0</v>
      </c>
      <c r="E83" s="87">
        <f>D83*C83/100</f>
        <v>0</v>
      </c>
      <c r="F83" s="2"/>
      <c r="G83" s="2"/>
      <c r="N83" s="294"/>
      <c r="P83" s="294"/>
    </row>
    <row r="84" spans="1:16" s="1" customFormat="1" x14ac:dyDescent="0.2">
      <c r="A84" s="80" t="s">
        <v>37</v>
      </c>
      <c r="B84" s="81"/>
      <c r="C84" s="81"/>
      <c r="D84" s="82"/>
      <c r="E84" s="83">
        <f>E82+E83</f>
        <v>0</v>
      </c>
      <c r="F84" s="2"/>
      <c r="G84" s="2"/>
      <c r="N84" s="295"/>
      <c r="P84" s="296"/>
    </row>
    <row r="85" spans="1:16" s="1" customFormat="1" x14ac:dyDescent="0.2">
      <c r="A85" s="84" t="s">
        <v>38</v>
      </c>
      <c r="B85" s="85" t="s">
        <v>39</v>
      </c>
      <c r="C85" s="317">
        <v>9</v>
      </c>
      <c r="D85" s="87">
        <f>E84</f>
        <v>0</v>
      </c>
      <c r="E85" s="87">
        <f>C85*D85</f>
        <v>0</v>
      </c>
      <c r="F85" s="2"/>
      <c r="G85" s="3"/>
      <c r="N85" s="297"/>
    </row>
    <row r="86" spans="1:16" s="1" customFormat="1" ht="13.9" customHeight="1" x14ac:dyDescent="0.2">
      <c r="D86" s="89" t="s">
        <v>40</v>
      </c>
      <c r="E86" s="90">
        <f>$B$71</f>
        <v>0</v>
      </c>
      <c r="F86" s="275">
        <f>E85*E86</f>
        <v>0</v>
      </c>
      <c r="G86" s="293"/>
    </row>
    <row r="87" spans="1:16" ht="11.25" customHeight="1" x14ac:dyDescent="0.2">
      <c r="N87" s="300"/>
      <c r="P87" s="300"/>
    </row>
    <row r="88" spans="1:16" x14ac:dyDescent="0.2">
      <c r="A88" s="1" t="s">
        <v>41</v>
      </c>
      <c r="O88" s="300"/>
    </row>
    <row r="89" spans="1:16" s="76" customFormat="1" ht="13.15" customHeight="1" x14ac:dyDescent="0.2">
      <c r="A89" s="70" t="s">
        <v>22</v>
      </c>
      <c r="B89" s="71" t="s">
        <v>23</v>
      </c>
      <c r="C89" s="71" t="s">
        <v>15</v>
      </c>
      <c r="D89" s="72" t="s">
        <v>24</v>
      </c>
      <c r="E89" s="72" t="s">
        <v>25</v>
      </c>
      <c r="F89" s="73" t="s">
        <v>26</v>
      </c>
      <c r="G89" s="2"/>
      <c r="N89" s="301"/>
      <c r="P89" s="298"/>
    </row>
    <row r="90" spans="1:16" s="1" customFormat="1" x14ac:dyDescent="0.2">
      <c r="A90" s="77" t="s">
        <v>42</v>
      </c>
      <c r="B90" s="78" t="s">
        <v>28</v>
      </c>
      <c r="C90" s="78">
        <v>1</v>
      </c>
      <c r="D90" s="370"/>
      <c r="E90" s="79">
        <f>C90*D90</f>
        <v>0</v>
      </c>
      <c r="F90" s="2"/>
      <c r="G90" s="2"/>
    </row>
    <row r="91" spans="1:16" s="1" customFormat="1" x14ac:dyDescent="0.2">
      <c r="A91" s="77" t="s">
        <v>43</v>
      </c>
      <c r="B91" s="78" t="s">
        <v>28</v>
      </c>
      <c r="C91" s="78">
        <v>1</v>
      </c>
      <c r="D91" s="370"/>
      <c r="E91" s="79"/>
      <c r="F91" s="2"/>
      <c r="G91" s="2"/>
    </row>
    <row r="92" spans="1:16" s="1" customFormat="1" x14ac:dyDescent="0.2">
      <c r="A92" s="84" t="s">
        <v>29</v>
      </c>
      <c r="B92" s="85" t="s">
        <v>30</v>
      </c>
      <c r="C92" s="369"/>
      <c r="D92" s="87">
        <f>D90/220*2</f>
        <v>0</v>
      </c>
      <c r="E92" s="87">
        <f>C92*D92</f>
        <v>0</v>
      </c>
      <c r="F92" s="2"/>
      <c r="G92" s="2"/>
    </row>
    <row r="93" spans="1:16" s="1" customFormat="1" ht="13.15" customHeight="1" x14ac:dyDescent="0.2">
      <c r="A93" s="84" t="s">
        <v>32</v>
      </c>
      <c r="B93" s="85" t="s">
        <v>33</v>
      </c>
      <c r="D93" s="87">
        <f>63/302*(SUM(E92:E92))</f>
        <v>0</v>
      </c>
      <c r="E93" s="87">
        <f>D93</f>
        <v>0</v>
      </c>
      <c r="F93" s="2"/>
      <c r="G93" s="2"/>
    </row>
    <row r="94" spans="1:16" s="1" customFormat="1" x14ac:dyDescent="0.2">
      <c r="A94" s="84" t="s">
        <v>44</v>
      </c>
      <c r="B94" s="85"/>
      <c r="C94" s="371"/>
      <c r="D94" s="87"/>
      <c r="E94" s="87"/>
      <c r="F94" s="2"/>
      <c r="G94" s="2"/>
    </row>
    <row r="95" spans="1:16" s="1" customFormat="1" x14ac:dyDescent="0.2">
      <c r="A95" s="84" t="s">
        <v>34</v>
      </c>
      <c r="B95" s="85" t="s">
        <v>9</v>
      </c>
      <c r="C95" s="317"/>
      <c r="D95" s="87">
        <f>IF(C94=2,SUM(E90:E93),IF(C94=1,(SUM(E90:E93))*D91/D90,0))</f>
        <v>0</v>
      </c>
      <c r="E95" s="87">
        <f>C95*D95/100</f>
        <v>0</v>
      </c>
      <c r="F95" s="2"/>
      <c r="G95" s="2"/>
    </row>
    <row r="96" spans="1:16" s="24" customFormat="1" x14ac:dyDescent="0.2">
      <c r="A96" s="117" t="s">
        <v>35</v>
      </c>
      <c r="B96" s="81"/>
      <c r="C96" s="81"/>
      <c r="D96" s="82"/>
      <c r="E96" s="119">
        <f>SUM(E90:E95)</f>
        <v>0</v>
      </c>
      <c r="F96" s="23"/>
      <c r="G96" s="23"/>
    </row>
    <row r="97" spans="1:7" s="1" customFormat="1" x14ac:dyDescent="0.2">
      <c r="A97" s="84" t="s">
        <v>36</v>
      </c>
      <c r="B97" s="85" t="s">
        <v>9</v>
      </c>
      <c r="C97" s="318"/>
      <c r="D97" s="87">
        <f>E96</f>
        <v>0</v>
      </c>
      <c r="E97" s="87">
        <f>D97*C97/100</f>
        <v>0</v>
      </c>
      <c r="F97" s="2"/>
      <c r="G97" s="2"/>
    </row>
    <row r="98" spans="1:7" s="24" customFormat="1" x14ac:dyDescent="0.2">
      <c r="A98" s="117" t="s">
        <v>45</v>
      </c>
      <c r="B98" s="273"/>
      <c r="C98" s="273"/>
      <c r="D98" s="274"/>
      <c r="E98" s="119">
        <f>E96+E97</f>
        <v>0</v>
      </c>
      <c r="F98" s="23"/>
      <c r="G98" s="23"/>
    </row>
    <row r="99" spans="1:7" s="1" customFormat="1" x14ac:dyDescent="0.2">
      <c r="A99" s="84" t="s">
        <v>38</v>
      </c>
      <c r="B99" s="85" t="s">
        <v>39</v>
      </c>
      <c r="C99" s="317">
        <v>3</v>
      </c>
      <c r="D99" s="87">
        <f>E98</f>
        <v>0</v>
      </c>
      <c r="E99" s="87">
        <f>C99*D99</f>
        <v>0</v>
      </c>
      <c r="F99" s="2"/>
      <c r="G99" s="2"/>
    </row>
    <row r="100" spans="1:7" s="1" customFormat="1" x14ac:dyDescent="0.2">
      <c r="D100" s="89" t="s">
        <v>40</v>
      </c>
      <c r="E100" s="90">
        <f>$B$71</f>
        <v>0</v>
      </c>
      <c r="F100" s="275">
        <f>E99*E100</f>
        <v>0</v>
      </c>
      <c r="G100" s="135"/>
    </row>
    <row r="101" spans="1:7" ht="11.25" customHeight="1" x14ac:dyDescent="0.2"/>
    <row r="102" spans="1:7" x14ac:dyDescent="0.2">
      <c r="A102" s="1" t="s">
        <v>46</v>
      </c>
    </row>
    <row r="103" spans="1:7" x14ac:dyDescent="0.2">
      <c r="A103" s="70" t="s">
        <v>22</v>
      </c>
      <c r="B103" s="71" t="s">
        <v>23</v>
      </c>
      <c r="C103" s="71" t="s">
        <v>15</v>
      </c>
      <c r="D103" s="72" t="s">
        <v>24</v>
      </c>
      <c r="E103" s="72" t="s">
        <v>25</v>
      </c>
      <c r="F103" s="73" t="s">
        <v>26</v>
      </c>
    </row>
    <row r="104" spans="1:7" x14ac:dyDescent="0.2">
      <c r="A104" s="77" t="s">
        <v>47</v>
      </c>
      <c r="B104" s="78" t="s">
        <v>28</v>
      </c>
      <c r="C104" s="78">
        <v>1</v>
      </c>
      <c r="D104" s="370"/>
      <c r="E104" s="79">
        <f>C104*D104</f>
        <v>0</v>
      </c>
    </row>
    <row r="105" spans="1:7" s="24" customFormat="1" x14ac:dyDescent="0.2">
      <c r="A105" s="80" t="s">
        <v>35</v>
      </c>
      <c r="B105" s="81"/>
      <c r="C105" s="81"/>
      <c r="D105" s="82"/>
      <c r="E105" s="83">
        <f>SUM(E104:E104)</f>
        <v>0</v>
      </c>
      <c r="F105" s="23"/>
      <c r="G105" s="23"/>
    </row>
    <row r="106" spans="1:7" x14ac:dyDescent="0.2">
      <c r="A106" s="84" t="s">
        <v>36</v>
      </c>
      <c r="B106" s="85" t="s">
        <v>9</v>
      </c>
      <c r="C106" s="86">
        <f>'3.Encargos Sociais'!$C$37*100</f>
        <v>0</v>
      </c>
      <c r="D106" s="87">
        <f>E105</f>
        <v>0</v>
      </c>
      <c r="E106" s="87">
        <f>D106*C106/100</f>
        <v>0</v>
      </c>
    </row>
    <row r="107" spans="1:7" s="24" customFormat="1" x14ac:dyDescent="0.2">
      <c r="A107" s="80" t="s">
        <v>48</v>
      </c>
      <c r="B107" s="81"/>
      <c r="C107" s="81"/>
      <c r="D107" s="82"/>
      <c r="E107" s="83">
        <f>E105+E106</f>
        <v>0</v>
      </c>
      <c r="F107" s="23"/>
      <c r="G107" s="23"/>
    </row>
    <row r="108" spans="1:7" x14ac:dyDescent="0.2">
      <c r="A108" s="84" t="s">
        <v>38</v>
      </c>
      <c r="B108" s="85" t="s">
        <v>39</v>
      </c>
      <c r="C108" s="88"/>
      <c r="D108" s="87">
        <f>E107</f>
        <v>0</v>
      </c>
      <c r="E108" s="87">
        <f>C108*D108</f>
        <v>0</v>
      </c>
    </row>
    <row r="109" spans="1:7" x14ac:dyDescent="0.2">
      <c r="D109" s="89" t="s">
        <v>40</v>
      </c>
      <c r="E109" s="290">
        <v>1</v>
      </c>
      <c r="F109" s="91">
        <f>E108*E109</f>
        <v>0</v>
      </c>
      <c r="G109" s="135"/>
    </row>
    <row r="110" spans="1:7" ht="11.25" customHeight="1" x14ac:dyDescent="0.2">
      <c r="G110" s="1"/>
    </row>
    <row r="111" spans="1:7" s="1" customFormat="1" x14ac:dyDescent="0.2">
      <c r="A111" s="1" t="s">
        <v>49</v>
      </c>
      <c r="B111" s="92"/>
      <c r="F111" s="2"/>
    </row>
    <row r="112" spans="1:7" s="1" customFormat="1" x14ac:dyDescent="0.2">
      <c r="A112" s="70" t="s">
        <v>22</v>
      </c>
      <c r="B112" s="71" t="s">
        <v>23</v>
      </c>
      <c r="C112" s="71" t="s">
        <v>15</v>
      </c>
      <c r="D112" s="72" t="s">
        <v>24</v>
      </c>
      <c r="E112" s="72" t="s">
        <v>25</v>
      </c>
      <c r="F112" s="73" t="s">
        <v>26</v>
      </c>
    </row>
    <row r="113" spans="1:11" s="1" customFormat="1" x14ac:dyDescent="0.2">
      <c r="A113" s="84" t="s">
        <v>50</v>
      </c>
      <c r="B113" s="85" t="s">
        <v>33</v>
      </c>
      <c r="C113" s="128">
        <v>1</v>
      </c>
      <c r="D113" s="372"/>
      <c r="E113" s="87"/>
      <c r="F113" s="2"/>
    </row>
    <row r="114" spans="1:11" s="1" customFormat="1" x14ac:dyDescent="0.2">
      <c r="A114" s="84" t="s">
        <v>51</v>
      </c>
      <c r="B114" s="85" t="s">
        <v>52</v>
      </c>
      <c r="C114" s="373"/>
      <c r="D114" s="87"/>
      <c r="E114" s="87"/>
      <c r="F114" s="2"/>
    </row>
    <row r="115" spans="1:11" s="1" customFormat="1" x14ac:dyDescent="0.2">
      <c r="A115" s="84" t="s">
        <v>53</v>
      </c>
      <c r="B115" s="85" t="s">
        <v>54</v>
      </c>
      <c r="C115" s="94">
        <f>C114*2*(C85)</f>
        <v>0</v>
      </c>
      <c r="D115" s="370">
        <f>J116</f>
        <v>0</v>
      </c>
      <c r="E115" s="87">
        <f>IFERROR(C115*D115,"-")</f>
        <v>0</v>
      </c>
      <c r="F115" s="2"/>
      <c r="G115" s="110"/>
      <c r="H115" s="276"/>
      <c r="I115" s="146"/>
    </row>
    <row r="116" spans="1:11" s="1" customFormat="1" x14ac:dyDescent="0.2">
      <c r="A116" s="77" t="s">
        <v>55</v>
      </c>
      <c r="B116" s="78" t="s">
        <v>54</v>
      </c>
      <c r="C116" s="94">
        <f>$C$114*2*(C99)</f>
        <v>0</v>
      </c>
      <c r="D116" s="79">
        <f>J116</f>
        <v>0</v>
      </c>
      <c r="E116" s="87">
        <f>IFERROR(C116*D116,"-")</f>
        <v>0</v>
      </c>
      <c r="F116" s="2"/>
    </row>
    <row r="117" spans="1:11" s="1" customFormat="1" x14ac:dyDescent="0.2">
      <c r="D117" s="2"/>
      <c r="E117" s="2"/>
      <c r="F117" s="277">
        <f>SUM(E115:E116)</f>
        <v>0</v>
      </c>
      <c r="G117" s="291"/>
    </row>
    <row r="118" spans="1:11" ht="11.25" customHeight="1" x14ac:dyDescent="0.2">
      <c r="G118" s="292"/>
    </row>
    <row r="119" spans="1:11" x14ac:dyDescent="0.2">
      <c r="A119" s="1" t="s">
        <v>56</v>
      </c>
      <c r="F119" s="23"/>
      <c r="G119" s="292"/>
      <c r="H119" s="291"/>
    </row>
    <row r="120" spans="1:11" s="1" customFormat="1" x14ac:dyDescent="0.2">
      <c r="A120" s="70" t="s">
        <v>22</v>
      </c>
      <c r="B120" s="71" t="s">
        <v>23</v>
      </c>
      <c r="C120" s="71" t="s">
        <v>15</v>
      </c>
      <c r="D120" s="72" t="s">
        <v>24</v>
      </c>
      <c r="E120" s="72" t="s">
        <v>25</v>
      </c>
      <c r="F120" s="73" t="s">
        <v>26</v>
      </c>
    </row>
    <row r="121" spans="1:11" s="1" customFormat="1" x14ac:dyDescent="0.2">
      <c r="A121" s="84" t="str">
        <f>+A115</f>
        <v>Coletor</v>
      </c>
      <c r="B121" s="85" t="s">
        <v>57</v>
      </c>
      <c r="C121" s="94">
        <f>C114*(E60)</f>
        <v>0</v>
      </c>
      <c r="D121" s="318"/>
      <c r="E121" s="90">
        <f>C121*D121</f>
        <v>0</v>
      </c>
      <c r="F121" s="23"/>
      <c r="K121" s="308"/>
    </row>
    <row r="122" spans="1:11" s="1" customFormat="1" x14ac:dyDescent="0.2">
      <c r="A122" s="84" t="s">
        <v>58</v>
      </c>
      <c r="B122" s="85" t="s">
        <v>57</v>
      </c>
      <c r="C122" s="94">
        <f>C114*(E61)</f>
        <v>0</v>
      </c>
      <c r="D122" s="87">
        <v>10.25</v>
      </c>
      <c r="E122" s="90">
        <f>D122*C122</f>
        <v>0</v>
      </c>
      <c r="F122" s="23"/>
      <c r="G122" s="292"/>
    </row>
    <row r="123" spans="1:11" s="1" customFormat="1" x14ac:dyDescent="0.2">
      <c r="A123" s="84" t="s">
        <v>59</v>
      </c>
      <c r="B123" s="85" t="s">
        <v>57</v>
      </c>
      <c r="C123" s="94">
        <f>C114*(E62/2)</f>
        <v>0</v>
      </c>
      <c r="D123" s="318"/>
      <c r="E123" s="90">
        <f>C123*D123</f>
        <v>0</v>
      </c>
      <c r="F123" s="23"/>
      <c r="G123" s="292"/>
    </row>
    <row r="124" spans="1:11" s="1" customFormat="1" x14ac:dyDescent="0.2">
      <c r="D124" s="2"/>
      <c r="E124" s="2"/>
      <c r="F124" s="277">
        <f>SUM(E121:E123)</f>
        <v>0</v>
      </c>
      <c r="G124" s="292"/>
      <c r="H124" s="291"/>
      <c r="I124" s="291"/>
    </row>
    <row r="125" spans="1:11" x14ac:dyDescent="0.2">
      <c r="G125" s="1"/>
    </row>
    <row r="126" spans="1:11" ht="13.5" thickBot="1" x14ac:dyDescent="0.25">
      <c r="A126" s="1" t="s">
        <v>60</v>
      </c>
      <c r="F126" s="23"/>
      <c r="G126" s="1"/>
      <c r="J126" s="308"/>
    </row>
    <row r="127" spans="1:11" s="1" customFormat="1" x14ac:dyDescent="0.2">
      <c r="A127" s="121" t="s">
        <v>22</v>
      </c>
      <c r="B127" s="122" t="s">
        <v>23</v>
      </c>
      <c r="C127" s="122" t="s">
        <v>15</v>
      </c>
      <c r="D127" s="123" t="s">
        <v>24</v>
      </c>
      <c r="E127" s="123" t="s">
        <v>25</v>
      </c>
      <c r="F127" s="304" t="s">
        <v>26</v>
      </c>
      <c r="J127" s="308"/>
    </row>
    <row r="128" spans="1:11" x14ac:dyDescent="0.2">
      <c r="A128" s="380" t="s">
        <v>53</v>
      </c>
      <c r="B128" s="85" t="s">
        <v>57</v>
      </c>
      <c r="C128" s="94">
        <v>234</v>
      </c>
      <c r="D128" s="318"/>
      <c r="E128" s="90">
        <f>C128*D128</f>
        <v>0</v>
      </c>
      <c r="F128" s="305"/>
      <c r="G128" s="1"/>
      <c r="J128" s="308"/>
    </row>
    <row r="129" spans="1:8" x14ac:dyDescent="0.2">
      <c r="A129" s="84" t="s">
        <v>58</v>
      </c>
      <c r="B129" s="85"/>
      <c r="C129" s="94">
        <v>78</v>
      </c>
      <c r="D129" s="318"/>
      <c r="E129" s="90">
        <f t="shared" ref="E129:E130" si="1">C129*D129</f>
        <v>0</v>
      </c>
      <c r="F129" s="305"/>
      <c r="G129" s="1"/>
      <c r="H129" s="96"/>
    </row>
    <row r="130" spans="1:8" x14ac:dyDescent="0.2">
      <c r="A130" s="84" t="s">
        <v>59</v>
      </c>
      <c r="B130" s="85"/>
      <c r="C130" s="94">
        <v>13</v>
      </c>
      <c r="D130" s="318"/>
      <c r="E130" s="90">
        <f t="shared" si="1"/>
        <v>0</v>
      </c>
      <c r="F130" s="305"/>
      <c r="G130" s="1"/>
      <c r="H130" s="96"/>
    </row>
    <row r="131" spans="1:8" s="1" customFormat="1" x14ac:dyDescent="0.2">
      <c r="A131" s="84"/>
      <c r="B131" s="84"/>
      <c r="C131" s="84"/>
      <c r="D131" s="306" t="s">
        <v>40</v>
      </c>
      <c r="E131" s="90">
        <f>$B$71</f>
        <v>0</v>
      </c>
      <c r="F131" s="307">
        <f>SUM(E128:E130)*E131</f>
        <v>0</v>
      </c>
    </row>
    <row r="132" spans="1:8" x14ac:dyDescent="0.2">
      <c r="G132" s="1"/>
    </row>
    <row r="133" spans="1:8" ht="13.5" thickBot="1" x14ac:dyDescent="0.25">
      <c r="A133" s="1" t="s">
        <v>383</v>
      </c>
      <c r="G133" s="1"/>
    </row>
    <row r="134" spans="1:8" ht="13.5" thickBot="1" x14ac:dyDescent="0.25">
      <c r="A134" s="383" t="s">
        <v>22</v>
      </c>
      <c r="B134" s="384" t="s">
        <v>384</v>
      </c>
      <c r="C134" s="384" t="s">
        <v>385</v>
      </c>
      <c r="D134" s="385" t="s">
        <v>386</v>
      </c>
      <c r="E134" s="385" t="s">
        <v>387</v>
      </c>
      <c r="F134" s="386" t="s">
        <v>336</v>
      </c>
      <c r="G134" s="1"/>
    </row>
    <row r="135" spans="1:8" x14ac:dyDescent="0.2">
      <c r="A135" s="77" t="s">
        <v>388</v>
      </c>
      <c r="B135" s="77" t="s">
        <v>57</v>
      </c>
      <c r="C135" s="77">
        <f>E60</f>
        <v>9</v>
      </c>
      <c r="D135" s="318"/>
      <c r="E135" s="382">
        <f>D135*C135</f>
        <v>0</v>
      </c>
      <c r="F135" s="382"/>
      <c r="G135" s="1"/>
    </row>
    <row r="136" spans="1:8" x14ac:dyDescent="0.2">
      <c r="A136" s="84" t="s">
        <v>58</v>
      </c>
      <c r="B136" s="84"/>
      <c r="C136" s="84">
        <f>E61</f>
        <v>3</v>
      </c>
      <c r="D136" s="318"/>
      <c r="E136" s="90">
        <f t="shared" ref="E136:E137" si="2">D136*C136</f>
        <v>0</v>
      </c>
      <c r="F136" s="90"/>
      <c r="G136" s="1"/>
    </row>
    <row r="137" spans="1:8" x14ac:dyDescent="0.2">
      <c r="A137" s="84" t="s">
        <v>59</v>
      </c>
      <c r="B137" s="84"/>
      <c r="C137" s="84">
        <f>E62</f>
        <v>1</v>
      </c>
      <c r="D137" s="318"/>
      <c r="E137" s="90">
        <f t="shared" si="2"/>
        <v>0</v>
      </c>
      <c r="F137" s="90"/>
      <c r="G137" s="1"/>
    </row>
    <row r="138" spans="1:8" x14ac:dyDescent="0.2">
      <c r="A138" s="84"/>
      <c r="B138" s="84"/>
      <c r="C138" s="84" t="str">
        <f>D131</f>
        <v>Fator de utilização</v>
      </c>
      <c r="D138" s="90"/>
      <c r="E138" s="90">
        <f>B71</f>
        <v>0</v>
      </c>
      <c r="F138" s="381">
        <f>E135+E136+E137</f>
        <v>0</v>
      </c>
      <c r="G138" s="1"/>
    </row>
    <row r="139" spans="1:8" ht="13.5" thickBot="1" x14ac:dyDescent="0.25">
      <c r="G139" s="1"/>
    </row>
    <row r="140" spans="1:8" s="1" customFormat="1" ht="13.5" thickBot="1" x14ac:dyDescent="0.25">
      <c r="A140" s="98" t="s">
        <v>61</v>
      </c>
      <c r="B140" s="99"/>
      <c r="C140" s="99"/>
      <c r="D140" s="100"/>
      <c r="E140" s="101"/>
      <c r="F140" s="97">
        <f>F131+F124+F117+F109+F100+F86</f>
        <v>0</v>
      </c>
    </row>
    <row r="142" spans="1:8" x14ac:dyDescent="0.2">
      <c r="A142" s="24" t="s">
        <v>62</v>
      </c>
      <c r="G142" s="1"/>
    </row>
    <row r="143" spans="1:8" ht="11.25" customHeight="1" x14ac:dyDescent="0.2">
      <c r="G143" s="1"/>
    </row>
    <row r="144" spans="1:8" ht="13.9" customHeight="1" x14ac:dyDescent="0.2">
      <c r="A144" s="1" t="s">
        <v>63</v>
      </c>
      <c r="G144" s="1"/>
    </row>
    <row r="145" spans="1:7" ht="11.25" customHeight="1" x14ac:dyDescent="0.2">
      <c r="G145" s="1"/>
    </row>
    <row r="146" spans="1:7" s="1" customFormat="1" ht="27.75" customHeight="1" x14ac:dyDescent="0.2">
      <c r="A146" s="70" t="s">
        <v>22</v>
      </c>
      <c r="B146" s="71" t="s">
        <v>23</v>
      </c>
      <c r="C146" s="102" t="s">
        <v>64</v>
      </c>
      <c r="D146" s="72" t="s">
        <v>24</v>
      </c>
      <c r="E146" s="72" t="s">
        <v>25</v>
      </c>
      <c r="F146" s="73" t="s">
        <v>26</v>
      </c>
    </row>
    <row r="147" spans="1:7" x14ac:dyDescent="0.2">
      <c r="A147" s="77" t="s">
        <v>65</v>
      </c>
      <c r="B147" s="78" t="s">
        <v>57</v>
      </c>
      <c r="C147" s="103"/>
      <c r="D147" s="104"/>
      <c r="E147" s="79">
        <f t="shared" ref="E147:E153" si="3">IFERROR(D147/C147,0)</f>
        <v>0</v>
      </c>
      <c r="G147" s="1"/>
    </row>
    <row r="148" spans="1:7" ht="13.15" customHeight="1" x14ac:dyDescent="0.2">
      <c r="A148" s="84" t="s">
        <v>66</v>
      </c>
      <c r="B148" s="85" t="s">
        <v>57</v>
      </c>
      <c r="C148" s="103"/>
      <c r="D148" s="104"/>
      <c r="E148" s="79">
        <f t="shared" si="3"/>
        <v>0</v>
      </c>
      <c r="G148" s="1"/>
    </row>
    <row r="149" spans="1:7" x14ac:dyDescent="0.2">
      <c r="A149" s="84" t="s">
        <v>67</v>
      </c>
      <c r="B149" s="85" t="s">
        <v>57</v>
      </c>
      <c r="C149" s="103"/>
      <c r="D149" s="104"/>
      <c r="E149" s="79">
        <f t="shared" si="3"/>
        <v>0</v>
      </c>
      <c r="G149" s="1"/>
    </row>
    <row r="150" spans="1:7" ht="13.15" customHeight="1" x14ac:dyDescent="0.2">
      <c r="A150" s="84" t="s">
        <v>68</v>
      </c>
      <c r="B150" s="85" t="s">
        <v>57</v>
      </c>
      <c r="C150" s="103"/>
      <c r="D150" s="104"/>
      <c r="E150" s="79">
        <f t="shared" si="3"/>
        <v>0</v>
      </c>
      <c r="G150" s="1"/>
    </row>
    <row r="151" spans="1:7" ht="13.9" customHeight="1" x14ac:dyDescent="0.2">
      <c r="A151" s="84" t="s">
        <v>69</v>
      </c>
      <c r="B151" s="85" t="s">
        <v>70</v>
      </c>
      <c r="C151" s="103"/>
      <c r="D151" s="104"/>
      <c r="E151" s="79">
        <f t="shared" si="3"/>
        <v>0</v>
      </c>
      <c r="G151" s="1"/>
    </row>
    <row r="152" spans="1:7" ht="13.15" customHeight="1" x14ac:dyDescent="0.2">
      <c r="A152" s="84" t="s">
        <v>71</v>
      </c>
      <c r="B152" s="85" t="s">
        <v>70</v>
      </c>
      <c r="C152" s="103"/>
      <c r="D152" s="104"/>
      <c r="E152" s="79">
        <f t="shared" si="3"/>
        <v>0</v>
      </c>
    </row>
    <row r="153" spans="1:7" x14ac:dyDescent="0.2">
      <c r="A153" s="84" t="s">
        <v>72</v>
      </c>
      <c r="B153" s="85" t="s">
        <v>57</v>
      </c>
      <c r="C153" s="103"/>
      <c r="D153" s="104"/>
      <c r="E153" s="79">
        <f t="shared" si="3"/>
        <v>0</v>
      </c>
    </row>
    <row r="154" spans="1:7" x14ac:dyDescent="0.2">
      <c r="A154" s="84" t="s">
        <v>73</v>
      </c>
      <c r="B154" s="85" t="s">
        <v>70</v>
      </c>
      <c r="C154" s="103"/>
      <c r="D154" s="104"/>
      <c r="E154" s="79"/>
    </row>
    <row r="155" spans="1:7" x14ac:dyDescent="0.2">
      <c r="A155" s="84" t="s">
        <v>389</v>
      </c>
      <c r="B155" s="85" t="s">
        <v>390</v>
      </c>
      <c r="C155" s="103"/>
      <c r="D155" s="104"/>
      <c r="E155" s="79">
        <f>C155*D155</f>
        <v>0</v>
      </c>
    </row>
    <row r="156" spans="1:7" ht="13.15" customHeight="1" x14ac:dyDescent="0.2">
      <c r="A156" s="84" t="s">
        <v>74</v>
      </c>
      <c r="B156" s="85" t="s">
        <v>75</v>
      </c>
      <c r="C156" s="103"/>
      <c r="D156" s="104"/>
      <c r="E156" s="79">
        <f>IFERROR(D156/C156,0)</f>
        <v>0</v>
      </c>
    </row>
    <row r="157" spans="1:7" x14ac:dyDescent="0.2">
      <c r="A157" s="84" t="s">
        <v>38</v>
      </c>
      <c r="B157" s="85" t="s">
        <v>39</v>
      </c>
      <c r="C157" s="105">
        <f>E60</f>
        <v>9</v>
      </c>
      <c r="D157" s="87">
        <f>+SUM(E147:E156)</f>
        <v>0</v>
      </c>
      <c r="E157" s="87">
        <f>C157*D157</f>
        <v>0</v>
      </c>
    </row>
    <row r="158" spans="1:7" x14ac:dyDescent="0.2">
      <c r="D158" s="89" t="s">
        <v>40</v>
      </c>
      <c r="E158" s="90">
        <f>$B$71</f>
        <v>0</v>
      </c>
      <c r="F158" s="91">
        <f>E157*E158</f>
        <v>0</v>
      </c>
    </row>
    <row r="159" spans="1:7" ht="11.25" customHeight="1" x14ac:dyDescent="0.2"/>
    <row r="160" spans="1:7" ht="13.9" customHeight="1" x14ac:dyDescent="0.2">
      <c r="A160" s="1" t="s">
        <v>76</v>
      </c>
    </row>
    <row r="161" spans="1:7" ht="11.25" customHeight="1" x14ac:dyDescent="0.2"/>
    <row r="162" spans="1:7" ht="24" x14ac:dyDescent="0.2">
      <c r="A162" s="70" t="s">
        <v>22</v>
      </c>
      <c r="B162" s="71" t="s">
        <v>23</v>
      </c>
      <c r="C162" s="102" t="s">
        <v>64</v>
      </c>
      <c r="D162" s="72" t="s">
        <v>24</v>
      </c>
      <c r="E162" s="72" t="s">
        <v>25</v>
      </c>
      <c r="F162" s="73" t="s">
        <v>26</v>
      </c>
    </row>
    <row r="163" spans="1:7" x14ac:dyDescent="0.2">
      <c r="A163" s="77" t="s">
        <v>65</v>
      </c>
      <c r="B163" s="78" t="s">
        <v>57</v>
      </c>
      <c r="C163" s="103"/>
      <c r="D163" s="79">
        <f>+D147</f>
        <v>0</v>
      </c>
      <c r="E163" s="79">
        <f t="shared" ref="E163:E169" si="4">IFERROR(D163/C163,0)</f>
        <v>0</v>
      </c>
    </row>
    <row r="164" spans="1:7" x14ac:dyDescent="0.2">
      <c r="A164" s="84" t="s">
        <v>66</v>
      </c>
      <c r="B164" s="85" t="s">
        <v>57</v>
      </c>
      <c r="C164" s="103"/>
      <c r="D164" s="87">
        <f>+D148</f>
        <v>0</v>
      </c>
      <c r="E164" s="79">
        <f t="shared" si="4"/>
        <v>0</v>
      </c>
    </row>
    <row r="165" spans="1:7" x14ac:dyDescent="0.2">
      <c r="A165" s="84" t="s">
        <v>67</v>
      </c>
      <c r="B165" s="85" t="s">
        <v>57</v>
      </c>
      <c r="C165" s="103"/>
      <c r="D165" s="87">
        <f>+D149</f>
        <v>0</v>
      </c>
      <c r="E165" s="79">
        <f t="shared" si="4"/>
        <v>0</v>
      </c>
    </row>
    <row r="166" spans="1:7" x14ac:dyDescent="0.2">
      <c r="A166" s="84" t="s">
        <v>69</v>
      </c>
      <c r="B166" s="85" t="s">
        <v>70</v>
      </c>
      <c r="C166" s="103"/>
      <c r="D166" s="87">
        <f>+D151</f>
        <v>0</v>
      </c>
      <c r="E166" s="79">
        <f t="shared" si="4"/>
        <v>0</v>
      </c>
    </row>
    <row r="167" spans="1:7" x14ac:dyDescent="0.2">
      <c r="A167" s="84" t="s">
        <v>72</v>
      </c>
      <c r="B167" s="85" t="s">
        <v>57</v>
      </c>
      <c r="C167" s="103"/>
      <c r="D167" s="87">
        <f>+D153</f>
        <v>0</v>
      </c>
      <c r="E167" s="79">
        <f t="shared" si="4"/>
        <v>0</v>
      </c>
      <c r="G167" s="1"/>
    </row>
    <row r="168" spans="1:7" x14ac:dyDescent="0.2">
      <c r="A168" s="315" t="s">
        <v>389</v>
      </c>
      <c r="B168" s="387" t="s">
        <v>390</v>
      </c>
      <c r="C168" s="103"/>
      <c r="D168" s="388"/>
      <c r="E168" s="389">
        <f>C168*D168</f>
        <v>0</v>
      </c>
      <c r="G168" s="1"/>
    </row>
    <row r="169" spans="1:7" x14ac:dyDescent="0.2">
      <c r="A169" s="84" t="s">
        <v>74</v>
      </c>
      <c r="B169" s="85" t="s">
        <v>75</v>
      </c>
      <c r="C169" s="103"/>
      <c r="D169" s="87">
        <f>+D156</f>
        <v>0</v>
      </c>
      <c r="E169" s="79">
        <f t="shared" si="4"/>
        <v>0</v>
      </c>
      <c r="G169" s="1"/>
    </row>
    <row r="170" spans="1:7" x14ac:dyDescent="0.2">
      <c r="A170" s="84" t="s">
        <v>38</v>
      </c>
      <c r="B170" s="85" t="s">
        <v>39</v>
      </c>
      <c r="C170" s="105">
        <f>E61</f>
        <v>3</v>
      </c>
      <c r="D170" s="87">
        <f>+SUM(E163:E169)</f>
        <v>0</v>
      </c>
      <c r="E170" s="87">
        <f>C170*D170</f>
        <v>0</v>
      </c>
      <c r="G170" s="1"/>
    </row>
    <row r="171" spans="1:7" s="1" customFormat="1" x14ac:dyDescent="0.2">
      <c r="D171" s="89" t="s">
        <v>40</v>
      </c>
      <c r="E171" s="90">
        <f>$B$71</f>
        <v>0</v>
      </c>
      <c r="F171" s="91">
        <f>E170*E171</f>
        <v>0</v>
      </c>
    </row>
    <row r="172" spans="1:7" ht="11.25" customHeight="1" x14ac:dyDescent="0.2">
      <c r="G172" s="1"/>
    </row>
    <row r="173" spans="1:7" x14ac:dyDescent="0.2">
      <c r="A173" s="98" t="s">
        <v>77</v>
      </c>
      <c r="B173" s="106"/>
      <c r="C173" s="106"/>
      <c r="D173" s="107"/>
      <c r="E173" s="108"/>
      <c r="F173" s="109">
        <f>+F158+F171</f>
        <v>0</v>
      </c>
      <c r="G173" s="110"/>
    </row>
    <row r="174" spans="1:7" ht="11.25" customHeight="1" x14ac:dyDescent="0.2">
      <c r="G174" s="1"/>
    </row>
    <row r="175" spans="1:7" x14ac:dyDescent="0.2">
      <c r="A175" s="24" t="s">
        <v>78</v>
      </c>
      <c r="G175" s="1"/>
    </row>
    <row r="176" spans="1:7" ht="11.25" customHeight="1" x14ac:dyDescent="0.2">
      <c r="B176" s="111"/>
      <c r="G176" s="1"/>
    </row>
    <row r="177" spans="1:10" x14ac:dyDescent="0.2">
      <c r="A177" s="1" t="s">
        <v>334</v>
      </c>
      <c r="G177" s="1"/>
    </row>
    <row r="178" spans="1:10" ht="11.25" customHeight="1" x14ac:dyDescent="0.2">
      <c r="G178" s="1"/>
    </row>
    <row r="179" spans="1:10" x14ac:dyDescent="0.2">
      <c r="A179" s="111" t="s">
        <v>79</v>
      </c>
      <c r="G179" s="1"/>
    </row>
    <row r="180" spans="1:10" s="1" customFormat="1" x14ac:dyDescent="0.2">
      <c r="A180" s="70" t="s">
        <v>22</v>
      </c>
      <c r="B180" s="71" t="s">
        <v>23</v>
      </c>
      <c r="C180" s="71" t="s">
        <v>15</v>
      </c>
      <c r="D180" s="72" t="s">
        <v>24</v>
      </c>
      <c r="E180" s="72" t="s">
        <v>25</v>
      </c>
      <c r="F180" s="73" t="s">
        <v>26</v>
      </c>
    </row>
    <row r="181" spans="1:10" x14ac:dyDescent="0.2">
      <c r="A181" s="77" t="s">
        <v>80</v>
      </c>
      <c r="B181" s="78" t="s">
        <v>57</v>
      </c>
      <c r="C181" s="78">
        <v>1</v>
      </c>
      <c r="D181" s="309"/>
      <c r="E181" s="79">
        <f>C181*D181</f>
        <v>0</v>
      </c>
      <c r="G181" s="1"/>
    </row>
    <row r="182" spans="1:10" x14ac:dyDescent="0.2">
      <c r="A182" s="84" t="s">
        <v>81</v>
      </c>
      <c r="B182" s="85" t="s">
        <v>82</v>
      </c>
      <c r="C182" s="88"/>
      <c r="D182" s="87"/>
      <c r="E182" s="87"/>
      <c r="G182" s="1"/>
    </row>
    <row r="183" spans="1:10" x14ac:dyDescent="0.2">
      <c r="A183" s="84" t="s">
        <v>83</v>
      </c>
      <c r="B183" s="85" t="s">
        <v>82</v>
      </c>
      <c r="C183" s="88"/>
      <c r="D183" s="87"/>
      <c r="E183" s="87"/>
      <c r="F183" s="112"/>
      <c r="I183" s="110"/>
      <c r="J183" s="110"/>
    </row>
    <row r="184" spans="1:10" x14ac:dyDescent="0.2">
      <c r="A184" s="84" t="s">
        <v>84</v>
      </c>
      <c r="B184" s="85" t="s">
        <v>9</v>
      </c>
      <c r="C184" s="86">
        <f>IFERROR(VLOOKUP(C182,'6. Depreciação'!A3:B17,2,FALSE()),0)</f>
        <v>0</v>
      </c>
      <c r="D184" s="87">
        <f>E181</f>
        <v>0</v>
      </c>
      <c r="E184" s="87">
        <f>C184*D184/100</f>
        <v>0</v>
      </c>
    </row>
    <row r="185" spans="1:10" x14ac:dyDescent="0.2">
      <c r="A185" s="113" t="s">
        <v>85</v>
      </c>
      <c r="B185" s="114" t="s">
        <v>28</v>
      </c>
      <c r="C185" s="114">
        <f>C182*12</f>
        <v>0</v>
      </c>
      <c r="D185" s="115">
        <f>IF(C183&lt;=C182,E184,0)</f>
        <v>0</v>
      </c>
      <c r="E185" s="115">
        <f>IFERROR(D185/C185,0)</f>
        <v>0</v>
      </c>
    </row>
    <row r="186" spans="1:10" x14ac:dyDescent="0.2">
      <c r="A186" s="77" t="s">
        <v>86</v>
      </c>
      <c r="B186" s="78" t="s">
        <v>57</v>
      </c>
      <c r="C186" s="78">
        <f>C181</f>
        <v>1</v>
      </c>
      <c r="D186" s="104"/>
      <c r="E186" s="79">
        <f>C186*D186</f>
        <v>0</v>
      </c>
      <c r="G186" s="1"/>
    </row>
    <row r="187" spans="1:10" x14ac:dyDescent="0.2">
      <c r="A187" s="84" t="s">
        <v>87</v>
      </c>
      <c r="B187" s="85" t="s">
        <v>82</v>
      </c>
      <c r="C187" s="88"/>
      <c r="D187" s="87"/>
      <c r="E187" s="87"/>
    </row>
    <row r="188" spans="1:10" x14ac:dyDescent="0.2">
      <c r="A188" s="84" t="s">
        <v>88</v>
      </c>
      <c r="B188" s="85" t="s">
        <v>82</v>
      </c>
      <c r="C188" s="88"/>
      <c r="D188" s="87"/>
      <c r="E188" s="87"/>
      <c r="F188" s="112"/>
      <c r="I188" s="110"/>
      <c r="J188" s="110"/>
    </row>
    <row r="189" spans="1:10" x14ac:dyDescent="0.2">
      <c r="A189" s="84" t="s">
        <v>89</v>
      </c>
      <c r="B189" s="85" t="s">
        <v>9</v>
      </c>
      <c r="C189" s="332">
        <f>IFERROR(VLOOKUP(C187,'6. Depreciação'!A3:B17,2,FALSE()),0)</f>
        <v>0</v>
      </c>
      <c r="D189" s="87">
        <f>E186</f>
        <v>0</v>
      </c>
      <c r="E189" s="87">
        <f>C189*D189/100</f>
        <v>0</v>
      </c>
    </row>
    <row r="190" spans="1:10" x14ac:dyDescent="0.2">
      <c r="A190" s="117" t="s">
        <v>90</v>
      </c>
      <c r="B190" s="118" t="s">
        <v>28</v>
      </c>
      <c r="C190" s="118">
        <f>C187*12</f>
        <v>0</v>
      </c>
      <c r="D190" s="119">
        <f>IF(C188&lt;=C187,E189,0)</f>
        <v>0</v>
      </c>
      <c r="E190" s="119">
        <f>IFERROR(D190/C190,0)</f>
        <v>0</v>
      </c>
    </row>
    <row r="191" spans="1:10" x14ac:dyDescent="0.2">
      <c r="A191" s="80" t="s">
        <v>91</v>
      </c>
      <c r="B191" s="81"/>
      <c r="C191" s="81"/>
      <c r="D191" s="82"/>
      <c r="E191" s="83">
        <f>E185+E190</f>
        <v>0</v>
      </c>
    </row>
    <row r="192" spans="1:10" x14ac:dyDescent="0.2">
      <c r="A192" s="117" t="s">
        <v>92</v>
      </c>
      <c r="B192" s="118" t="s">
        <v>57</v>
      </c>
      <c r="C192" s="88"/>
      <c r="D192" s="119">
        <f>E191</f>
        <v>0</v>
      </c>
      <c r="E192" s="83">
        <f>C192*D192</f>
        <v>0</v>
      </c>
    </row>
    <row r="193" spans="1:10" x14ac:dyDescent="0.2">
      <c r="A193" s="120"/>
      <c r="B193" s="120"/>
      <c r="C193" s="120"/>
      <c r="D193" s="89" t="s">
        <v>40</v>
      </c>
      <c r="E193" s="90">
        <v>1</v>
      </c>
      <c r="F193" s="109">
        <f>E192*E193</f>
        <v>0</v>
      </c>
    </row>
    <row r="194" spans="1:10" ht="11.25" customHeight="1" x14ac:dyDescent="0.2"/>
    <row r="195" spans="1:10" x14ac:dyDescent="0.2">
      <c r="A195" s="111" t="s">
        <v>93</v>
      </c>
    </row>
    <row r="196" spans="1:10" x14ac:dyDescent="0.2">
      <c r="A196" s="121" t="s">
        <v>22</v>
      </c>
      <c r="B196" s="122" t="s">
        <v>23</v>
      </c>
      <c r="C196" s="122" t="s">
        <v>15</v>
      </c>
      <c r="D196" s="72" t="s">
        <v>24</v>
      </c>
      <c r="E196" s="123" t="s">
        <v>25</v>
      </c>
      <c r="F196" s="73" t="s">
        <v>26</v>
      </c>
      <c r="I196" s="110"/>
      <c r="J196" s="110"/>
    </row>
    <row r="197" spans="1:10" x14ac:dyDescent="0.2">
      <c r="A197" s="84" t="s">
        <v>94</v>
      </c>
      <c r="B197" s="85" t="s">
        <v>57</v>
      </c>
      <c r="C197" s="78">
        <v>1</v>
      </c>
      <c r="D197" s="87">
        <f>D181</f>
        <v>0</v>
      </c>
      <c r="E197" s="87">
        <f>C197*D197</f>
        <v>0</v>
      </c>
      <c r="F197" s="112"/>
      <c r="I197" s="110"/>
      <c r="J197" s="110"/>
    </row>
    <row r="198" spans="1:10" s="75" customFormat="1" x14ac:dyDescent="0.2">
      <c r="A198" s="84" t="s">
        <v>95</v>
      </c>
      <c r="B198" s="85" t="s">
        <v>9</v>
      </c>
      <c r="C198" s="317"/>
      <c r="D198" s="87"/>
      <c r="E198" s="87"/>
      <c r="F198" s="112"/>
      <c r="G198" s="74"/>
      <c r="I198" s="93"/>
      <c r="J198" s="93"/>
    </row>
    <row r="199" spans="1:10" x14ac:dyDescent="0.2">
      <c r="A199" s="84" t="s">
        <v>96</v>
      </c>
      <c r="B199" s="85" t="s">
        <v>33</v>
      </c>
      <c r="C199" s="124">
        <f>IFERROR(IF(C183&lt;=C182,E181-(C184/(100*C182)*C183)*E181,E181-E184),0)</f>
        <v>0</v>
      </c>
      <c r="D199" s="87"/>
      <c r="E199" s="87"/>
      <c r="F199" s="112"/>
      <c r="I199" s="110"/>
      <c r="J199" s="110"/>
    </row>
    <row r="200" spans="1:10" x14ac:dyDescent="0.2">
      <c r="A200" s="84" t="s">
        <v>97</v>
      </c>
      <c r="B200" s="85" t="s">
        <v>33</v>
      </c>
      <c r="C200" s="87">
        <f>IFERROR(IF(C183&gt;=C182,C199,((((C199)-(E181-E184))*(((C182-C183)+1)/(2*(C182-C183))))+(E181-E184))),0)</f>
        <v>0</v>
      </c>
      <c r="D200" s="87"/>
      <c r="E200" s="87"/>
      <c r="F200" s="112"/>
      <c r="I200" s="110"/>
      <c r="J200" s="110"/>
    </row>
    <row r="201" spans="1:10" x14ac:dyDescent="0.2">
      <c r="A201" s="113" t="s">
        <v>98</v>
      </c>
      <c r="B201" s="114" t="s">
        <v>33</v>
      </c>
      <c r="C201" s="114"/>
      <c r="D201" s="115">
        <f>C198*C200/12/100</f>
        <v>0</v>
      </c>
      <c r="E201" s="115">
        <f>D201</f>
        <v>0</v>
      </c>
      <c r="F201" s="112"/>
      <c r="I201" s="110"/>
      <c r="J201" s="110"/>
    </row>
    <row r="202" spans="1:10" x14ac:dyDescent="0.2">
      <c r="A202" s="77" t="s">
        <v>99</v>
      </c>
      <c r="B202" s="78" t="s">
        <v>57</v>
      </c>
      <c r="C202" s="78">
        <f>C186</f>
        <v>1</v>
      </c>
      <c r="D202" s="79">
        <f>D186</f>
        <v>0</v>
      </c>
      <c r="E202" s="79">
        <f>C202*D202</f>
        <v>0</v>
      </c>
      <c r="F202" s="112"/>
      <c r="I202" s="110"/>
      <c r="J202" s="110"/>
    </row>
    <row r="203" spans="1:10" s="75" customFormat="1" x14ac:dyDescent="0.2">
      <c r="A203" s="84" t="s">
        <v>95</v>
      </c>
      <c r="B203" s="85" t="s">
        <v>9</v>
      </c>
      <c r="C203" s="331">
        <f>C198</f>
        <v>0</v>
      </c>
      <c r="D203" s="87"/>
      <c r="E203" s="87"/>
      <c r="F203" s="112"/>
      <c r="G203" s="74"/>
      <c r="I203" s="93"/>
      <c r="J203" s="93"/>
    </row>
    <row r="204" spans="1:10" x14ac:dyDescent="0.2">
      <c r="A204" s="84" t="s">
        <v>100</v>
      </c>
      <c r="B204" s="85" t="s">
        <v>33</v>
      </c>
      <c r="C204" s="124">
        <f>IFERROR(IF(C188&lt;=C187,E186-(C189/(100*C187)*C188)*E186,E186-E189),0)</f>
        <v>0</v>
      </c>
      <c r="D204" s="87"/>
      <c r="E204" s="87"/>
      <c r="F204" s="112"/>
      <c r="I204" s="110"/>
      <c r="J204" s="110"/>
    </row>
    <row r="205" spans="1:10" x14ac:dyDescent="0.2">
      <c r="A205" s="84" t="s">
        <v>101</v>
      </c>
      <c r="B205" s="85" t="s">
        <v>33</v>
      </c>
      <c r="C205" s="87">
        <f>IFERROR(IF(C188&gt;=C187,C204,((((C204)-(E186-E189))*(((C187-C188)+1)/(2*(C187-C188))))+(E186-E189))),0)</f>
        <v>0</v>
      </c>
      <c r="D205" s="87"/>
      <c r="E205" s="87"/>
      <c r="F205" s="112"/>
      <c r="I205" s="110"/>
      <c r="J205" s="110"/>
    </row>
    <row r="206" spans="1:10" s="1" customFormat="1" x14ac:dyDescent="0.2">
      <c r="A206" s="117" t="s">
        <v>102</v>
      </c>
      <c r="B206" s="118" t="s">
        <v>33</v>
      </c>
      <c r="C206" s="118"/>
      <c r="D206" s="119">
        <f>C203*C205/12/100</f>
        <v>0</v>
      </c>
      <c r="E206" s="119">
        <f>D206</f>
        <v>0</v>
      </c>
      <c r="F206" s="112"/>
      <c r="G206" s="2"/>
      <c r="I206" s="110"/>
      <c r="J206" s="110"/>
    </row>
    <row r="207" spans="1:10" s="1" customFormat="1" x14ac:dyDescent="0.2">
      <c r="A207" s="80" t="s">
        <v>91</v>
      </c>
      <c r="B207" s="81"/>
      <c r="C207" s="81"/>
      <c r="D207" s="82"/>
      <c r="E207" s="83">
        <f>E201+E206</f>
        <v>0</v>
      </c>
      <c r="F207" s="112"/>
      <c r="G207" s="2"/>
      <c r="I207" s="110"/>
      <c r="J207" s="110"/>
    </row>
    <row r="208" spans="1:10" s="1" customFormat="1" x14ac:dyDescent="0.2">
      <c r="A208" s="117" t="s">
        <v>92</v>
      </c>
      <c r="B208" s="118" t="s">
        <v>57</v>
      </c>
      <c r="C208" s="85">
        <f>C192</f>
        <v>0</v>
      </c>
      <c r="D208" s="119">
        <f>E207</f>
        <v>0</v>
      </c>
      <c r="E208" s="83">
        <f>C208*D208</f>
        <v>0</v>
      </c>
      <c r="F208" s="112"/>
      <c r="G208" s="2"/>
      <c r="I208" s="110"/>
      <c r="J208" s="110"/>
    </row>
    <row r="209" spans="1:10" s="1" customFormat="1" x14ac:dyDescent="0.2">
      <c r="C209" s="272"/>
      <c r="D209" s="89" t="s">
        <v>40</v>
      </c>
      <c r="E209" s="90">
        <v>1</v>
      </c>
      <c r="F209" s="278">
        <f>E208*E209</f>
        <v>0</v>
      </c>
      <c r="G209" s="2"/>
      <c r="I209" s="110"/>
      <c r="J209" s="110"/>
    </row>
    <row r="210" spans="1:10" ht="11.25" customHeight="1" x14ac:dyDescent="0.2">
      <c r="I210" s="110"/>
      <c r="J210" s="110"/>
    </row>
    <row r="211" spans="1:10" x14ac:dyDescent="0.2">
      <c r="A211" s="1" t="s">
        <v>103</v>
      </c>
      <c r="I211" s="110"/>
      <c r="J211" s="110"/>
    </row>
    <row r="212" spans="1:10" x14ac:dyDescent="0.2">
      <c r="A212" s="70" t="s">
        <v>22</v>
      </c>
      <c r="B212" s="71" t="s">
        <v>23</v>
      </c>
      <c r="C212" s="71" t="s">
        <v>15</v>
      </c>
      <c r="D212" s="72" t="s">
        <v>24</v>
      </c>
      <c r="E212" s="72" t="s">
        <v>25</v>
      </c>
      <c r="F212" s="73" t="s">
        <v>26</v>
      </c>
      <c r="I212" s="110"/>
      <c r="J212" s="110"/>
    </row>
    <row r="213" spans="1:10" x14ac:dyDescent="0.2">
      <c r="A213" s="77" t="s">
        <v>104</v>
      </c>
      <c r="B213" s="78" t="s">
        <v>57</v>
      </c>
      <c r="C213" s="79">
        <f>C192</f>
        <v>0</v>
      </c>
      <c r="D213" s="79">
        <f>0.01*($E$181)</f>
        <v>0</v>
      </c>
      <c r="E213" s="79">
        <f>C213*D213</f>
        <v>0</v>
      </c>
      <c r="I213" s="110"/>
      <c r="J213" s="110"/>
    </row>
    <row r="214" spans="1:10" x14ac:dyDescent="0.2">
      <c r="A214" s="84" t="s">
        <v>105</v>
      </c>
      <c r="B214" s="85" t="s">
        <v>57</v>
      </c>
      <c r="C214" s="79">
        <f>C192</f>
        <v>0</v>
      </c>
      <c r="D214" s="95"/>
      <c r="E214" s="87">
        <f>C214*D214</f>
        <v>0</v>
      </c>
      <c r="I214" s="110"/>
      <c r="J214" s="110"/>
    </row>
    <row r="215" spans="1:10" x14ac:dyDescent="0.2">
      <c r="A215" s="84" t="s">
        <v>106</v>
      </c>
      <c r="B215" s="85" t="s">
        <v>57</v>
      </c>
      <c r="C215" s="79">
        <f>C192</f>
        <v>0</v>
      </c>
      <c r="D215" s="95"/>
      <c r="E215" s="87">
        <f>C215*D215</f>
        <v>0</v>
      </c>
      <c r="F215" s="82"/>
      <c r="I215" s="110"/>
      <c r="J215" s="110"/>
    </row>
    <row r="216" spans="1:10" x14ac:dyDescent="0.2">
      <c r="A216" s="117" t="s">
        <v>107</v>
      </c>
      <c r="B216" s="118" t="s">
        <v>28</v>
      </c>
      <c r="C216" s="118">
        <v>12</v>
      </c>
      <c r="D216" s="119">
        <f>SUM(E213:E215)</f>
        <v>0</v>
      </c>
      <c r="E216" s="119">
        <f>D216/C216</f>
        <v>0</v>
      </c>
      <c r="I216" s="110"/>
      <c r="J216" s="110"/>
    </row>
    <row r="217" spans="1:10" x14ac:dyDescent="0.2">
      <c r="D217" s="89" t="s">
        <v>40</v>
      </c>
      <c r="E217" s="90">
        <f>$B$71</f>
        <v>0</v>
      </c>
      <c r="F217" s="91">
        <f>E216*E217</f>
        <v>0</v>
      </c>
      <c r="I217" s="110"/>
      <c r="J217" s="110"/>
    </row>
    <row r="218" spans="1:10" ht="11.25" customHeight="1" x14ac:dyDescent="0.2">
      <c r="I218" s="110"/>
      <c r="J218" s="110"/>
    </row>
    <row r="219" spans="1:10" x14ac:dyDescent="0.2">
      <c r="A219" s="1" t="s">
        <v>108</v>
      </c>
      <c r="B219" s="125"/>
      <c r="I219" s="110"/>
      <c r="J219" s="110"/>
    </row>
    <row r="220" spans="1:10" x14ac:dyDescent="0.2">
      <c r="B220" s="125"/>
      <c r="I220" s="110"/>
      <c r="J220" s="110"/>
    </row>
    <row r="221" spans="1:10" x14ac:dyDescent="0.2">
      <c r="A221" s="117" t="s">
        <v>109</v>
      </c>
      <c r="B221" s="126"/>
      <c r="I221" s="110"/>
      <c r="J221" s="110"/>
    </row>
    <row r="222" spans="1:10" x14ac:dyDescent="0.2">
      <c r="B222" s="125"/>
      <c r="I222" s="110"/>
      <c r="J222" s="110"/>
    </row>
    <row r="223" spans="1:10" x14ac:dyDescent="0.2">
      <c r="A223" s="70" t="s">
        <v>22</v>
      </c>
      <c r="B223" s="71" t="s">
        <v>23</v>
      </c>
      <c r="C223" s="71" t="s">
        <v>110</v>
      </c>
      <c r="D223" s="72" t="s">
        <v>24</v>
      </c>
      <c r="E223" s="72" t="s">
        <v>25</v>
      </c>
      <c r="F223" s="73" t="s">
        <v>26</v>
      </c>
      <c r="H223" s="288"/>
      <c r="I223" s="110"/>
      <c r="J223" s="110"/>
    </row>
    <row r="224" spans="1:10" s="1" customFormat="1" x14ac:dyDescent="0.2">
      <c r="A224" s="77" t="s">
        <v>111</v>
      </c>
      <c r="B224" s="78" t="s">
        <v>112</v>
      </c>
      <c r="C224" s="279">
        <v>1.9</v>
      </c>
      <c r="D224" s="374"/>
      <c r="E224" s="79"/>
      <c r="F224" s="2"/>
      <c r="G224" s="2"/>
      <c r="H224" s="110"/>
      <c r="I224" s="110"/>
      <c r="J224" s="110"/>
    </row>
    <row r="225" spans="1:10" x14ac:dyDescent="0.2">
      <c r="A225" s="84" t="s">
        <v>113</v>
      </c>
      <c r="B225" s="85" t="s">
        <v>114</v>
      </c>
      <c r="C225" s="281">
        <f>B221</f>
        <v>0</v>
      </c>
      <c r="D225" s="280">
        <f>IFERROR(+D224/C224,"-")</f>
        <v>0</v>
      </c>
      <c r="E225" s="87">
        <f>IFERROR(C225*D225,"-")</f>
        <v>0</v>
      </c>
      <c r="I225" s="110"/>
      <c r="J225" s="110"/>
    </row>
    <row r="226" spans="1:10" x14ac:dyDescent="0.2">
      <c r="A226" s="84" t="s">
        <v>115</v>
      </c>
      <c r="B226" s="85" t="s">
        <v>116</v>
      </c>
      <c r="C226" s="127"/>
      <c r="D226" s="95"/>
      <c r="E226" s="87"/>
      <c r="I226" s="110"/>
      <c r="J226" s="110"/>
    </row>
    <row r="227" spans="1:10" x14ac:dyDescent="0.2">
      <c r="A227" s="84" t="s">
        <v>117</v>
      </c>
      <c r="B227" s="85" t="s">
        <v>114</v>
      </c>
      <c r="C227" s="128">
        <f>C225</f>
        <v>0</v>
      </c>
      <c r="D227" s="129">
        <f>+C226*D226/1000</f>
        <v>0</v>
      </c>
      <c r="E227" s="87">
        <f>C227*D227</f>
        <v>0</v>
      </c>
      <c r="I227" s="110"/>
      <c r="J227" s="110"/>
    </row>
    <row r="228" spans="1:10" x14ac:dyDescent="0.2">
      <c r="A228" s="84" t="s">
        <v>118</v>
      </c>
      <c r="B228" s="85" t="s">
        <v>116</v>
      </c>
      <c r="C228" s="127"/>
      <c r="D228" s="95"/>
      <c r="E228" s="87"/>
      <c r="I228" s="110"/>
      <c r="J228" s="110"/>
    </row>
    <row r="229" spans="1:10" x14ac:dyDescent="0.2">
      <c r="A229" s="84" t="s">
        <v>119</v>
      </c>
      <c r="B229" s="85" t="s">
        <v>114</v>
      </c>
      <c r="C229" s="128">
        <f>C225</f>
        <v>0</v>
      </c>
      <c r="D229" s="129">
        <f>+C228*D228/1000</f>
        <v>0</v>
      </c>
      <c r="E229" s="87">
        <f>C229*D229</f>
        <v>0</v>
      </c>
      <c r="I229" s="110"/>
      <c r="J229" s="110"/>
    </row>
    <row r="230" spans="1:10" x14ac:dyDescent="0.2">
      <c r="A230" s="84" t="s">
        <v>120</v>
      </c>
      <c r="B230" s="85" t="s">
        <v>116</v>
      </c>
      <c r="C230" s="127"/>
      <c r="D230" s="95"/>
      <c r="E230" s="87"/>
      <c r="I230" s="110"/>
      <c r="J230" s="110"/>
    </row>
    <row r="231" spans="1:10" x14ac:dyDescent="0.2">
      <c r="A231" s="84" t="s">
        <v>121</v>
      </c>
      <c r="B231" s="85" t="s">
        <v>114</v>
      </c>
      <c r="C231" s="128">
        <f>C225</f>
        <v>0</v>
      </c>
      <c r="D231" s="129">
        <f>+C230*D230/1000</f>
        <v>0</v>
      </c>
      <c r="E231" s="87">
        <f>C231*D231</f>
        <v>0</v>
      </c>
      <c r="I231" s="110"/>
      <c r="J231" s="110"/>
    </row>
    <row r="232" spans="1:10" x14ac:dyDescent="0.2">
      <c r="A232" s="84" t="s">
        <v>122</v>
      </c>
      <c r="B232" s="85" t="s">
        <v>123</v>
      </c>
      <c r="C232" s="127"/>
      <c r="D232" s="95"/>
      <c r="E232" s="87"/>
      <c r="I232" s="110"/>
      <c r="J232" s="110"/>
    </row>
    <row r="233" spans="1:10" x14ac:dyDescent="0.2">
      <c r="A233" s="84" t="s">
        <v>124</v>
      </c>
      <c r="B233" s="85" t="s">
        <v>114</v>
      </c>
      <c r="C233" s="128">
        <f>C225</f>
        <v>0</v>
      </c>
      <c r="D233" s="129">
        <f>+C232*D232/1000</f>
        <v>0</v>
      </c>
      <c r="E233" s="87">
        <f>C233*D233</f>
        <v>0</v>
      </c>
      <c r="I233" s="110"/>
      <c r="J233" s="110"/>
    </row>
    <row r="234" spans="1:10" x14ac:dyDescent="0.2">
      <c r="A234" s="117" t="s">
        <v>125</v>
      </c>
      <c r="B234" s="118" t="s">
        <v>126</v>
      </c>
      <c r="C234" s="130"/>
      <c r="D234" s="131">
        <f>IFERROR(D225+D227+D229+D231+D233,0)</f>
        <v>0</v>
      </c>
      <c r="E234" s="87"/>
      <c r="I234" s="110"/>
      <c r="J234" s="110"/>
    </row>
    <row r="235" spans="1:10" s="1" customFormat="1" x14ac:dyDescent="0.2">
      <c r="D235" s="2"/>
      <c r="E235" s="2"/>
      <c r="F235" s="278">
        <f>SUM(E224:E233)</f>
        <v>0</v>
      </c>
      <c r="G235" s="2"/>
      <c r="I235" s="110"/>
      <c r="J235" s="110"/>
    </row>
    <row r="236" spans="1:10" ht="11.25" customHeight="1" x14ac:dyDescent="0.2">
      <c r="I236" s="110"/>
      <c r="J236" s="110"/>
    </row>
    <row r="237" spans="1:10" x14ac:dyDescent="0.2">
      <c r="A237" s="1" t="s">
        <v>127</v>
      </c>
      <c r="I237" s="110"/>
      <c r="J237" s="110"/>
    </row>
    <row r="238" spans="1:10" x14ac:dyDescent="0.2">
      <c r="A238" s="70" t="s">
        <v>22</v>
      </c>
      <c r="B238" s="71" t="s">
        <v>23</v>
      </c>
      <c r="C238" s="71" t="s">
        <v>15</v>
      </c>
      <c r="D238" s="72" t="s">
        <v>24</v>
      </c>
      <c r="E238" s="72" t="s">
        <v>25</v>
      </c>
      <c r="F238" s="73" t="s">
        <v>26</v>
      </c>
      <c r="I238" s="110"/>
      <c r="J238" s="110"/>
    </row>
    <row r="239" spans="1:10" x14ac:dyDescent="0.2">
      <c r="A239" s="77" t="s">
        <v>128</v>
      </c>
      <c r="B239" s="78" t="s">
        <v>126</v>
      </c>
      <c r="C239" s="128">
        <f>C225</f>
        <v>0</v>
      </c>
      <c r="D239" s="104"/>
      <c r="E239" s="79">
        <f>C239*D239</f>
        <v>0</v>
      </c>
      <c r="G239" s="132"/>
      <c r="I239" s="110"/>
      <c r="J239" s="110"/>
    </row>
    <row r="240" spans="1:10" x14ac:dyDescent="0.2">
      <c r="F240" s="109">
        <f>E239</f>
        <v>0</v>
      </c>
      <c r="I240" s="110"/>
      <c r="J240" s="110"/>
    </row>
    <row r="241" spans="1:10" ht="11.25" customHeight="1" x14ac:dyDescent="0.2">
      <c r="I241" s="110"/>
      <c r="J241" s="110"/>
    </row>
    <row r="242" spans="1:10" x14ac:dyDescent="0.2">
      <c r="A242" s="1" t="s">
        <v>129</v>
      </c>
      <c r="I242" s="110"/>
      <c r="J242" s="110"/>
    </row>
    <row r="243" spans="1:10" x14ac:dyDescent="0.2">
      <c r="A243" s="70" t="s">
        <v>22</v>
      </c>
      <c r="B243" s="71" t="s">
        <v>23</v>
      </c>
      <c r="C243" s="71" t="s">
        <v>15</v>
      </c>
      <c r="D243" s="72" t="s">
        <v>24</v>
      </c>
      <c r="E243" s="72" t="s">
        <v>25</v>
      </c>
      <c r="F243" s="73" t="s">
        <v>26</v>
      </c>
      <c r="I243" s="110"/>
      <c r="J243" s="110"/>
    </row>
    <row r="244" spans="1:10" s="1" customFormat="1" x14ac:dyDescent="0.2">
      <c r="A244" s="77" t="s">
        <v>130</v>
      </c>
      <c r="B244" s="78" t="s">
        <v>57</v>
      </c>
      <c r="C244" s="78">
        <v>6</v>
      </c>
      <c r="D244" s="370"/>
      <c r="E244" s="79">
        <f>C244*D244</f>
        <v>0</v>
      </c>
      <c r="F244" s="2"/>
      <c r="G244" s="2"/>
      <c r="I244" s="110"/>
      <c r="J244" s="110"/>
    </row>
    <row r="245" spans="1:10" s="1" customFormat="1" x14ac:dyDescent="0.2">
      <c r="A245" s="77" t="s">
        <v>131</v>
      </c>
      <c r="B245" s="78" t="s">
        <v>57</v>
      </c>
      <c r="C245" s="78">
        <v>2</v>
      </c>
      <c r="D245" s="79"/>
      <c r="E245" s="79"/>
      <c r="F245" s="2"/>
      <c r="G245" s="2"/>
      <c r="I245" s="110"/>
      <c r="J245" s="110"/>
    </row>
    <row r="246" spans="1:10" s="1" customFormat="1" x14ac:dyDescent="0.2">
      <c r="A246" s="77" t="s">
        <v>132</v>
      </c>
      <c r="B246" s="78" t="s">
        <v>57</v>
      </c>
      <c r="C246" s="79">
        <f>C244*C245</f>
        <v>12</v>
      </c>
      <c r="D246" s="370"/>
      <c r="E246" s="79">
        <f>C246*D246</f>
        <v>0</v>
      </c>
      <c r="F246" s="2"/>
      <c r="G246" s="2"/>
      <c r="I246" s="110"/>
      <c r="J246" s="110"/>
    </row>
    <row r="247" spans="1:10" s="1" customFormat="1" x14ac:dyDescent="0.2">
      <c r="A247" s="84" t="s">
        <v>133</v>
      </c>
      <c r="B247" s="85" t="s">
        <v>134</v>
      </c>
      <c r="C247" s="282">
        <v>60000</v>
      </c>
      <c r="D247" s="87">
        <f>E244+E246</f>
        <v>0</v>
      </c>
      <c r="E247" s="87">
        <f>D247/C247</f>
        <v>0</v>
      </c>
      <c r="F247" s="2"/>
      <c r="G247" s="2"/>
      <c r="I247" s="110"/>
      <c r="J247" s="110"/>
    </row>
    <row r="248" spans="1:10" s="1" customFormat="1" x14ac:dyDescent="0.2">
      <c r="A248" s="84" t="s">
        <v>135</v>
      </c>
      <c r="B248" s="85" t="s">
        <v>114</v>
      </c>
      <c r="C248" s="128">
        <f>B221</f>
        <v>0</v>
      </c>
      <c r="D248" s="87">
        <f>E247</f>
        <v>0</v>
      </c>
      <c r="E248" s="87">
        <f>C248*D248</f>
        <v>0</v>
      </c>
      <c r="F248" s="2"/>
      <c r="G248" s="2"/>
      <c r="I248" s="110"/>
      <c r="J248" s="110"/>
    </row>
    <row r="249" spans="1:10" s="1" customFormat="1" x14ac:dyDescent="0.2">
      <c r="D249" s="2"/>
      <c r="E249" s="2"/>
      <c r="F249" s="278">
        <f>E248</f>
        <v>0</v>
      </c>
      <c r="G249" s="2"/>
      <c r="I249" s="110"/>
      <c r="J249" s="110"/>
    </row>
    <row r="250" spans="1:10" x14ac:dyDescent="0.2">
      <c r="F250" s="82"/>
      <c r="I250" s="110"/>
      <c r="J250" s="110"/>
    </row>
    <row r="251" spans="1:10" x14ac:dyDescent="0.2">
      <c r="A251" s="98" t="s">
        <v>136</v>
      </c>
      <c r="B251" s="106"/>
      <c r="C251" s="106"/>
      <c r="D251" s="107"/>
      <c r="E251" s="108"/>
      <c r="F251" s="109">
        <f>F249+F240+F235+F217+F209+F193</f>
        <v>0</v>
      </c>
      <c r="I251" s="110"/>
      <c r="J251" s="110"/>
    </row>
    <row r="252" spans="1:10" ht="11.25" customHeight="1" x14ac:dyDescent="0.2">
      <c r="I252" s="110"/>
      <c r="J252" s="110"/>
    </row>
    <row r="253" spans="1:10" ht="11.25" customHeight="1" x14ac:dyDescent="0.2">
      <c r="A253" s="1" t="s">
        <v>137</v>
      </c>
      <c r="B253" s="125"/>
      <c r="I253" s="110"/>
      <c r="J253" s="110"/>
    </row>
    <row r="254" spans="1:10" ht="11.25" customHeight="1" x14ac:dyDescent="0.2">
      <c r="B254" s="125"/>
      <c r="I254" s="110"/>
      <c r="J254" s="110"/>
    </row>
    <row r="255" spans="1:10" ht="11.25" customHeight="1" x14ac:dyDescent="0.2">
      <c r="A255" s="117" t="s">
        <v>109</v>
      </c>
      <c r="B255" s="126"/>
      <c r="H255" s="289"/>
      <c r="I255" s="110"/>
      <c r="J255" s="110"/>
    </row>
    <row r="256" spans="1:10" ht="11.25" customHeight="1" x14ac:dyDescent="0.2">
      <c r="B256" s="125"/>
      <c r="I256" s="110"/>
      <c r="J256" s="110"/>
    </row>
    <row r="257" spans="1:10" ht="11.25" customHeight="1" x14ac:dyDescent="0.2">
      <c r="A257" s="70" t="s">
        <v>22</v>
      </c>
      <c r="B257" s="71" t="s">
        <v>23</v>
      </c>
      <c r="C257" s="71" t="s">
        <v>110</v>
      </c>
      <c r="D257" s="72" t="s">
        <v>24</v>
      </c>
      <c r="E257" s="72" t="s">
        <v>25</v>
      </c>
      <c r="F257" s="73" t="s">
        <v>26</v>
      </c>
      <c r="H257" s="289"/>
      <c r="I257" s="110"/>
      <c r="J257" s="110"/>
    </row>
    <row r="258" spans="1:10" s="1" customFormat="1" ht="11.25" customHeight="1" x14ac:dyDescent="0.2">
      <c r="A258" s="77" t="s">
        <v>111</v>
      </c>
      <c r="B258" s="78" t="s">
        <v>112</v>
      </c>
      <c r="C258" s="375"/>
      <c r="D258" s="374">
        <f>D224</f>
        <v>0</v>
      </c>
      <c r="E258" s="79"/>
      <c r="F258" s="2"/>
      <c r="G258" s="2"/>
      <c r="I258" s="110"/>
      <c r="J258" s="110"/>
    </row>
    <row r="259" spans="1:10" ht="11.25" customHeight="1" x14ac:dyDescent="0.2">
      <c r="A259" s="84" t="s">
        <v>113</v>
      </c>
      <c r="B259" s="85" t="s">
        <v>114</v>
      </c>
      <c r="C259" s="128">
        <f>B255</f>
        <v>0</v>
      </c>
      <c r="D259" s="280" t="str">
        <f>IFERROR(+D258/C258,"-")</f>
        <v>-</v>
      </c>
      <c r="E259" s="87" t="str">
        <f>IFERROR(C259*D259,"-")</f>
        <v>-</v>
      </c>
      <c r="I259" s="110"/>
      <c r="J259" s="110"/>
    </row>
    <row r="260" spans="1:10" ht="11.25" customHeight="1" x14ac:dyDescent="0.2">
      <c r="A260" s="84" t="s">
        <v>115</v>
      </c>
      <c r="B260" s="85" t="s">
        <v>116</v>
      </c>
      <c r="C260" s="376"/>
      <c r="D260" s="318"/>
      <c r="E260" s="87"/>
      <c r="I260" s="110"/>
      <c r="J260" s="110"/>
    </row>
    <row r="261" spans="1:10" ht="11.25" customHeight="1" x14ac:dyDescent="0.2">
      <c r="A261" s="84" t="s">
        <v>117</v>
      </c>
      <c r="B261" s="85" t="s">
        <v>114</v>
      </c>
      <c r="C261" s="128">
        <f>C259</f>
        <v>0</v>
      </c>
      <c r="D261" s="129">
        <f>+C260*D260/1000</f>
        <v>0</v>
      </c>
      <c r="E261" s="87">
        <f>C261*D261</f>
        <v>0</v>
      </c>
      <c r="I261" s="110"/>
      <c r="J261" s="110"/>
    </row>
    <row r="262" spans="1:10" ht="11.25" customHeight="1" x14ac:dyDescent="0.2">
      <c r="A262" s="84" t="s">
        <v>118</v>
      </c>
      <c r="B262" s="85" t="s">
        <v>116</v>
      </c>
      <c r="C262" s="376"/>
      <c r="D262" s="318"/>
      <c r="E262" s="87"/>
      <c r="I262" s="110"/>
      <c r="J262" s="110"/>
    </row>
    <row r="263" spans="1:10" ht="11.25" customHeight="1" x14ac:dyDescent="0.2">
      <c r="A263" s="84" t="s">
        <v>119</v>
      </c>
      <c r="B263" s="85" t="s">
        <v>114</v>
      </c>
      <c r="C263" s="128">
        <f>C259</f>
        <v>0</v>
      </c>
      <c r="D263" s="129">
        <f>+C262*D262/1000</f>
        <v>0</v>
      </c>
      <c r="E263" s="87">
        <f>C263*D263</f>
        <v>0</v>
      </c>
      <c r="I263" s="110"/>
      <c r="J263" s="110"/>
    </row>
    <row r="264" spans="1:10" ht="11.25" customHeight="1" x14ac:dyDescent="0.2">
      <c r="A264" s="84" t="s">
        <v>120</v>
      </c>
      <c r="B264" s="85" t="s">
        <v>116</v>
      </c>
      <c r="C264" s="376"/>
      <c r="D264" s="318"/>
      <c r="E264" s="87"/>
      <c r="I264" s="110"/>
      <c r="J264" s="110"/>
    </row>
    <row r="265" spans="1:10" ht="11.25" customHeight="1" x14ac:dyDescent="0.2">
      <c r="A265" s="84" t="s">
        <v>121</v>
      </c>
      <c r="B265" s="85" t="s">
        <v>114</v>
      </c>
      <c r="C265" s="128">
        <f>C259</f>
        <v>0</v>
      </c>
      <c r="D265" s="129">
        <f>+C264*D264/1000</f>
        <v>0</v>
      </c>
      <c r="E265" s="87">
        <f>C265*D265</f>
        <v>0</v>
      </c>
      <c r="I265" s="110"/>
      <c r="J265" s="110"/>
    </row>
    <row r="266" spans="1:10" ht="11.25" customHeight="1" x14ac:dyDescent="0.2">
      <c r="A266" s="84" t="s">
        <v>122</v>
      </c>
      <c r="B266" s="85" t="s">
        <v>123</v>
      </c>
      <c r="C266" s="376"/>
      <c r="D266" s="318"/>
      <c r="E266" s="87"/>
      <c r="I266" s="110"/>
      <c r="J266" s="110"/>
    </row>
    <row r="267" spans="1:10" ht="11.25" customHeight="1" x14ac:dyDescent="0.2">
      <c r="A267" s="84" t="s">
        <v>124</v>
      </c>
      <c r="B267" s="85" t="s">
        <v>114</v>
      </c>
      <c r="C267" s="128">
        <f>C259</f>
        <v>0</v>
      </c>
      <c r="D267" s="129">
        <f>+C266*D266/1000</f>
        <v>0</v>
      </c>
      <c r="E267" s="87">
        <f>C267*D267</f>
        <v>0</v>
      </c>
      <c r="I267" s="110"/>
      <c r="J267" s="110"/>
    </row>
    <row r="268" spans="1:10" ht="11.25" customHeight="1" x14ac:dyDescent="0.2">
      <c r="A268" s="117" t="s">
        <v>125</v>
      </c>
      <c r="B268" s="118" t="s">
        <v>126</v>
      </c>
      <c r="C268" s="130"/>
      <c r="D268" s="131">
        <f>IFERROR(D259+D261+D263+D265+D267,0)</f>
        <v>0</v>
      </c>
      <c r="E268" s="87"/>
      <c r="I268" s="110"/>
      <c r="J268" s="110"/>
    </row>
    <row r="269" spans="1:10" s="1" customFormat="1" ht="11.25" customHeight="1" x14ac:dyDescent="0.2">
      <c r="D269" s="2"/>
      <c r="E269" s="2"/>
      <c r="F269" s="278">
        <f>SUM(E258:E267)</f>
        <v>0</v>
      </c>
      <c r="G269" s="2"/>
      <c r="I269" s="110"/>
      <c r="J269" s="110"/>
    </row>
    <row r="270" spans="1:10" ht="11.25" customHeight="1" x14ac:dyDescent="0.2">
      <c r="I270" s="110"/>
      <c r="J270" s="110"/>
    </row>
    <row r="271" spans="1:10" ht="11.25" customHeight="1" x14ac:dyDescent="0.2">
      <c r="A271" s="1" t="s">
        <v>138</v>
      </c>
      <c r="I271" s="110"/>
      <c r="J271" s="110"/>
    </row>
    <row r="272" spans="1:10" ht="11.25" customHeight="1" x14ac:dyDescent="0.2">
      <c r="A272" s="70" t="s">
        <v>22</v>
      </c>
      <c r="B272" s="71" t="s">
        <v>23</v>
      </c>
      <c r="C272" s="71" t="s">
        <v>15</v>
      </c>
      <c r="D272" s="72" t="s">
        <v>24</v>
      </c>
      <c r="E272" s="72" t="s">
        <v>25</v>
      </c>
      <c r="F272" s="73" t="s">
        <v>26</v>
      </c>
      <c r="I272" s="110"/>
      <c r="J272" s="110"/>
    </row>
    <row r="273" spans="1:10" ht="11.25" customHeight="1" x14ac:dyDescent="0.2">
      <c r="A273" s="77" t="s">
        <v>128</v>
      </c>
      <c r="B273" s="78" t="s">
        <v>126</v>
      </c>
      <c r="C273" s="128">
        <f>B255</f>
        <v>0</v>
      </c>
      <c r="D273" s="104">
        <f>D239</f>
        <v>0</v>
      </c>
      <c r="E273" s="79">
        <f>C273*D273</f>
        <v>0</v>
      </c>
      <c r="I273" s="110"/>
      <c r="J273" s="110"/>
    </row>
    <row r="274" spans="1:10" ht="11.25" customHeight="1" x14ac:dyDescent="0.2">
      <c r="F274" s="109">
        <f>E273</f>
        <v>0</v>
      </c>
      <c r="I274" s="110"/>
      <c r="J274" s="110"/>
    </row>
    <row r="275" spans="1:10" ht="11.25" customHeight="1" x14ac:dyDescent="0.2">
      <c r="I275" s="110"/>
      <c r="J275" s="110"/>
    </row>
    <row r="276" spans="1:10" ht="11.25" customHeight="1" x14ac:dyDescent="0.2">
      <c r="A276" s="1" t="s">
        <v>139</v>
      </c>
      <c r="I276" s="110"/>
      <c r="J276" s="110"/>
    </row>
    <row r="277" spans="1:10" ht="11.25" customHeight="1" x14ac:dyDescent="0.2">
      <c r="A277" s="70" t="s">
        <v>22</v>
      </c>
      <c r="B277" s="71" t="s">
        <v>23</v>
      </c>
      <c r="C277" s="71" t="s">
        <v>15</v>
      </c>
      <c r="D277" s="72" t="s">
        <v>24</v>
      </c>
      <c r="E277" s="72" t="s">
        <v>25</v>
      </c>
      <c r="F277" s="73" t="s">
        <v>26</v>
      </c>
      <c r="I277" s="110"/>
      <c r="J277" s="110"/>
    </row>
    <row r="278" spans="1:10" s="1" customFormat="1" ht="11.25" customHeight="1" x14ac:dyDescent="0.2">
      <c r="A278" s="77" t="s">
        <v>130</v>
      </c>
      <c r="B278" s="78" t="s">
        <v>57</v>
      </c>
      <c r="C278" s="78">
        <v>6</v>
      </c>
      <c r="D278" s="370">
        <f>D244</f>
        <v>0</v>
      </c>
      <c r="E278" s="79">
        <f>C278*D278</f>
        <v>0</v>
      </c>
      <c r="F278" s="2"/>
      <c r="G278" s="2"/>
      <c r="I278" s="110"/>
      <c r="J278" s="110"/>
    </row>
    <row r="279" spans="1:10" s="1" customFormat="1" ht="11.25" customHeight="1" x14ac:dyDescent="0.2">
      <c r="A279" s="77" t="s">
        <v>131</v>
      </c>
      <c r="B279" s="78" t="s">
        <v>57</v>
      </c>
      <c r="C279" s="78">
        <v>2</v>
      </c>
      <c r="D279" s="79"/>
      <c r="E279" s="79"/>
      <c r="F279" s="2"/>
      <c r="G279" s="2"/>
      <c r="I279" s="110"/>
      <c r="J279" s="110"/>
    </row>
    <row r="280" spans="1:10" s="1" customFormat="1" ht="11.25" customHeight="1" x14ac:dyDescent="0.2">
      <c r="A280" s="77" t="s">
        <v>132</v>
      </c>
      <c r="B280" s="78" t="s">
        <v>57</v>
      </c>
      <c r="C280" s="79">
        <f>C278*C279</f>
        <v>12</v>
      </c>
      <c r="D280" s="370">
        <f>D246</f>
        <v>0</v>
      </c>
      <c r="E280" s="79">
        <f>C280*D280</f>
        <v>0</v>
      </c>
      <c r="F280" s="2"/>
      <c r="G280" s="2"/>
      <c r="I280" s="110"/>
      <c r="J280" s="110"/>
    </row>
    <row r="281" spans="1:10" s="1" customFormat="1" ht="11.25" customHeight="1" x14ac:dyDescent="0.2">
      <c r="A281" s="84" t="s">
        <v>133</v>
      </c>
      <c r="B281" s="85" t="s">
        <v>134</v>
      </c>
      <c r="C281" s="282">
        <v>60000</v>
      </c>
      <c r="D281" s="87">
        <f>E278+E280</f>
        <v>0</v>
      </c>
      <c r="E281" s="87">
        <f>IFERROR(D281/C281,"-")</f>
        <v>0</v>
      </c>
      <c r="F281" s="2"/>
      <c r="G281" s="2"/>
      <c r="I281" s="110"/>
      <c r="J281" s="110"/>
    </row>
    <row r="282" spans="1:10" s="1" customFormat="1" ht="11.25" customHeight="1" x14ac:dyDescent="0.2">
      <c r="A282" s="84" t="s">
        <v>135</v>
      </c>
      <c r="B282" s="85" t="s">
        <v>114</v>
      </c>
      <c r="C282" s="128">
        <f>B255</f>
        <v>0</v>
      </c>
      <c r="D282" s="87">
        <f>E281</f>
        <v>0</v>
      </c>
      <c r="E282" s="87">
        <f>C282*D282</f>
        <v>0</v>
      </c>
      <c r="F282" s="2"/>
      <c r="G282" s="2"/>
      <c r="I282" s="110"/>
      <c r="J282" s="110"/>
    </row>
    <row r="283" spans="1:10" s="1" customFormat="1" ht="11.25" customHeight="1" x14ac:dyDescent="0.2">
      <c r="D283" s="2"/>
      <c r="E283" s="2"/>
      <c r="F283" s="278">
        <f>E282</f>
        <v>0</v>
      </c>
      <c r="G283" s="2"/>
      <c r="I283" s="110"/>
      <c r="J283" s="110"/>
    </row>
    <row r="284" spans="1:10" ht="11.25" customHeight="1" x14ac:dyDescent="0.2">
      <c r="I284" s="110"/>
      <c r="J284" s="110"/>
    </row>
    <row r="285" spans="1:10" ht="11.25" customHeight="1" x14ac:dyDescent="0.2">
      <c r="A285" s="98" t="s">
        <v>140</v>
      </c>
      <c r="B285" s="106"/>
      <c r="C285" s="106"/>
      <c r="D285" s="107"/>
      <c r="E285" s="108"/>
      <c r="F285" s="109">
        <f>F283+F274+F269</f>
        <v>0</v>
      </c>
      <c r="I285" s="110"/>
      <c r="J285" s="110"/>
    </row>
    <row r="286" spans="1:10" ht="11.25" customHeight="1" x14ac:dyDescent="0.2">
      <c r="I286" s="110"/>
      <c r="J286" s="110"/>
    </row>
    <row r="287" spans="1:10" ht="11.25" customHeight="1" x14ac:dyDescent="0.2">
      <c r="A287" s="98" t="s">
        <v>141</v>
      </c>
      <c r="B287" s="106"/>
      <c r="C287" s="106"/>
      <c r="D287" s="107"/>
      <c r="E287" s="108"/>
      <c r="F287" s="109">
        <f>F285+F251</f>
        <v>0</v>
      </c>
      <c r="I287" s="110"/>
      <c r="J287" s="110"/>
    </row>
    <row r="288" spans="1:10" ht="11.25" customHeight="1" x14ac:dyDescent="0.2">
      <c r="I288" s="110"/>
      <c r="J288" s="110"/>
    </row>
    <row r="289" spans="1:10" ht="11.25" customHeight="1" x14ac:dyDescent="0.2">
      <c r="A289" s="1" t="s">
        <v>142</v>
      </c>
      <c r="I289" s="110"/>
      <c r="J289" s="110"/>
    </row>
    <row r="290" spans="1:10" ht="11.25" customHeight="1" x14ac:dyDescent="0.2">
      <c r="I290" s="110"/>
      <c r="J290" s="110"/>
    </row>
    <row r="291" spans="1:10" ht="11.25" customHeight="1" x14ac:dyDescent="0.2">
      <c r="A291" s="111" t="s">
        <v>143</v>
      </c>
      <c r="I291" s="110"/>
      <c r="J291" s="110"/>
    </row>
    <row r="292" spans="1:10" ht="11.25" customHeight="1" x14ac:dyDescent="0.2">
      <c r="A292" s="70" t="s">
        <v>22</v>
      </c>
      <c r="B292" s="71" t="s">
        <v>23</v>
      </c>
      <c r="C292" s="71" t="s">
        <v>15</v>
      </c>
      <c r="D292" s="72" t="s">
        <v>24</v>
      </c>
      <c r="E292" s="72" t="s">
        <v>25</v>
      </c>
      <c r="F292" s="73" t="s">
        <v>26</v>
      </c>
      <c r="I292" s="110"/>
      <c r="J292" s="110"/>
    </row>
    <row r="293" spans="1:10" ht="11.25" customHeight="1" x14ac:dyDescent="0.2">
      <c r="A293" s="77" t="s">
        <v>80</v>
      </c>
      <c r="B293" s="78" t="s">
        <v>57</v>
      </c>
      <c r="C293" s="78">
        <v>1</v>
      </c>
      <c r="D293" s="104"/>
      <c r="E293" s="79">
        <f>C293*D293</f>
        <v>0</v>
      </c>
      <c r="I293" s="110"/>
      <c r="J293" s="110"/>
    </row>
    <row r="294" spans="1:10" ht="11.25" customHeight="1" x14ac:dyDescent="0.2">
      <c r="A294" s="84" t="s">
        <v>81</v>
      </c>
      <c r="B294" s="85" t="s">
        <v>82</v>
      </c>
      <c r="C294" s="88"/>
      <c r="D294" s="87"/>
      <c r="E294" s="87"/>
      <c r="I294" s="110"/>
      <c r="J294" s="110"/>
    </row>
    <row r="295" spans="1:10" ht="11.25" customHeight="1" x14ac:dyDescent="0.2">
      <c r="A295" s="84" t="s">
        <v>83</v>
      </c>
      <c r="B295" s="85" t="s">
        <v>82</v>
      </c>
      <c r="C295" s="88"/>
      <c r="D295" s="87"/>
      <c r="E295" s="87"/>
      <c r="F295" s="112"/>
      <c r="I295" s="110"/>
      <c r="J295" s="110"/>
    </row>
    <row r="296" spans="1:10" ht="11.25" customHeight="1" x14ac:dyDescent="0.2">
      <c r="A296" s="84" t="s">
        <v>84</v>
      </c>
      <c r="B296" s="85" t="s">
        <v>9</v>
      </c>
      <c r="C296" s="86">
        <v>70.73</v>
      </c>
      <c r="D296" s="87">
        <f>E293</f>
        <v>0</v>
      </c>
      <c r="E296" s="87">
        <f>C296*D296/100</f>
        <v>0</v>
      </c>
      <c r="I296" s="110"/>
      <c r="J296" s="110"/>
    </row>
    <row r="297" spans="1:10" ht="11.25" customHeight="1" x14ac:dyDescent="0.2">
      <c r="A297" s="113" t="s">
        <v>85</v>
      </c>
      <c r="B297" s="114" t="s">
        <v>28</v>
      </c>
      <c r="C297" s="114">
        <f>C294*12</f>
        <v>0</v>
      </c>
      <c r="D297" s="115">
        <f>IF(C295&lt;=C294,E296,0)</f>
        <v>0</v>
      </c>
      <c r="E297" s="115">
        <f>IFERROR(D297/C297,0)</f>
        <v>0</v>
      </c>
      <c r="I297" s="110"/>
      <c r="J297" s="110"/>
    </row>
    <row r="298" spans="1:10" ht="11.25" customHeight="1" x14ac:dyDescent="0.2">
      <c r="A298" s="77" t="s">
        <v>144</v>
      </c>
      <c r="B298" s="78" t="s">
        <v>57</v>
      </c>
      <c r="C298" s="78">
        <f>C293</f>
        <v>1</v>
      </c>
      <c r="D298" s="104"/>
      <c r="E298" s="79">
        <f>C298*D298</f>
        <v>0</v>
      </c>
      <c r="I298" s="110"/>
      <c r="J298" s="110"/>
    </row>
    <row r="299" spans="1:10" ht="11.25" customHeight="1" x14ac:dyDescent="0.2">
      <c r="A299" s="84" t="s">
        <v>381</v>
      </c>
      <c r="B299" s="85" t="s">
        <v>82</v>
      </c>
      <c r="C299" s="88"/>
      <c r="D299" s="87"/>
      <c r="E299" s="87"/>
      <c r="I299" s="110"/>
      <c r="J299" s="110"/>
    </row>
    <row r="300" spans="1:10" ht="11.25" customHeight="1" x14ac:dyDescent="0.2">
      <c r="A300" s="84" t="s">
        <v>88</v>
      </c>
      <c r="B300" s="85" t="s">
        <v>82</v>
      </c>
      <c r="C300" s="88"/>
      <c r="D300" s="87"/>
      <c r="E300" s="87"/>
      <c r="F300" s="112"/>
      <c r="I300" s="110"/>
      <c r="J300" s="110"/>
    </row>
    <row r="301" spans="1:10" ht="11.25" customHeight="1" x14ac:dyDescent="0.2">
      <c r="A301" s="84" t="s">
        <v>89</v>
      </c>
      <c r="B301" s="85" t="s">
        <v>9</v>
      </c>
      <c r="C301" s="116">
        <v>65.180000000000007</v>
      </c>
      <c r="D301" s="87">
        <f>E298</f>
        <v>0</v>
      </c>
      <c r="E301" s="87">
        <f>C301*D301/100</f>
        <v>0</v>
      </c>
      <c r="I301" s="110"/>
      <c r="J301" s="110"/>
    </row>
    <row r="302" spans="1:10" ht="11.25" customHeight="1" x14ac:dyDescent="0.2">
      <c r="A302" s="117" t="s">
        <v>90</v>
      </c>
      <c r="B302" s="118" t="s">
        <v>28</v>
      </c>
      <c r="C302" s="118">
        <f>C299*12</f>
        <v>0</v>
      </c>
      <c r="D302" s="119">
        <f>IF(C300&lt;=C299,E301,0)</f>
        <v>0</v>
      </c>
      <c r="E302" s="119">
        <f>IFERROR(D302/C302,0)</f>
        <v>0</v>
      </c>
      <c r="I302" s="110"/>
      <c r="J302" s="110"/>
    </row>
    <row r="303" spans="1:10" ht="11.25" customHeight="1" x14ac:dyDescent="0.2">
      <c r="A303" s="80" t="s">
        <v>91</v>
      </c>
      <c r="B303" s="81"/>
      <c r="C303" s="81"/>
      <c r="D303" s="82"/>
      <c r="E303" s="83">
        <f>E297+E302</f>
        <v>0</v>
      </c>
      <c r="I303" s="110"/>
      <c r="J303" s="110"/>
    </row>
    <row r="304" spans="1:10" ht="11.25" customHeight="1" x14ac:dyDescent="0.2">
      <c r="A304" s="117" t="s">
        <v>92</v>
      </c>
      <c r="B304" s="118" t="s">
        <v>57</v>
      </c>
      <c r="C304" s="88">
        <v>1</v>
      </c>
      <c r="D304" s="119">
        <f>E303</f>
        <v>0</v>
      </c>
      <c r="E304" s="83">
        <f>C304*D304</f>
        <v>0</v>
      </c>
      <c r="I304" s="110"/>
      <c r="J304" s="110"/>
    </row>
    <row r="305" spans="1:10" ht="11.25" customHeight="1" x14ac:dyDescent="0.2">
      <c r="A305" s="120"/>
      <c r="B305" s="120"/>
      <c r="C305" s="120"/>
      <c r="D305" s="89" t="s">
        <v>40</v>
      </c>
      <c r="E305" s="90">
        <v>1</v>
      </c>
      <c r="F305" s="109">
        <f>E304*E305</f>
        <v>0</v>
      </c>
      <c r="I305" s="110"/>
      <c r="J305" s="110"/>
    </row>
    <row r="306" spans="1:10" ht="11.25" customHeight="1" x14ac:dyDescent="0.2">
      <c r="I306" s="110"/>
      <c r="J306" s="110"/>
    </row>
    <row r="307" spans="1:10" ht="11.25" customHeight="1" x14ac:dyDescent="0.2">
      <c r="A307" s="111" t="s">
        <v>145</v>
      </c>
      <c r="I307" s="110"/>
      <c r="J307" s="110"/>
    </row>
    <row r="308" spans="1:10" ht="11.25" customHeight="1" x14ac:dyDescent="0.2">
      <c r="A308" s="121" t="s">
        <v>22</v>
      </c>
      <c r="B308" s="122" t="s">
        <v>23</v>
      </c>
      <c r="C308" s="122" t="s">
        <v>15</v>
      </c>
      <c r="D308" s="72" t="s">
        <v>24</v>
      </c>
      <c r="E308" s="123" t="s">
        <v>25</v>
      </c>
      <c r="F308" s="73" t="s">
        <v>26</v>
      </c>
      <c r="I308" s="110"/>
      <c r="J308" s="110"/>
    </row>
    <row r="309" spans="1:10" ht="11.25" customHeight="1" x14ac:dyDescent="0.2">
      <c r="A309" s="84" t="s">
        <v>94</v>
      </c>
      <c r="B309" s="85" t="s">
        <v>57</v>
      </c>
      <c r="C309" s="78">
        <v>1</v>
      </c>
      <c r="D309" s="87">
        <f>D293</f>
        <v>0</v>
      </c>
      <c r="E309" s="87">
        <f>C309*D309</f>
        <v>0</v>
      </c>
      <c r="F309" s="112"/>
      <c r="I309" s="110"/>
      <c r="J309" s="110"/>
    </row>
    <row r="310" spans="1:10" s="1" customFormat="1" ht="11.25" customHeight="1" x14ac:dyDescent="0.2">
      <c r="A310" s="84" t="s">
        <v>95</v>
      </c>
      <c r="B310" s="85" t="s">
        <v>9</v>
      </c>
      <c r="C310" s="317"/>
      <c r="D310" s="87"/>
      <c r="E310" s="87"/>
      <c r="F310" s="112"/>
      <c r="G310" s="2"/>
      <c r="I310" s="110"/>
      <c r="J310" s="110"/>
    </row>
    <row r="311" spans="1:10" ht="11.25" customHeight="1" x14ac:dyDescent="0.2">
      <c r="A311" s="84" t="s">
        <v>96</v>
      </c>
      <c r="B311" s="85" t="s">
        <v>33</v>
      </c>
      <c r="C311" s="124">
        <f>IFERROR(IF(C295&lt;=C294,E293-(C296/(100*C294)*C295)*E293,E293-E296),0)</f>
        <v>0</v>
      </c>
      <c r="D311" s="87"/>
      <c r="E311" s="87"/>
      <c r="F311" s="112"/>
      <c r="I311" s="110"/>
      <c r="J311" s="110"/>
    </row>
    <row r="312" spans="1:10" ht="11.25" customHeight="1" x14ac:dyDescent="0.2">
      <c r="A312" s="84" t="s">
        <v>97</v>
      </c>
      <c r="B312" s="85" t="s">
        <v>33</v>
      </c>
      <c r="C312" s="87">
        <f>IFERROR(IF(C295&gt;=C294,C311,((((C311)-(E293-E296))*(((C294-C295)+1)/(2*(C294-C295))))+(E293-E296))),0)</f>
        <v>0</v>
      </c>
      <c r="D312" s="87"/>
      <c r="E312" s="87"/>
      <c r="F312" s="112"/>
      <c r="I312" s="110"/>
      <c r="J312" s="110"/>
    </row>
    <row r="313" spans="1:10" ht="11.25" customHeight="1" x14ac:dyDescent="0.2">
      <c r="A313" s="113" t="s">
        <v>98</v>
      </c>
      <c r="B313" s="114" t="s">
        <v>33</v>
      </c>
      <c r="C313" s="114"/>
      <c r="D313" s="115">
        <f>C310*C312/12/100</f>
        <v>0</v>
      </c>
      <c r="E313" s="115">
        <f>D313</f>
        <v>0</v>
      </c>
      <c r="F313" s="112"/>
      <c r="I313" s="110"/>
      <c r="J313" s="110"/>
    </row>
    <row r="314" spans="1:10" ht="11.25" customHeight="1" x14ac:dyDescent="0.2">
      <c r="A314" s="77" t="s">
        <v>379</v>
      </c>
      <c r="B314" s="78" t="s">
        <v>57</v>
      </c>
      <c r="C314" s="78">
        <f>C298</f>
        <v>1</v>
      </c>
      <c r="D314" s="79">
        <f>D298</f>
        <v>0</v>
      </c>
      <c r="E314" s="79">
        <f>C314*D314</f>
        <v>0</v>
      </c>
      <c r="F314" s="112"/>
      <c r="I314" s="110"/>
      <c r="J314" s="110"/>
    </row>
    <row r="315" spans="1:10" ht="11.25" customHeight="1" x14ac:dyDescent="0.2">
      <c r="A315" s="84" t="s">
        <v>95</v>
      </c>
      <c r="B315" s="85" t="s">
        <v>9</v>
      </c>
      <c r="C315" s="85">
        <f>C310</f>
        <v>0</v>
      </c>
      <c r="D315" s="87"/>
      <c r="E315" s="87"/>
      <c r="F315" s="112"/>
      <c r="I315" s="110"/>
      <c r="J315" s="110"/>
    </row>
    <row r="316" spans="1:10" ht="11.25" customHeight="1" x14ac:dyDescent="0.2">
      <c r="A316" s="84" t="s">
        <v>380</v>
      </c>
      <c r="B316" s="85" t="s">
        <v>33</v>
      </c>
      <c r="C316" s="124">
        <f>IFERROR(IF(C300&lt;=C299,E298-(C301/(100*C299)*C300)*E298,E298-E301),0)</f>
        <v>0</v>
      </c>
      <c r="D316" s="87"/>
      <c r="E316" s="87"/>
      <c r="F316" s="112"/>
      <c r="I316" s="110"/>
      <c r="J316" s="110"/>
    </row>
    <row r="317" spans="1:10" ht="11.25" customHeight="1" x14ac:dyDescent="0.2">
      <c r="A317" s="84" t="s">
        <v>101</v>
      </c>
      <c r="B317" s="85" t="s">
        <v>33</v>
      </c>
      <c r="C317" s="87">
        <f>IFERROR(IF(C300&gt;=C299,C316,((((C316)-(E298-E301))*(((C299-C300)+1)/(2*(C299-C300))))+(E298-E301))),0)</f>
        <v>0</v>
      </c>
      <c r="D317" s="87"/>
      <c r="E317" s="87"/>
      <c r="F317" s="112"/>
      <c r="I317" s="110"/>
      <c r="J317" s="110"/>
    </row>
    <row r="318" spans="1:10" s="1" customFormat="1" ht="11.25" customHeight="1" x14ac:dyDescent="0.2">
      <c r="A318" s="117" t="s">
        <v>102</v>
      </c>
      <c r="B318" s="118" t="s">
        <v>33</v>
      </c>
      <c r="C318" s="118"/>
      <c r="D318" s="119">
        <f>C315*C317/12/100</f>
        <v>0</v>
      </c>
      <c r="E318" s="119">
        <f>D318</f>
        <v>0</v>
      </c>
      <c r="F318" s="112"/>
      <c r="G318" s="2"/>
      <c r="I318" s="110"/>
      <c r="J318" s="110"/>
    </row>
    <row r="319" spans="1:10" s="1" customFormat="1" ht="11.25" customHeight="1" x14ac:dyDescent="0.2">
      <c r="A319" s="80" t="s">
        <v>91</v>
      </c>
      <c r="B319" s="81"/>
      <c r="C319" s="81"/>
      <c r="D319" s="82"/>
      <c r="E319" s="83">
        <f>E313+E318</f>
        <v>0</v>
      </c>
      <c r="F319" s="112"/>
      <c r="G319" s="2"/>
      <c r="I319" s="110"/>
      <c r="J319" s="110"/>
    </row>
    <row r="320" spans="1:10" s="1" customFormat="1" ht="11.25" customHeight="1" x14ac:dyDescent="0.2">
      <c r="A320" s="117" t="s">
        <v>92</v>
      </c>
      <c r="B320" s="118" t="s">
        <v>57</v>
      </c>
      <c r="C320" s="85">
        <f>C304</f>
        <v>1</v>
      </c>
      <c r="D320" s="119">
        <f>E319</f>
        <v>0</v>
      </c>
      <c r="E320" s="83">
        <f>C320*D320</f>
        <v>0</v>
      </c>
      <c r="F320" s="112"/>
      <c r="G320" s="2"/>
      <c r="I320" s="110"/>
      <c r="J320" s="110"/>
    </row>
    <row r="321" spans="1:10" s="1" customFormat="1" ht="11.25" customHeight="1" x14ac:dyDescent="0.2">
      <c r="C321" s="272"/>
      <c r="D321" s="89" t="s">
        <v>40</v>
      </c>
      <c r="E321" s="90">
        <v>1</v>
      </c>
      <c r="F321" s="278">
        <f>E320*E321</f>
        <v>0</v>
      </c>
      <c r="G321" s="2"/>
      <c r="I321" s="110"/>
      <c r="J321" s="110"/>
    </row>
    <row r="322" spans="1:10" ht="11.25" customHeight="1" x14ac:dyDescent="0.2">
      <c r="I322" s="110"/>
      <c r="J322" s="110"/>
    </row>
    <row r="323" spans="1:10" ht="11.25" customHeight="1" x14ac:dyDescent="0.2">
      <c r="A323" s="1" t="s">
        <v>146</v>
      </c>
      <c r="I323" s="110"/>
      <c r="J323" s="110"/>
    </row>
    <row r="324" spans="1:10" ht="11.25" customHeight="1" x14ac:dyDescent="0.2">
      <c r="A324" s="70" t="s">
        <v>22</v>
      </c>
      <c r="B324" s="71" t="s">
        <v>23</v>
      </c>
      <c r="C324" s="71" t="s">
        <v>15</v>
      </c>
      <c r="D324" s="72" t="s">
        <v>24</v>
      </c>
      <c r="E324" s="72" t="s">
        <v>25</v>
      </c>
      <c r="F324" s="73" t="s">
        <v>26</v>
      </c>
      <c r="I324" s="110"/>
      <c r="J324" s="110"/>
    </row>
    <row r="325" spans="1:10" ht="11.25" customHeight="1" x14ac:dyDescent="0.2">
      <c r="A325" s="77" t="s">
        <v>104</v>
      </c>
      <c r="B325" s="78" t="s">
        <v>57</v>
      </c>
      <c r="C325" s="79">
        <f>C304</f>
        <v>1</v>
      </c>
      <c r="D325" s="79">
        <f>0.01*($E$293)</f>
        <v>0</v>
      </c>
      <c r="E325" s="79">
        <f>C325*D325</f>
        <v>0</v>
      </c>
      <c r="I325" s="110"/>
      <c r="J325" s="110"/>
    </row>
    <row r="326" spans="1:10" ht="11.25" customHeight="1" x14ac:dyDescent="0.2">
      <c r="A326" s="84" t="s">
        <v>105</v>
      </c>
      <c r="B326" s="85" t="s">
        <v>57</v>
      </c>
      <c r="C326" s="79">
        <f>C304</f>
        <v>1</v>
      </c>
      <c r="D326" s="95"/>
      <c r="E326" s="87">
        <f>C326*D326</f>
        <v>0</v>
      </c>
      <c r="I326" s="110"/>
      <c r="J326" s="110"/>
    </row>
    <row r="327" spans="1:10" ht="11.25" customHeight="1" x14ac:dyDescent="0.2">
      <c r="A327" s="84" t="s">
        <v>106</v>
      </c>
      <c r="B327" s="85" t="s">
        <v>57</v>
      </c>
      <c r="C327" s="79">
        <f>C304</f>
        <v>1</v>
      </c>
      <c r="D327" s="95"/>
      <c r="E327" s="87">
        <f>C327*D327</f>
        <v>0</v>
      </c>
      <c r="F327" s="82"/>
      <c r="I327" s="110"/>
      <c r="J327" s="110"/>
    </row>
    <row r="328" spans="1:10" ht="11.25" customHeight="1" x14ac:dyDescent="0.2">
      <c r="A328" s="117" t="s">
        <v>107</v>
      </c>
      <c r="B328" s="118" t="s">
        <v>28</v>
      </c>
      <c r="C328" s="118">
        <v>12</v>
      </c>
      <c r="D328" s="119">
        <f>SUM(E325:E327)</f>
        <v>0</v>
      </c>
      <c r="E328" s="119">
        <f>D328/C328</f>
        <v>0</v>
      </c>
      <c r="I328" s="110"/>
      <c r="J328" s="110"/>
    </row>
    <row r="329" spans="1:10" ht="11.25" customHeight="1" x14ac:dyDescent="0.2">
      <c r="D329" s="89" t="s">
        <v>40</v>
      </c>
      <c r="E329" s="90">
        <f>$B$71</f>
        <v>0</v>
      </c>
      <c r="F329" s="91">
        <f>E328*E329</f>
        <v>0</v>
      </c>
      <c r="I329" s="110"/>
      <c r="J329" s="110"/>
    </row>
    <row r="330" spans="1:10" ht="11.25" customHeight="1" x14ac:dyDescent="0.2">
      <c r="I330" s="110"/>
      <c r="J330" s="110"/>
    </row>
    <row r="331" spans="1:10" ht="11.25" customHeight="1" x14ac:dyDescent="0.2">
      <c r="A331" s="1" t="s">
        <v>147</v>
      </c>
      <c r="B331" s="125"/>
      <c r="I331" s="110"/>
      <c r="J331" s="110"/>
    </row>
    <row r="332" spans="1:10" ht="11.25" customHeight="1" x14ac:dyDescent="0.2">
      <c r="B332" s="125"/>
      <c r="I332" s="110"/>
      <c r="J332" s="110"/>
    </row>
    <row r="333" spans="1:10" ht="11.25" customHeight="1" x14ac:dyDescent="0.2">
      <c r="A333" s="117" t="s">
        <v>109</v>
      </c>
      <c r="B333" s="126"/>
      <c r="I333" s="110"/>
      <c r="J333" s="110"/>
    </row>
    <row r="334" spans="1:10" ht="11.25" customHeight="1" x14ac:dyDescent="0.2">
      <c r="B334" s="125"/>
      <c r="I334" s="110"/>
      <c r="J334" s="110"/>
    </row>
    <row r="335" spans="1:10" ht="11.25" customHeight="1" x14ac:dyDescent="0.2">
      <c r="A335" s="70" t="s">
        <v>22</v>
      </c>
      <c r="B335" s="71" t="s">
        <v>23</v>
      </c>
      <c r="C335" s="71" t="s">
        <v>110</v>
      </c>
      <c r="D335" s="72" t="s">
        <v>24</v>
      </c>
      <c r="E335" s="72" t="s">
        <v>25</v>
      </c>
      <c r="F335" s="73" t="s">
        <v>26</v>
      </c>
      <c r="I335" s="110"/>
      <c r="J335" s="110"/>
    </row>
    <row r="336" spans="1:10" s="1" customFormat="1" ht="11.25" customHeight="1" x14ac:dyDescent="0.2">
      <c r="A336" s="77" t="s">
        <v>111</v>
      </c>
      <c r="B336" s="78" t="s">
        <v>112</v>
      </c>
      <c r="C336" s="375"/>
      <c r="D336" s="374">
        <f>D258</f>
        <v>0</v>
      </c>
      <c r="E336" s="79"/>
      <c r="F336" s="2"/>
      <c r="G336" s="2"/>
      <c r="I336" s="110"/>
      <c r="J336" s="110"/>
    </row>
    <row r="337" spans="1:10" ht="11.25" customHeight="1" x14ac:dyDescent="0.2">
      <c r="A337" s="84" t="s">
        <v>113</v>
      </c>
      <c r="B337" s="85" t="s">
        <v>114</v>
      </c>
      <c r="C337" s="128">
        <f>B333</f>
        <v>0</v>
      </c>
      <c r="D337" s="280" t="str">
        <f>IFERROR(+D336/C336,"-")</f>
        <v>-</v>
      </c>
      <c r="E337" s="87" t="str">
        <f>IFERROR(C337*D337,"-")</f>
        <v>-</v>
      </c>
      <c r="I337" s="110"/>
      <c r="J337" s="110"/>
    </row>
    <row r="338" spans="1:10" ht="11.25" customHeight="1" x14ac:dyDescent="0.2">
      <c r="A338" s="84" t="s">
        <v>115</v>
      </c>
      <c r="B338" s="85" t="s">
        <v>116</v>
      </c>
      <c r="C338" s="376"/>
      <c r="D338" s="318"/>
      <c r="E338" s="87"/>
      <c r="I338" s="110"/>
      <c r="J338" s="110"/>
    </row>
    <row r="339" spans="1:10" ht="11.25" customHeight="1" x14ac:dyDescent="0.2">
      <c r="A339" s="84" t="s">
        <v>117</v>
      </c>
      <c r="B339" s="85" t="s">
        <v>114</v>
      </c>
      <c r="C339" s="128">
        <f>C337</f>
        <v>0</v>
      </c>
      <c r="D339" s="129">
        <f>+C338*D338/1000</f>
        <v>0</v>
      </c>
      <c r="E339" s="87">
        <f>C339*D339</f>
        <v>0</v>
      </c>
      <c r="I339" s="110"/>
      <c r="J339" s="110"/>
    </row>
    <row r="340" spans="1:10" ht="11.25" customHeight="1" x14ac:dyDescent="0.2">
      <c r="A340" s="84" t="s">
        <v>118</v>
      </c>
      <c r="B340" s="85" t="s">
        <v>116</v>
      </c>
      <c r="C340" s="376"/>
      <c r="D340" s="318"/>
      <c r="E340" s="87"/>
      <c r="I340" s="110"/>
      <c r="J340" s="110"/>
    </row>
    <row r="341" spans="1:10" ht="11.25" customHeight="1" x14ac:dyDescent="0.2">
      <c r="A341" s="84" t="s">
        <v>119</v>
      </c>
      <c r="B341" s="85" t="s">
        <v>114</v>
      </c>
      <c r="C341" s="128">
        <f>C337</f>
        <v>0</v>
      </c>
      <c r="D341" s="129">
        <f>+C340*D340/1000</f>
        <v>0</v>
      </c>
      <c r="E341" s="87">
        <f>C341*D341</f>
        <v>0</v>
      </c>
      <c r="I341" s="110"/>
      <c r="J341" s="110"/>
    </row>
    <row r="342" spans="1:10" ht="11.25" customHeight="1" x14ac:dyDescent="0.2">
      <c r="A342" s="84" t="s">
        <v>120</v>
      </c>
      <c r="B342" s="85" t="s">
        <v>116</v>
      </c>
      <c r="C342" s="376"/>
      <c r="D342" s="318"/>
      <c r="E342" s="87"/>
      <c r="I342" s="110"/>
      <c r="J342" s="110"/>
    </row>
    <row r="343" spans="1:10" ht="11.25" customHeight="1" x14ac:dyDescent="0.2">
      <c r="A343" s="84" t="s">
        <v>121</v>
      </c>
      <c r="B343" s="85" t="s">
        <v>114</v>
      </c>
      <c r="C343" s="128">
        <f>C337</f>
        <v>0</v>
      </c>
      <c r="D343" s="129">
        <f>+C342*D342/1000</f>
        <v>0</v>
      </c>
      <c r="E343" s="87">
        <f>C343*D343</f>
        <v>0</v>
      </c>
      <c r="I343" s="110"/>
      <c r="J343" s="110"/>
    </row>
    <row r="344" spans="1:10" ht="11.25" customHeight="1" x14ac:dyDescent="0.2">
      <c r="A344" s="84" t="s">
        <v>122</v>
      </c>
      <c r="B344" s="85" t="s">
        <v>123</v>
      </c>
      <c r="C344" s="376"/>
      <c r="D344" s="318"/>
      <c r="E344" s="87"/>
      <c r="I344" s="110"/>
      <c r="J344" s="110"/>
    </row>
    <row r="345" spans="1:10" ht="11.25" customHeight="1" x14ac:dyDescent="0.2">
      <c r="A345" s="84" t="s">
        <v>124</v>
      </c>
      <c r="B345" s="85" t="s">
        <v>114</v>
      </c>
      <c r="C345" s="128">
        <f>C337</f>
        <v>0</v>
      </c>
      <c r="D345" s="129">
        <f>+C344*D344/1000</f>
        <v>0</v>
      </c>
      <c r="E345" s="87">
        <f>C345*D345</f>
        <v>0</v>
      </c>
      <c r="I345" s="110"/>
      <c r="J345" s="110"/>
    </row>
    <row r="346" spans="1:10" ht="11.25" customHeight="1" x14ac:dyDescent="0.2">
      <c r="A346" s="117" t="s">
        <v>125</v>
      </c>
      <c r="B346" s="118" t="s">
        <v>126</v>
      </c>
      <c r="C346" s="130"/>
      <c r="D346" s="131">
        <f>IFERROR(D337+D339+D341+D343+D345,0)</f>
        <v>0</v>
      </c>
      <c r="E346" s="87"/>
      <c r="I346" s="110"/>
      <c r="J346" s="110"/>
    </row>
    <row r="347" spans="1:10" s="1" customFormat="1" ht="11.25" customHeight="1" x14ac:dyDescent="0.2">
      <c r="D347" s="2"/>
      <c r="E347" s="2"/>
      <c r="F347" s="278">
        <f>SUM(E336:E345)</f>
        <v>0</v>
      </c>
      <c r="G347" s="2"/>
      <c r="I347" s="110"/>
      <c r="J347" s="110"/>
    </row>
    <row r="348" spans="1:10" ht="11.25" customHeight="1" x14ac:dyDescent="0.2">
      <c r="I348" s="110"/>
      <c r="J348" s="110"/>
    </row>
    <row r="349" spans="1:10" ht="11.25" customHeight="1" x14ac:dyDescent="0.2">
      <c r="A349" s="1" t="s">
        <v>148</v>
      </c>
      <c r="I349" s="110"/>
      <c r="J349" s="110"/>
    </row>
    <row r="350" spans="1:10" ht="11.25" customHeight="1" x14ac:dyDescent="0.2">
      <c r="A350" s="70" t="s">
        <v>22</v>
      </c>
      <c r="B350" s="71" t="s">
        <v>23</v>
      </c>
      <c r="C350" s="71" t="s">
        <v>15</v>
      </c>
      <c r="D350" s="72" t="s">
        <v>24</v>
      </c>
      <c r="E350" s="72" t="s">
        <v>25</v>
      </c>
      <c r="F350" s="73" t="s">
        <v>26</v>
      </c>
      <c r="I350" s="110"/>
      <c r="J350" s="110"/>
    </row>
    <row r="351" spans="1:10" ht="11.25" customHeight="1" x14ac:dyDescent="0.2">
      <c r="A351" s="77" t="s">
        <v>128</v>
      </c>
      <c r="B351" s="78" t="s">
        <v>126</v>
      </c>
      <c r="C351" s="128">
        <f>C337</f>
        <v>0</v>
      </c>
      <c r="D351" s="104"/>
      <c r="E351" s="79">
        <f>C351*D351</f>
        <v>0</v>
      </c>
      <c r="I351" s="110"/>
      <c r="J351" s="110"/>
    </row>
    <row r="352" spans="1:10" ht="11.25" customHeight="1" x14ac:dyDescent="0.2">
      <c r="F352" s="109">
        <f>E351</f>
        <v>0</v>
      </c>
      <c r="I352" s="110"/>
      <c r="J352" s="110"/>
    </row>
    <row r="353" spans="1:10" ht="11.25" customHeight="1" x14ac:dyDescent="0.2">
      <c r="I353" s="110"/>
      <c r="J353" s="110"/>
    </row>
    <row r="354" spans="1:10" ht="11.25" customHeight="1" x14ac:dyDescent="0.2">
      <c r="A354" s="1" t="s">
        <v>149</v>
      </c>
      <c r="I354" s="110"/>
      <c r="J354" s="110"/>
    </row>
    <row r="355" spans="1:10" ht="11.25" customHeight="1" x14ac:dyDescent="0.2">
      <c r="A355" s="70" t="s">
        <v>22</v>
      </c>
      <c r="B355" s="71" t="s">
        <v>23</v>
      </c>
      <c r="C355" s="71" t="s">
        <v>15</v>
      </c>
      <c r="D355" s="72" t="s">
        <v>24</v>
      </c>
      <c r="E355" s="72" t="s">
        <v>25</v>
      </c>
      <c r="F355" s="73" t="s">
        <v>26</v>
      </c>
      <c r="I355" s="110"/>
      <c r="J355" s="110"/>
    </row>
    <row r="356" spans="1:10" s="1" customFormat="1" ht="11.25" customHeight="1" x14ac:dyDescent="0.2">
      <c r="A356" s="77" t="s">
        <v>130</v>
      </c>
      <c r="B356" s="78" t="s">
        <v>57</v>
      </c>
      <c r="C356" s="377"/>
      <c r="D356" s="370"/>
      <c r="E356" s="79">
        <f>C356*D356</f>
        <v>0</v>
      </c>
      <c r="F356" s="2"/>
      <c r="G356" s="2"/>
      <c r="I356" s="110"/>
      <c r="J356" s="110"/>
    </row>
    <row r="357" spans="1:10" ht="11.25" customHeight="1" x14ac:dyDescent="0.2">
      <c r="A357" s="77" t="s">
        <v>131</v>
      </c>
      <c r="B357" s="78" t="s">
        <v>57</v>
      </c>
      <c r="C357" s="377"/>
      <c r="D357" s="79"/>
      <c r="E357" s="79"/>
      <c r="I357" s="110"/>
      <c r="J357" s="110"/>
    </row>
    <row r="358" spans="1:10" ht="11.25" customHeight="1" x14ac:dyDescent="0.2">
      <c r="A358" s="77" t="s">
        <v>132</v>
      </c>
      <c r="B358" s="78" t="s">
        <v>57</v>
      </c>
      <c r="C358" s="79">
        <f>C356*C357</f>
        <v>0</v>
      </c>
      <c r="D358" s="370"/>
      <c r="E358" s="79">
        <f>C358*D358</f>
        <v>0</v>
      </c>
      <c r="I358" s="110"/>
      <c r="J358" s="110"/>
    </row>
    <row r="359" spans="1:10" ht="11.25" customHeight="1" x14ac:dyDescent="0.2">
      <c r="A359" s="84" t="s">
        <v>133</v>
      </c>
      <c r="B359" s="85" t="s">
        <v>134</v>
      </c>
      <c r="C359" s="378"/>
      <c r="D359" s="87">
        <f>E356+E358</f>
        <v>0</v>
      </c>
      <c r="E359" s="87" t="str">
        <f>IFERROR(D359/C359,"-")</f>
        <v>-</v>
      </c>
      <c r="I359" s="110"/>
      <c r="J359" s="110"/>
    </row>
    <row r="360" spans="1:10" ht="11.25" customHeight="1" x14ac:dyDescent="0.2">
      <c r="A360" s="84" t="s">
        <v>135</v>
      </c>
      <c r="B360" s="85" t="s">
        <v>114</v>
      </c>
      <c r="C360" s="128">
        <f>B333</f>
        <v>0</v>
      </c>
      <c r="D360" s="87" t="str">
        <f>E359</f>
        <v>-</v>
      </c>
      <c r="E360" s="87">
        <f>IFERROR(C360*D360,0)</f>
        <v>0</v>
      </c>
      <c r="I360" s="110"/>
      <c r="J360" s="110"/>
    </row>
    <row r="361" spans="1:10" s="1" customFormat="1" ht="11.25" customHeight="1" x14ac:dyDescent="0.2">
      <c r="D361" s="2"/>
      <c r="E361" s="2"/>
      <c r="F361" s="278">
        <f>E360</f>
        <v>0</v>
      </c>
      <c r="G361" s="2"/>
      <c r="I361" s="110"/>
      <c r="J361" s="110"/>
    </row>
    <row r="362" spans="1:10" ht="11.25" customHeight="1" x14ac:dyDescent="0.2">
      <c r="F362" s="82"/>
      <c r="I362" s="110"/>
      <c r="J362" s="110"/>
    </row>
    <row r="363" spans="1:10" s="1" customFormat="1" ht="11.25" customHeight="1" x14ac:dyDescent="0.2">
      <c r="A363" s="98" t="s">
        <v>150</v>
      </c>
      <c r="B363" s="106"/>
      <c r="C363" s="106"/>
      <c r="D363" s="107"/>
      <c r="E363" s="108"/>
      <c r="F363" s="278">
        <f>F361+F352+F347+F329+F321+F305</f>
        <v>0</v>
      </c>
      <c r="G363" s="2"/>
      <c r="I363" s="110"/>
      <c r="J363" s="110"/>
    </row>
    <row r="364" spans="1:10" ht="11.25" customHeight="1" x14ac:dyDescent="0.2">
      <c r="I364" s="110"/>
      <c r="J364" s="110"/>
    </row>
    <row r="365" spans="1:10" ht="11.25" customHeight="1" x14ac:dyDescent="0.2">
      <c r="A365" s="1" t="s">
        <v>151</v>
      </c>
      <c r="B365" s="125"/>
      <c r="I365" s="110"/>
      <c r="J365" s="110"/>
    </row>
    <row r="366" spans="1:10" ht="11.25" customHeight="1" x14ac:dyDescent="0.2">
      <c r="B366" s="125"/>
      <c r="I366" s="110"/>
      <c r="J366" s="110"/>
    </row>
    <row r="367" spans="1:10" ht="11.25" customHeight="1" x14ac:dyDescent="0.2">
      <c r="A367" s="117" t="s">
        <v>109</v>
      </c>
      <c r="B367" s="303"/>
      <c r="I367" s="110"/>
      <c r="J367" s="110"/>
    </row>
    <row r="368" spans="1:10" ht="11.25" customHeight="1" x14ac:dyDescent="0.2">
      <c r="B368" s="125"/>
      <c r="I368" s="110"/>
      <c r="J368" s="110"/>
    </row>
    <row r="369" spans="1:10" ht="11.25" customHeight="1" x14ac:dyDescent="0.2">
      <c r="A369" s="283" t="s">
        <v>22</v>
      </c>
      <c r="B369" s="284" t="s">
        <v>23</v>
      </c>
      <c r="C369" s="284" t="s">
        <v>110</v>
      </c>
      <c r="D369" s="285" t="s">
        <v>24</v>
      </c>
      <c r="E369" s="285" t="s">
        <v>25</v>
      </c>
      <c r="F369" s="286" t="s">
        <v>26</v>
      </c>
      <c r="I369" s="110"/>
      <c r="J369" s="110"/>
    </row>
    <row r="370" spans="1:10" s="1" customFormat="1" ht="11.25" customHeight="1" x14ac:dyDescent="0.2">
      <c r="A370" s="77" t="s">
        <v>111</v>
      </c>
      <c r="B370" s="78" t="s">
        <v>112</v>
      </c>
      <c r="C370" s="375"/>
      <c r="D370" s="374">
        <f>D336</f>
        <v>0</v>
      </c>
      <c r="E370" s="79"/>
      <c r="F370" s="2"/>
      <c r="G370" s="2"/>
      <c r="I370" s="110"/>
      <c r="J370" s="110"/>
    </row>
    <row r="371" spans="1:10" ht="11.25" customHeight="1" x14ac:dyDescent="0.2">
      <c r="A371" s="84" t="s">
        <v>113</v>
      </c>
      <c r="B371" s="85" t="s">
        <v>114</v>
      </c>
      <c r="C371" s="128">
        <f>B367</f>
        <v>0</v>
      </c>
      <c r="D371" s="280" t="str">
        <f>IFERROR(+D370/C370,"-")</f>
        <v>-</v>
      </c>
      <c r="E371" s="87" t="str">
        <f>IFERROR(C371*D371,"-")</f>
        <v>-</v>
      </c>
      <c r="I371" s="110"/>
      <c r="J371" s="110"/>
    </row>
    <row r="372" spans="1:10" ht="11.25" customHeight="1" x14ac:dyDescent="0.2">
      <c r="A372" s="84" t="s">
        <v>115</v>
      </c>
      <c r="B372" s="85" t="s">
        <v>116</v>
      </c>
      <c r="C372" s="127"/>
      <c r="D372" s="95"/>
      <c r="E372" s="87"/>
      <c r="I372" s="110"/>
      <c r="J372" s="110"/>
    </row>
    <row r="373" spans="1:10" ht="11.25" customHeight="1" x14ac:dyDescent="0.2">
      <c r="A373" s="84" t="s">
        <v>117</v>
      </c>
      <c r="B373" s="85" t="s">
        <v>114</v>
      </c>
      <c r="C373" s="128">
        <f>C371</f>
        <v>0</v>
      </c>
      <c r="D373" s="129">
        <f>+C372*D372/1000</f>
        <v>0</v>
      </c>
      <c r="E373" s="87">
        <f>C373*D373</f>
        <v>0</v>
      </c>
      <c r="I373" s="110"/>
      <c r="J373" s="110"/>
    </row>
    <row r="374" spans="1:10" ht="11.25" customHeight="1" x14ac:dyDescent="0.2">
      <c r="A374" s="84" t="s">
        <v>118</v>
      </c>
      <c r="B374" s="85" t="s">
        <v>116</v>
      </c>
      <c r="C374" s="127"/>
      <c r="D374" s="95"/>
      <c r="E374" s="87"/>
      <c r="I374" s="110"/>
      <c r="J374" s="110"/>
    </row>
    <row r="375" spans="1:10" ht="11.25" customHeight="1" x14ac:dyDescent="0.2">
      <c r="A375" s="84" t="s">
        <v>119</v>
      </c>
      <c r="B375" s="85" t="s">
        <v>114</v>
      </c>
      <c r="C375" s="128">
        <f>C371</f>
        <v>0</v>
      </c>
      <c r="D375" s="129">
        <f>+C374*D374/1000</f>
        <v>0</v>
      </c>
      <c r="E375" s="87">
        <f>C375*D375</f>
        <v>0</v>
      </c>
      <c r="I375" s="110"/>
      <c r="J375" s="110"/>
    </row>
    <row r="376" spans="1:10" ht="11.25" customHeight="1" x14ac:dyDescent="0.2">
      <c r="A376" s="84" t="s">
        <v>120</v>
      </c>
      <c r="B376" s="85" t="s">
        <v>116</v>
      </c>
      <c r="C376" s="127"/>
      <c r="D376" s="95"/>
      <c r="E376" s="87"/>
      <c r="I376" s="110"/>
      <c r="J376" s="110"/>
    </row>
    <row r="377" spans="1:10" ht="11.25" customHeight="1" x14ac:dyDescent="0.2">
      <c r="A377" s="84" t="s">
        <v>121</v>
      </c>
      <c r="B377" s="85" t="s">
        <v>114</v>
      </c>
      <c r="C377" s="128">
        <f>C371</f>
        <v>0</v>
      </c>
      <c r="D377" s="129">
        <f>+C376*D376/1000</f>
        <v>0</v>
      </c>
      <c r="E377" s="87">
        <f>C377*D377</f>
        <v>0</v>
      </c>
      <c r="I377" s="110"/>
      <c r="J377" s="110"/>
    </row>
    <row r="378" spans="1:10" ht="11.25" customHeight="1" x14ac:dyDescent="0.2">
      <c r="A378" s="84" t="s">
        <v>122</v>
      </c>
      <c r="B378" s="85" t="s">
        <v>123</v>
      </c>
      <c r="C378" s="127"/>
      <c r="D378" s="95"/>
      <c r="E378" s="87"/>
      <c r="I378" s="110"/>
      <c r="J378" s="110"/>
    </row>
    <row r="379" spans="1:10" ht="11.25" customHeight="1" x14ac:dyDescent="0.2">
      <c r="A379" s="84" t="s">
        <v>124</v>
      </c>
      <c r="B379" s="85" t="s">
        <v>114</v>
      </c>
      <c r="C379" s="128">
        <f>C371</f>
        <v>0</v>
      </c>
      <c r="D379" s="129">
        <f>+C378*D378/1000</f>
        <v>0</v>
      </c>
      <c r="E379" s="87">
        <f>C379*D379</f>
        <v>0</v>
      </c>
      <c r="I379" s="110"/>
      <c r="J379" s="110"/>
    </row>
    <row r="380" spans="1:10" ht="11.25" customHeight="1" x14ac:dyDescent="0.2">
      <c r="A380" s="117" t="s">
        <v>125</v>
      </c>
      <c r="B380" s="118" t="s">
        <v>126</v>
      </c>
      <c r="C380" s="130"/>
      <c r="D380" s="131">
        <f>IFERROR(D371+D373+D375+D377+D379,0)</f>
        <v>0</v>
      </c>
      <c r="E380" s="87"/>
      <c r="I380" s="110"/>
      <c r="J380" s="110"/>
    </row>
    <row r="381" spans="1:10" s="1" customFormat="1" ht="11.25" customHeight="1" x14ac:dyDescent="0.2">
      <c r="D381" s="2"/>
      <c r="E381" s="2"/>
      <c r="F381" s="278">
        <f>SUM(E370:E379)</f>
        <v>0</v>
      </c>
      <c r="G381" s="2"/>
      <c r="I381" s="110"/>
      <c r="J381" s="110"/>
    </row>
    <row r="382" spans="1:10" ht="11.25" customHeight="1" x14ac:dyDescent="0.2">
      <c r="I382" s="110"/>
      <c r="J382" s="110"/>
    </row>
    <row r="383" spans="1:10" ht="11.25" customHeight="1" x14ac:dyDescent="0.2">
      <c r="A383" s="1" t="s">
        <v>152</v>
      </c>
      <c r="I383" s="110"/>
      <c r="J383" s="110"/>
    </row>
    <row r="384" spans="1:10" ht="11.25" customHeight="1" x14ac:dyDescent="0.2">
      <c r="A384" s="283" t="s">
        <v>22</v>
      </c>
      <c r="B384" s="284" t="s">
        <v>23</v>
      </c>
      <c r="C384" s="284" t="s">
        <v>15</v>
      </c>
      <c r="D384" s="285" t="s">
        <v>24</v>
      </c>
      <c r="E384" s="285" t="s">
        <v>25</v>
      </c>
      <c r="F384" s="286" t="s">
        <v>26</v>
      </c>
      <c r="I384" s="110"/>
      <c r="J384" s="110"/>
    </row>
    <row r="385" spans="1:10" ht="11.25" customHeight="1" x14ac:dyDescent="0.2">
      <c r="A385" s="77" t="s">
        <v>128</v>
      </c>
      <c r="B385" s="78" t="s">
        <v>126</v>
      </c>
      <c r="C385" s="128">
        <f>B367</f>
        <v>0</v>
      </c>
      <c r="D385" s="79">
        <f>D351</f>
        <v>0</v>
      </c>
      <c r="E385" s="79">
        <f>C385*D385</f>
        <v>0</v>
      </c>
      <c r="I385" s="110"/>
      <c r="J385" s="110"/>
    </row>
    <row r="386" spans="1:10" ht="11.25" customHeight="1" x14ac:dyDescent="0.2">
      <c r="F386" s="278">
        <f>E385</f>
        <v>0</v>
      </c>
      <c r="I386" s="110"/>
      <c r="J386" s="110"/>
    </row>
    <row r="387" spans="1:10" ht="11.25" customHeight="1" x14ac:dyDescent="0.2">
      <c r="I387" s="110"/>
      <c r="J387" s="110"/>
    </row>
    <row r="388" spans="1:10" ht="11.25" customHeight="1" x14ac:dyDescent="0.2">
      <c r="A388" s="1" t="s">
        <v>153</v>
      </c>
      <c r="I388" s="110"/>
      <c r="J388" s="110"/>
    </row>
    <row r="389" spans="1:10" ht="11.25" customHeight="1" x14ac:dyDescent="0.2">
      <c r="A389" s="283" t="s">
        <v>22</v>
      </c>
      <c r="B389" s="284" t="s">
        <v>23</v>
      </c>
      <c r="C389" s="284" t="s">
        <v>15</v>
      </c>
      <c r="D389" s="285" t="s">
        <v>24</v>
      </c>
      <c r="E389" s="285" t="s">
        <v>25</v>
      </c>
      <c r="F389" s="286" t="s">
        <v>26</v>
      </c>
      <c r="I389" s="110"/>
      <c r="J389" s="110"/>
    </row>
    <row r="390" spans="1:10" s="1" customFormat="1" ht="11.25" customHeight="1" x14ac:dyDescent="0.2">
      <c r="A390" s="77" t="s">
        <v>154</v>
      </c>
      <c r="B390" s="78" t="s">
        <v>57</v>
      </c>
      <c r="C390" s="377"/>
      <c r="D390" s="370">
        <f>D356</f>
        <v>0</v>
      </c>
      <c r="E390" s="79">
        <f>C390*D390</f>
        <v>0</v>
      </c>
      <c r="F390" s="2"/>
      <c r="G390" s="2"/>
      <c r="I390" s="110"/>
      <c r="J390" s="110"/>
    </row>
    <row r="391" spans="1:10" ht="11.25" customHeight="1" x14ac:dyDescent="0.2">
      <c r="A391" s="77" t="s">
        <v>131</v>
      </c>
      <c r="B391" s="78" t="s">
        <v>57</v>
      </c>
      <c r="C391" s="377"/>
      <c r="D391" s="79"/>
      <c r="E391" s="79"/>
      <c r="I391" s="110"/>
      <c r="J391" s="110"/>
    </row>
    <row r="392" spans="1:10" ht="11.25" customHeight="1" x14ac:dyDescent="0.2">
      <c r="A392" s="77" t="s">
        <v>132</v>
      </c>
      <c r="B392" s="78" t="s">
        <v>57</v>
      </c>
      <c r="C392" s="79">
        <f>C390*C391</f>
        <v>0</v>
      </c>
      <c r="D392" s="370">
        <f>D358</f>
        <v>0</v>
      </c>
      <c r="E392" s="79">
        <f>C392*D392</f>
        <v>0</v>
      </c>
      <c r="I392" s="110"/>
      <c r="J392" s="110"/>
    </row>
    <row r="393" spans="1:10" ht="11.25" customHeight="1" x14ac:dyDescent="0.2">
      <c r="A393" s="84" t="s">
        <v>133</v>
      </c>
      <c r="B393" s="85" t="s">
        <v>134</v>
      </c>
      <c r="C393" s="378"/>
      <c r="D393" s="87">
        <f>E390+E392</f>
        <v>0</v>
      </c>
      <c r="E393" s="87" t="str">
        <f>IFERROR(D393/C393,"-")</f>
        <v>-</v>
      </c>
      <c r="I393" s="110"/>
      <c r="J393" s="110"/>
    </row>
    <row r="394" spans="1:10" ht="11.25" customHeight="1" x14ac:dyDescent="0.2">
      <c r="A394" s="84" t="s">
        <v>135</v>
      </c>
      <c r="B394" s="85" t="s">
        <v>114</v>
      </c>
      <c r="C394" s="128">
        <f>B367</f>
        <v>0</v>
      </c>
      <c r="D394" s="87" t="str">
        <f>E393</f>
        <v>-</v>
      </c>
      <c r="E394" s="87" t="e">
        <f>C394*D394</f>
        <v>#VALUE!</v>
      </c>
      <c r="I394" s="110"/>
      <c r="J394" s="110"/>
    </row>
    <row r="395" spans="1:10" s="1" customFormat="1" ht="11.25" customHeight="1" x14ac:dyDescent="0.2">
      <c r="D395" s="2"/>
      <c r="E395" s="2"/>
      <c r="F395" s="278" t="e">
        <f>E394</f>
        <v>#VALUE!</v>
      </c>
      <c r="G395" s="2"/>
      <c r="I395" s="110"/>
      <c r="J395" s="110"/>
    </row>
    <row r="396" spans="1:10" ht="11.25" customHeight="1" x14ac:dyDescent="0.2">
      <c r="I396" s="110"/>
      <c r="J396" s="110"/>
    </row>
    <row r="397" spans="1:10" s="1" customFormat="1" ht="11.25" customHeight="1" x14ac:dyDescent="0.2">
      <c r="A397" s="98" t="s">
        <v>155</v>
      </c>
      <c r="B397" s="106"/>
      <c r="C397" s="106"/>
      <c r="D397" s="107"/>
      <c r="E397" s="108"/>
      <c r="F397" s="278" t="e">
        <f>F395+F386+F381</f>
        <v>#VALUE!</v>
      </c>
      <c r="G397" s="2"/>
      <c r="I397" s="110"/>
      <c r="J397" s="110"/>
    </row>
    <row r="398" spans="1:10" ht="11.25" customHeight="1" x14ac:dyDescent="0.2">
      <c r="I398" s="110"/>
      <c r="J398" s="110"/>
    </row>
    <row r="399" spans="1:10" s="1" customFormat="1" ht="11.25" customHeight="1" x14ac:dyDescent="0.2">
      <c r="A399" s="98" t="s">
        <v>156</v>
      </c>
      <c r="B399" s="106"/>
      <c r="C399" s="106"/>
      <c r="D399" s="107"/>
      <c r="E399" s="108"/>
      <c r="F399" s="278" t="e">
        <f>F397+F363</f>
        <v>#VALUE!</v>
      </c>
      <c r="G399" s="2"/>
      <c r="I399" s="110"/>
      <c r="J399" s="110"/>
    </row>
    <row r="400" spans="1:10" ht="11.25" customHeight="1" x14ac:dyDescent="0.2">
      <c r="G400" s="1"/>
    </row>
    <row r="401" spans="1:7" ht="11.25" customHeight="1" x14ac:dyDescent="0.2">
      <c r="A401" s="1" t="s">
        <v>18</v>
      </c>
      <c r="G401" s="1"/>
    </row>
    <row r="402" spans="1:7" ht="11.25" customHeight="1" x14ac:dyDescent="0.2">
      <c r="G402" s="1"/>
    </row>
    <row r="403" spans="1:7" ht="11.25" customHeight="1" x14ac:dyDescent="0.2">
      <c r="A403" s="111" t="s">
        <v>157</v>
      </c>
      <c r="G403" s="1"/>
    </row>
    <row r="404" spans="1:7" s="1" customFormat="1" ht="11.25" customHeight="1" x14ac:dyDescent="0.2">
      <c r="A404" s="70" t="s">
        <v>22</v>
      </c>
      <c r="B404" s="71" t="s">
        <v>23</v>
      </c>
      <c r="C404" s="71" t="s">
        <v>15</v>
      </c>
      <c r="D404" s="72" t="s">
        <v>24</v>
      </c>
      <c r="E404" s="72" t="s">
        <v>25</v>
      </c>
      <c r="F404" s="73" t="s">
        <v>26</v>
      </c>
    </row>
    <row r="405" spans="1:7" ht="11.25" customHeight="1" x14ac:dyDescent="0.2">
      <c r="A405" s="77" t="s">
        <v>80</v>
      </c>
      <c r="B405" s="78" t="s">
        <v>57</v>
      </c>
      <c r="C405" s="78">
        <v>1</v>
      </c>
      <c r="D405" s="104"/>
      <c r="E405" s="79">
        <f>C405*D405</f>
        <v>0</v>
      </c>
      <c r="G405" s="1"/>
    </row>
    <row r="406" spans="1:7" ht="11.25" customHeight="1" x14ac:dyDescent="0.2">
      <c r="A406" s="84" t="s">
        <v>81</v>
      </c>
      <c r="B406" s="85" t="s">
        <v>82</v>
      </c>
      <c r="C406" s="88"/>
      <c r="D406" s="87"/>
      <c r="E406" s="87"/>
      <c r="G406" s="1"/>
    </row>
    <row r="407" spans="1:7" s="1" customFormat="1" ht="11.25" customHeight="1" x14ac:dyDescent="0.2">
      <c r="A407" s="84" t="s">
        <v>83</v>
      </c>
      <c r="B407" s="85" t="s">
        <v>82</v>
      </c>
      <c r="C407" s="88"/>
      <c r="D407" s="87"/>
      <c r="E407" s="87"/>
      <c r="F407" s="112"/>
    </row>
    <row r="408" spans="1:7" ht="11.25" customHeight="1" x14ac:dyDescent="0.2">
      <c r="A408" s="84" t="s">
        <v>84</v>
      </c>
      <c r="B408" s="85" t="s">
        <v>9</v>
      </c>
      <c r="C408" s="366">
        <v>65.180000000000007</v>
      </c>
      <c r="D408" s="87">
        <f>E405</f>
        <v>0</v>
      </c>
      <c r="E408" s="87">
        <f>C408*D408/100</f>
        <v>0</v>
      </c>
      <c r="G408" s="1"/>
    </row>
    <row r="409" spans="1:7" ht="11.25" customHeight="1" x14ac:dyDescent="0.2">
      <c r="A409" s="113" t="s">
        <v>85</v>
      </c>
      <c r="B409" s="114" t="s">
        <v>28</v>
      </c>
      <c r="C409" s="114">
        <f>C406*12</f>
        <v>0</v>
      </c>
      <c r="D409" s="115">
        <f>IF(C407&lt;=C406,E408,0)</f>
        <v>0</v>
      </c>
      <c r="E409" s="115">
        <f>IFERROR(D409/C409,0)</f>
        <v>0</v>
      </c>
      <c r="G409" s="1"/>
    </row>
    <row r="410" spans="1:7" ht="11.25" customHeight="1" x14ac:dyDescent="0.2">
      <c r="A410" s="117" t="s">
        <v>92</v>
      </c>
      <c r="B410" s="118" t="s">
        <v>57</v>
      </c>
      <c r="C410" s="88"/>
      <c r="D410" s="119">
        <f>E409</f>
        <v>0</v>
      </c>
      <c r="E410" s="83">
        <f>C410*D410</f>
        <v>0</v>
      </c>
      <c r="G410" s="1"/>
    </row>
    <row r="411" spans="1:7" s="1" customFormat="1" ht="11.25" customHeight="1" x14ac:dyDescent="0.2">
      <c r="A411" s="120"/>
      <c r="B411" s="120"/>
      <c r="C411" s="120"/>
      <c r="D411" s="89" t="s">
        <v>40</v>
      </c>
      <c r="E411" s="90">
        <v>1</v>
      </c>
      <c r="F411" s="109">
        <f>E410*E411</f>
        <v>0</v>
      </c>
    </row>
    <row r="412" spans="1:7" ht="11.25" customHeight="1" x14ac:dyDescent="0.2">
      <c r="G412" s="1"/>
    </row>
    <row r="413" spans="1:7" ht="11.25" customHeight="1" x14ac:dyDescent="0.2">
      <c r="A413" s="111" t="s">
        <v>158</v>
      </c>
      <c r="G413" s="1"/>
    </row>
    <row r="414" spans="1:7" s="1" customFormat="1" ht="11.25" customHeight="1" x14ac:dyDescent="0.2">
      <c r="A414" s="121" t="s">
        <v>22</v>
      </c>
      <c r="B414" s="122" t="s">
        <v>23</v>
      </c>
      <c r="C414" s="122" t="s">
        <v>15</v>
      </c>
      <c r="D414" s="72" t="s">
        <v>24</v>
      </c>
      <c r="E414" s="123" t="s">
        <v>25</v>
      </c>
      <c r="F414" s="73" t="s">
        <v>26</v>
      </c>
    </row>
    <row r="415" spans="1:7" ht="11.25" customHeight="1" x14ac:dyDescent="0.2">
      <c r="A415" s="84" t="s">
        <v>94</v>
      </c>
      <c r="B415" s="85" t="s">
        <v>57</v>
      </c>
      <c r="C415" s="78">
        <v>1</v>
      </c>
      <c r="D415" s="87">
        <f>D405</f>
        <v>0</v>
      </c>
      <c r="E415" s="87">
        <f>C415*D415</f>
        <v>0</v>
      </c>
      <c r="F415" s="112"/>
      <c r="G415" s="110"/>
    </row>
    <row r="416" spans="1:7" s="1" customFormat="1" ht="11.25" customHeight="1" x14ac:dyDescent="0.2">
      <c r="A416" s="84" t="s">
        <v>95</v>
      </c>
      <c r="B416" s="85" t="s">
        <v>9</v>
      </c>
      <c r="C416" s="317"/>
      <c r="D416" s="87"/>
      <c r="E416" s="87"/>
      <c r="F416" s="112"/>
    </row>
    <row r="417" spans="1:7" s="1" customFormat="1" ht="11.25" customHeight="1" x14ac:dyDescent="0.2">
      <c r="A417" s="84" t="s">
        <v>96</v>
      </c>
      <c r="B417" s="85" t="s">
        <v>33</v>
      </c>
      <c r="C417" s="124">
        <f>IFERROR(IF(C407&lt;=C406,E405-(C408/(100*C406)*C407)*E405,E405-E408),0)</f>
        <v>0</v>
      </c>
      <c r="D417" s="87"/>
      <c r="E417" s="87"/>
      <c r="F417" s="112"/>
    </row>
    <row r="418" spans="1:7" s="1" customFormat="1" ht="11.25" customHeight="1" x14ac:dyDescent="0.2">
      <c r="A418" s="84" t="s">
        <v>97</v>
      </c>
      <c r="B418" s="85" t="s">
        <v>33</v>
      </c>
      <c r="C418" s="87">
        <f>IFERROR(IF(C407&gt;=C406,C417,((((C417)-(E405-E408))*(((C406-C407)+1)/(2*(C406-C407))))+(E405-E408))),0)</f>
        <v>0</v>
      </c>
      <c r="D418" s="87"/>
      <c r="E418" s="87"/>
      <c r="F418" s="112"/>
    </row>
    <row r="419" spans="1:7" s="1" customFormat="1" ht="11.25" customHeight="1" x14ac:dyDescent="0.2">
      <c r="A419" s="113" t="s">
        <v>98</v>
      </c>
      <c r="B419" s="114" t="s">
        <v>33</v>
      </c>
      <c r="C419" s="114"/>
      <c r="D419" s="115">
        <f>C416*C418/12/100</f>
        <v>0</v>
      </c>
      <c r="E419" s="115">
        <f>D419</f>
        <v>0</v>
      </c>
      <c r="F419" s="112"/>
    </row>
    <row r="420" spans="1:7" s="1" customFormat="1" ht="11.25" customHeight="1" x14ac:dyDescent="0.2">
      <c r="A420" s="117" t="s">
        <v>92</v>
      </c>
      <c r="B420" s="118" t="s">
        <v>57</v>
      </c>
      <c r="C420" s="85">
        <f>C410</f>
        <v>0</v>
      </c>
      <c r="D420" s="119">
        <f>E419</f>
        <v>0</v>
      </c>
      <c r="E420" s="83">
        <f>C420*D420</f>
        <v>0</v>
      </c>
      <c r="F420" s="112"/>
    </row>
    <row r="421" spans="1:7" s="1" customFormat="1" ht="11.25" customHeight="1" x14ac:dyDescent="0.2">
      <c r="C421" s="272"/>
      <c r="D421" s="89" t="s">
        <v>40</v>
      </c>
      <c r="E421" s="90">
        <v>1</v>
      </c>
      <c r="F421" s="278">
        <f>E420*E421</f>
        <v>0</v>
      </c>
    </row>
    <row r="422" spans="1:7" ht="11.25" customHeight="1" x14ac:dyDescent="0.2">
      <c r="G422" s="1"/>
    </row>
    <row r="423" spans="1:7" ht="11.25" customHeight="1" x14ac:dyDescent="0.2">
      <c r="A423" s="1" t="s">
        <v>159</v>
      </c>
      <c r="G423" s="1"/>
    </row>
    <row r="424" spans="1:7" s="1" customFormat="1" ht="11.25" customHeight="1" x14ac:dyDescent="0.2">
      <c r="A424" s="283" t="s">
        <v>22</v>
      </c>
      <c r="B424" s="284" t="s">
        <v>23</v>
      </c>
      <c r="C424" s="284" t="s">
        <v>15</v>
      </c>
      <c r="D424" s="285" t="s">
        <v>24</v>
      </c>
      <c r="E424" s="285" t="s">
        <v>25</v>
      </c>
      <c r="F424" s="286" t="s">
        <v>26</v>
      </c>
    </row>
    <row r="425" spans="1:7" ht="11.25" customHeight="1" x14ac:dyDescent="0.2">
      <c r="A425" s="77" t="s">
        <v>104</v>
      </c>
      <c r="B425" s="78" t="s">
        <v>57</v>
      </c>
      <c r="C425" s="79">
        <f>C410</f>
        <v>0</v>
      </c>
      <c r="D425" s="79">
        <f>0.01*($E$405)</f>
        <v>0</v>
      </c>
      <c r="E425" s="79">
        <f>C425*D425</f>
        <v>0</v>
      </c>
      <c r="G425" s="1"/>
    </row>
    <row r="426" spans="1:7" ht="11.25" customHeight="1" x14ac:dyDescent="0.2">
      <c r="A426" s="84" t="s">
        <v>105</v>
      </c>
      <c r="B426" s="85" t="s">
        <v>57</v>
      </c>
      <c r="C426" s="79">
        <f>C410</f>
        <v>0</v>
      </c>
      <c r="D426" s="318"/>
      <c r="E426" s="87">
        <f>C426*D426</f>
        <v>0</v>
      </c>
      <c r="G426" s="1"/>
    </row>
    <row r="427" spans="1:7" s="1" customFormat="1" ht="11.25" customHeight="1" x14ac:dyDescent="0.2">
      <c r="A427" s="84" t="s">
        <v>106</v>
      </c>
      <c r="B427" s="85" t="s">
        <v>57</v>
      </c>
      <c r="C427" s="79">
        <f>C410</f>
        <v>0</v>
      </c>
      <c r="D427" s="318"/>
      <c r="E427" s="87">
        <f>C427*D427</f>
        <v>0</v>
      </c>
      <c r="F427" s="82"/>
    </row>
    <row r="428" spans="1:7" ht="11.25" customHeight="1" x14ac:dyDescent="0.2">
      <c r="A428" s="117" t="s">
        <v>107</v>
      </c>
      <c r="B428" s="118" t="s">
        <v>28</v>
      </c>
      <c r="C428" s="118">
        <v>12</v>
      </c>
      <c r="D428" s="119">
        <f>SUM(E425:E427)</f>
        <v>0</v>
      </c>
      <c r="E428" s="119">
        <f>D428/C428</f>
        <v>0</v>
      </c>
      <c r="G428" s="1"/>
    </row>
    <row r="429" spans="1:7" s="1" customFormat="1" ht="11.25" customHeight="1" x14ac:dyDescent="0.2">
      <c r="D429" s="89" t="s">
        <v>40</v>
      </c>
      <c r="E429" s="90">
        <v>1</v>
      </c>
      <c r="F429" s="275">
        <f>E428*E429</f>
        <v>0</v>
      </c>
    </row>
    <row r="430" spans="1:7" ht="11.25" customHeight="1" x14ac:dyDescent="0.2">
      <c r="G430" s="1"/>
    </row>
    <row r="431" spans="1:7" ht="11.25" customHeight="1" x14ac:dyDescent="0.2">
      <c r="A431" s="1" t="s">
        <v>160</v>
      </c>
      <c r="B431" s="125"/>
      <c r="G431" s="1"/>
    </row>
    <row r="432" spans="1:7" ht="11.25" customHeight="1" x14ac:dyDescent="0.2">
      <c r="B432" s="125"/>
      <c r="G432" s="1"/>
    </row>
    <row r="433" spans="1:7" ht="11.25" customHeight="1" x14ac:dyDescent="0.2">
      <c r="A433" s="117" t="s">
        <v>109</v>
      </c>
      <c r="B433" s="303"/>
      <c r="G433" s="1"/>
    </row>
    <row r="434" spans="1:7" ht="11.25" customHeight="1" x14ac:dyDescent="0.2">
      <c r="B434" s="125"/>
      <c r="G434" s="1"/>
    </row>
    <row r="435" spans="1:7" s="1" customFormat="1" ht="11.25" customHeight="1" x14ac:dyDescent="0.2">
      <c r="A435" s="283" t="s">
        <v>22</v>
      </c>
      <c r="B435" s="284" t="s">
        <v>23</v>
      </c>
      <c r="C435" s="284" t="s">
        <v>110</v>
      </c>
      <c r="D435" s="285" t="s">
        <v>24</v>
      </c>
      <c r="E435" s="285" t="s">
        <v>25</v>
      </c>
      <c r="F435" s="286" t="s">
        <v>26</v>
      </c>
    </row>
    <row r="436" spans="1:7" s="1" customFormat="1" ht="11.25" customHeight="1" x14ac:dyDescent="0.2">
      <c r="A436" s="77" t="s">
        <v>161</v>
      </c>
      <c r="B436" s="78" t="s">
        <v>112</v>
      </c>
      <c r="C436" s="375"/>
      <c r="D436" s="374"/>
      <c r="E436" s="79"/>
      <c r="F436" s="2"/>
    </row>
    <row r="437" spans="1:7" ht="11.25" customHeight="1" x14ac:dyDescent="0.2">
      <c r="A437" s="84" t="s">
        <v>162</v>
      </c>
      <c r="B437" s="85" t="s">
        <v>114</v>
      </c>
      <c r="C437" s="128">
        <f>B433</f>
        <v>0</v>
      </c>
      <c r="D437" s="280" t="str">
        <f>IFERROR(+D436/C436,"-")</f>
        <v>-</v>
      </c>
      <c r="E437" s="87" t="str">
        <f>IFERROR(C437*D437,"-")</f>
        <v>-</v>
      </c>
      <c r="G437" s="1"/>
    </row>
    <row r="438" spans="1:7" ht="11.25" customHeight="1" x14ac:dyDescent="0.2">
      <c r="A438" s="84" t="s">
        <v>115</v>
      </c>
      <c r="B438" s="85" t="s">
        <v>116</v>
      </c>
      <c r="C438" s="376"/>
      <c r="D438" s="318"/>
      <c r="E438" s="87"/>
      <c r="G438" s="1"/>
    </row>
    <row r="439" spans="1:7" ht="11.25" customHeight="1" x14ac:dyDescent="0.2">
      <c r="A439" s="84" t="s">
        <v>117</v>
      </c>
      <c r="B439" s="85" t="s">
        <v>114</v>
      </c>
      <c r="C439" s="128">
        <f>C437</f>
        <v>0</v>
      </c>
      <c r="D439" s="129">
        <f>+C438*D438/1000</f>
        <v>0</v>
      </c>
      <c r="E439" s="87">
        <f>C439*D439</f>
        <v>0</v>
      </c>
      <c r="G439" s="1"/>
    </row>
    <row r="440" spans="1:7" ht="11.25" customHeight="1" x14ac:dyDescent="0.2">
      <c r="A440" s="117" t="s">
        <v>125</v>
      </c>
      <c r="B440" s="118" t="s">
        <v>126</v>
      </c>
      <c r="C440" s="130"/>
      <c r="D440" s="131">
        <f>IFERROR(D437+D438+D439,0)</f>
        <v>0</v>
      </c>
      <c r="E440" s="87"/>
      <c r="G440" s="1"/>
    </row>
    <row r="441" spans="1:7" ht="11.25" customHeight="1" x14ac:dyDescent="0.2">
      <c r="F441" s="278">
        <f>SUM(E436:E439)</f>
        <v>0</v>
      </c>
      <c r="G441" s="1"/>
    </row>
    <row r="442" spans="1:7" ht="11.25" customHeight="1" x14ac:dyDescent="0.2">
      <c r="G442" s="1"/>
    </row>
    <row r="443" spans="1:7" ht="11.25" customHeight="1" x14ac:dyDescent="0.2">
      <c r="A443" s="1" t="s">
        <v>163</v>
      </c>
      <c r="G443" s="1"/>
    </row>
    <row r="444" spans="1:7" s="1" customFormat="1" ht="11.25" customHeight="1" x14ac:dyDescent="0.2">
      <c r="A444" s="283" t="s">
        <v>22</v>
      </c>
      <c r="B444" s="284" t="s">
        <v>23</v>
      </c>
      <c r="C444" s="284" t="s">
        <v>15</v>
      </c>
      <c r="D444" s="285" t="s">
        <v>24</v>
      </c>
      <c r="E444" s="285" t="s">
        <v>25</v>
      </c>
      <c r="F444" s="286" t="s">
        <v>26</v>
      </c>
    </row>
    <row r="445" spans="1:7" ht="11.25" customHeight="1" x14ac:dyDescent="0.2">
      <c r="A445" s="77" t="s">
        <v>128</v>
      </c>
      <c r="B445" s="78" t="s">
        <v>126</v>
      </c>
      <c r="C445" s="128">
        <f>C437</f>
        <v>0</v>
      </c>
      <c r="D445" s="370"/>
      <c r="E445" s="79">
        <f>C445*D445</f>
        <v>0</v>
      </c>
      <c r="G445" s="1"/>
    </row>
    <row r="446" spans="1:7" ht="11.25" customHeight="1" x14ac:dyDescent="0.2">
      <c r="F446" s="278">
        <f>E445</f>
        <v>0</v>
      </c>
      <c r="G446" s="1"/>
    </row>
    <row r="447" spans="1:7" ht="11.25" customHeight="1" x14ac:dyDescent="0.2">
      <c r="G447" s="1"/>
    </row>
    <row r="448" spans="1:7" ht="11.25" customHeight="1" x14ac:dyDescent="0.2">
      <c r="A448" s="1" t="s">
        <v>164</v>
      </c>
      <c r="G448" s="1"/>
    </row>
    <row r="449" spans="1:7" s="1" customFormat="1" ht="11.25" customHeight="1" x14ac:dyDescent="0.2">
      <c r="A449" s="283" t="s">
        <v>22</v>
      </c>
      <c r="B449" s="284" t="s">
        <v>23</v>
      </c>
      <c r="C449" s="284" t="s">
        <v>15</v>
      </c>
      <c r="D449" s="285" t="s">
        <v>24</v>
      </c>
      <c r="E449" s="285" t="s">
        <v>25</v>
      </c>
      <c r="F449" s="286" t="s">
        <v>26</v>
      </c>
    </row>
    <row r="450" spans="1:7" ht="11.25" customHeight="1" x14ac:dyDescent="0.2">
      <c r="A450" s="77" t="s">
        <v>165</v>
      </c>
      <c r="B450" s="78" t="s">
        <v>57</v>
      </c>
      <c r="C450" s="377"/>
      <c r="D450" s="370"/>
      <c r="E450" s="79">
        <f>C450*D450</f>
        <v>0</v>
      </c>
      <c r="G450" s="1"/>
    </row>
    <row r="451" spans="1:7" ht="11.25" customHeight="1" x14ac:dyDescent="0.2">
      <c r="A451" s="77" t="s">
        <v>131</v>
      </c>
      <c r="B451" s="78" t="s">
        <v>57</v>
      </c>
      <c r="C451" s="377"/>
      <c r="D451" s="79"/>
      <c r="E451" s="79"/>
      <c r="G451" s="1"/>
    </row>
    <row r="452" spans="1:7" ht="11.25" customHeight="1" x14ac:dyDescent="0.2">
      <c r="A452" s="77" t="s">
        <v>132</v>
      </c>
      <c r="B452" s="78" t="s">
        <v>57</v>
      </c>
      <c r="C452" s="79">
        <f>C450*C451</f>
        <v>0</v>
      </c>
      <c r="D452" s="370"/>
      <c r="E452" s="79">
        <f>C452*D452</f>
        <v>0</v>
      </c>
      <c r="G452" s="1"/>
    </row>
    <row r="453" spans="1:7" ht="11.25" customHeight="1" x14ac:dyDescent="0.2">
      <c r="A453" s="84" t="s">
        <v>133</v>
      </c>
      <c r="B453" s="85" t="s">
        <v>134</v>
      </c>
      <c r="C453" s="378"/>
      <c r="D453" s="87">
        <f>E450+E452</f>
        <v>0</v>
      </c>
      <c r="E453" s="87" t="str">
        <f>IFERROR(D453/C453,"-")</f>
        <v>-</v>
      </c>
      <c r="G453" s="1"/>
    </row>
    <row r="454" spans="1:7" ht="11.25" customHeight="1" x14ac:dyDescent="0.2">
      <c r="A454" s="84" t="s">
        <v>135</v>
      </c>
      <c r="B454" s="85" t="s">
        <v>114</v>
      </c>
      <c r="C454" s="128">
        <f>B433</f>
        <v>0</v>
      </c>
      <c r="D454" s="87" t="str">
        <f>E453</f>
        <v>-</v>
      </c>
      <c r="E454" s="87">
        <f>IFERROR(C454*D454,0)</f>
        <v>0</v>
      </c>
      <c r="G454" s="1"/>
    </row>
    <row r="455" spans="1:7" ht="11.25" customHeight="1" x14ac:dyDescent="0.2">
      <c r="F455" s="278">
        <f>E454</f>
        <v>0</v>
      </c>
      <c r="G455" s="1"/>
    </row>
    <row r="456" spans="1:7" x14ac:dyDescent="0.2">
      <c r="F456" s="82"/>
      <c r="G456" s="1"/>
    </row>
    <row r="457" spans="1:7" s="1" customFormat="1" ht="11.25" customHeight="1" x14ac:dyDescent="0.2">
      <c r="A457" s="98" t="s">
        <v>166</v>
      </c>
      <c r="B457" s="106"/>
      <c r="C457" s="106"/>
      <c r="D457" s="107"/>
      <c r="E457" s="108"/>
      <c r="F457" s="278">
        <f>F455+F446+F441+F429+F421+F411</f>
        <v>0</v>
      </c>
    </row>
    <row r="458" spans="1:7" s="1" customFormat="1" ht="11.25" customHeight="1" x14ac:dyDescent="0.2">
      <c r="A458" s="24"/>
      <c r="D458" s="2"/>
      <c r="E458" s="2"/>
      <c r="F458" s="82"/>
    </row>
    <row r="459" spans="1:7" ht="11.25" customHeight="1" x14ac:dyDescent="0.2">
      <c r="A459" s="24"/>
      <c r="F459" s="82"/>
      <c r="G459" s="1"/>
    </row>
    <row r="460" spans="1:7" ht="11.25" customHeight="1" x14ac:dyDescent="0.2">
      <c r="A460" s="24" t="s">
        <v>335</v>
      </c>
      <c r="F460" s="82"/>
      <c r="G460" s="1"/>
    </row>
    <row r="461" spans="1:7" ht="11.25" customHeight="1" x14ac:dyDescent="0.2">
      <c r="A461" s="24"/>
      <c r="F461" s="82"/>
      <c r="G461" s="1"/>
    </row>
    <row r="462" spans="1:7" ht="11.25" customHeight="1" x14ac:dyDescent="0.2">
      <c r="A462" s="311" t="s">
        <v>22</v>
      </c>
      <c r="B462" s="312" t="s">
        <v>23</v>
      </c>
      <c r="C462" s="312" t="s">
        <v>15</v>
      </c>
      <c r="D462" s="313" t="s">
        <v>24</v>
      </c>
      <c r="E462" s="313" t="s">
        <v>25</v>
      </c>
      <c r="F462" s="314" t="s">
        <v>336</v>
      </c>
      <c r="G462" s="1"/>
    </row>
    <row r="463" spans="1:7" ht="18.75" customHeight="1" x14ac:dyDescent="0.2">
      <c r="A463" s="315" t="s">
        <v>337</v>
      </c>
      <c r="B463" s="85" t="s">
        <v>57</v>
      </c>
      <c r="C463" s="317"/>
      <c r="D463" s="318"/>
      <c r="E463" s="90">
        <f>C463*D463</f>
        <v>0</v>
      </c>
      <c r="F463" s="82"/>
      <c r="G463" s="1"/>
    </row>
    <row r="464" spans="1:7" ht="11.25" customHeight="1" x14ac:dyDescent="0.2">
      <c r="A464" s="315" t="s">
        <v>338</v>
      </c>
      <c r="B464" s="84"/>
      <c r="C464" s="84"/>
      <c r="D464" s="90"/>
      <c r="E464" s="90">
        <f>E463</f>
        <v>0</v>
      </c>
      <c r="F464" s="82"/>
      <c r="G464" s="1"/>
    </row>
    <row r="465" spans="1:8" ht="11.25" customHeight="1" x14ac:dyDescent="0.2">
      <c r="A465" s="24"/>
      <c r="F465" s="310">
        <f>SUM(E463:E463)</f>
        <v>0</v>
      </c>
      <c r="G465" s="1"/>
    </row>
    <row r="466" spans="1:8" ht="11.25" customHeight="1" thickBot="1" x14ac:dyDescent="0.25">
      <c r="A466" s="24"/>
      <c r="F466" s="82"/>
      <c r="G466" s="1"/>
    </row>
    <row r="467" spans="1:8" ht="16.5" customHeight="1" thickBot="1" x14ac:dyDescent="0.25">
      <c r="A467" s="98" t="s">
        <v>339</v>
      </c>
      <c r="B467" s="106"/>
      <c r="C467" s="106"/>
      <c r="D467" s="107"/>
      <c r="E467" s="107"/>
      <c r="F467" s="316" t="e">
        <f>F465+F457+F399+F287</f>
        <v>#VALUE!</v>
      </c>
      <c r="G467" s="1"/>
    </row>
    <row r="468" spans="1:8" ht="11.25" customHeight="1" x14ac:dyDescent="0.2">
      <c r="A468" s="24"/>
      <c r="F468" s="82"/>
      <c r="G468" s="1"/>
    </row>
    <row r="469" spans="1:8" s="1" customFormat="1" x14ac:dyDescent="0.2">
      <c r="A469" s="24" t="s">
        <v>340</v>
      </c>
      <c r="B469" s="24"/>
      <c r="C469" s="24"/>
      <c r="D469" s="23"/>
      <c r="E469" s="23"/>
      <c r="F469" s="82"/>
    </row>
    <row r="470" spans="1:8" ht="11.25" customHeight="1" x14ac:dyDescent="0.2">
      <c r="G470" s="1"/>
    </row>
    <row r="471" spans="1:8" s="1" customFormat="1" x14ac:dyDescent="0.2">
      <c r="A471" s="70" t="s">
        <v>22</v>
      </c>
      <c r="B471" s="71" t="s">
        <v>23</v>
      </c>
      <c r="C471" s="71" t="s">
        <v>15</v>
      </c>
      <c r="D471" s="72" t="s">
        <v>24</v>
      </c>
      <c r="E471" s="72" t="s">
        <v>25</v>
      </c>
      <c r="F471" s="73" t="s">
        <v>26</v>
      </c>
    </row>
    <row r="472" spans="1:8" x14ac:dyDescent="0.2">
      <c r="A472" s="84" t="s">
        <v>167</v>
      </c>
      <c r="B472" s="85" t="s">
        <v>57</v>
      </c>
      <c r="C472" s="103"/>
      <c r="D472" s="104"/>
      <c r="E472" s="87">
        <f>C472*D472</f>
        <v>0</v>
      </c>
      <c r="F472" s="112"/>
      <c r="G472" s="110"/>
      <c r="H472" s="110"/>
    </row>
    <row r="473" spans="1:8" x14ac:dyDescent="0.2">
      <c r="A473" s="84" t="s">
        <v>168</v>
      </c>
      <c r="B473" s="85" t="s">
        <v>57</v>
      </c>
      <c r="C473" s="103"/>
      <c r="D473" s="104"/>
      <c r="E473" s="87">
        <f>C473*D473</f>
        <v>0</v>
      </c>
      <c r="F473" s="112"/>
      <c r="G473" s="110"/>
      <c r="H473" s="110"/>
    </row>
    <row r="474" spans="1:8" x14ac:dyDescent="0.2">
      <c r="A474" s="84" t="s">
        <v>169</v>
      </c>
      <c r="B474" s="85" t="s">
        <v>57</v>
      </c>
      <c r="C474" s="103"/>
      <c r="D474" s="104"/>
      <c r="E474" s="87">
        <f>C474*D474</f>
        <v>0</v>
      </c>
      <c r="F474" s="112"/>
      <c r="G474" s="110"/>
      <c r="H474" s="110"/>
    </row>
    <row r="475" spans="1:8" s="1" customFormat="1" x14ac:dyDescent="0.2">
      <c r="A475" s="24"/>
      <c r="B475" s="24"/>
      <c r="C475" s="24"/>
      <c r="D475" s="24"/>
      <c r="E475" s="23"/>
      <c r="F475" s="109">
        <f>SUM(E472:E474)</f>
        <v>0</v>
      </c>
    </row>
    <row r="476" spans="1:8" ht="11.25" customHeight="1" x14ac:dyDescent="0.2">
      <c r="G476" s="1"/>
    </row>
    <row r="477" spans="1:8" s="1" customFormat="1" x14ac:dyDescent="0.2">
      <c r="A477" s="98" t="s">
        <v>170</v>
      </c>
      <c r="B477" s="99"/>
      <c r="C477" s="99"/>
      <c r="D477" s="100"/>
      <c r="E477" s="101"/>
      <c r="F477" s="109">
        <f>+F475</f>
        <v>0</v>
      </c>
    </row>
    <row r="478" spans="1:8" ht="11.25" customHeight="1" x14ac:dyDescent="0.2">
      <c r="G478" s="1"/>
    </row>
    <row r="479" spans="1:8" x14ac:dyDescent="0.2">
      <c r="A479" s="24" t="s">
        <v>341</v>
      </c>
      <c r="B479" s="24"/>
      <c r="C479" s="24"/>
      <c r="D479" s="23"/>
      <c r="E479" s="23"/>
      <c r="F479" s="82"/>
    </row>
    <row r="480" spans="1:8" ht="11.25" customHeight="1" x14ac:dyDescent="0.2"/>
    <row r="481" spans="1:7" x14ac:dyDescent="0.2">
      <c r="A481" s="70" t="s">
        <v>22</v>
      </c>
      <c r="B481" s="71" t="s">
        <v>23</v>
      </c>
      <c r="C481" s="71" t="s">
        <v>15</v>
      </c>
      <c r="D481" s="72" t="s">
        <v>24</v>
      </c>
      <c r="E481" s="72" t="s">
        <v>25</v>
      </c>
      <c r="F481" s="73" t="s">
        <v>26</v>
      </c>
    </row>
    <row r="482" spans="1:7" ht="11.25" customHeight="1" x14ac:dyDescent="0.2">
      <c r="A482" s="84" t="s">
        <v>171</v>
      </c>
      <c r="B482" s="133" t="s">
        <v>172</v>
      </c>
      <c r="C482" s="371"/>
      <c r="D482" s="95"/>
      <c r="E482" s="87">
        <f>+D482*C482</f>
        <v>0</v>
      </c>
      <c r="F482" s="112"/>
    </row>
    <row r="483" spans="1:7" x14ac:dyDescent="0.2">
      <c r="A483" s="84" t="s">
        <v>173</v>
      </c>
      <c r="B483" s="133" t="s">
        <v>28</v>
      </c>
      <c r="C483" s="317"/>
      <c r="D483" s="134">
        <f>SUM(E482:E482)</f>
        <v>0</v>
      </c>
      <c r="E483" s="134">
        <f>D483</f>
        <v>0</v>
      </c>
      <c r="F483" s="112"/>
    </row>
    <row r="484" spans="1:7" x14ac:dyDescent="0.2">
      <c r="A484" s="76"/>
      <c r="B484" s="76"/>
      <c r="C484" s="76"/>
      <c r="D484" s="89" t="s">
        <v>40</v>
      </c>
      <c r="E484" s="90">
        <f>$B$71</f>
        <v>0</v>
      </c>
      <c r="F484" s="109">
        <f>(E483)*E484</f>
        <v>0</v>
      </c>
    </row>
    <row r="485" spans="1:7" s="136" customFormat="1" ht="11.25" customHeight="1" x14ac:dyDescent="0.2">
      <c r="A485" s="1"/>
      <c r="B485" s="1"/>
      <c r="C485" s="1"/>
      <c r="D485" s="2"/>
      <c r="E485" s="2"/>
      <c r="F485" s="2"/>
      <c r="G485" s="135"/>
    </row>
    <row r="486" spans="1:7" x14ac:dyDescent="0.2">
      <c r="A486" s="98" t="s">
        <v>174</v>
      </c>
      <c r="B486" s="99"/>
      <c r="C486" s="99"/>
      <c r="D486" s="100"/>
      <c r="E486" s="101"/>
      <c r="F486" s="109">
        <f>+F484</f>
        <v>0</v>
      </c>
    </row>
    <row r="487" spans="1:7" ht="11.25" customHeight="1" x14ac:dyDescent="0.2"/>
    <row r="488" spans="1:7" ht="17.25" customHeight="1" x14ac:dyDescent="0.2">
      <c r="A488" s="98" t="s">
        <v>175</v>
      </c>
      <c r="B488" s="106"/>
      <c r="C488" s="106"/>
      <c r="D488" s="107"/>
      <c r="E488" s="108"/>
      <c r="F488" s="97" t="e">
        <f>+F140+F173+F467+F477+F486</f>
        <v>#VALUE!</v>
      </c>
    </row>
    <row r="489" spans="1:7" ht="11.25" customHeight="1" x14ac:dyDescent="0.2"/>
    <row r="490" spans="1:7" x14ac:dyDescent="0.2">
      <c r="A490" s="24" t="s">
        <v>342</v>
      </c>
    </row>
    <row r="491" spans="1:7" ht="11.25" customHeight="1" x14ac:dyDescent="0.2"/>
    <row r="492" spans="1:7" x14ac:dyDescent="0.2">
      <c r="A492" s="70" t="s">
        <v>22</v>
      </c>
      <c r="B492" s="71" t="s">
        <v>23</v>
      </c>
      <c r="C492" s="71" t="s">
        <v>15</v>
      </c>
      <c r="D492" s="72" t="s">
        <v>24</v>
      </c>
      <c r="E492" s="72" t="s">
        <v>25</v>
      </c>
      <c r="F492" s="73" t="s">
        <v>26</v>
      </c>
    </row>
    <row r="493" spans="1:7" x14ac:dyDescent="0.2">
      <c r="A493" s="77" t="s">
        <v>176</v>
      </c>
      <c r="B493" s="78" t="s">
        <v>9</v>
      </c>
      <c r="C493" s="367">
        <f>'5.BDI'!C20*100</f>
        <v>0</v>
      </c>
      <c r="D493" s="79" t="e">
        <f>+F488</f>
        <v>#VALUE!</v>
      </c>
      <c r="E493" s="79" t="e">
        <f>C493*D493/100</f>
        <v>#VALUE!</v>
      </c>
      <c r="G493" s="1"/>
    </row>
    <row r="494" spans="1:7" x14ac:dyDescent="0.2">
      <c r="F494" s="109" t="e">
        <f>+E493</f>
        <v>#VALUE!</v>
      </c>
    </row>
    <row r="495" spans="1:7" ht="11.25" customHeight="1" x14ac:dyDescent="0.2"/>
    <row r="496" spans="1:7" x14ac:dyDescent="0.2">
      <c r="A496" s="98" t="s">
        <v>177</v>
      </c>
      <c r="B496" s="106"/>
      <c r="C496" s="106"/>
      <c r="D496" s="107"/>
      <c r="E496" s="108"/>
      <c r="F496" s="97" t="e">
        <f>F494</f>
        <v>#VALUE!</v>
      </c>
    </row>
    <row r="497" spans="1:7" x14ac:dyDescent="0.2">
      <c r="A497" s="24"/>
      <c r="B497" s="24"/>
      <c r="C497" s="24"/>
      <c r="D497" s="23"/>
      <c r="E497" s="23"/>
      <c r="F497" s="82"/>
    </row>
    <row r="498" spans="1:7" ht="11.25" customHeight="1" x14ac:dyDescent="0.2"/>
    <row r="499" spans="1:7" ht="24.75" customHeight="1" x14ac:dyDescent="0.2">
      <c r="A499" s="98" t="s">
        <v>178</v>
      </c>
      <c r="B499" s="106"/>
      <c r="C499" s="106"/>
      <c r="D499" s="107"/>
      <c r="E499" s="108"/>
      <c r="F499" s="97" t="e">
        <f>F488+F496</f>
        <v>#VALUE!</v>
      </c>
    </row>
    <row r="500" spans="1:7" ht="12.6" customHeight="1" x14ac:dyDescent="0.2">
      <c r="A500" s="137"/>
      <c r="B500" s="137"/>
      <c r="C500" s="137"/>
      <c r="D500" s="138"/>
      <c r="E500" s="138"/>
      <c r="F500" s="138"/>
    </row>
    <row r="501" spans="1:7" ht="14.25" x14ac:dyDescent="0.2">
      <c r="A501" s="6"/>
      <c r="B501" s="6"/>
      <c r="C501" s="6"/>
      <c r="D501" s="5"/>
      <c r="E501" s="5"/>
    </row>
    <row r="502" spans="1:7" ht="16.149999999999999" customHeight="1" x14ac:dyDescent="0.2">
      <c r="A502" s="139" t="s">
        <v>179</v>
      </c>
      <c r="B502" s="140"/>
      <c r="C502" s="140"/>
      <c r="D502" s="141"/>
      <c r="E502" s="142" t="s">
        <v>180</v>
      </c>
    </row>
    <row r="504" spans="1:7" ht="25.5" customHeight="1" x14ac:dyDescent="0.2">
      <c r="A504" s="98" t="s">
        <v>181</v>
      </c>
      <c r="B504" s="99"/>
      <c r="C504" s="99"/>
      <c r="D504" s="100"/>
      <c r="E504" s="143" t="s">
        <v>182</v>
      </c>
      <c r="F504" s="144" t="str">
        <f>IFERROR(F499/D502,"-")</f>
        <v>-</v>
      </c>
    </row>
    <row r="505" spans="1:7" ht="12.6" customHeight="1" x14ac:dyDescent="0.2">
      <c r="A505" s="24"/>
      <c r="B505" s="24"/>
      <c r="C505" s="24"/>
      <c r="D505" s="23"/>
      <c r="E505" s="23"/>
      <c r="F505" s="23"/>
    </row>
    <row r="506" spans="1:7" s="4" customFormat="1" ht="9.75" customHeight="1" x14ac:dyDescent="0.2">
      <c r="A506" s="138"/>
      <c r="B506" s="2"/>
      <c r="C506" s="2"/>
      <c r="D506" s="2"/>
      <c r="E506" s="2"/>
      <c r="F506" s="2"/>
      <c r="G506" s="3"/>
    </row>
    <row r="507" spans="1:7" s="4" customFormat="1" ht="9.75" customHeight="1" x14ac:dyDescent="0.2">
      <c r="A507" s="138"/>
      <c r="B507" s="2"/>
      <c r="C507" s="2"/>
      <c r="D507" s="2"/>
      <c r="E507" s="2"/>
      <c r="F507" s="2"/>
      <c r="G507" s="3"/>
    </row>
    <row r="508" spans="1:7" s="4" customFormat="1" ht="9.75" customHeight="1" x14ac:dyDescent="0.2">
      <c r="A508" s="138"/>
      <c r="B508" s="2"/>
      <c r="C508" s="2"/>
      <c r="D508" s="2"/>
      <c r="E508" s="2"/>
      <c r="F508" s="2"/>
      <c r="G508" s="3"/>
    </row>
    <row r="538" s="1" customFormat="1" ht="9" customHeight="1" x14ac:dyDescent="0.2"/>
  </sheetData>
  <sheetProtection selectLockedCells="1" selectUnlockedCells="1"/>
  <mergeCells count="13">
    <mergeCell ref="A6:F6"/>
    <mergeCell ref="A59:D59"/>
    <mergeCell ref="A65:D65"/>
    <mergeCell ref="A7:F7"/>
    <mergeCell ref="A8:F8"/>
    <mergeCell ref="A10:C10"/>
    <mergeCell ref="A20:C20"/>
    <mergeCell ref="A58:E58"/>
    <mergeCell ref="A1:F1"/>
    <mergeCell ref="A2:F2"/>
    <mergeCell ref="A3:F3"/>
    <mergeCell ref="A4:F4"/>
    <mergeCell ref="A5:F5"/>
  </mergeCells>
  <hyperlinks>
    <hyperlink ref="A179" location="AbaDeprec" display="3.1.1. Depreciação" xr:uid="{00000000-0004-0000-0000-000000000000}"/>
    <hyperlink ref="A195" location="AbaRemun" display="3.1.2. Remuneração do Capital" xr:uid="{00000000-0004-0000-0000-000001000000}"/>
    <hyperlink ref="A291" location="AbaDeprec" display="3.2.1. Depreciação" xr:uid="{00000000-0004-0000-0000-000002000000}"/>
    <hyperlink ref="A307" location="AbaRemun" display="3.2.2. Remuneração do Capital" xr:uid="{00000000-0004-0000-0000-000003000000}"/>
    <hyperlink ref="A403" location="AbaDeprec" display="3.3.1. Depreciação" xr:uid="{00000000-0004-0000-0000-000004000000}"/>
    <hyperlink ref="A413" location="AbaRemun" display="3.3.2. Remuneração do Capital" xr:uid="{00000000-0004-0000-0000-000005000000}"/>
  </hyperlinks>
  <pageMargins left="0.9055118110236221" right="0.51181102362204722" top="0.74803149606299213" bottom="0.74803149606299213" header="0.51181102362204722" footer="0.31496062992125984"/>
  <pageSetup paperSize="9" scale="76" fitToHeight="0" orientation="portrait" r:id="rId1"/>
  <headerFooter>
    <oddFooter>&amp;R&amp;P de &amp;N</oddFooter>
  </headerFooter>
  <rowBreaks count="7" manualBreakCount="7">
    <brk id="56" max="16383" man="1"/>
    <brk id="124" max="16383" man="1"/>
    <brk id="194" max="16383" man="1"/>
    <brk id="252" max="16383" man="1"/>
    <brk id="321" max="16383" man="1"/>
    <brk id="399" max="16383" man="1"/>
    <brk id="478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53E7-DD95-4001-AC66-7752CE2A20DA}">
  <sheetPr>
    <pageSetUpPr fitToPage="1"/>
  </sheetPr>
  <dimension ref="A1:AMJ523"/>
  <sheetViews>
    <sheetView view="pageBreakPreview" zoomScaleNormal="100" workbookViewId="0">
      <selection activeCell="D63" sqref="D63"/>
    </sheetView>
  </sheetViews>
  <sheetFormatPr defaultColWidth="9.140625" defaultRowHeight="12.75" x14ac:dyDescent="0.2"/>
  <cols>
    <col min="1" max="1" width="44.5703125" style="1" customWidth="1"/>
    <col min="2" max="2" width="16" style="1" customWidth="1"/>
    <col min="3" max="3" width="11.85546875" style="1" customWidth="1"/>
    <col min="4" max="4" width="18.5703125" style="2" customWidth="1"/>
    <col min="5" max="5" width="15.42578125" style="2" customWidth="1"/>
    <col min="6" max="6" width="13.28515625" style="2" customWidth="1"/>
    <col min="7" max="7" width="28.140625" style="2" customWidth="1"/>
    <col min="8" max="8" width="12" style="1" bestFit="1" customWidth="1"/>
    <col min="9" max="9" width="14.5703125" style="1" customWidth="1"/>
    <col min="10" max="10" width="13.42578125" style="1" customWidth="1"/>
    <col min="11" max="11" width="14.28515625" style="1" bestFit="1" customWidth="1"/>
    <col min="12" max="13" width="9.140625" style="1"/>
    <col min="14" max="14" width="17.28515625" style="1" customWidth="1"/>
    <col min="15" max="15" width="12.140625" style="1" bestFit="1" customWidth="1"/>
    <col min="16" max="16" width="20.7109375" style="1" customWidth="1"/>
    <col min="17" max="1024" width="9.140625" style="1"/>
  </cols>
  <sheetData>
    <row r="1" spans="1:6" s="24" customFormat="1" ht="15.75" customHeight="1" x14ac:dyDescent="0.2">
      <c r="A1" s="400" t="s">
        <v>345</v>
      </c>
      <c r="B1" s="401"/>
      <c r="C1" s="401"/>
      <c r="D1" s="401"/>
      <c r="E1" s="401"/>
      <c r="F1" s="402"/>
    </row>
    <row r="2" spans="1:6" s="4" customFormat="1" ht="15.75" customHeight="1" x14ac:dyDescent="0.2">
      <c r="A2" s="403" t="s">
        <v>346</v>
      </c>
      <c r="B2" s="404"/>
      <c r="C2" s="404"/>
      <c r="D2" s="404"/>
      <c r="E2" s="404"/>
      <c r="F2" s="405"/>
    </row>
    <row r="3" spans="1:6" s="4" customFormat="1" ht="15.75" customHeight="1" thickBot="1" x14ac:dyDescent="0.25">
      <c r="A3" s="406" t="s">
        <v>4</v>
      </c>
      <c r="B3" s="407"/>
      <c r="C3" s="407"/>
      <c r="D3" s="407"/>
      <c r="E3" s="407"/>
      <c r="F3" s="408"/>
    </row>
    <row r="4" spans="1:6" s="4" customFormat="1" ht="15.75" customHeight="1" x14ac:dyDescent="0.2">
      <c r="A4" s="357" t="s">
        <v>183</v>
      </c>
      <c r="B4" s="30"/>
    </row>
    <row r="5" spans="1:6" s="4" customFormat="1" ht="15.75" customHeight="1" x14ac:dyDescent="0.2">
      <c r="A5" s="358" t="s">
        <v>343</v>
      </c>
      <c r="B5" s="30"/>
    </row>
    <row r="6" spans="1:6" s="4" customFormat="1" ht="15.75" customHeight="1" x14ac:dyDescent="0.2">
      <c r="A6" s="358" t="s">
        <v>344</v>
      </c>
      <c r="B6" s="30"/>
    </row>
    <row r="7" spans="1:6" s="4" customFormat="1" ht="15.75" customHeight="1" x14ac:dyDescent="0.2">
      <c r="A7" s="359" t="s">
        <v>275</v>
      </c>
      <c r="B7" s="30"/>
    </row>
    <row r="8" spans="1:6" s="4" customFormat="1" ht="15.75" customHeight="1" x14ac:dyDescent="0.2">
      <c r="A8" s="360" t="s">
        <v>371</v>
      </c>
      <c r="B8" s="30"/>
    </row>
    <row r="9" spans="1:6" s="4" customFormat="1" ht="15.75" customHeight="1" x14ac:dyDescent="0.2">
      <c r="B9" s="30"/>
    </row>
    <row r="10" spans="1:6" s="4" customFormat="1" ht="15.75" customHeight="1" x14ac:dyDescent="0.2">
      <c r="A10" s="358" t="s">
        <v>370</v>
      </c>
      <c r="B10" s="30"/>
    </row>
    <row r="11" spans="1:6" s="4" customFormat="1" ht="15.75" customHeight="1" x14ac:dyDescent="0.2">
      <c r="A11" s="358" t="s">
        <v>186</v>
      </c>
      <c r="B11" s="30"/>
    </row>
    <row r="12" spans="1:6" s="4" customFormat="1" ht="15.75" customHeight="1" x14ac:dyDescent="0.2">
      <c r="A12" s="3"/>
      <c r="B12" s="30"/>
    </row>
    <row r="13" spans="1:6" s="24" customFormat="1" ht="15.75" customHeight="1" x14ac:dyDescent="0.2">
      <c r="A13" s="23" t="s">
        <v>374</v>
      </c>
    </row>
    <row r="14" spans="1:6" s="24" customFormat="1" ht="15.75" customHeight="1" thickBot="1" x14ac:dyDescent="0.25">
      <c r="A14" s="23" t="s">
        <v>347</v>
      </c>
    </row>
    <row r="15" spans="1:6" s="24" customFormat="1" ht="15.75" customHeight="1" thickBot="1" x14ac:dyDescent="0.25">
      <c r="A15" s="67" t="s">
        <v>19</v>
      </c>
      <c r="B15" s="362">
        <v>1</v>
      </c>
    </row>
    <row r="16" spans="1:6" s="4" customFormat="1" ht="15.75" customHeight="1" x14ac:dyDescent="0.2">
      <c r="A16" s="3"/>
    </row>
    <row r="17" spans="1:7" s="4" customFormat="1" ht="15.75" customHeight="1" x14ac:dyDescent="0.2">
      <c r="A17" s="320" t="s">
        <v>348</v>
      </c>
      <c r="C17" s="30"/>
    </row>
    <row r="18" spans="1:7" s="4" customFormat="1" ht="15.75" customHeight="1" x14ac:dyDescent="0.2">
      <c r="A18" s="323" t="s">
        <v>22</v>
      </c>
      <c r="B18" s="324" t="s">
        <v>23</v>
      </c>
      <c r="C18" s="324" t="s">
        <v>15</v>
      </c>
      <c r="D18" s="324" t="s">
        <v>24</v>
      </c>
      <c r="E18" s="324" t="s">
        <v>25</v>
      </c>
      <c r="F18" s="324" t="s">
        <v>336</v>
      </c>
    </row>
    <row r="19" spans="1:7" s="4" customFormat="1" ht="15.75" customHeight="1" x14ac:dyDescent="0.2">
      <c r="A19" s="325" t="s">
        <v>349</v>
      </c>
      <c r="B19" s="326" t="s">
        <v>57</v>
      </c>
      <c r="C19" s="329">
        <v>1</v>
      </c>
      <c r="D19" s="340">
        <v>1601.17</v>
      </c>
      <c r="E19" s="338">
        <f>C19*D19</f>
        <v>1601.17</v>
      </c>
    </row>
    <row r="20" spans="1:7" s="4" customFormat="1" ht="15.75" customHeight="1" x14ac:dyDescent="0.2">
      <c r="A20" s="325" t="s">
        <v>350</v>
      </c>
      <c r="B20" s="326" t="s">
        <v>82</v>
      </c>
      <c r="C20" s="330">
        <v>6</v>
      </c>
      <c r="D20" s="338"/>
      <c r="E20" s="338"/>
    </row>
    <row r="21" spans="1:7" s="4" customFormat="1" ht="15.75" customHeight="1" x14ac:dyDescent="0.2">
      <c r="A21" s="325" t="s">
        <v>351</v>
      </c>
      <c r="B21" s="326" t="s">
        <v>82</v>
      </c>
      <c r="C21" s="330">
        <v>0</v>
      </c>
      <c r="D21" s="338"/>
      <c r="E21" s="338"/>
    </row>
    <row r="22" spans="1:7" s="24" customFormat="1" ht="15.75" customHeight="1" x14ac:dyDescent="0.2">
      <c r="A22" s="305" t="s">
        <v>352</v>
      </c>
      <c r="B22" s="117" t="s">
        <v>9</v>
      </c>
      <c r="C22" s="333">
        <f>'6. Depreciação'!B8</f>
        <v>58.18</v>
      </c>
      <c r="D22" s="327">
        <f>E19</f>
        <v>1601.17</v>
      </c>
      <c r="E22" s="327">
        <f>C22*D22/100</f>
        <v>931.5607060000001</v>
      </c>
    </row>
    <row r="23" spans="1:7" s="4" customFormat="1" ht="15.75" customHeight="1" x14ac:dyDescent="0.2">
      <c r="A23" s="325" t="s">
        <v>353</v>
      </c>
      <c r="B23" s="326" t="s">
        <v>28</v>
      </c>
      <c r="C23" s="330">
        <f>C20*12</f>
        <v>72</v>
      </c>
      <c r="D23" s="338">
        <f>IF(C21&lt;=C20,E22,0)</f>
        <v>931.5607060000001</v>
      </c>
      <c r="E23" s="338">
        <f>IFERROR(D23/C23,0)</f>
        <v>12.938343138888889</v>
      </c>
    </row>
    <row r="24" spans="1:7" s="4" customFormat="1" ht="15.75" customHeight="1" x14ac:dyDescent="0.2">
      <c r="A24" s="325" t="s">
        <v>354</v>
      </c>
      <c r="B24" s="326"/>
      <c r="C24" s="329"/>
      <c r="D24" s="338"/>
      <c r="E24" s="338">
        <f>E23</f>
        <v>12.938343138888889</v>
      </c>
    </row>
    <row r="25" spans="1:7" s="4" customFormat="1" ht="15.75" customHeight="1" x14ac:dyDescent="0.2">
      <c r="A25" s="325" t="s">
        <v>355</v>
      </c>
      <c r="B25" s="326" t="s">
        <v>57</v>
      </c>
      <c r="C25" s="330">
        <v>150</v>
      </c>
      <c r="D25" s="338">
        <f>E24</f>
        <v>12.938343138888889</v>
      </c>
      <c r="E25" s="339">
        <f>C25*D25</f>
        <v>1940.7514708333333</v>
      </c>
    </row>
    <row r="26" spans="1:7" s="24" customFormat="1" ht="15.75" customHeight="1" x14ac:dyDescent="0.2">
      <c r="A26" s="23"/>
      <c r="D26" s="24" t="s">
        <v>40</v>
      </c>
      <c r="E26" s="363">
        <f>B15</f>
        <v>1</v>
      </c>
      <c r="F26" s="328">
        <f>E25*E26</f>
        <v>1940.7514708333333</v>
      </c>
      <c r="G26" s="287"/>
    </row>
    <row r="27" spans="1:7" s="4" customFormat="1" ht="15.75" customHeight="1" x14ac:dyDescent="0.2">
      <c r="A27" s="3"/>
    </row>
    <row r="28" spans="1:7" s="4" customFormat="1" ht="15.75" customHeight="1" x14ac:dyDescent="0.2">
      <c r="A28" s="320" t="s">
        <v>356</v>
      </c>
      <c r="B28" s="3"/>
    </row>
    <row r="29" spans="1:7" s="4" customFormat="1" ht="15.75" customHeight="1" x14ac:dyDescent="0.2">
      <c r="A29" s="323" t="s">
        <v>22</v>
      </c>
      <c r="B29" s="324" t="s">
        <v>23</v>
      </c>
      <c r="C29" s="324" t="s">
        <v>15</v>
      </c>
      <c r="D29" s="324" t="s">
        <v>24</v>
      </c>
      <c r="E29" s="324" t="s">
        <v>25</v>
      </c>
      <c r="F29" s="324" t="s">
        <v>336</v>
      </c>
    </row>
    <row r="30" spans="1:7" s="4" customFormat="1" ht="15.75" customHeight="1" x14ac:dyDescent="0.2">
      <c r="A30" s="326" t="s">
        <v>357</v>
      </c>
      <c r="B30" s="326" t="s">
        <v>57</v>
      </c>
      <c r="C30" s="329">
        <v>1</v>
      </c>
      <c r="D30" s="337">
        <f>D19</f>
        <v>1601.17</v>
      </c>
      <c r="E30" s="338">
        <f>C30*D30</f>
        <v>1601.17</v>
      </c>
    </row>
    <row r="31" spans="1:7" s="4" customFormat="1" ht="15.75" customHeight="1" x14ac:dyDescent="0.2">
      <c r="A31" s="325" t="s">
        <v>95</v>
      </c>
      <c r="B31" s="326" t="s">
        <v>9</v>
      </c>
      <c r="C31" s="356">
        <v>0.13750000000000001</v>
      </c>
      <c r="D31" s="338"/>
      <c r="E31" s="338"/>
    </row>
    <row r="32" spans="1:7" s="4" customFormat="1" ht="15.75" customHeight="1" x14ac:dyDescent="0.2">
      <c r="A32" s="325" t="s">
        <v>358</v>
      </c>
      <c r="B32" s="326" t="s">
        <v>33</v>
      </c>
      <c r="C32" s="335">
        <f>IFERROR(IF(C21&lt;=C20,E19-(C22/(100*C20)*C21)*E19,E19-E22),0)</f>
        <v>1601.17</v>
      </c>
      <c r="D32" s="338"/>
      <c r="E32" s="338"/>
    </row>
    <row r="33" spans="1:6" s="24" customFormat="1" ht="15.75" customHeight="1" x14ac:dyDescent="0.2">
      <c r="A33" s="305" t="s">
        <v>359</v>
      </c>
      <c r="B33" s="117" t="s">
        <v>33</v>
      </c>
      <c r="C33" s="341">
        <f>IFERROR(IF(C21&gt;=C20,C32,((((C32)-(E19-E22))*(((C20-C21)+1)/(2*(C20-C21))))+(E19-E22))),0)</f>
        <v>1213.0197058333333</v>
      </c>
      <c r="D33" s="327"/>
      <c r="E33" s="327"/>
    </row>
    <row r="34" spans="1:6" s="4" customFormat="1" ht="15.75" customHeight="1" x14ac:dyDescent="0.2">
      <c r="A34" s="325" t="s">
        <v>360</v>
      </c>
      <c r="B34" s="326" t="s">
        <v>33</v>
      </c>
      <c r="C34" s="329"/>
      <c r="D34" s="338">
        <f>C31*C33/12/100</f>
        <v>0.13899184129340278</v>
      </c>
      <c r="E34" s="338">
        <f>D34</f>
        <v>0.13899184129340278</v>
      </c>
    </row>
    <row r="35" spans="1:6" s="4" customFormat="1" ht="15.75" customHeight="1" x14ac:dyDescent="0.2">
      <c r="A35" s="325" t="s">
        <v>354</v>
      </c>
      <c r="B35" s="326"/>
      <c r="C35" s="329"/>
      <c r="D35" s="338"/>
      <c r="E35" s="338">
        <f>E34</f>
        <v>0.13899184129340278</v>
      </c>
    </row>
    <row r="36" spans="1:6" s="4" customFormat="1" ht="15.75" customHeight="1" x14ac:dyDescent="0.2">
      <c r="A36" s="325" t="s">
        <v>355</v>
      </c>
      <c r="B36" s="326" t="s">
        <v>57</v>
      </c>
      <c r="C36" s="329">
        <f>C25</f>
        <v>150</v>
      </c>
      <c r="D36" s="338">
        <f>E35</f>
        <v>0.13899184129340278</v>
      </c>
      <c r="E36" s="339">
        <f>C36*D36</f>
        <v>20.848776194010416</v>
      </c>
    </row>
    <row r="37" spans="1:6" s="24" customFormat="1" ht="15.75" customHeight="1" x14ac:dyDescent="0.2">
      <c r="A37" s="23"/>
      <c r="D37" s="24" t="s">
        <v>40</v>
      </c>
      <c r="E37" s="363">
        <f>B15</f>
        <v>1</v>
      </c>
      <c r="F37" s="328">
        <f>E36*E37</f>
        <v>20.848776194010416</v>
      </c>
    </row>
    <row r="38" spans="1:6" s="4" customFormat="1" ht="15.75" customHeight="1" x14ac:dyDescent="0.2">
      <c r="A38" s="3"/>
    </row>
    <row r="39" spans="1:6" s="4" customFormat="1" ht="15.75" customHeight="1" x14ac:dyDescent="0.2">
      <c r="A39" s="361" t="s">
        <v>372</v>
      </c>
    </row>
    <row r="40" spans="1:6" s="4" customFormat="1" ht="15.75" customHeight="1" x14ac:dyDescent="0.2">
      <c r="A40" s="3" t="s">
        <v>361</v>
      </c>
    </row>
    <row r="41" spans="1:6" s="4" customFormat="1" ht="15.75" customHeight="1" x14ac:dyDescent="0.2">
      <c r="A41" s="3" t="s">
        <v>362</v>
      </c>
    </row>
    <row r="42" spans="1:6" s="4" customFormat="1" ht="15.75" customHeight="1" x14ac:dyDescent="0.2">
      <c r="A42" s="3"/>
    </row>
    <row r="43" spans="1:6" s="4" customFormat="1" ht="15.75" customHeight="1" x14ac:dyDescent="0.2">
      <c r="A43" s="321" t="s">
        <v>22</v>
      </c>
      <c r="B43" s="322" t="s">
        <v>23</v>
      </c>
      <c r="C43" s="322" t="s">
        <v>15</v>
      </c>
      <c r="D43" s="322" t="s">
        <v>24</v>
      </c>
      <c r="E43" s="322" t="s">
        <v>25</v>
      </c>
      <c r="F43" s="322" t="s">
        <v>336</v>
      </c>
    </row>
    <row r="44" spans="1:6" s="4" customFormat="1" ht="15.75" customHeight="1" x14ac:dyDescent="0.2">
      <c r="A44" s="325" t="s">
        <v>363</v>
      </c>
      <c r="B44" s="329" t="s">
        <v>57</v>
      </c>
      <c r="C44" s="329">
        <f>C25</f>
        <v>150</v>
      </c>
      <c r="D44" s="329">
        <v>90</v>
      </c>
      <c r="E44" s="336">
        <f>C44*D44</f>
        <v>13500</v>
      </c>
    </row>
    <row r="45" spans="1:6" s="24" customFormat="1" ht="15.75" customHeight="1" x14ac:dyDescent="0.2">
      <c r="A45" s="23"/>
      <c r="D45" s="24" t="s">
        <v>40</v>
      </c>
      <c r="E45" s="363">
        <f>B15</f>
        <v>1</v>
      </c>
      <c r="F45" s="328">
        <f>E44*E45</f>
        <v>13500</v>
      </c>
    </row>
    <row r="46" spans="1:6" s="24" customFormat="1" ht="15.75" customHeight="1" x14ac:dyDescent="0.2">
      <c r="A46" s="23"/>
    </row>
    <row r="47" spans="1:6" s="24" customFormat="1" ht="15.75" customHeight="1" x14ac:dyDescent="0.2">
      <c r="A47" s="23" t="s">
        <v>375</v>
      </c>
    </row>
    <row r="48" spans="1:6" s="24" customFormat="1" ht="15.75" customHeight="1" x14ac:dyDescent="0.2">
      <c r="A48" s="23" t="s">
        <v>364</v>
      </c>
      <c r="B48" s="287"/>
    </row>
    <row r="49" spans="1:1024" s="4" customFormat="1" ht="15.75" customHeight="1" x14ac:dyDescent="0.2">
      <c r="A49" s="3" t="s">
        <v>365</v>
      </c>
    </row>
    <row r="50" spans="1:1024" x14ac:dyDescent="0.2">
      <c r="A50" s="2"/>
      <c r="D50" s="1"/>
      <c r="E50" s="1"/>
      <c r="F50" s="1"/>
      <c r="G50" s="1"/>
      <c r="AME50"/>
      <c r="AMF50"/>
      <c r="AMG50"/>
      <c r="AMH50"/>
      <c r="AMI50"/>
      <c r="AMJ50"/>
    </row>
    <row r="51" spans="1:1024" x14ac:dyDescent="0.2">
      <c r="A51" s="321" t="s">
        <v>22</v>
      </c>
      <c r="B51" s="322" t="s">
        <v>23</v>
      </c>
      <c r="C51" s="322" t="s">
        <v>15</v>
      </c>
      <c r="D51" s="322" t="s">
        <v>24</v>
      </c>
      <c r="E51" s="322" t="s">
        <v>25</v>
      </c>
      <c r="F51" s="322" t="s">
        <v>336</v>
      </c>
      <c r="G51" s="1"/>
      <c r="AME51"/>
      <c r="AMF51"/>
      <c r="AMG51"/>
      <c r="AMH51"/>
      <c r="AMI51"/>
      <c r="AMJ51"/>
    </row>
    <row r="52" spans="1:1024" s="4" customFormat="1" ht="15" customHeight="1" x14ac:dyDescent="0.2">
      <c r="A52" s="325" t="s">
        <v>366</v>
      </c>
      <c r="B52" s="326" t="s">
        <v>367</v>
      </c>
      <c r="C52" s="334">
        <v>48</v>
      </c>
      <c r="D52" s="335">
        <v>259.10000000000002</v>
      </c>
      <c r="E52" s="335">
        <f>C52*D52</f>
        <v>12436.800000000001</v>
      </c>
    </row>
    <row r="53" spans="1:1024" s="4" customFormat="1" ht="15" customHeight="1" x14ac:dyDescent="0.2">
      <c r="A53" s="325" t="s">
        <v>368</v>
      </c>
      <c r="B53" s="326" t="s">
        <v>367</v>
      </c>
      <c r="C53" s="334">
        <v>172</v>
      </c>
      <c r="D53" s="335">
        <v>63.83</v>
      </c>
      <c r="E53" s="335">
        <f>C53*D53</f>
        <v>10978.76</v>
      </c>
    </row>
    <row r="54" spans="1:1024" s="4" customFormat="1" ht="15" customHeight="1" x14ac:dyDescent="0.2">
      <c r="A54" s="325" t="s">
        <v>92</v>
      </c>
      <c r="B54" s="326" t="s">
        <v>57</v>
      </c>
      <c r="C54" s="329">
        <v>1</v>
      </c>
      <c r="D54" s="335">
        <f>SUM(D52:D53)</f>
        <v>322.93</v>
      </c>
      <c r="E54" s="336">
        <f>SUM(E52:E53)</f>
        <v>23415.56</v>
      </c>
    </row>
    <row r="55" spans="1:1024" s="4" customFormat="1" ht="15" customHeight="1" x14ac:dyDescent="0.2">
      <c r="A55" s="3"/>
      <c r="D55" s="4" t="s">
        <v>40</v>
      </c>
      <c r="E55" s="364">
        <v>0.5</v>
      </c>
      <c r="F55" s="342">
        <f>E54*E55</f>
        <v>11707.78</v>
      </c>
    </row>
    <row r="56" spans="1:1024" s="4" customFormat="1" ht="15" customHeight="1" x14ac:dyDescent="0.2">
      <c r="A56" s="3"/>
    </row>
    <row r="57" spans="1:1024" s="4" customFormat="1" ht="15" customHeight="1" x14ac:dyDescent="0.2">
      <c r="A57" s="293" t="s">
        <v>376</v>
      </c>
    </row>
    <row r="58" spans="1:1024" s="4" customFormat="1" ht="15" customHeight="1" thickBot="1" x14ac:dyDescent="0.25">
      <c r="A58" s="3"/>
    </row>
    <row r="59" spans="1:1024" s="4" customFormat="1" ht="15" customHeight="1" thickBot="1" x14ac:dyDescent="0.25">
      <c r="A59" s="319" t="s">
        <v>175</v>
      </c>
      <c r="B59" s="344"/>
      <c r="C59" s="344"/>
      <c r="D59" s="344"/>
      <c r="E59" s="344"/>
      <c r="F59" s="345">
        <f>F55+F45+F37+F26</f>
        <v>27169.38024702734</v>
      </c>
    </row>
    <row r="60" spans="1:1024" s="4" customFormat="1" ht="15" customHeight="1" x14ac:dyDescent="0.2">
      <c r="A60" s="3"/>
      <c r="E60" s="302"/>
    </row>
    <row r="61" spans="1:1024" s="4" customFormat="1" ht="15" customHeight="1" x14ac:dyDescent="0.2">
      <c r="A61" s="361" t="s">
        <v>373</v>
      </c>
    </row>
    <row r="62" spans="1:1024" s="4" customFormat="1" ht="15" customHeight="1" x14ac:dyDescent="0.2">
      <c r="A62" s="323" t="s">
        <v>22</v>
      </c>
      <c r="B62" s="324" t="s">
        <v>23</v>
      </c>
      <c r="C62" s="324" t="s">
        <v>15</v>
      </c>
      <c r="D62" s="324" t="s">
        <v>24</v>
      </c>
      <c r="E62" s="347" t="s">
        <v>25</v>
      </c>
      <c r="F62" s="324" t="s">
        <v>336</v>
      </c>
    </row>
    <row r="63" spans="1:1024" s="4" customFormat="1" ht="15" customHeight="1" x14ac:dyDescent="0.2">
      <c r="A63" s="325" t="s">
        <v>176</v>
      </c>
      <c r="B63" s="326" t="s">
        <v>9</v>
      </c>
      <c r="C63" s="348">
        <f>'5.BDI'!C20</f>
        <v>0</v>
      </c>
      <c r="D63" s="326"/>
      <c r="E63" s="346">
        <f>C63*D63/100</f>
        <v>0</v>
      </c>
    </row>
    <row r="64" spans="1:1024" s="4" customFormat="1" x14ac:dyDescent="0.2">
      <c r="A64" s="3"/>
      <c r="F64" s="350">
        <f>+E63</f>
        <v>0</v>
      </c>
    </row>
    <row r="65" spans="1:1024" s="24" customFormat="1" ht="15.75" customHeight="1" thickBot="1" x14ac:dyDescent="0.25">
      <c r="A65" s="23"/>
      <c r="F65" s="349"/>
    </row>
    <row r="66" spans="1:1024" s="4" customFormat="1" ht="15.75" customHeight="1" thickBot="1" x14ac:dyDescent="0.25">
      <c r="A66" s="319" t="s">
        <v>177</v>
      </c>
      <c r="B66" s="344"/>
      <c r="C66" s="344"/>
      <c r="D66" s="344"/>
      <c r="E66" s="344"/>
      <c r="F66" s="351">
        <f>F64</f>
        <v>0</v>
      </c>
    </row>
    <row r="67" spans="1:1024" ht="13.15" customHeight="1" x14ac:dyDescent="0.2">
      <c r="A67" s="2"/>
      <c r="D67" s="1"/>
      <c r="E67" s="1"/>
      <c r="F67" s="1"/>
      <c r="G67" s="1"/>
      <c r="AME67"/>
      <c r="AMF67"/>
      <c r="AMG67"/>
      <c r="AMH67"/>
      <c r="AMI67"/>
      <c r="AMJ67"/>
    </row>
    <row r="68" spans="1:1024" ht="11.25" customHeight="1" thickBot="1" x14ac:dyDescent="0.25">
      <c r="A68" s="2"/>
      <c r="D68" s="1"/>
      <c r="E68" s="1"/>
      <c r="F68" s="1"/>
      <c r="G68" s="1"/>
      <c r="AME68"/>
      <c r="AMF68"/>
      <c r="AMG68"/>
      <c r="AMH68"/>
      <c r="AMI68"/>
      <c r="AMJ68"/>
    </row>
    <row r="69" spans="1:1024" ht="13.9" customHeight="1" thickBot="1" x14ac:dyDescent="0.25">
      <c r="A69" s="319" t="s">
        <v>178</v>
      </c>
      <c r="B69" s="344"/>
      <c r="C69" s="344"/>
      <c r="D69" s="344"/>
      <c r="E69" s="344"/>
      <c r="F69" s="345">
        <f>F59+F66</f>
        <v>27169.38024702734</v>
      </c>
      <c r="G69" s="1"/>
      <c r="AME69"/>
      <c r="AMF69"/>
      <c r="AMG69"/>
      <c r="AMH69"/>
      <c r="AMI69"/>
      <c r="AMJ69"/>
    </row>
    <row r="70" spans="1:1024" ht="13.9" customHeight="1" thickBot="1" x14ac:dyDescent="0.25">
      <c r="A70" s="2"/>
      <c r="D70" s="1"/>
      <c r="E70" s="1"/>
      <c r="F70" s="343"/>
      <c r="G70" s="1"/>
      <c r="AME70"/>
      <c r="AMF70"/>
      <c r="AMG70"/>
      <c r="AMH70"/>
      <c r="AMI70"/>
      <c r="AMJ70"/>
    </row>
    <row r="71" spans="1:1024" s="269" customFormat="1" ht="13.15" customHeight="1" thickBot="1" x14ac:dyDescent="0.25">
      <c r="A71" s="352" t="s">
        <v>369</v>
      </c>
      <c r="B71" s="353"/>
      <c r="C71" s="353"/>
      <c r="D71" s="353"/>
      <c r="E71" s="354">
        <f>C25</f>
        <v>150</v>
      </c>
      <c r="F71" s="355">
        <f>F69/E71</f>
        <v>181.12920164684894</v>
      </c>
    </row>
    <row r="72" spans="1:1024" s="1" customFormat="1" x14ac:dyDescent="0.2">
      <c r="A72" s="271"/>
    </row>
    <row r="73" spans="1:1024" s="1" customFormat="1" x14ac:dyDescent="0.2">
      <c r="A73" s="271"/>
    </row>
    <row r="74" spans="1:1024" s="1" customFormat="1" ht="13.15" customHeight="1" x14ac:dyDescent="0.2">
      <c r="A74" s="2"/>
    </row>
    <row r="75" spans="1:1024" s="1" customFormat="1" x14ac:dyDescent="0.2">
      <c r="A75" s="2"/>
      <c r="H75" s="299"/>
      <c r="J75" s="299"/>
    </row>
    <row r="76" spans="1:1024" s="1" customFormat="1" x14ac:dyDescent="0.2">
      <c r="A76" s="2"/>
      <c r="H76" s="298"/>
      <c r="J76" s="299"/>
    </row>
    <row r="77" spans="1:1024" s="1" customFormat="1" x14ac:dyDescent="0.2">
      <c r="A77" s="2"/>
      <c r="H77" s="294"/>
      <c r="J77" s="294"/>
    </row>
    <row r="78" spans="1:1024" s="1" customFormat="1" x14ac:dyDescent="0.2">
      <c r="A78" s="2"/>
      <c r="H78" s="295"/>
      <c r="J78" s="296"/>
    </row>
    <row r="79" spans="1:1024" s="1" customFormat="1" x14ac:dyDescent="0.2">
      <c r="A79" s="3"/>
      <c r="H79" s="297"/>
    </row>
    <row r="80" spans="1:1024" s="1" customFormat="1" ht="13.9" customHeight="1" x14ac:dyDescent="0.2">
      <c r="A80" s="293"/>
    </row>
    <row r="81" spans="1:1024" ht="11.25" customHeight="1" x14ac:dyDescent="0.2">
      <c r="A81" s="2"/>
      <c r="D81" s="1"/>
      <c r="E81" s="1"/>
      <c r="F81" s="1"/>
      <c r="G81" s="1"/>
      <c r="H81" s="300"/>
      <c r="J81" s="300"/>
      <c r="AME81"/>
      <c r="AMF81"/>
      <c r="AMG81"/>
      <c r="AMH81"/>
      <c r="AMI81"/>
      <c r="AMJ81"/>
    </row>
    <row r="82" spans="1:1024" x14ac:dyDescent="0.2">
      <c r="A82" s="2"/>
      <c r="D82" s="1"/>
      <c r="E82" s="1"/>
      <c r="F82" s="1"/>
      <c r="G82" s="1"/>
      <c r="I82" s="300"/>
      <c r="AME82"/>
      <c r="AMF82"/>
      <c r="AMG82"/>
      <c r="AMH82"/>
      <c r="AMI82"/>
      <c r="AMJ82"/>
    </row>
    <row r="83" spans="1:1024" s="76" customFormat="1" ht="13.15" customHeight="1" x14ac:dyDescent="0.2">
      <c r="A83" s="2"/>
      <c r="H83" s="301"/>
      <c r="J83" s="298"/>
    </row>
    <row r="84" spans="1:1024" s="1" customFormat="1" x14ac:dyDescent="0.2">
      <c r="A84" s="2"/>
    </row>
    <row r="85" spans="1:1024" s="1" customFormat="1" x14ac:dyDescent="0.2">
      <c r="A85" s="2"/>
    </row>
    <row r="86" spans="1:1024" s="1" customFormat="1" x14ac:dyDescent="0.2">
      <c r="A86" s="2"/>
    </row>
    <row r="87" spans="1:1024" s="1" customFormat="1" ht="13.15" customHeight="1" x14ac:dyDescent="0.2">
      <c r="A87" s="2"/>
    </row>
    <row r="88" spans="1:1024" s="1" customFormat="1" x14ac:dyDescent="0.2">
      <c r="A88" s="2"/>
    </row>
    <row r="89" spans="1:1024" s="1" customFormat="1" x14ac:dyDescent="0.2">
      <c r="A89" s="2"/>
    </row>
    <row r="90" spans="1:1024" s="24" customFormat="1" x14ac:dyDescent="0.2">
      <c r="A90" s="23"/>
    </row>
    <row r="91" spans="1:1024" s="1" customFormat="1" x14ac:dyDescent="0.2">
      <c r="A91" s="2"/>
    </row>
    <row r="92" spans="1:1024" s="24" customFormat="1" x14ac:dyDescent="0.2">
      <c r="A92" s="23"/>
    </row>
    <row r="93" spans="1:1024" s="1" customFormat="1" x14ac:dyDescent="0.2">
      <c r="A93" s="2"/>
    </row>
    <row r="94" spans="1:1024" s="1" customFormat="1" x14ac:dyDescent="0.2">
      <c r="A94" s="135"/>
    </row>
    <row r="95" spans="1:1024" ht="11.25" customHeight="1" x14ac:dyDescent="0.2">
      <c r="A95" s="2"/>
      <c r="D95" s="1"/>
      <c r="E95" s="1"/>
      <c r="F95" s="1"/>
      <c r="G95" s="1"/>
      <c r="AME95"/>
      <c r="AMF95"/>
      <c r="AMG95"/>
      <c r="AMH95"/>
      <c r="AMI95"/>
      <c r="AMJ95"/>
    </row>
    <row r="96" spans="1:1024" x14ac:dyDescent="0.2">
      <c r="A96" s="2"/>
      <c r="D96" s="1"/>
      <c r="E96" s="1"/>
      <c r="F96" s="1"/>
      <c r="G96" s="1"/>
      <c r="AME96"/>
      <c r="AMF96"/>
      <c r="AMG96"/>
      <c r="AMH96"/>
      <c r="AMI96"/>
      <c r="AMJ96"/>
    </row>
    <row r="97" spans="1:1024" x14ac:dyDescent="0.2">
      <c r="A97" s="2"/>
      <c r="D97" s="1"/>
      <c r="E97" s="1"/>
      <c r="F97" s="1"/>
      <c r="G97" s="1"/>
      <c r="AME97"/>
      <c r="AMF97"/>
      <c r="AMG97"/>
      <c r="AMH97"/>
      <c r="AMI97"/>
      <c r="AMJ97"/>
    </row>
    <row r="98" spans="1:1024" x14ac:dyDescent="0.2">
      <c r="A98" s="2"/>
      <c r="D98" s="1"/>
      <c r="E98" s="1"/>
      <c r="F98" s="1"/>
      <c r="G98" s="1"/>
      <c r="AME98"/>
      <c r="AMF98"/>
      <c r="AMG98"/>
      <c r="AMH98"/>
      <c r="AMI98"/>
      <c r="AMJ98"/>
    </row>
    <row r="99" spans="1:1024" s="24" customFormat="1" x14ac:dyDescent="0.2">
      <c r="A99" s="23"/>
    </row>
    <row r="100" spans="1:1024" x14ac:dyDescent="0.2">
      <c r="A100" s="2"/>
      <c r="D100" s="1"/>
      <c r="E100" s="1"/>
      <c r="F100" s="1"/>
      <c r="G100" s="1"/>
      <c r="AME100"/>
      <c r="AMF100"/>
      <c r="AMG100"/>
      <c r="AMH100"/>
      <c r="AMI100"/>
      <c r="AMJ100"/>
    </row>
    <row r="101" spans="1:1024" s="24" customFormat="1" x14ac:dyDescent="0.2">
      <c r="A101" s="23"/>
    </row>
    <row r="102" spans="1:1024" x14ac:dyDescent="0.2">
      <c r="A102" s="2"/>
      <c r="D102" s="1"/>
      <c r="E102" s="1"/>
      <c r="F102" s="1"/>
      <c r="G102" s="1"/>
      <c r="AME102"/>
      <c r="AMF102"/>
      <c r="AMG102"/>
      <c r="AMH102"/>
      <c r="AMI102"/>
      <c r="AMJ102"/>
    </row>
    <row r="103" spans="1:1024" x14ac:dyDescent="0.2">
      <c r="A103" s="135"/>
      <c r="D103" s="1"/>
      <c r="E103" s="1"/>
      <c r="F103" s="1"/>
      <c r="G103" s="1"/>
      <c r="AME103"/>
      <c r="AMF103"/>
      <c r="AMG103"/>
      <c r="AMH103"/>
      <c r="AMI103"/>
      <c r="AMJ103"/>
    </row>
    <row r="104" spans="1:1024" ht="11.25" customHeight="1" x14ac:dyDescent="0.2">
      <c r="D104" s="1"/>
      <c r="E104" s="1"/>
      <c r="F104" s="1"/>
      <c r="G104" s="1"/>
      <c r="AME104"/>
      <c r="AMF104"/>
      <c r="AMG104"/>
      <c r="AMH104"/>
      <c r="AMI104"/>
      <c r="AMJ104"/>
    </row>
    <row r="105" spans="1:1024" s="1" customFormat="1" x14ac:dyDescent="0.2"/>
    <row r="106" spans="1:1024" s="1" customFormat="1" x14ac:dyDescent="0.2"/>
    <row r="107" spans="1:1024" s="1" customFormat="1" x14ac:dyDescent="0.2"/>
    <row r="108" spans="1:1024" s="1" customFormat="1" x14ac:dyDescent="0.2"/>
    <row r="109" spans="1:1024" s="1" customFormat="1" x14ac:dyDescent="0.2">
      <c r="A109" s="110"/>
      <c r="B109" s="276"/>
      <c r="C109" s="146"/>
    </row>
    <row r="110" spans="1:1024" s="1" customFormat="1" x14ac:dyDescent="0.2"/>
    <row r="111" spans="1:1024" s="1" customFormat="1" x14ac:dyDescent="0.2">
      <c r="A111" s="291"/>
    </row>
    <row r="112" spans="1:1024" ht="11.25" customHeight="1" x14ac:dyDescent="0.2">
      <c r="A112" s="292"/>
      <c r="D112" s="1"/>
      <c r="E112" s="1"/>
      <c r="F112" s="1"/>
      <c r="G112" s="1"/>
      <c r="AME112"/>
      <c r="AMF112"/>
      <c r="AMG112"/>
      <c r="AMH112"/>
      <c r="AMI112"/>
      <c r="AMJ112"/>
    </row>
    <row r="113" spans="1:1024" x14ac:dyDescent="0.2">
      <c r="A113" s="292"/>
      <c r="B113" s="291"/>
      <c r="D113" s="1"/>
      <c r="E113" s="1"/>
      <c r="F113" s="1"/>
      <c r="G113" s="1"/>
      <c r="AME113"/>
      <c r="AMF113"/>
      <c r="AMG113"/>
      <c r="AMH113"/>
      <c r="AMI113"/>
      <c r="AMJ113"/>
    </row>
    <row r="114" spans="1:1024" s="1" customFormat="1" x14ac:dyDescent="0.2"/>
    <row r="115" spans="1:1024" s="1" customFormat="1" x14ac:dyDescent="0.2">
      <c r="E115" s="308"/>
    </row>
    <row r="116" spans="1:1024" s="1" customFormat="1" x14ac:dyDescent="0.2">
      <c r="A116" s="292"/>
    </row>
    <row r="117" spans="1:1024" s="1" customFormat="1" x14ac:dyDescent="0.2">
      <c r="A117" s="292"/>
    </row>
    <row r="118" spans="1:1024" s="1" customFormat="1" x14ac:dyDescent="0.2">
      <c r="A118" s="292"/>
      <c r="B118" s="291"/>
      <c r="C118" s="291"/>
    </row>
    <row r="119" spans="1:1024" x14ac:dyDescent="0.2">
      <c r="D119" s="1"/>
      <c r="E119" s="1"/>
      <c r="F119" s="1"/>
      <c r="G119" s="1"/>
      <c r="AME119"/>
      <c r="AMF119"/>
      <c r="AMG119"/>
      <c r="AMH119"/>
      <c r="AMI119"/>
      <c r="AMJ119"/>
    </row>
    <row r="120" spans="1:1024" x14ac:dyDescent="0.2">
      <c r="D120" s="308"/>
      <c r="E120" s="1"/>
      <c r="F120" s="1"/>
      <c r="G120" s="1"/>
      <c r="AME120"/>
      <c r="AMF120"/>
      <c r="AMG120"/>
      <c r="AMH120"/>
      <c r="AMI120"/>
      <c r="AMJ120"/>
    </row>
    <row r="121" spans="1:1024" s="1" customFormat="1" x14ac:dyDescent="0.2">
      <c r="D121" s="308"/>
    </row>
    <row r="122" spans="1:1024" x14ac:dyDescent="0.2">
      <c r="D122" s="308"/>
      <c r="E122" s="1"/>
      <c r="F122" s="1"/>
      <c r="G122" s="1"/>
      <c r="AME122"/>
      <c r="AMF122"/>
      <c r="AMG122"/>
      <c r="AMH122"/>
      <c r="AMI122"/>
      <c r="AMJ122"/>
    </row>
    <row r="123" spans="1:1024" x14ac:dyDescent="0.2">
      <c r="B123" s="96"/>
      <c r="D123" s="1"/>
      <c r="E123" s="1"/>
      <c r="F123" s="1"/>
      <c r="G123" s="1"/>
      <c r="AME123"/>
      <c r="AMF123"/>
      <c r="AMG123"/>
      <c r="AMH123"/>
      <c r="AMI123"/>
      <c r="AMJ123"/>
    </row>
    <row r="124" spans="1:1024" x14ac:dyDescent="0.2">
      <c r="B124" s="96"/>
      <c r="D124" s="1"/>
      <c r="E124" s="1"/>
      <c r="F124" s="1"/>
      <c r="G124" s="1"/>
      <c r="AME124"/>
      <c r="AMF124"/>
      <c r="AMG124"/>
      <c r="AMH124"/>
      <c r="AMI124"/>
      <c r="AMJ124"/>
    </row>
    <row r="125" spans="1:1024" s="1" customFormat="1" x14ac:dyDescent="0.2"/>
    <row r="126" spans="1:1024" x14ac:dyDescent="0.2">
      <c r="D126" s="1"/>
      <c r="E126" s="1"/>
      <c r="F126" s="1"/>
      <c r="G126" s="1"/>
      <c r="AME126"/>
      <c r="AMF126"/>
      <c r="AMG126"/>
      <c r="AMH126"/>
      <c r="AMI126"/>
      <c r="AMJ126"/>
    </row>
    <row r="127" spans="1:1024" s="1" customFormat="1" x14ac:dyDescent="0.2"/>
    <row r="128" spans="1:1024" x14ac:dyDescent="0.2">
      <c r="A128" s="2"/>
      <c r="D128" s="1"/>
      <c r="E128" s="1"/>
      <c r="F128" s="1"/>
      <c r="G128" s="1"/>
      <c r="AME128"/>
      <c r="AMF128"/>
      <c r="AMG128"/>
      <c r="AMH128"/>
      <c r="AMI128"/>
      <c r="AMJ128"/>
    </row>
    <row r="129" spans="1:1024" x14ac:dyDescent="0.2">
      <c r="D129" s="1"/>
      <c r="E129" s="1"/>
      <c r="F129" s="1"/>
      <c r="G129" s="1"/>
      <c r="AME129"/>
      <c r="AMF129"/>
      <c r="AMG129"/>
      <c r="AMH129"/>
      <c r="AMI129"/>
      <c r="AMJ129"/>
    </row>
    <row r="130" spans="1:1024" ht="11.25" customHeight="1" x14ac:dyDescent="0.2">
      <c r="D130" s="1"/>
      <c r="E130" s="1"/>
      <c r="F130" s="1"/>
      <c r="G130" s="1"/>
      <c r="AME130"/>
      <c r="AMF130"/>
      <c r="AMG130"/>
      <c r="AMH130"/>
      <c r="AMI130"/>
      <c r="AMJ130"/>
    </row>
    <row r="131" spans="1:1024" ht="13.9" customHeight="1" x14ac:dyDescent="0.2">
      <c r="D131" s="1"/>
      <c r="E131" s="1"/>
      <c r="F131" s="1"/>
      <c r="G131" s="1"/>
      <c r="AME131"/>
      <c r="AMF131"/>
      <c r="AMG131"/>
      <c r="AMH131"/>
      <c r="AMI131"/>
      <c r="AMJ131"/>
    </row>
    <row r="132" spans="1:1024" ht="11.25" customHeight="1" x14ac:dyDescent="0.2">
      <c r="D132" s="1"/>
      <c r="E132" s="1"/>
      <c r="F132" s="1"/>
      <c r="G132" s="1"/>
      <c r="AME132"/>
      <c r="AMF132"/>
      <c r="AMG132"/>
      <c r="AMH132"/>
      <c r="AMI132"/>
      <c r="AMJ132"/>
    </row>
    <row r="133" spans="1:1024" s="1" customFormat="1" ht="27.75" customHeight="1" x14ac:dyDescent="0.2"/>
    <row r="134" spans="1:1024" x14ac:dyDescent="0.2">
      <c r="D134" s="1"/>
      <c r="E134" s="1"/>
      <c r="F134" s="1"/>
      <c r="G134" s="1"/>
      <c r="AME134"/>
      <c r="AMF134"/>
      <c r="AMG134"/>
      <c r="AMH134"/>
      <c r="AMI134"/>
      <c r="AMJ134"/>
    </row>
    <row r="135" spans="1:1024" ht="13.15" customHeight="1" x14ac:dyDescent="0.2">
      <c r="D135" s="1"/>
      <c r="E135" s="1"/>
      <c r="F135" s="1"/>
      <c r="G135" s="1"/>
      <c r="AME135"/>
      <c r="AMF135"/>
      <c r="AMG135"/>
      <c r="AMH135"/>
      <c r="AMI135"/>
      <c r="AMJ135"/>
    </row>
    <row r="136" spans="1:1024" x14ac:dyDescent="0.2">
      <c r="D136" s="1"/>
      <c r="E136" s="1"/>
      <c r="F136" s="1"/>
      <c r="G136" s="1"/>
      <c r="AME136"/>
      <c r="AMF136"/>
      <c r="AMG136"/>
      <c r="AMH136"/>
      <c r="AMI136"/>
      <c r="AMJ136"/>
    </row>
    <row r="137" spans="1:1024" ht="13.15" customHeight="1" x14ac:dyDescent="0.2">
      <c r="D137" s="1"/>
      <c r="E137" s="1"/>
      <c r="F137" s="1"/>
      <c r="G137" s="1"/>
      <c r="AME137"/>
      <c r="AMF137"/>
      <c r="AMG137"/>
      <c r="AMH137"/>
      <c r="AMI137"/>
      <c r="AMJ137"/>
    </row>
    <row r="138" spans="1:1024" ht="13.9" customHeight="1" x14ac:dyDescent="0.2">
      <c r="D138" s="1"/>
      <c r="E138" s="1"/>
      <c r="F138" s="1"/>
      <c r="G138" s="1"/>
      <c r="AME138"/>
      <c r="AMF138"/>
      <c r="AMG138"/>
      <c r="AMH138"/>
      <c r="AMI138"/>
      <c r="AMJ138"/>
    </row>
    <row r="139" spans="1:1024" ht="13.15" customHeight="1" x14ac:dyDescent="0.2">
      <c r="A139" s="2"/>
      <c r="D139" s="1"/>
      <c r="E139" s="1"/>
      <c r="F139" s="1"/>
      <c r="G139" s="1"/>
      <c r="AME139"/>
      <c r="AMF139"/>
      <c r="AMG139"/>
      <c r="AMH139"/>
      <c r="AMI139"/>
      <c r="AMJ139"/>
    </row>
    <row r="140" spans="1:1024" x14ac:dyDescent="0.2">
      <c r="A140" s="2"/>
      <c r="D140" s="1"/>
      <c r="E140" s="1"/>
      <c r="F140" s="1"/>
      <c r="G140" s="1"/>
      <c r="AME140"/>
      <c r="AMF140"/>
      <c r="AMG140"/>
      <c r="AMH140"/>
      <c r="AMI140"/>
      <c r="AMJ140"/>
    </row>
    <row r="141" spans="1:1024" x14ac:dyDescent="0.2">
      <c r="A141" s="2"/>
      <c r="D141" s="1"/>
      <c r="E141" s="1"/>
      <c r="F141" s="1"/>
      <c r="G141" s="1"/>
      <c r="AME141"/>
      <c r="AMF141"/>
      <c r="AMG141"/>
      <c r="AMH141"/>
      <c r="AMI141"/>
      <c r="AMJ141"/>
    </row>
    <row r="142" spans="1:1024" ht="13.15" customHeight="1" x14ac:dyDescent="0.2">
      <c r="A142" s="2"/>
      <c r="D142" s="1"/>
      <c r="E142" s="1"/>
      <c r="F142" s="1"/>
      <c r="G142" s="1"/>
      <c r="AME142"/>
      <c r="AMF142"/>
      <c r="AMG142"/>
      <c r="AMH142"/>
      <c r="AMI142"/>
      <c r="AMJ142"/>
    </row>
    <row r="143" spans="1:1024" x14ac:dyDescent="0.2">
      <c r="A143" s="2"/>
      <c r="D143" s="1"/>
      <c r="E143" s="1"/>
      <c r="F143" s="1"/>
      <c r="G143" s="1"/>
      <c r="AME143"/>
      <c r="AMF143"/>
      <c r="AMG143"/>
      <c r="AMH143"/>
      <c r="AMI143"/>
      <c r="AMJ143"/>
    </row>
    <row r="144" spans="1:1024" x14ac:dyDescent="0.2">
      <c r="A144" s="2"/>
      <c r="D144" s="1"/>
      <c r="E144" s="1"/>
      <c r="F144" s="1"/>
      <c r="G144" s="1"/>
      <c r="AME144"/>
      <c r="AMF144"/>
      <c r="AMG144"/>
      <c r="AMH144"/>
      <c r="AMI144"/>
      <c r="AMJ144"/>
    </row>
    <row r="145" spans="1:1024" ht="11.25" customHeight="1" x14ac:dyDescent="0.2">
      <c r="A145" s="2"/>
      <c r="D145" s="1"/>
      <c r="E145" s="1"/>
      <c r="F145" s="1"/>
      <c r="G145" s="1"/>
      <c r="AME145"/>
      <c r="AMF145"/>
      <c r="AMG145"/>
      <c r="AMH145"/>
      <c r="AMI145"/>
      <c r="AMJ145"/>
    </row>
    <row r="146" spans="1:1024" ht="13.9" customHeight="1" x14ac:dyDescent="0.2">
      <c r="A146" s="2"/>
      <c r="D146" s="1"/>
      <c r="E146" s="1"/>
      <c r="F146" s="1"/>
      <c r="G146" s="1"/>
      <c r="AME146"/>
      <c r="AMF146"/>
      <c r="AMG146"/>
      <c r="AMH146"/>
      <c r="AMI146"/>
      <c r="AMJ146"/>
    </row>
    <row r="147" spans="1:1024" ht="11.25" customHeight="1" x14ac:dyDescent="0.2">
      <c r="A147" s="2"/>
      <c r="D147" s="1"/>
      <c r="E147" s="1"/>
      <c r="F147" s="1"/>
      <c r="G147" s="1"/>
      <c r="AME147"/>
      <c r="AMF147"/>
      <c r="AMG147"/>
      <c r="AMH147"/>
      <c r="AMI147"/>
      <c r="AMJ147"/>
    </row>
    <row r="148" spans="1:1024" x14ac:dyDescent="0.2">
      <c r="A148" s="2"/>
      <c r="D148" s="1"/>
      <c r="E148" s="1"/>
      <c r="F148" s="1"/>
      <c r="G148" s="1"/>
      <c r="AME148"/>
      <c r="AMF148"/>
      <c r="AMG148"/>
      <c r="AMH148"/>
      <c r="AMI148"/>
      <c r="AMJ148"/>
    </row>
    <row r="149" spans="1:1024" x14ac:dyDescent="0.2">
      <c r="A149" s="2"/>
      <c r="D149" s="1"/>
      <c r="E149" s="1"/>
      <c r="F149" s="1"/>
      <c r="G149" s="1"/>
      <c r="AME149"/>
      <c r="AMF149"/>
      <c r="AMG149"/>
      <c r="AMH149"/>
      <c r="AMI149"/>
      <c r="AMJ149"/>
    </row>
    <row r="150" spans="1:1024" x14ac:dyDescent="0.2">
      <c r="A150" s="2"/>
      <c r="D150" s="1"/>
      <c r="E150" s="1"/>
      <c r="F150" s="1"/>
      <c r="G150" s="1"/>
      <c r="AME150"/>
      <c r="AMF150"/>
      <c r="AMG150"/>
      <c r="AMH150"/>
      <c r="AMI150"/>
      <c r="AMJ150"/>
    </row>
    <row r="151" spans="1:1024" x14ac:dyDescent="0.2">
      <c r="A151" s="2"/>
      <c r="D151" s="1"/>
      <c r="E151" s="1"/>
      <c r="F151" s="1"/>
      <c r="G151" s="1"/>
      <c r="AME151"/>
      <c r="AMF151"/>
      <c r="AMG151"/>
      <c r="AMH151"/>
      <c r="AMI151"/>
      <c r="AMJ151"/>
    </row>
    <row r="152" spans="1:1024" x14ac:dyDescent="0.2">
      <c r="A152" s="2"/>
      <c r="D152" s="1"/>
      <c r="E152" s="1"/>
      <c r="F152" s="1"/>
      <c r="G152" s="1"/>
      <c r="AME152"/>
      <c r="AMF152"/>
      <c r="AMG152"/>
      <c r="AMH152"/>
      <c r="AMI152"/>
      <c r="AMJ152"/>
    </row>
    <row r="153" spans="1:1024" x14ac:dyDescent="0.2">
      <c r="D153" s="1"/>
      <c r="E153" s="1"/>
      <c r="F153" s="1"/>
      <c r="G153" s="1"/>
      <c r="AME153"/>
      <c r="AMF153"/>
      <c r="AMG153"/>
      <c r="AMH153"/>
      <c r="AMI153"/>
      <c r="AMJ153"/>
    </row>
    <row r="154" spans="1:1024" x14ac:dyDescent="0.2">
      <c r="D154" s="1"/>
      <c r="E154" s="1"/>
      <c r="F154" s="1"/>
      <c r="G154" s="1"/>
      <c r="AME154"/>
      <c r="AMF154"/>
      <c r="AMG154"/>
      <c r="AMH154"/>
      <c r="AMI154"/>
      <c r="AMJ154"/>
    </row>
    <row r="155" spans="1:1024" x14ac:dyDescent="0.2">
      <c r="D155" s="1"/>
      <c r="E155" s="1"/>
      <c r="F155" s="1"/>
      <c r="G155" s="1"/>
      <c r="AME155"/>
      <c r="AMF155"/>
      <c r="AMG155"/>
      <c r="AMH155"/>
      <c r="AMI155"/>
      <c r="AMJ155"/>
    </row>
    <row r="156" spans="1:1024" s="1" customFormat="1" x14ac:dyDescent="0.2"/>
    <row r="157" spans="1:1024" ht="11.25" customHeight="1" x14ac:dyDescent="0.2">
      <c r="D157" s="1"/>
      <c r="E157" s="1"/>
      <c r="F157" s="1"/>
      <c r="G157" s="1"/>
      <c r="AME157"/>
      <c r="AMF157"/>
      <c r="AMG157"/>
      <c r="AMH157"/>
      <c r="AMI157"/>
      <c r="AMJ157"/>
    </row>
    <row r="158" spans="1:1024" x14ac:dyDescent="0.2">
      <c r="A158" s="110"/>
      <c r="D158" s="1"/>
      <c r="E158" s="1"/>
      <c r="F158" s="1"/>
      <c r="G158" s="1"/>
      <c r="AME158"/>
      <c r="AMF158"/>
      <c r="AMG158"/>
      <c r="AMH158"/>
      <c r="AMI158"/>
      <c r="AMJ158"/>
    </row>
    <row r="159" spans="1:1024" ht="11.25" customHeight="1" x14ac:dyDescent="0.2">
      <c r="D159" s="1"/>
      <c r="E159" s="1"/>
      <c r="F159" s="1"/>
      <c r="G159" s="1"/>
      <c r="AME159"/>
      <c r="AMF159"/>
      <c r="AMG159"/>
      <c r="AMH159"/>
      <c r="AMI159"/>
      <c r="AMJ159"/>
    </row>
    <row r="160" spans="1:1024" x14ac:dyDescent="0.2">
      <c r="D160" s="1"/>
      <c r="E160" s="1"/>
      <c r="F160" s="1"/>
      <c r="G160" s="1"/>
      <c r="AME160"/>
      <c r="AMF160"/>
      <c r="AMG160"/>
      <c r="AMH160"/>
      <c r="AMI160"/>
      <c r="AMJ160"/>
    </row>
    <row r="161" spans="1:1024" ht="11.25" customHeight="1" x14ac:dyDescent="0.2">
      <c r="D161" s="1"/>
      <c r="E161" s="1"/>
      <c r="F161" s="1"/>
      <c r="G161" s="1"/>
      <c r="AME161"/>
      <c r="AMF161"/>
      <c r="AMG161"/>
      <c r="AMH161"/>
      <c r="AMI161"/>
      <c r="AMJ161"/>
    </row>
    <row r="162" spans="1:1024" x14ac:dyDescent="0.2">
      <c r="D162" s="1"/>
      <c r="E162" s="1"/>
      <c r="F162" s="1"/>
      <c r="G162" s="1"/>
      <c r="AME162"/>
      <c r="AMF162"/>
      <c r="AMG162"/>
      <c r="AMH162"/>
      <c r="AMI162"/>
      <c r="AMJ162"/>
    </row>
    <row r="163" spans="1:1024" ht="11.25" customHeight="1" x14ac:dyDescent="0.2">
      <c r="D163" s="1"/>
      <c r="E163" s="1"/>
      <c r="F163" s="1"/>
      <c r="G163" s="1"/>
      <c r="AME163"/>
      <c r="AMF163"/>
      <c r="AMG163"/>
      <c r="AMH163"/>
      <c r="AMI163"/>
      <c r="AMJ163"/>
    </row>
    <row r="164" spans="1:1024" x14ac:dyDescent="0.2">
      <c r="D164" s="1"/>
      <c r="E164" s="1"/>
      <c r="F164" s="1"/>
      <c r="G164" s="1"/>
      <c r="AME164"/>
      <c r="AMF164"/>
      <c r="AMG164"/>
      <c r="AMH164"/>
      <c r="AMI164"/>
      <c r="AMJ164"/>
    </row>
    <row r="165" spans="1:1024" s="1" customFormat="1" x14ac:dyDescent="0.2"/>
    <row r="166" spans="1:1024" x14ac:dyDescent="0.2">
      <c r="D166" s="1"/>
      <c r="E166" s="1"/>
      <c r="F166" s="1"/>
      <c r="G166" s="1"/>
      <c r="AME166"/>
      <c r="AMF166"/>
      <c r="AMG166"/>
      <c r="AMH166"/>
      <c r="AMI166"/>
      <c r="AMJ166"/>
    </row>
    <row r="167" spans="1:1024" x14ac:dyDescent="0.2">
      <c r="D167" s="1"/>
      <c r="E167" s="1"/>
      <c r="F167" s="1"/>
      <c r="G167" s="1"/>
      <c r="AME167"/>
      <c r="AMF167"/>
      <c r="AMG167"/>
      <c r="AMH167"/>
      <c r="AMI167"/>
      <c r="AMJ167"/>
    </row>
    <row r="168" spans="1:1024" x14ac:dyDescent="0.2">
      <c r="A168" s="2"/>
      <c r="C168" s="110"/>
      <c r="D168" s="110"/>
      <c r="E168" s="1"/>
      <c r="F168" s="1"/>
      <c r="G168" s="1"/>
      <c r="AME168"/>
      <c r="AMF168"/>
      <c r="AMG168"/>
      <c r="AMH168"/>
      <c r="AMI168"/>
      <c r="AMJ168"/>
    </row>
    <row r="169" spans="1:1024" x14ac:dyDescent="0.2">
      <c r="A169" s="2"/>
      <c r="D169" s="1"/>
      <c r="E169" s="1"/>
      <c r="F169" s="1"/>
      <c r="G169" s="1"/>
      <c r="AME169"/>
      <c r="AMF169"/>
      <c r="AMG169"/>
      <c r="AMH169"/>
      <c r="AMI169"/>
      <c r="AMJ169"/>
    </row>
    <row r="170" spans="1:1024" x14ac:dyDescent="0.2">
      <c r="A170" s="2"/>
      <c r="D170" s="1"/>
      <c r="E170" s="1"/>
      <c r="F170" s="1"/>
      <c r="G170" s="1"/>
      <c r="AME170"/>
      <c r="AMF170"/>
      <c r="AMG170"/>
      <c r="AMH170"/>
      <c r="AMI170"/>
      <c r="AMJ170"/>
    </row>
    <row r="171" spans="1:1024" x14ac:dyDescent="0.2">
      <c r="D171" s="1"/>
      <c r="E171" s="1"/>
      <c r="F171" s="1"/>
      <c r="G171" s="1"/>
      <c r="AME171"/>
      <c r="AMF171"/>
      <c r="AMG171"/>
      <c r="AMH171"/>
      <c r="AMI171"/>
      <c r="AMJ171"/>
    </row>
    <row r="172" spans="1:1024" x14ac:dyDescent="0.2">
      <c r="A172" s="2"/>
      <c r="D172" s="1"/>
      <c r="E172" s="1"/>
      <c r="F172" s="1"/>
      <c r="G172" s="1"/>
      <c r="AME172"/>
      <c r="AMF172"/>
      <c r="AMG172"/>
      <c r="AMH172"/>
      <c r="AMI172"/>
      <c r="AMJ172"/>
    </row>
    <row r="173" spans="1:1024" x14ac:dyDescent="0.2">
      <c r="A173" s="2"/>
      <c r="C173" s="110"/>
      <c r="D173" s="110"/>
      <c r="E173" s="1"/>
      <c r="F173" s="1"/>
      <c r="G173" s="1"/>
      <c r="AME173"/>
      <c r="AMF173"/>
      <c r="AMG173"/>
      <c r="AMH173"/>
      <c r="AMI173"/>
      <c r="AMJ173"/>
    </row>
    <row r="174" spans="1:1024" x14ac:dyDescent="0.2">
      <c r="A174" s="2"/>
      <c r="D174" s="1"/>
      <c r="E174" s="1"/>
      <c r="F174" s="1"/>
      <c r="G174" s="1"/>
      <c r="AME174"/>
      <c r="AMF174"/>
      <c r="AMG174"/>
      <c r="AMH174"/>
      <c r="AMI174"/>
      <c r="AMJ174"/>
    </row>
    <row r="175" spans="1:1024" x14ac:dyDescent="0.2">
      <c r="A175" s="2"/>
      <c r="D175" s="1"/>
      <c r="E175" s="1"/>
      <c r="F175" s="1"/>
      <c r="G175" s="1"/>
      <c r="AME175"/>
      <c r="AMF175"/>
      <c r="AMG175"/>
      <c r="AMH175"/>
      <c r="AMI175"/>
      <c r="AMJ175"/>
    </row>
    <row r="176" spans="1:1024" x14ac:dyDescent="0.2">
      <c r="A176" s="2"/>
      <c r="D176" s="1"/>
      <c r="E176" s="1"/>
      <c r="F176" s="1"/>
      <c r="G176" s="1"/>
      <c r="AME176"/>
      <c r="AMF176"/>
      <c r="AMG176"/>
      <c r="AMH176"/>
      <c r="AMI176"/>
      <c r="AMJ176"/>
    </row>
    <row r="177" spans="1:1024" x14ac:dyDescent="0.2">
      <c r="A177" s="2"/>
      <c r="D177" s="1"/>
      <c r="E177" s="1"/>
      <c r="F177" s="1"/>
      <c r="G177" s="1"/>
      <c r="AME177"/>
      <c r="AMF177"/>
      <c r="AMG177"/>
      <c r="AMH177"/>
      <c r="AMI177"/>
      <c r="AMJ177"/>
    </row>
    <row r="178" spans="1:1024" x14ac:dyDescent="0.2">
      <c r="A178" s="2"/>
      <c r="D178" s="1"/>
      <c r="E178" s="1"/>
      <c r="F178" s="1"/>
      <c r="G178" s="1"/>
      <c r="AME178"/>
      <c r="AMF178"/>
      <c r="AMG178"/>
      <c r="AMH178"/>
      <c r="AMI178"/>
      <c r="AMJ178"/>
    </row>
    <row r="179" spans="1:1024" ht="11.25" customHeight="1" x14ac:dyDescent="0.2">
      <c r="A179" s="2"/>
      <c r="D179" s="1"/>
      <c r="E179" s="1"/>
      <c r="F179" s="1"/>
      <c r="G179" s="1"/>
      <c r="AME179"/>
      <c r="AMF179"/>
      <c r="AMG179"/>
      <c r="AMH179"/>
      <c r="AMI179"/>
      <c r="AMJ179"/>
    </row>
    <row r="180" spans="1:1024" x14ac:dyDescent="0.2">
      <c r="A180" s="2"/>
      <c r="D180" s="1"/>
      <c r="E180" s="1"/>
      <c r="F180" s="1"/>
      <c r="G180" s="1"/>
      <c r="AME180"/>
      <c r="AMF180"/>
      <c r="AMG180"/>
      <c r="AMH180"/>
      <c r="AMI180"/>
      <c r="AMJ180"/>
    </row>
    <row r="181" spans="1:1024" x14ac:dyDescent="0.2">
      <c r="A181" s="2"/>
      <c r="C181" s="110"/>
      <c r="D181" s="110"/>
      <c r="E181" s="1"/>
      <c r="F181" s="1"/>
      <c r="G181" s="1"/>
      <c r="AME181"/>
      <c r="AMF181"/>
      <c r="AMG181"/>
      <c r="AMH181"/>
      <c r="AMI181"/>
      <c r="AMJ181"/>
    </row>
    <row r="182" spans="1:1024" x14ac:dyDescent="0.2">
      <c r="A182" s="2"/>
      <c r="C182" s="110"/>
      <c r="D182" s="110"/>
      <c r="E182" s="1"/>
      <c r="F182" s="1"/>
      <c r="G182" s="1"/>
      <c r="AME182"/>
      <c r="AMF182"/>
      <c r="AMG182"/>
      <c r="AMH182"/>
      <c r="AMI182"/>
      <c r="AMJ182"/>
    </row>
    <row r="183" spans="1:1024" s="75" customFormat="1" x14ac:dyDescent="0.2">
      <c r="A183" s="74"/>
      <c r="C183" s="93"/>
      <c r="D183" s="93"/>
    </row>
    <row r="184" spans="1:1024" x14ac:dyDescent="0.2">
      <c r="A184" s="2"/>
      <c r="C184" s="110"/>
      <c r="D184" s="110"/>
      <c r="E184" s="1"/>
      <c r="F184" s="1"/>
      <c r="G184" s="1"/>
      <c r="AME184"/>
      <c r="AMF184"/>
      <c r="AMG184"/>
      <c r="AMH184"/>
      <c r="AMI184"/>
      <c r="AMJ184"/>
    </row>
    <row r="185" spans="1:1024" x14ac:dyDescent="0.2">
      <c r="A185" s="2"/>
      <c r="C185" s="110"/>
      <c r="D185" s="110"/>
      <c r="E185" s="1"/>
      <c r="F185" s="1"/>
      <c r="G185" s="1"/>
      <c r="AME185"/>
      <c r="AMF185"/>
      <c r="AMG185"/>
      <c r="AMH185"/>
      <c r="AMI185"/>
      <c r="AMJ185"/>
    </row>
    <row r="186" spans="1:1024" x14ac:dyDescent="0.2">
      <c r="A186" s="2"/>
      <c r="C186" s="110"/>
      <c r="D186" s="110"/>
      <c r="E186" s="1"/>
      <c r="F186" s="1"/>
      <c r="G186" s="1"/>
      <c r="AME186"/>
      <c r="AMF186"/>
      <c r="AMG186"/>
      <c r="AMH186"/>
      <c r="AMI186"/>
      <c r="AMJ186"/>
    </row>
    <row r="187" spans="1:1024" x14ac:dyDescent="0.2">
      <c r="A187" s="2"/>
      <c r="C187" s="110"/>
      <c r="D187" s="110"/>
      <c r="E187" s="1"/>
      <c r="F187" s="1"/>
      <c r="G187" s="1"/>
      <c r="AME187"/>
      <c r="AMF187"/>
      <c r="AMG187"/>
      <c r="AMH187"/>
      <c r="AMI187"/>
      <c r="AMJ187"/>
    </row>
    <row r="188" spans="1:1024" s="75" customFormat="1" x14ac:dyDescent="0.2">
      <c r="A188" s="74"/>
      <c r="C188" s="93"/>
      <c r="D188" s="93"/>
    </row>
    <row r="189" spans="1:1024" x14ac:dyDescent="0.2">
      <c r="A189" s="2"/>
      <c r="C189" s="110"/>
      <c r="D189" s="110"/>
      <c r="E189" s="1"/>
      <c r="F189" s="1"/>
      <c r="G189" s="1"/>
      <c r="AME189"/>
      <c r="AMF189"/>
      <c r="AMG189"/>
      <c r="AMH189"/>
      <c r="AMI189"/>
      <c r="AMJ189"/>
    </row>
    <row r="190" spans="1:1024" x14ac:dyDescent="0.2">
      <c r="A190" s="2"/>
      <c r="C190" s="110"/>
      <c r="D190" s="110"/>
      <c r="E190" s="1"/>
      <c r="F190" s="1"/>
      <c r="G190" s="1"/>
      <c r="AME190"/>
      <c r="AMF190"/>
      <c r="AMG190"/>
      <c r="AMH190"/>
      <c r="AMI190"/>
      <c r="AMJ190"/>
    </row>
    <row r="191" spans="1:1024" s="1" customFormat="1" x14ac:dyDescent="0.2">
      <c r="A191" s="2"/>
      <c r="C191" s="110"/>
      <c r="D191" s="110"/>
    </row>
    <row r="192" spans="1:1024" s="1" customFormat="1" x14ac:dyDescent="0.2">
      <c r="A192" s="2"/>
      <c r="C192" s="110"/>
      <c r="D192" s="110"/>
    </row>
    <row r="193" spans="1:1024" s="1" customFormat="1" x14ac:dyDescent="0.2">
      <c r="A193" s="2"/>
      <c r="C193" s="110"/>
      <c r="D193" s="110"/>
    </row>
    <row r="194" spans="1:1024" s="1" customFormat="1" x14ac:dyDescent="0.2">
      <c r="A194" s="2"/>
      <c r="C194" s="110"/>
      <c r="D194" s="110"/>
    </row>
    <row r="195" spans="1:1024" ht="11.25" customHeight="1" x14ac:dyDescent="0.2">
      <c r="A195" s="2"/>
      <c r="C195" s="110"/>
      <c r="D195" s="110"/>
      <c r="E195" s="1"/>
      <c r="F195" s="1"/>
      <c r="G195" s="1"/>
      <c r="AME195"/>
      <c r="AMF195"/>
      <c r="AMG195"/>
      <c r="AMH195"/>
      <c r="AMI195"/>
      <c r="AMJ195"/>
    </row>
    <row r="196" spans="1:1024" x14ac:dyDescent="0.2">
      <c r="A196" s="2"/>
      <c r="C196" s="110"/>
      <c r="D196" s="110"/>
      <c r="E196" s="1"/>
      <c r="F196" s="1"/>
      <c r="G196" s="1"/>
      <c r="AME196"/>
      <c r="AMF196"/>
      <c r="AMG196"/>
      <c r="AMH196"/>
      <c r="AMI196"/>
      <c r="AMJ196"/>
    </row>
    <row r="197" spans="1:1024" x14ac:dyDescent="0.2">
      <c r="A197" s="2"/>
      <c r="C197" s="110"/>
      <c r="D197" s="110"/>
      <c r="E197" s="1"/>
      <c r="F197" s="1"/>
      <c r="G197" s="1"/>
      <c r="AME197"/>
      <c r="AMF197"/>
      <c r="AMG197"/>
      <c r="AMH197"/>
      <c r="AMI197"/>
      <c r="AMJ197"/>
    </row>
    <row r="198" spans="1:1024" x14ac:dyDescent="0.2">
      <c r="A198" s="2"/>
      <c r="C198" s="110"/>
      <c r="D198" s="110"/>
      <c r="E198" s="1"/>
      <c r="F198" s="1"/>
      <c r="G198" s="1"/>
      <c r="AME198"/>
      <c r="AMF198"/>
      <c r="AMG198"/>
      <c r="AMH198"/>
      <c r="AMI198"/>
      <c r="AMJ198"/>
    </row>
    <row r="199" spans="1:1024" x14ac:dyDescent="0.2">
      <c r="A199" s="2"/>
      <c r="C199" s="110"/>
      <c r="D199" s="110"/>
      <c r="E199" s="1"/>
      <c r="F199" s="1"/>
      <c r="G199" s="1"/>
      <c r="AME199"/>
      <c r="AMF199"/>
      <c r="AMG199"/>
      <c r="AMH199"/>
      <c r="AMI199"/>
      <c r="AMJ199"/>
    </row>
    <row r="200" spans="1:1024" x14ac:dyDescent="0.2">
      <c r="A200" s="2"/>
      <c r="C200" s="110"/>
      <c r="D200" s="110"/>
      <c r="E200" s="1"/>
      <c r="F200" s="1"/>
      <c r="G200" s="1"/>
      <c r="AME200"/>
      <c r="AMF200"/>
      <c r="AMG200"/>
      <c r="AMH200"/>
      <c r="AMI200"/>
      <c r="AMJ200"/>
    </row>
    <row r="201" spans="1:1024" x14ac:dyDescent="0.2">
      <c r="A201" s="2"/>
      <c r="C201" s="110"/>
      <c r="D201" s="110"/>
      <c r="E201" s="1"/>
      <c r="F201" s="1"/>
      <c r="G201" s="1"/>
      <c r="AME201"/>
      <c r="AMF201"/>
      <c r="AMG201"/>
      <c r="AMH201"/>
      <c r="AMI201"/>
      <c r="AMJ201"/>
    </row>
    <row r="202" spans="1:1024" x14ac:dyDescent="0.2">
      <c r="A202" s="2"/>
      <c r="C202" s="110"/>
      <c r="D202" s="110"/>
      <c r="E202" s="1"/>
      <c r="F202" s="1"/>
      <c r="G202" s="1"/>
      <c r="AME202"/>
      <c r="AMF202"/>
      <c r="AMG202"/>
      <c r="AMH202"/>
      <c r="AMI202"/>
      <c r="AMJ202"/>
    </row>
    <row r="203" spans="1:1024" ht="11.25" customHeight="1" x14ac:dyDescent="0.2">
      <c r="A203" s="2"/>
      <c r="C203" s="110"/>
      <c r="D203" s="110"/>
      <c r="E203" s="1"/>
      <c r="F203" s="1"/>
      <c r="G203" s="1"/>
      <c r="AME203"/>
      <c r="AMF203"/>
      <c r="AMG203"/>
      <c r="AMH203"/>
      <c r="AMI203"/>
      <c r="AMJ203"/>
    </row>
    <row r="204" spans="1:1024" x14ac:dyDescent="0.2">
      <c r="A204" s="2"/>
      <c r="C204" s="110"/>
      <c r="D204" s="110"/>
      <c r="E204" s="1"/>
      <c r="F204" s="1"/>
      <c r="G204" s="1"/>
      <c r="AME204"/>
      <c r="AMF204"/>
      <c r="AMG204"/>
      <c r="AMH204"/>
      <c r="AMI204"/>
      <c r="AMJ204"/>
    </row>
    <row r="205" spans="1:1024" x14ac:dyDescent="0.2">
      <c r="A205" s="2"/>
      <c r="C205" s="110"/>
      <c r="D205" s="110"/>
      <c r="E205" s="1"/>
      <c r="F205" s="1"/>
      <c r="G205" s="1"/>
      <c r="AME205"/>
      <c r="AMF205"/>
      <c r="AMG205"/>
      <c r="AMH205"/>
      <c r="AMI205"/>
      <c r="AMJ205"/>
    </row>
    <row r="206" spans="1:1024" x14ac:dyDescent="0.2">
      <c r="A206" s="2"/>
      <c r="C206" s="110"/>
      <c r="D206" s="110"/>
      <c r="E206" s="1"/>
      <c r="F206" s="1"/>
      <c r="G206" s="1"/>
      <c r="AME206"/>
      <c r="AMF206"/>
      <c r="AMG206"/>
      <c r="AMH206"/>
      <c r="AMI206"/>
      <c r="AMJ206"/>
    </row>
    <row r="207" spans="1:1024" x14ac:dyDescent="0.2">
      <c r="A207" s="2"/>
      <c r="C207" s="110"/>
      <c r="D207" s="110"/>
      <c r="E207" s="1"/>
      <c r="F207" s="1"/>
      <c r="G207" s="1"/>
      <c r="AME207"/>
      <c r="AMF207"/>
      <c r="AMG207"/>
      <c r="AMH207"/>
      <c r="AMI207"/>
      <c r="AMJ207"/>
    </row>
    <row r="208" spans="1:1024" x14ac:dyDescent="0.2">
      <c r="A208" s="2"/>
      <c r="B208" s="288"/>
      <c r="C208" s="110"/>
      <c r="D208" s="110"/>
      <c r="E208" s="1"/>
      <c r="F208" s="1"/>
      <c r="G208" s="1"/>
      <c r="AME208"/>
      <c r="AMF208"/>
      <c r="AMG208"/>
      <c r="AMH208"/>
      <c r="AMI208"/>
      <c r="AMJ208"/>
    </row>
    <row r="209" spans="1:1024" s="1" customFormat="1" x14ac:dyDescent="0.2">
      <c r="A209" s="2"/>
      <c r="B209" s="110"/>
      <c r="C209" s="110"/>
      <c r="D209" s="110"/>
    </row>
    <row r="210" spans="1:1024" x14ac:dyDescent="0.2">
      <c r="A210" s="2"/>
      <c r="C210" s="110"/>
      <c r="D210" s="110"/>
      <c r="E210" s="1"/>
      <c r="F210" s="1"/>
      <c r="G210" s="1"/>
      <c r="AME210"/>
      <c r="AMF210"/>
      <c r="AMG210"/>
      <c r="AMH210"/>
      <c r="AMI210"/>
      <c r="AMJ210"/>
    </row>
    <row r="211" spans="1:1024" x14ac:dyDescent="0.2">
      <c r="A211" s="2"/>
      <c r="C211" s="110"/>
      <c r="D211" s="110"/>
      <c r="E211" s="1"/>
      <c r="F211" s="1"/>
      <c r="G211" s="1"/>
      <c r="AME211"/>
      <c r="AMF211"/>
      <c r="AMG211"/>
      <c r="AMH211"/>
      <c r="AMI211"/>
      <c r="AMJ211"/>
    </row>
    <row r="212" spans="1:1024" x14ac:dyDescent="0.2">
      <c r="A212" s="2"/>
      <c r="C212" s="110"/>
      <c r="D212" s="110"/>
      <c r="E212" s="1"/>
      <c r="F212" s="1"/>
      <c r="G212" s="1"/>
      <c r="AME212"/>
      <c r="AMF212"/>
      <c r="AMG212"/>
      <c r="AMH212"/>
      <c r="AMI212"/>
      <c r="AMJ212"/>
    </row>
    <row r="213" spans="1:1024" x14ac:dyDescent="0.2">
      <c r="A213" s="2"/>
      <c r="C213" s="110"/>
      <c r="D213" s="110"/>
      <c r="E213" s="1"/>
      <c r="F213" s="1"/>
      <c r="G213" s="1"/>
      <c r="AME213"/>
      <c r="AMF213"/>
      <c r="AMG213"/>
      <c r="AMH213"/>
      <c r="AMI213"/>
      <c r="AMJ213"/>
    </row>
    <row r="214" spans="1:1024" x14ac:dyDescent="0.2">
      <c r="A214" s="2"/>
      <c r="C214" s="110"/>
      <c r="D214" s="110"/>
      <c r="E214" s="1"/>
      <c r="F214" s="1"/>
      <c r="G214" s="1"/>
      <c r="AME214"/>
      <c r="AMF214"/>
      <c r="AMG214"/>
      <c r="AMH214"/>
      <c r="AMI214"/>
      <c r="AMJ214"/>
    </row>
    <row r="215" spans="1:1024" x14ac:dyDescent="0.2">
      <c r="A215" s="2"/>
      <c r="C215" s="110"/>
      <c r="D215" s="110"/>
      <c r="E215" s="1"/>
      <c r="F215" s="1"/>
      <c r="G215" s="1"/>
      <c r="AME215"/>
      <c r="AMF215"/>
      <c r="AMG215"/>
      <c r="AMH215"/>
      <c r="AMI215"/>
      <c r="AMJ215"/>
    </row>
    <row r="216" spans="1:1024" x14ac:dyDescent="0.2">
      <c r="A216" s="2"/>
      <c r="C216" s="110"/>
      <c r="D216" s="110"/>
      <c r="E216" s="1"/>
      <c r="F216" s="1"/>
      <c r="G216" s="1"/>
      <c r="AME216"/>
      <c r="AMF216"/>
      <c r="AMG216"/>
      <c r="AMH216"/>
      <c r="AMI216"/>
      <c r="AMJ216"/>
    </row>
    <row r="217" spans="1:1024" x14ac:dyDescent="0.2">
      <c r="A217" s="2"/>
      <c r="C217" s="110"/>
      <c r="D217" s="110"/>
      <c r="E217" s="1"/>
      <c r="F217" s="1"/>
      <c r="G217" s="1"/>
      <c r="AME217"/>
      <c r="AMF217"/>
      <c r="AMG217"/>
      <c r="AMH217"/>
      <c r="AMI217"/>
      <c r="AMJ217"/>
    </row>
    <row r="218" spans="1:1024" x14ac:dyDescent="0.2">
      <c r="A218" s="2"/>
      <c r="C218" s="110"/>
      <c r="D218" s="110"/>
      <c r="E218" s="1"/>
      <c r="F218" s="1"/>
      <c r="G218" s="1"/>
      <c r="AME218"/>
      <c r="AMF218"/>
      <c r="AMG218"/>
      <c r="AMH218"/>
      <c r="AMI218"/>
      <c r="AMJ218"/>
    </row>
    <row r="219" spans="1:1024" x14ac:dyDescent="0.2">
      <c r="A219" s="2"/>
      <c r="C219" s="110"/>
      <c r="D219" s="110"/>
      <c r="E219" s="1"/>
      <c r="F219" s="1"/>
      <c r="G219" s="1"/>
      <c r="AME219"/>
      <c r="AMF219"/>
      <c r="AMG219"/>
      <c r="AMH219"/>
      <c r="AMI219"/>
      <c r="AMJ219"/>
    </row>
    <row r="220" spans="1:1024" s="1" customFormat="1" x14ac:dyDescent="0.2">
      <c r="A220" s="2"/>
      <c r="C220" s="110"/>
      <c r="D220" s="110"/>
    </row>
    <row r="221" spans="1:1024" ht="11.25" customHeight="1" x14ac:dyDescent="0.2">
      <c r="A221" s="2"/>
      <c r="C221" s="110"/>
      <c r="D221" s="110"/>
      <c r="E221" s="1"/>
      <c r="F221" s="1"/>
      <c r="G221" s="1"/>
      <c r="AME221"/>
      <c r="AMF221"/>
      <c r="AMG221"/>
      <c r="AMH221"/>
      <c r="AMI221"/>
      <c r="AMJ221"/>
    </row>
    <row r="222" spans="1:1024" x14ac:dyDescent="0.2">
      <c r="A222" s="2"/>
      <c r="C222" s="110"/>
      <c r="D222" s="110"/>
      <c r="E222" s="1"/>
      <c r="F222" s="1"/>
      <c r="G222" s="1"/>
      <c r="AME222"/>
      <c r="AMF222"/>
      <c r="AMG222"/>
      <c r="AMH222"/>
      <c r="AMI222"/>
      <c r="AMJ222"/>
    </row>
    <row r="223" spans="1:1024" x14ac:dyDescent="0.2">
      <c r="A223" s="2"/>
      <c r="C223" s="110"/>
      <c r="D223" s="110"/>
      <c r="E223" s="1"/>
      <c r="F223" s="1"/>
      <c r="G223" s="1"/>
      <c r="AME223"/>
      <c r="AMF223"/>
      <c r="AMG223"/>
      <c r="AMH223"/>
      <c r="AMI223"/>
      <c r="AMJ223"/>
    </row>
    <row r="224" spans="1:1024" x14ac:dyDescent="0.2">
      <c r="A224" s="132"/>
      <c r="C224" s="110"/>
      <c r="D224" s="110"/>
      <c r="E224" s="1"/>
      <c r="F224" s="1"/>
      <c r="G224" s="1"/>
      <c r="AME224"/>
      <c r="AMF224"/>
      <c r="AMG224"/>
      <c r="AMH224"/>
      <c r="AMI224"/>
      <c r="AMJ224"/>
    </row>
    <row r="225" spans="1:1024" x14ac:dyDescent="0.2">
      <c r="A225" s="2"/>
      <c r="C225" s="110"/>
      <c r="D225" s="110"/>
      <c r="E225" s="1"/>
      <c r="F225" s="1"/>
      <c r="G225" s="1"/>
      <c r="AME225"/>
      <c r="AMF225"/>
      <c r="AMG225"/>
      <c r="AMH225"/>
      <c r="AMI225"/>
      <c r="AMJ225"/>
    </row>
    <row r="226" spans="1:1024" ht="11.25" customHeight="1" x14ac:dyDescent="0.2">
      <c r="A226" s="2"/>
      <c r="C226" s="110"/>
      <c r="D226" s="110"/>
      <c r="E226" s="1"/>
      <c r="F226" s="1"/>
      <c r="G226" s="1"/>
      <c r="AME226"/>
      <c r="AMF226"/>
      <c r="AMG226"/>
      <c r="AMH226"/>
      <c r="AMI226"/>
      <c r="AMJ226"/>
    </row>
    <row r="227" spans="1:1024" x14ac:dyDescent="0.2">
      <c r="A227" s="2"/>
      <c r="C227" s="110"/>
      <c r="D227" s="110"/>
      <c r="E227" s="1"/>
      <c r="F227" s="1"/>
      <c r="G227" s="1"/>
      <c r="AME227"/>
      <c r="AMF227"/>
      <c r="AMG227"/>
      <c r="AMH227"/>
      <c r="AMI227"/>
      <c r="AMJ227"/>
    </row>
    <row r="228" spans="1:1024" x14ac:dyDescent="0.2">
      <c r="A228" s="2"/>
      <c r="C228" s="110"/>
      <c r="D228" s="110"/>
      <c r="E228" s="1"/>
      <c r="F228" s="1"/>
      <c r="G228" s="1"/>
      <c r="AME228"/>
      <c r="AMF228"/>
      <c r="AMG228"/>
      <c r="AMH228"/>
      <c r="AMI228"/>
      <c r="AMJ228"/>
    </row>
    <row r="229" spans="1:1024" s="1" customFormat="1" x14ac:dyDescent="0.2">
      <c r="A229" s="2"/>
      <c r="C229" s="110"/>
      <c r="D229" s="110"/>
    </row>
    <row r="230" spans="1:1024" s="1" customFormat="1" x14ac:dyDescent="0.2">
      <c r="A230" s="2"/>
      <c r="C230" s="110"/>
      <c r="D230" s="110"/>
    </row>
    <row r="231" spans="1:1024" s="1" customFormat="1" x14ac:dyDescent="0.2">
      <c r="A231" s="2"/>
      <c r="C231" s="110"/>
      <c r="D231" s="110"/>
    </row>
    <row r="232" spans="1:1024" s="1" customFormat="1" x14ac:dyDescent="0.2">
      <c r="A232" s="2"/>
      <c r="C232" s="110"/>
      <c r="D232" s="110"/>
    </row>
    <row r="233" spans="1:1024" s="1" customFormat="1" x14ac:dyDescent="0.2">
      <c r="A233" s="2"/>
      <c r="C233" s="110"/>
      <c r="D233" s="110"/>
    </row>
    <row r="234" spans="1:1024" s="1" customFormat="1" x14ac:dyDescent="0.2">
      <c r="A234" s="2"/>
      <c r="C234" s="110"/>
      <c r="D234" s="110"/>
    </row>
    <row r="235" spans="1:1024" x14ac:dyDescent="0.2">
      <c r="A235" s="2"/>
      <c r="C235" s="110"/>
      <c r="D235" s="110"/>
      <c r="E235" s="1"/>
      <c r="F235" s="1"/>
      <c r="G235" s="1"/>
      <c r="AME235"/>
      <c r="AMF235"/>
      <c r="AMG235"/>
      <c r="AMH235"/>
      <c r="AMI235"/>
      <c r="AMJ235"/>
    </row>
    <row r="236" spans="1:1024" x14ac:dyDescent="0.2">
      <c r="A236" s="2"/>
      <c r="C236" s="110"/>
      <c r="D236" s="110"/>
      <c r="E236" s="1"/>
      <c r="F236" s="1"/>
      <c r="G236" s="1"/>
      <c r="AME236"/>
      <c r="AMF236"/>
      <c r="AMG236"/>
      <c r="AMH236"/>
      <c r="AMI236"/>
      <c r="AMJ236"/>
    </row>
    <row r="237" spans="1:1024" ht="11.25" customHeight="1" x14ac:dyDescent="0.2">
      <c r="A237" s="2"/>
      <c r="C237" s="110"/>
      <c r="D237" s="110"/>
      <c r="E237" s="1"/>
      <c r="F237" s="1"/>
      <c r="G237" s="1"/>
      <c r="AME237"/>
      <c r="AMF237"/>
      <c r="AMG237"/>
      <c r="AMH237"/>
      <c r="AMI237"/>
      <c r="AMJ237"/>
    </row>
    <row r="238" spans="1:1024" ht="11.25" customHeight="1" x14ac:dyDescent="0.2">
      <c r="A238" s="2"/>
      <c r="C238" s="110"/>
      <c r="D238" s="110"/>
      <c r="E238" s="1"/>
      <c r="F238" s="1"/>
      <c r="G238" s="1"/>
      <c r="AME238"/>
      <c r="AMF238"/>
      <c r="AMG238"/>
      <c r="AMH238"/>
      <c r="AMI238"/>
      <c r="AMJ238"/>
    </row>
    <row r="239" spans="1:1024" ht="11.25" customHeight="1" x14ac:dyDescent="0.2">
      <c r="A239" s="2"/>
      <c r="C239" s="110"/>
      <c r="D239" s="110"/>
      <c r="E239" s="1"/>
      <c r="F239" s="1"/>
      <c r="G239" s="1"/>
      <c r="AME239"/>
      <c r="AMF239"/>
      <c r="AMG239"/>
      <c r="AMH239"/>
      <c r="AMI239"/>
      <c r="AMJ239"/>
    </row>
    <row r="240" spans="1:1024" ht="11.25" customHeight="1" x14ac:dyDescent="0.2">
      <c r="A240" s="2"/>
      <c r="B240" s="289"/>
      <c r="C240" s="110"/>
      <c r="D240" s="110"/>
      <c r="E240" s="1"/>
      <c r="F240" s="1"/>
      <c r="G240" s="1"/>
      <c r="AME240"/>
      <c r="AMF240"/>
      <c r="AMG240"/>
      <c r="AMH240"/>
      <c r="AMI240"/>
      <c r="AMJ240"/>
    </row>
    <row r="241" spans="1:1024" ht="11.25" customHeight="1" x14ac:dyDescent="0.2">
      <c r="A241" s="2"/>
      <c r="C241" s="110"/>
      <c r="D241" s="110"/>
      <c r="E241" s="1"/>
      <c r="F241" s="1"/>
      <c r="G241" s="1"/>
      <c r="AME241"/>
      <c r="AMF241"/>
      <c r="AMG241"/>
      <c r="AMH241"/>
      <c r="AMI241"/>
      <c r="AMJ241"/>
    </row>
    <row r="242" spans="1:1024" ht="11.25" customHeight="1" x14ac:dyDescent="0.2">
      <c r="A242" s="2"/>
      <c r="B242" s="289"/>
      <c r="C242" s="110"/>
      <c r="D242" s="110"/>
      <c r="E242" s="1"/>
      <c r="F242" s="1"/>
      <c r="G242" s="1"/>
      <c r="AME242"/>
      <c r="AMF242"/>
      <c r="AMG242"/>
      <c r="AMH242"/>
      <c r="AMI242"/>
      <c r="AMJ242"/>
    </row>
    <row r="243" spans="1:1024" s="1" customFormat="1" ht="11.25" customHeight="1" x14ac:dyDescent="0.2">
      <c r="A243" s="2"/>
      <c r="C243" s="110"/>
      <c r="D243" s="110"/>
    </row>
    <row r="244" spans="1:1024" ht="11.25" customHeight="1" x14ac:dyDescent="0.2">
      <c r="A244" s="2"/>
      <c r="C244" s="110"/>
      <c r="D244" s="110"/>
      <c r="E244" s="1"/>
      <c r="F244" s="1"/>
      <c r="G244" s="1"/>
      <c r="AME244"/>
      <c r="AMF244"/>
      <c r="AMG244"/>
      <c r="AMH244"/>
      <c r="AMI244"/>
      <c r="AMJ244"/>
    </row>
    <row r="245" spans="1:1024" ht="11.25" customHeight="1" x14ac:dyDescent="0.2">
      <c r="A245" s="2"/>
      <c r="C245" s="110"/>
      <c r="D245" s="110"/>
      <c r="E245" s="1"/>
      <c r="F245" s="1"/>
      <c r="G245" s="1"/>
      <c r="AME245"/>
      <c r="AMF245"/>
      <c r="AMG245"/>
      <c r="AMH245"/>
      <c r="AMI245"/>
      <c r="AMJ245"/>
    </row>
    <row r="246" spans="1:1024" ht="11.25" customHeight="1" x14ac:dyDescent="0.2">
      <c r="A246" s="2"/>
      <c r="C246" s="110"/>
      <c r="D246" s="110"/>
      <c r="E246" s="1"/>
      <c r="F246" s="1"/>
      <c r="G246" s="1"/>
      <c r="AME246"/>
      <c r="AMF246"/>
      <c r="AMG246"/>
      <c r="AMH246"/>
      <c r="AMI246"/>
      <c r="AMJ246"/>
    </row>
    <row r="247" spans="1:1024" ht="11.25" customHeight="1" x14ac:dyDescent="0.2">
      <c r="A247" s="2"/>
      <c r="C247" s="110"/>
      <c r="D247" s="110"/>
      <c r="E247" s="1"/>
      <c r="F247" s="1"/>
      <c r="G247" s="1"/>
      <c r="AME247"/>
      <c r="AMF247"/>
      <c r="AMG247"/>
      <c r="AMH247"/>
      <c r="AMI247"/>
      <c r="AMJ247"/>
    </row>
    <row r="248" spans="1:1024" ht="11.25" customHeight="1" x14ac:dyDescent="0.2">
      <c r="A248" s="2"/>
      <c r="C248" s="110"/>
      <c r="D248" s="110"/>
      <c r="E248" s="1"/>
      <c r="F248" s="1"/>
      <c r="G248" s="1"/>
      <c r="AME248"/>
      <c r="AMF248"/>
      <c r="AMG248"/>
      <c r="AMH248"/>
      <c r="AMI248"/>
      <c r="AMJ248"/>
    </row>
    <row r="249" spans="1:1024" ht="11.25" customHeight="1" x14ac:dyDescent="0.2">
      <c r="A249" s="2"/>
      <c r="C249" s="110"/>
      <c r="D249" s="110"/>
      <c r="E249" s="1"/>
      <c r="F249" s="1"/>
      <c r="G249" s="1"/>
      <c r="AME249"/>
      <c r="AMF249"/>
      <c r="AMG249"/>
      <c r="AMH249"/>
      <c r="AMI249"/>
      <c r="AMJ249"/>
    </row>
    <row r="250" spans="1:1024" ht="11.25" customHeight="1" x14ac:dyDescent="0.2">
      <c r="A250" s="2"/>
      <c r="C250" s="110"/>
      <c r="D250" s="110"/>
      <c r="E250" s="1"/>
      <c r="F250" s="1"/>
      <c r="G250" s="1"/>
      <c r="AME250"/>
      <c r="AMF250"/>
      <c r="AMG250"/>
      <c r="AMH250"/>
      <c r="AMI250"/>
      <c r="AMJ250"/>
    </row>
    <row r="251" spans="1:1024" ht="11.25" customHeight="1" x14ac:dyDescent="0.2">
      <c r="A251" s="2"/>
      <c r="C251" s="110"/>
      <c r="D251" s="110"/>
      <c r="E251" s="1"/>
      <c r="F251" s="1"/>
      <c r="G251" s="1"/>
      <c r="AME251"/>
      <c r="AMF251"/>
      <c r="AMG251"/>
      <c r="AMH251"/>
      <c r="AMI251"/>
      <c r="AMJ251"/>
    </row>
    <row r="252" spans="1:1024" ht="11.25" customHeight="1" x14ac:dyDescent="0.2">
      <c r="A252" s="2"/>
      <c r="C252" s="110"/>
      <c r="D252" s="110"/>
      <c r="E252" s="1"/>
      <c r="F252" s="1"/>
      <c r="G252" s="1"/>
      <c r="AME252"/>
      <c r="AMF252"/>
      <c r="AMG252"/>
      <c r="AMH252"/>
      <c r="AMI252"/>
      <c r="AMJ252"/>
    </row>
    <row r="253" spans="1:1024" ht="11.25" customHeight="1" x14ac:dyDescent="0.2">
      <c r="A253" s="2"/>
      <c r="C253" s="110"/>
      <c r="D253" s="110"/>
      <c r="E253" s="1"/>
      <c r="F253" s="1"/>
      <c r="G253" s="1"/>
      <c r="AME253"/>
      <c r="AMF253"/>
      <c r="AMG253"/>
      <c r="AMH253"/>
      <c r="AMI253"/>
      <c r="AMJ253"/>
    </row>
    <row r="254" spans="1:1024" s="1" customFormat="1" ht="11.25" customHeight="1" x14ac:dyDescent="0.2">
      <c r="A254" s="2"/>
      <c r="C254" s="110"/>
      <c r="D254" s="110"/>
    </row>
    <row r="255" spans="1:1024" ht="11.25" customHeight="1" x14ac:dyDescent="0.2">
      <c r="A255" s="2"/>
      <c r="C255" s="110"/>
      <c r="D255" s="110"/>
      <c r="E255" s="1"/>
      <c r="F255" s="1"/>
      <c r="G255" s="1"/>
      <c r="AME255"/>
      <c r="AMF255"/>
      <c r="AMG255"/>
      <c r="AMH255"/>
      <c r="AMI255"/>
      <c r="AMJ255"/>
    </row>
    <row r="256" spans="1:1024" ht="11.25" customHeight="1" x14ac:dyDescent="0.2">
      <c r="A256" s="2"/>
      <c r="C256" s="110"/>
      <c r="D256" s="110"/>
      <c r="E256" s="1"/>
      <c r="F256" s="1"/>
      <c r="G256" s="1"/>
      <c r="AME256"/>
      <c r="AMF256"/>
      <c r="AMG256"/>
      <c r="AMH256"/>
      <c r="AMI256"/>
      <c r="AMJ256"/>
    </row>
    <row r="257" spans="1:1024" ht="11.25" customHeight="1" x14ac:dyDescent="0.2">
      <c r="A257" s="2"/>
      <c r="C257" s="110"/>
      <c r="D257" s="110"/>
      <c r="E257" s="1"/>
      <c r="F257" s="1"/>
      <c r="G257" s="1"/>
      <c r="AME257"/>
      <c r="AMF257"/>
      <c r="AMG257"/>
      <c r="AMH257"/>
      <c r="AMI257"/>
      <c r="AMJ257"/>
    </row>
    <row r="258" spans="1:1024" ht="11.25" customHeight="1" x14ac:dyDescent="0.2">
      <c r="A258" s="2"/>
      <c r="C258" s="110"/>
      <c r="D258" s="110"/>
      <c r="E258" s="1"/>
      <c r="F258" s="1"/>
      <c r="G258" s="1"/>
      <c r="AME258"/>
      <c r="AMF258"/>
      <c r="AMG258"/>
      <c r="AMH258"/>
      <c r="AMI258"/>
      <c r="AMJ258"/>
    </row>
    <row r="259" spans="1:1024" ht="11.25" customHeight="1" x14ac:dyDescent="0.2">
      <c r="A259" s="2"/>
      <c r="C259" s="110"/>
      <c r="D259" s="110"/>
      <c r="E259" s="1"/>
      <c r="F259" s="1"/>
      <c r="G259" s="1"/>
      <c r="AME259"/>
      <c r="AMF259"/>
      <c r="AMG259"/>
      <c r="AMH259"/>
      <c r="AMI259"/>
      <c r="AMJ259"/>
    </row>
    <row r="260" spans="1:1024" ht="11.25" customHeight="1" x14ac:dyDescent="0.2">
      <c r="A260" s="2"/>
      <c r="C260" s="110"/>
      <c r="D260" s="110"/>
      <c r="E260" s="1"/>
      <c r="F260" s="1"/>
      <c r="G260" s="1"/>
      <c r="AME260"/>
      <c r="AMF260"/>
      <c r="AMG260"/>
      <c r="AMH260"/>
      <c r="AMI260"/>
      <c r="AMJ260"/>
    </row>
    <row r="261" spans="1:1024" ht="11.25" customHeight="1" x14ac:dyDescent="0.2">
      <c r="A261" s="2"/>
      <c r="C261" s="110"/>
      <c r="D261" s="110"/>
      <c r="E261" s="1"/>
      <c r="F261" s="1"/>
      <c r="G261" s="1"/>
      <c r="AME261"/>
      <c r="AMF261"/>
      <c r="AMG261"/>
      <c r="AMH261"/>
      <c r="AMI261"/>
      <c r="AMJ261"/>
    </row>
    <row r="262" spans="1:1024" ht="11.25" customHeight="1" x14ac:dyDescent="0.2">
      <c r="A262" s="2"/>
      <c r="C262" s="110"/>
      <c r="D262" s="110"/>
      <c r="E262" s="1"/>
      <c r="F262" s="1"/>
      <c r="G262" s="1"/>
      <c r="AME262"/>
      <c r="AMF262"/>
      <c r="AMG262"/>
      <c r="AMH262"/>
      <c r="AMI262"/>
      <c r="AMJ262"/>
    </row>
    <row r="263" spans="1:1024" s="1" customFormat="1" ht="11.25" customHeight="1" x14ac:dyDescent="0.2">
      <c r="A263" s="2"/>
      <c r="C263" s="110"/>
      <c r="D263" s="110"/>
    </row>
    <row r="264" spans="1:1024" s="1" customFormat="1" ht="11.25" customHeight="1" x14ac:dyDescent="0.2">
      <c r="A264" s="2"/>
      <c r="C264" s="110"/>
      <c r="D264" s="110"/>
    </row>
    <row r="265" spans="1:1024" s="1" customFormat="1" ht="11.25" customHeight="1" x14ac:dyDescent="0.2">
      <c r="A265" s="2"/>
      <c r="C265" s="110"/>
      <c r="D265" s="110"/>
    </row>
    <row r="266" spans="1:1024" s="1" customFormat="1" ht="11.25" customHeight="1" x14ac:dyDescent="0.2">
      <c r="A266" s="2"/>
      <c r="C266" s="110"/>
      <c r="D266" s="110"/>
    </row>
    <row r="267" spans="1:1024" s="1" customFormat="1" ht="11.25" customHeight="1" x14ac:dyDescent="0.2">
      <c r="A267" s="2"/>
      <c r="C267" s="110"/>
      <c r="D267" s="110"/>
    </row>
    <row r="268" spans="1:1024" s="1" customFormat="1" ht="11.25" customHeight="1" x14ac:dyDescent="0.2">
      <c r="A268" s="2"/>
      <c r="C268" s="110"/>
      <c r="D268" s="110"/>
    </row>
    <row r="269" spans="1:1024" ht="11.25" customHeight="1" x14ac:dyDescent="0.2">
      <c r="A269" s="2"/>
      <c r="C269" s="110"/>
      <c r="D269" s="110"/>
      <c r="E269" s="1"/>
      <c r="F269" s="1"/>
      <c r="G269" s="1"/>
      <c r="AME269"/>
      <c r="AMF269"/>
      <c r="AMG269"/>
      <c r="AMH269"/>
      <c r="AMI269"/>
      <c r="AMJ269"/>
    </row>
    <row r="270" spans="1:1024" ht="11.25" customHeight="1" x14ac:dyDescent="0.2">
      <c r="A270" s="2"/>
      <c r="C270" s="110"/>
      <c r="D270" s="110"/>
      <c r="E270" s="1"/>
      <c r="F270" s="1"/>
      <c r="G270" s="1"/>
      <c r="AME270"/>
      <c r="AMF270"/>
      <c r="AMG270"/>
      <c r="AMH270"/>
      <c r="AMI270"/>
      <c r="AMJ270"/>
    </row>
    <row r="271" spans="1:1024" ht="11.25" customHeight="1" x14ac:dyDescent="0.2">
      <c r="A271" s="2"/>
      <c r="C271" s="110"/>
      <c r="D271" s="110"/>
      <c r="E271" s="1"/>
      <c r="F271" s="1"/>
      <c r="G271" s="1"/>
      <c r="AME271"/>
      <c r="AMF271"/>
      <c r="AMG271"/>
      <c r="AMH271"/>
      <c r="AMI271"/>
      <c r="AMJ271"/>
    </row>
    <row r="272" spans="1:1024" ht="11.25" customHeight="1" x14ac:dyDescent="0.2">
      <c r="A272" s="2"/>
      <c r="C272" s="110"/>
      <c r="D272" s="110"/>
      <c r="E272" s="1"/>
      <c r="F272" s="1"/>
      <c r="G272" s="1"/>
      <c r="AME272"/>
      <c r="AMF272"/>
      <c r="AMG272"/>
      <c r="AMH272"/>
      <c r="AMI272"/>
      <c r="AMJ272"/>
    </row>
    <row r="273" spans="1:1024" ht="11.25" customHeight="1" x14ac:dyDescent="0.2">
      <c r="A273" s="2"/>
      <c r="C273" s="110"/>
      <c r="D273" s="110"/>
      <c r="E273" s="1"/>
      <c r="F273" s="1"/>
      <c r="G273" s="1"/>
      <c r="AME273"/>
      <c r="AMF273"/>
      <c r="AMG273"/>
      <c r="AMH273"/>
      <c r="AMI273"/>
      <c r="AMJ273"/>
    </row>
    <row r="274" spans="1:1024" ht="11.25" customHeight="1" x14ac:dyDescent="0.2">
      <c r="A274" s="2"/>
      <c r="C274" s="110"/>
      <c r="D274" s="110"/>
      <c r="E274" s="1"/>
      <c r="F274" s="1"/>
      <c r="G274" s="1"/>
      <c r="AME274"/>
      <c r="AMF274"/>
      <c r="AMG274"/>
      <c r="AMH274"/>
      <c r="AMI274"/>
      <c r="AMJ274"/>
    </row>
    <row r="275" spans="1:1024" ht="11.25" customHeight="1" x14ac:dyDescent="0.2">
      <c r="A275" s="2"/>
      <c r="C275" s="110"/>
      <c r="D275" s="110"/>
      <c r="E275" s="1"/>
      <c r="F275" s="1"/>
      <c r="G275" s="1"/>
      <c r="AME275"/>
      <c r="AMF275"/>
      <c r="AMG275"/>
      <c r="AMH275"/>
      <c r="AMI275"/>
      <c r="AMJ275"/>
    </row>
    <row r="276" spans="1:1024" ht="11.25" customHeight="1" x14ac:dyDescent="0.2">
      <c r="A276" s="2"/>
      <c r="C276" s="110"/>
      <c r="D276" s="110"/>
      <c r="E276" s="1"/>
      <c r="F276" s="1"/>
      <c r="G276" s="1"/>
      <c r="AME276"/>
      <c r="AMF276"/>
      <c r="AMG276"/>
      <c r="AMH276"/>
      <c r="AMI276"/>
      <c r="AMJ276"/>
    </row>
    <row r="277" spans="1:1024" ht="11.25" customHeight="1" x14ac:dyDescent="0.2">
      <c r="A277" s="2"/>
      <c r="C277" s="110"/>
      <c r="D277" s="110"/>
      <c r="E277" s="1"/>
      <c r="F277" s="1"/>
      <c r="G277" s="1"/>
      <c r="AME277"/>
      <c r="AMF277"/>
      <c r="AMG277"/>
      <c r="AMH277"/>
      <c r="AMI277"/>
      <c r="AMJ277"/>
    </row>
    <row r="278" spans="1:1024" ht="11.25" customHeight="1" x14ac:dyDescent="0.2">
      <c r="A278" s="2"/>
      <c r="C278" s="110"/>
      <c r="D278" s="110"/>
      <c r="E278" s="1"/>
      <c r="F278" s="1"/>
      <c r="G278" s="1"/>
      <c r="AME278"/>
      <c r="AMF278"/>
      <c r="AMG278"/>
      <c r="AMH278"/>
      <c r="AMI278"/>
      <c r="AMJ278"/>
    </row>
    <row r="279" spans="1:1024" ht="11.25" customHeight="1" x14ac:dyDescent="0.2">
      <c r="A279" s="2"/>
      <c r="C279" s="110"/>
      <c r="D279" s="110"/>
      <c r="E279" s="1"/>
      <c r="F279" s="1"/>
      <c r="G279" s="1"/>
      <c r="AME279"/>
      <c r="AMF279"/>
      <c r="AMG279"/>
      <c r="AMH279"/>
      <c r="AMI279"/>
      <c r="AMJ279"/>
    </row>
    <row r="280" spans="1:1024" ht="11.25" customHeight="1" x14ac:dyDescent="0.2">
      <c r="A280" s="2"/>
      <c r="C280" s="110"/>
      <c r="D280" s="110"/>
      <c r="E280" s="1"/>
      <c r="F280" s="1"/>
      <c r="G280" s="1"/>
      <c r="AME280"/>
      <c r="AMF280"/>
      <c r="AMG280"/>
      <c r="AMH280"/>
      <c r="AMI280"/>
      <c r="AMJ280"/>
    </row>
    <row r="281" spans="1:1024" ht="11.25" customHeight="1" x14ac:dyDescent="0.2">
      <c r="A281" s="2"/>
      <c r="C281" s="110"/>
      <c r="D281" s="110"/>
      <c r="E281" s="1"/>
      <c r="F281" s="1"/>
      <c r="G281" s="1"/>
      <c r="AME281"/>
      <c r="AMF281"/>
      <c r="AMG281"/>
      <c r="AMH281"/>
      <c r="AMI281"/>
      <c r="AMJ281"/>
    </row>
    <row r="282" spans="1:1024" ht="11.25" customHeight="1" x14ac:dyDescent="0.2">
      <c r="A282" s="2"/>
      <c r="C282" s="110"/>
      <c r="D282" s="110"/>
      <c r="E282" s="1"/>
      <c r="F282" s="1"/>
      <c r="G282" s="1"/>
      <c r="AME282"/>
      <c r="AMF282"/>
      <c r="AMG282"/>
      <c r="AMH282"/>
      <c r="AMI282"/>
      <c r="AMJ282"/>
    </row>
    <row r="283" spans="1:1024" ht="11.25" customHeight="1" x14ac:dyDescent="0.2">
      <c r="A283" s="2"/>
      <c r="C283" s="110"/>
      <c r="D283" s="110"/>
      <c r="E283" s="1"/>
      <c r="F283" s="1"/>
      <c r="G283" s="1"/>
      <c r="AME283"/>
      <c r="AMF283"/>
      <c r="AMG283"/>
      <c r="AMH283"/>
      <c r="AMI283"/>
      <c r="AMJ283"/>
    </row>
    <row r="284" spans="1:1024" ht="11.25" customHeight="1" x14ac:dyDescent="0.2">
      <c r="A284" s="2"/>
      <c r="C284" s="110"/>
      <c r="D284" s="110"/>
      <c r="E284" s="1"/>
      <c r="F284" s="1"/>
      <c r="G284" s="1"/>
      <c r="AME284"/>
      <c r="AMF284"/>
      <c r="AMG284"/>
      <c r="AMH284"/>
      <c r="AMI284"/>
      <c r="AMJ284"/>
    </row>
    <row r="285" spans="1:1024" ht="11.25" customHeight="1" x14ac:dyDescent="0.2">
      <c r="A285" s="2"/>
      <c r="C285" s="110"/>
      <c r="D285" s="110"/>
      <c r="E285" s="1"/>
      <c r="F285" s="1"/>
      <c r="G285" s="1"/>
      <c r="AME285"/>
      <c r="AMF285"/>
      <c r="AMG285"/>
      <c r="AMH285"/>
      <c r="AMI285"/>
      <c r="AMJ285"/>
    </row>
    <row r="286" spans="1:1024" ht="11.25" customHeight="1" x14ac:dyDescent="0.2">
      <c r="A286" s="2"/>
      <c r="C286" s="110"/>
      <c r="D286" s="110"/>
      <c r="E286" s="1"/>
      <c r="F286" s="1"/>
      <c r="G286" s="1"/>
      <c r="AME286"/>
      <c r="AMF286"/>
      <c r="AMG286"/>
      <c r="AMH286"/>
      <c r="AMI286"/>
      <c r="AMJ286"/>
    </row>
    <row r="287" spans="1:1024" ht="11.25" customHeight="1" x14ac:dyDescent="0.2">
      <c r="A287" s="2"/>
      <c r="C287" s="110"/>
      <c r="D287" s="110"/>
      <c r="E287" s="1"/>
      <c r="F287" s="1"/>
      <c r="G287" s="1"/>
      <c r="AME287"/>
      <c r="AMF287"/>
      <c r="AMG287"/>
      <c r="AMH287"/>
      <c r="AMI287"/>
      <c r="AMJ287"/>
    </row>
    <row r="288" spans="1:1024" ht="11.25" customHeight="1" x14ac:dyDescent="0.2">
      <c r="A288" s="2"/>
      <c r="C288" s="110"/>
      <c r="D288" s="110"/>
      <c r="E288" s="1"/>
      <c r="F288" s="1"/>
      <c r="G288" s="1"/>
      <c r="AME288"/>
      <c r="AMF288"/>
      <c r="AMG288"/>
      <c r="AMH288"/>
      <c r="AMI288"/>
      <c r="AMJ288"/>
    </row>
    <row r="289" spans="1:1024" ht="11.25" customHeight="1" x14ac:dyDescent="0.2">
      <c r="A289" s="2"/>
      <c r="C289" s="110"/>
      <c r="D289" s="110"/>
      <c r="E289" s="1"/>
      <c r="F289" s="1"/>
      <c r="G289" s="1"/>
      <c r="AME289"/>
      <c r="AMF289"/>
      <c r="AMG289"/>
      <c r="AMH289"/>
      <c r="AMI289"/>
      <c r="AMJ289"/>
    </row>
    <row r="290" spans="1:1024" ht="11.25" customHeight="1" x14ac:dyDescent="0.2">
      <c r="A290" s="2"/>
      <c r="C290" s="110"/>
      <c r="D290" s="110"/>
      <c r="E290" s="1"/>
      <c r="F290" s="1"/>
      <c r="G290" s="1"/>
      <c r="AME290"/>
      <c r="AMF290"/>
      <c r="AMG290"/>
      <c r="AMH290"/>
      <c r="AMI290"/>
      <c r="AMJ290"/>
    </row>
    <row r="291" spans="1:1024" ht="11.25" customHeight="1" x14ac:dyDescent="0.2">
      <c r="A291" s="2"/>
      <c r="C291" s="110"/>
      <c r="D291" s="110"/>
      <c r="E291" s="1"/>
      <c r="F291" s="1"/>
      <c r="G291" s="1"/>
      <c r="AME291"/>
      <c r="AMF291"/>
      <c r="AMG291"/>
      <c r="AMH291"/>
      <c r="AMI291"/>
      <c r="AMJ291"/>
    </row>
    <row r="292" spans="1:1024" ht="11.25" customHeight="1" x14ac:dyDescent="0.2">
      <c r="A292" s="2"/>
      <c r="C292" s="110"/>
      <c r="D292" s="110"/>
      <c r="E292" s="1"/>
      <c r="F292" s="1"/>
      <c r="G292" s="1"/>
      <c r="AME292"/>
      <c r="AMF292"/>
      <c r="AMG292"/>
      <c r="AMH292"/>
      <c r="AMI292"/>
      <c r="AMJ292"/>
    </row>
    <row r="293" spans="1:1024" ht="11.25" customHeight="1" x14ac:dyDescent="0.2">
      <c r="A293" s="2"/>
      <c r="C293" s="110"/>
      <c r="D293" s="110"/>
      <c r="E293" s="1"/>
      <c r="F293" s="1"/>
      <c r="G293" s="1"/>
      <c r="AME293"/>
      <c r="AMF293"/>
      <c r="AMG293"/>
      <c r="AMH293"/>
      <c r="AMI293"/>
      <c r="AMJ293"/>
    </row>
    <row r="294" spans="1:1024" ht="11.25" customHeight="1" x14ac:dyDescent="0.2">
      <c r="A294" s="2"/>
      <c r="C294" s="110"/>
      <c r="D294" s="110"/>
      <c r="E294" s="1"/>
      <c r="F294" s="1"/>
      <c r="G294" s="1"/>
      <c r="AME294"/>
      <c r="AMF294"/>
      <c r="AMG294"/>
      <c r="AMH294"/>
      <c r="AMI294"/>
      <c r="AMJ294"/>
    </row>
    <row r="295" spans="1:1024" s="1" customFormat="1" ht="11.25" customHeight="1" x14ac:dyDescent="0.2">
      <c r="A295" s="2"/>
      <c r="C295" s="110"/>
      <c r="D295" s="110"/>
    </row>
    <row r="296" spans="1:1024" ht="11.25" customHeight="1" x14ac:dyDescent="0.2">
      <c r="A296" s="2"/>
      <c r="C296" s="110"/>
      <c r="D296" s="110"/>
      <c r="E296" s="1"/>
      <c r="F296" s="1"/>
      <c r="G296" s="1"/>
      <c r="AME296"/>
      <c r="AMF296"/>
      <c r="AMG296"/>
      <c r="AMH296"/>
      <c r="AMI296"/>
      <c r="AMJ296"/>
    </row>
    <row r="297" spans="1:1024" ht="11.25" customHeight="1" x14ac:dyDescent="0.2">
      <c r="A297" s="2"/>
      <c r="C297" s="110"/>
      <c r="D297" s="110"/>
      <c r="E297" s="1"/>
      <c r="F297" s="1"/>
      <c r="G297" s="1"/>
      <c r="AME297"/>
      <c r="AMF297"/>
      <c r="AMG297"/>
      <c r="AMH297"/>
      <c r="AMI297"/>
      <c r="AMJ297"/>
    </row>
    <row r="298" spans="1:1024" ht="11.25" customHeight="1" x14ac:dyDescent="0.2">
      <c r="A298" s="2"/>
      <c r="C298" s="110"/>
      <c r="D298" s="110"/>
      <c r="E298" s="1"/>
      <c r="F298" s="1"/>
      <c r="G298" s="1"/>
      <c r="AME298"/>
      <c r="AMF298"/>
      <c r="AMG298"/>
      <c r="AMH298"/>
      <c r="AMI298"/>
      <c r="AMJ298"/>
    </row>
    <row r="299" spans="1:1024" ht="11.25" customHeight="1" x14ac:dyDescent="0.2">
      <c r="A299" s="2"/>
      <c r="C299" s="110"/>
      <c r="D299" s="110"/>
      <c r="E299" s="1"/>
      <c r="F299" s="1"/>
      <c r="G299" s="1"/>
      <c r="AME299"/>
      <c r="AMF299"/>
      <c r="AMG299"/>
      <c r="AMH299"/>
      <c r="AMI299"/>
      <c r="AMJ299"/>
    </row>
    <row r="300" spans="1:1024" ht="11.25" customHeight="1" x14ac:dyDescent="0.2">
      <c r="A300" s="2"/>
      <c r="C300" s="110"/>
      <c r="D300" s="110"/>
      <c r="E300" s="1"/>
      <c r="F300" s="1"/>
      <c r="G300" s="1"/>
      <c r="AME300"/>
      <c r="AMF300"/>
      <c r="AMG300"/>
      <c r="AMH300"/>
      <c r="AMI300"/>
      <c r="AMJ300"/>
    </row>
    <row r="301" spans="1:1024" ht="11.25" customHeight="1" x14ac:dyDescent="0.2">
      <c r="A301" s="2"/>
      <c r="C301" s="110"/>
      <c r="D301" s="110"/>
      <c r="E301" s="1"/>
      <c r="F301" s="1"/>
      <c r="G301" s="1"/>
      <c r="AME301"/>
      <c r="AMF301"/>
      <c r="AMG301"/>
      <c r="AMH301"/>
      <c r="AMI301"/>
      <c r="AMJ301"/>
    </row>
    <row r="302" spans="1:1024" ht="11.25" customHeight="1" x14ac:dyDescent="0.2">
      <c r="A302" s="2"/>
      <c r="C302" s="110"/>
      <c r="D302" s="110"/>
      <c r="E302" s="1"/>
      <c r="F302" s="1"/>
      <c r="G302" s="1"/>
      <c r="AME302"/>
      <c r="AMF302"/>
      <c r="AMG302"/>
      <c r="AMH302"/>
      <c r="AMI302"/>
      <c r="AMJ302"/>
    </row>
    <row r="303" spans="1:1024" s="1" customFormat="1" ht="11.25" customHeight="1" x14ac:dyDescent="0.2">
      <c r="A303" s="2"/>
      <c r="C303" s="110"/>
      <c r="D303" s="110"/>
    </row>
    <row r="304" spans="1:1024" s="1" customFormat="1" ht="11.25" customHeight="1" x14ac:dyDescent="0.2">
      <c r="A304" s="2"/>
      <c r="C304" s="110"/>
      <c r="D304" s="110"/>
    </row>
    <row r="305" spans="1:1024" s="1" customFormat="1" ht="11.25" customHeight="1" x14ac:dyDescent="0.2">
      <c r="A305" s="2"/>
      <c r="C305" s="110"/>
      <c r="D305" s="110"/>
    </row>
    <row r="306" spans="1:1024" s="1" customFormat="1" ht="11.25" customHeight="1" x14ac:dyDescent="0.2">
      <c r="A306" s="2"/>
      <c r="C306" s="110"/>
      <c r="D306" s="110"/>
    </row>
    <row r="307" spans="1:1024" ht="11.25" customHeight="1" x14ac:dyDescent="0.2">
      <c r="A307" s="2"/>
      <c r="C307" s="110"/>
      <c r="D307" s="110"/>
      <c r="E307" s="1"/>
      <c r="F307" s="1"/>
      <c r="G307" s="1"/>
      <c r="AME307"/>
      <c r="AMF307"/>
      <c r="AMG307"/>
      <c r="AMH307"/>
      <c r="AMI307"/>
      <c r="AMJ307"/>
    </row>
    <row r="308" spans="1:1024" ht="11.25" customHeight="1" x14ac:dyDescent="0.2">
      <c r="A308" s="2"/>
      <c r="C308" s="110"/>
      <c r="D308" s="110"/>
      <c r="E308" s="1"/>
      <c r="F308" s="1"/>
      <c r="G308" s="1"/>
      <c r="AME308"/>
      <c r="AMF308"/>
      <c r="AMG308"/>
      <c r="AMH308"/>
      <c r="AMI308"/>
      <c r="AMJ308"/>
    </row>
    <row r="309" spans="1:1024" ht="11.25" customHeight="1" x14ac:dyDescent="0.2">
      <c r="A309" s="2"/>
      <c r="C309" s="110"/>
      <c r="D309" s="110"/>
      <c r="E309" s="1"/>
      <c r="F309" s="1"/>
      <c r="G309" s="1"/>
      <c r="AME309"/>
      <c r="AMF309"/>
      <c r="AMG309"/>
      <c r="AMH309"/>
      <c r="AMI309"/>
      <c r="AMJ309"/>
    </row>
    <row r="310" spans="1:1024" ht="11.25" customHeight="1" x14ac:dyDescent="0.2">
      <c r="A310" s="2"/>
      <c r="C310" s="110"/>
      <c r="D310" s="110"/>
      <c r="E310" s="1"/>
      <c r="F310" s="1"/>
      <c r="G310" s="1"/>
      <c r="AME310"/>
      <c r="AMF310"/>
      <c r="AMG310"/>
      <c r="AMH310"/>
      <c r="AMI310"/>
      <c r="AMJ310"/>
    </row>
    <row r="311" spans="1:1024" ht="11.25" customHeight="1" x14ac:dyDescent="0.2">
      <c r="A311" s="2"/>
      <c r="C311" s="110"/>
      <c r="D311" s="110"/>
      <c r="E311" s="1"/>
      <c r="F311" s="1"/>
      <c r="G311" s="1"/>
      <c r="AME311"/>
      <c r="AMF311"/>
      <c r="AMG311"/>
      <c r="AMH311"/>
      <c r="AMI311"/>
      <c r="AMJ311"/>
    </row>
    <row r="312" spans="1:1024" ht="11.25" customHeight="1" x14ac:dyDescent="0.2">
      <c r="A312" s="2"/>
      <c r="C312" s="110"/>
      <c r="D312" s="110"/>
      <c r="E312" s="1"/>
      <c r="F312" s="1"/>
      <c r="G312" s="1"/>
      <c r="AME312"/>
      <c r="AMF312"/>
      <c r="AMG312"/>
      <c r="AMH312"/>
      <c r="AMI312"/>
      <c r="AMJ312"/>
    </row>
    <row r="313" spans="1:1024" ht="11.25" customHeight="1" x14ac:dyDescent="0.2">
      <c r="A313" s="2"/>
      <c r="C313" s="110"/>
      <c r="D313" s="110"/>
      <c r="E313" s="1"/>
      <c r="F313" s="1"/>
      <c r="G313" s="1"/>
      <c r="AME313"/>
      <c r="AMF313"/>
      <c r="AMG313"/>
      <c r="AMH313"/>
      <c r="AMI313"/>
      <c r="AMJ313"/>
    </row>
    <row r="314" spans="1:1024" ht="11.25" customHeight="1" x14ac:dyDescent="0.2">
      <c r="A314" s="2"/>
      <c r="C314" s="110"/>
      <c r="D314" s="110"/>
      <c r="E314" s="1"/>
      <c r="F314" s="1"/>
      <c r="G314" s="1"/>
      <c r="AME314"/>
      <c r="AMF314"/>
      <c r="AMG314"/>
      <c r="AMH314"/>
      <c r="AMI314"/>
      <c r="AMJ314"/>
    </row>
    <row r="315" spans="1:1024" ht="11.25" customHeight="1" x14ac:dyDescent="0.2">
      <c r="A315" s="2"/>
      <c r="C315" s="110"/>
      <c r="D315" s="110"/>
      <c r="E315" s="1"/>
      <c r="F315" s="1"/>
      <c r="G315" s="1"/>
      <c r="AME315"/>
      <c r="AMF315"/>
      <c r="AMG315"/>
      <c r="AMH315"/>
      <c r="AMI315"/>
      <c r="AMJ315"/>
    </row>
    <row r="316" spans="1:1024" ht="11.25" customHeight="1" x14ac:dyDescent="0.2">
      <c r="A316" s="2"/>
      <c r="C316" s="110"/>
      <c r="D316" s="110"/>
      <c r="E316" s="1"/>
      <c r="F316" s="1"/>
      <c r="G316" s="1"/>
      <c r="AME316"/>
      <c r="AMF316"/>
      <c r="AMG316"/>
      <c r="AMH316"/>
      <c r="AMI316"/>
      <c r="AMJ316"/>
    </row>
    <row r="317" spans="1:1024" ht="11.25" customHeight="1" x14ac:dyDescent="0.2">
      <c r="A317" s="2"/>
      <c r="C317" s="110"/>
      <c r="D317" s="110"/>
      <c r="E317" s="1"/>
      <c r="F317" s="1"/>
      <c r="G317" s="1"/>
      <c r="AME317"/>
      <c r="AMF317"/>
      <c r="AMG317"/>
      <c r="AMH317"/>
      <c r="AMI317"/>
      <c r="AMJ317"/>
    </row>
    <row r="318" spans="1:1024" ht="11.25" customHeight="1" x14ac:dyDescent="0.2">
      <c r="A318" s="2"/>
      <c r="C318" s="110"/>
      <c r="D318" s="110"/>
      <c r="E318" s="1"/>
      <c r="F318" s="1"/>
      <c r="G318" s="1"/>
      <c r="AME318"/>
      <c r="AMF318"/>
      <c r="AMG318"/>
      <c r="AMH318"/>
      <c r="AMI318"/>
      <c r="AMJ318"/>
    </row>
    <row r="319" spans="1:1024" ht="11.25" customHeight="1" x14ac:dyDescent="0.2">
      <c r="A319" s="2"/>
      <c r="C319" s="110"/>
      <c r="D319" s="110"/>
      <c r="E319" s="1"/>
      <c r="F319" s="1"/>
      <c r="G319" s="1"/>
      <c r="AME319"/>
      <c r="AMF319"/>
      <c r="AMG319"/>
      <c r="AMH319"/>
      <c r="AMI319"/>
      <c r="AMJ319"/>
    </row>
    <row r="320" spans="1:1024" ht="11.25" customHeight="1" x14ac:dyDescent="0.2">
      <c r="A320" s="2"/>
      <c r="C320" s="110"/>
      <c r="D320" s="110"/>
      <c r="E320" s="1"/>
      <c r="F320" s="1"/>
      <c r="G320" s="1"/>
      <c r="AME320"/>
      <c r="AMF320"/>
      <c r="AMG320"/>
      <c r="AMH320"/>
      <c r="AMI320"/>
      <c r="AMJ320"/>
    </row>
    <row r="321" spans="1:1024" s="1" customFormat="1" ht="11.25" customHeight="1" x14ac:dyDescent="0.2">
      <c r="A321" s="2"/>
      <c r="C321" s="110"/>
      <c r="D321" s="110"/>
    </row>
    <row r="322" spans="1:1024" ht="11.25" customHeight="1" x14ac:dyDescent="0.2">
      <c r="A322" s="2"/>
      <c r="C322" s="110"/>
      <c r="D322" s="110"/>
      <c r="E322" s="1"/>
      <c r="F322" s="1"/>
      <c r="G322" s="1"/>
      <c r="AME322"/>
      <c r="AMF322"/>
      <c r="AMG322"/>
      <c r="AMH322"/>
      <c r="AMI322"/>
      <c r="AMJ322"/>
    </row>
    <row r="323" spans="1:1024" ht="11.25" customHeight="1" x14ac:dyDescent="0.2">
      <c r="A323" s="2"/>
      <c r="C323" s="110"/>
      <c r="D323" s="110"/>
      <c r="E323" s="1"/>
      <c r="F323" s="1"/>
      <c r="G323" s="1"/>
      <c r="AME323"/>
      <c r="AMF323"/>
      <c r="AMG323"/>
      <c r="AMH323"/>
      <c r="AMI323"/>
      <c r="AMJ323"/>
    </row>
    <row r="324" spans="1:1024" ht="11.25" customHeight="1" x14ac:dyDescent="0.2">
      <c r="A324" s="2"/>
      <c r="C324" s="110"/>
      <c r="D324" s="110"/>
      <c r="E324" s="1"/>
      <c r="F324" s="1"/>
      <c r="G324" s="1"/>
      <c r="AME324"/>
      <c r="AMF324"/>
      <c r="AMG324"/>
      <c r="AMH324"/>
      <c r="AMI324"/>
      <c r="AMJ324"/>
    </row>
    <row r="325" spans="1:1024" ht="11.25" customHeight="1" x14ac:dyDescent="0.2">
      <c r="A325" s="2"/>
      <c r="C325" s="110"/>
      <c r="D325" s="110"/>
      <c r="E325" s="1"/>
      <c r="F325" s="1"/>
      <c r="G325" s="1"/>
      <c r="AME325"/>
      <c r="AMF325"/>
      <c r="AMG325"/>
      <c r="AMH325"/>
      <c r="AMI325"/>
      <c r="AMJ325"/>
    </row>
    <row r="326" spans="1:1024" ht="11.25" customHeight="1" x14ac:dyDescent="0.2">
      <c r="A326" s="2"/>
      <c r="C326" s="110"/>
      <c r="D326" s="110"/>
      <c r="E326" s="1"/>
      <c r="F326" s="1"/>
      <c r="G326" s="1"/>
      <c r="AME326"/>
      <c r="AMF326"/>
      <c r="AMG326"/>
      <c r="AMH326"/>
      <c r="AMI326"/>
      <c r="AMJ326"/>
    </row>
    <row r="327" spans="1:1024" ht="11.25" customHeight="1" x14ac:dyDescent="0.2">
      <c r="A327" s="2"/>
      <c r="C327" s="110"/>
      <c r="D327" s="110"/>
      <c r="E327" s="1"/>
      <c r="F327" s="1"/>
      <c r="G327" s="1"/>
      <c r="AME327"/>
      <c r="AMF327"/>
      <c r="AMG327"/>
      <c r="AMH327"/>
      <c r="AMI327"/>
      <c r="AMJ327"/>
    </row>
    <row r="328" spans="1:1024" ht="11.25" customHeight="1" x14ac:dyDescent="0.2">
      <c r="A328" s="2"/>
      <c r="C328" s="110"/>
      <c r="D328" s="110"/>
      <c r="E328" s="1"/>
      <c r="F328" s="1"/>
      <c r="G328" s="1"/>
      <c r="AME328"/>
      <c r="AMF328"/>
      <c r="AMG328"/>
      <c r="AMH328"/>
      <c r="AMI328"/>
      <c r="AMJ328"/>
    </row>
    <row r="329" spans="1:1024" ht="11.25" customHeight="1" x14ac:dyDescent="0.2">
      <c r="A329" s="2"/>
      <c r="C329" s="110"/>
      <c r="D329" s="110"/>
      <c r="E329" s="1"/>
      <c r="F329" s="1"/>
      <c r="G329" s="1"/>
      <c r="AME329"/>
      <c r="AMF329"/>
      <c r="AMG329"/>
      <c r="AMH329"/>
      <c r="AMI329"/>
      <c r="AMJ329"/>
    </row>
    <row r="330" spans="1:1024" ht="11.25" customHeight="1" x14ac:dyDescent="0.2">
      <c r="A330" s="2"/>
      <c r="C330" s="110"/>
      <c r="D330" s="110"/>
      <c r="E330" s="1"/>
      <c r="F330" s="1"/>
      <c r="G330" s="1"/>
      <c r="AME330"/>
      <c r="AMF330"/>
      <c r="AMG330"/>
      <c r="AMH330"/>
      <c r="AMI330"/>
      <c r="AMJ330"/>
    </row>
    <row r="331" spans="1:1024" ht="11.25" customHeight="1" x14ac:dyDescent="0.2">
      <c r="A331" s="2"/>
      <c r="C331" s="110"/>
      <c r="D331" s="110"/>
      <c r="E331" s="1"/>
      <c r="F331" s="1"/>
      <c r="G331" s="1"/>
      <c r="AME331"/>
      <c r="AMF331"/>
      <c r="AMG331"/>
      <c r="AMH331"/>
      <c r="AMI331"/>
      <c r="AMJ331"/>
    </row>
    <row r="332" spans="1:1024" s="1" customFormat="1" ht="11.25" customHeight="1" x14ac:dyDescent="0.2">
      <c r="A332" s="2"/>
      <c r="C332" s="110"/>
      <c r="D332" s="110"/>
    </row>
    <row r="333" spans="1:1024" ht="11.25" customHeight="1" x14ac:dyDescent="0.2">
      <c r="A333" s="2"/>
      <c r="C333" s="110"/>
      <c r="D333" s="110"/>
      <c r="E333" s="1"/>
      <c r="F333" s="1"/>
      <c r="G333" s="1"/>
      <c r="AME333"/>
      <c r="AMF333"/>
      <c r="AMG333"/>
      <c r="AMH333"/>
      <c r="AMI333"/>
      <c r="AMJ333"/>
    </row>
    <row r="334" spans="1:1024" ht="11.25" customHeight="1" x14ac:dyDescent="0.2">
      <c r="A334" s="2"/>
      <c r="C334" s="110"/>
      <c r="D334" s="110"/>
      <c r="E334" s="1"/>
      <c r="F334" s="1"/>
      <c r="G334" s="1"/>
      <c r="AME334"/>
      <c r="AMF334"/>
      <c r="AMG334"/>
      <c r="AMH334"/>
      <c r="AMI334"/>
      <c r="AMJ334"/>
    </row>
    <row r="335" spans="1:1024" ht="11.25" customHeight="1" x14ac:dyDescent="0.2">
      <c r="A335" s="2"/>
      <c r="C335" s="110"/>
      <c r="D335" s="110"/>
      <c r="E335" s="1"/>
      <c r="F335" s="1"/>
      <c r="G335" s="1"/>
      <c r="AME335"/>
      <c r="AMF335"/>
      <c r="AMG335"/>
      <c r="AMH335"/>
      <c r="AMI335"/>
      <c r="AMJ335"/>
    </row>
    <row r="336" spans="1:1024" ht="11.25" customHeight="1" x14ac:dyDescent="0.2">
      <c r="A336" s="2"/>
      <c r="C336" s="110"/>
      <c r="D336" s="110"/>
      <c r="E336" s="1"/>
      <c r="F336" s="1"/>
      <c r="G336" s="1"/>
      <c r="AME336"/>
      <c r="AMF336"/>
      <c r="AMG336"/>
      <c r="AMH336"/>
      <c r="AMI336"/>
      <c r="AMJ336"/>
    </row>
    <row r="337" spans="1:1024" ht="11.25" customHeight="1" x14ac:dyDescent="0.2">
      <c r="A337" s="2"/>
      <c r="C337" s="110"/>
      <c r="D337" s="110"/>
      <c r="E337" s="1"/>
      <c r="F337" s="1"/>
      <c r="G337" s="1"/>
      <c r="AME337"/>
      <c r="AMF337"/>
      <c r="AMG337"/>
      <c r="AMH337"/>
      <c r="AMI337"/>
      <c r="AMJ337"/>
    </row>
    <row r="338" spans="1:1024" ht="11.25" customHeight="1" x14ac:dyDescent="0.2">
      <c r="A338" s="2"/>
      <c r="C338" s="110"/>
      <c r="D338" s="110"/>
      <c r="E338" s="1"/>
      <c r="F338" s="1"/>
      <c r="G338" s="1"/>
      <c r="AME338"/>
      <c r="AMF338"/>
      <c r="AMG338"/>
      <c r="AMH338"/>
      <c r="AMI338"/>
      <c r="AMJ338"/>
    </row>
    <row r="339" spans="1:1024" ht="11.25" customHeight="1" x14ac:dyDescent="0.2">
      <c r="A339" s="2"/>
      <c r="C339" s="110"/>
      <c r="D339" s="110"/>
      <c r="E339" s="1"/>
      <c r="F339" s="1"/>
      <c r="G339" s="1"/>
      <c r="AME339"/>
      <c r="AMF339"/>
      <c r="AMG339"/>
      <c r="AMH339"/>
      <c r="AMI339"/>
      <c r="AMJ339"/>
    </row>
    <row r="340" spans="1:1024" ht="11.25" customHeight="1" x14ac:dyDescent="0.2">
      <c r="A340" s="2"/>
      <c r="C340" s="110"/>
      <c r="D340" s="110"/>
      <c r="E340" s="1"/>
      <c r="F340" s="1"/>
      <c r="G340" s="1"/>
      <c r="AME340"/>
      <c r="AMF340"/>
      <c r="AMG340"/>
      <c r="AMH340"/>
      <c r="AMI340"/>
      <c r="AMJ340"/>
    </row>
    <row r="341" spans="1:1024" s="1" customFormat="1" ht="11.25" customHeight="1" x14ac:dyDescent="0.2">
      <c r="A341" s="2"/>
      <c r="C341" s="110"/>
      <c r="D341" s="110"/>
    </row>
    <row r="342" spans="1:1024" ht="11.25" customHeight="1" x14ac:dyDescent="0.2">
      <c r="A342" s="2"/>
      <c r="C342" s="110"/>
      <c r="D342" s="110"/>
      <c r="E342" s="1"/>
      <c r="F342" s="1"/>
      <c r="G342" s="1"/>
      <c r="AME342"/>
      <c r="AMF342"/>
      <c r="AMG342"/>
      <c r="AMH342"/>
      <c r="AMI342"/>
      <c r="AMJ342"/>
    </row>
    <row r="343" spans="1:1024" ht="11.25" customHeight="1" x14ac:dyDescent="0.2">
      <c r="A343" s="2"/>
      <c r="C343" s="110"/>
      <c r="D343" s="110"/>
      <c r="E343" s="1"/>
      <c r="F343" s="1"/>
      <c r="G343" s="1"/>
      <c r="AME343"/>
      <c r="AMF343"/>
      <c r="AMG343"/>
      <c r="AMH343"/>
      <c r="AMI343"/>
      <c r="AMJ343"/>
    </row>
    <row r="344" spans="1:1024" ht="11.25" customHeight="1" x14ac:dyDescent="0.2">
      <c r="A344" s="2"/>
      <c r="C344" s="110"/>
      <c r="D344" s="110"/>
      <c r="E344" s="1"/>
      <c r="F344" s="1"/>
      <c r="G344" s="1"/>
      <c r="AME344"/>
      <c r="AMF344"/>
      <c r="AMG344"/>
      <c r="AMH344"/>
      <c r="AMI344"/>
      <c r="AMJ344"/>
    </row>
    <row r="345" spans="1:1024" ht="11.25" customHeight="1" x14ac:dyDescent="0.2">
      <c r="A345" s="2"/>
      <c r="C345" s="110"/>
      <c r="D345" s="110"/>
      <c r="E345" s="1"/>
      <c r="F345" s="1"/>
      <c r="G345" s="1"/>
      <c r="AME345"/>
      <c r="AMF345"/>
      <c r="AMG345"/>
      <c r="AMH345"/>
      <c r="AMI345"/>
      <c r="AMJ345"/>
    </row>
    <row r="346" spans="1:1024" s="1" customFormat="1" ht="11.25" customHeight="1" x14ac:dyDescent="0.2">
      <c r="A346" s="2"/>
      <c r="C346" s="110"/>
      <c r="D346" s="110"/>
    </row>
    <row r="347" spans="1:1024" ht="11.25" customHeight="1" x14ac:dyDescent="0.2">
      <c r="A347" s="2"/>
      <c r="C347" s="110"/>
      <c r="D347" s="110"/>
      <c r="E347" s="1"/>
      <c r="F347" s="1"/>
      <c r="G347" s="1"/>
      <c r="AME347"/>
      <c r="AMF347"/>
      <c r="AMG347"/>
      <c r="AMH347"/>
      <c r="AMI347"/>
      <c r="AMJ347"/>
    </row>
    <row r="348" spans="1:1024" s="1" customFormat="1" ht="11.25" customHeight="1" x14ac:dyDescent="0.2">
      <c r="A348" s="2"/>
      <c r="C348" s="110"/>
      <c r="D348" s="110"/>
    </row>
    <row r="349" spans="1:1024" ht="11.25" customHeight="1" x14ac:dyDescent="0.2">
      <c r="A349" s="2"/>
      <c r="C349" s="110"/>
      <c r="D349" s="110"/>
      <c r="E349" s="1"/>
      <c r="F349" s="1"/>
      <c r="G349" s="1"/>
      <c r="AME349"/>
      <c r="AMF349"/>
      <c r="AMG349"/>
      <c r="AMH349"/>
      <c r="AMI349"/>
      <c r="AMJ349"/>
    </row>
    <row r="350" spans="1:1024" ht="11.25" customHeight="1" x14ac:dyDescent="0.2">
      <c r="A350" s="2"/>
      <c r="C350" s="110"/>
      <c r="D350" s="110"/>
      <c r="E350" s="1"/>
      <c r="F350" s="1"/>
      <c r="G350" s="1"/>
      <c r="AME350"/>
      <c r="AMF350"/>
      <c r="AMG350"/>
      <c r="AMH350"/>
      <c r="AMI350"/>
      <c r="AMJ350"/>
    </row>
    <row r="351" spans="1:1024" ht="11.25" customHeight="1" x14ac:dyDescent="0.2">
      <c r="A351" s="2"/>
      <c r="C351" s="110"/>
      <c r="D351" s="110"/>
      <c r="E351" s="1"/>
      <c r="F351" s="1"/>
      <c r="G351" s="1"/>
      <c r="AME351"/>
      <c r="AMF351"/>
      <c r="AMG351"/>
      <c r="AMH351"/>
      <c r="AMI351"/>
      <c r="AMJ351"/>
    </row>
    <row r="352" spans="1:1024" ht="11.25" customHeight="1" x14ac:dyDescent="0.2">
      <c r="A352" s="2"/>
      <c r="C352" s="110"/>
      <c r="D352" s="110"/>
      <c r="E352" s="1"/>
      <c r="F352" s="1"/>
      <c r="G352" s="1"/>
      <c r="AME352"/>
      <c r="AMF352"/>
      <c r="AMG352"/>
      <c r="AMH352"/>
      <c r="AMI352"/>
      <c r="AMJ352"/>
    </row>
    <row r="353" spans="1:1024" ht="11.25" customHeight="1" x14ac:dyDescent="0.2">
      <c r="A353" s="2"/>
      <c r="C353" s="110"/>
      <c r="D353" s="110"/>
      <c r="E353" s="1"/>
      <c r="F353" s="1"/>
      <c r="G353" s="1"/>
      <c r="AME353"/>
      <c r="AMF353"/>
      <c r="AMG353"/>
      <c r="AMH353"/>
      <c r="AMI353"/>
      <c r="AMJ353"/>
    </row>
    <row r="354" spans="1:1024" ht="11.25" customHeight="1" x14ac:dyDescent="0.2">
      <c r="A354" s="2"/>
      <c r="C354" s="110"/>
      <c r="D354" s="110"/>
      <c r="E354" s="1"/>
      <c r="F354" s="1"/>
      <c r="G354" s="1"/>
      <c r="AME354"/>
      <c r="AMF354"/>
      <c r="AMG354"/>
      <c r="AMH354"/>
      <c r="AMI354"/>
      <c r="AMJ354"/>
    </row>
    <row r="355" spans="1:1024" s="1" customFormat="1" ht="11.25" customHeight="1" x14ac:dyDescent="0.2">
      <c r="A355" s="2"/>
      <c r="C355" s="110"/>
      <c r="D355" s="110"/>
    </row>
    <row r="356" spans="1:1024" ht="11.25" customHeight="1" x14ac:dyDescent="0.2">
      <c r="A356" s="2"/>
      <c r="C356" s="110"/>
      <c r="D356" s="110"/>
      <c r="E356" s="1"/>
      <c r="F356" s="1"/>
      <c r="G356" s="1"/>
      <c r="AME356"/>
      <c r="AMF356"/>
      <c r="AMG356"/>
      <c r="AMH356"/>
      <c r="AMI356"/>
      <c r="AMJ356"/>
    </row>
    <row r="357" spans="1:1024" ht="11.25" customHeight="1" x14ac:dyDescent="0.2">
      <c r="A357" s="2"/>
      <c r="C357" s="110"/>
      <c r="D357" s="110"/>
      <c r="E357" s="1"/>
      <c r="F357" s="1"/>
      <c r="G357" s="1"/>
      <c r="AME357"/>
      <c r="AMF357"/>
      <c r="AMG357"/>
      <c r="AMH357"/>
      <c r="AMI357"/>
      <c r="AMJ357"/>
    </row>
    <row r="358" spans="1:1024" ht="11.25" customHeight="1" x14ac:dyDescent="0.2">
      <c r="A358" s="2"/>
      <c r="C358" s="110"/>
      <c r="D358" s="110"/>
      <c r="E358" s="1"/>
      <c r="F358" s="1"/>
      <c r="G358" s="1"/>
      <c r="AME358"/>
      <c r="AMF358"/>
      <c r="AMG358"/>
      <c r="AMH358"/>
      <c r="AMI358"/>
      <c r="AMJ358"/>
    </row>
    <row r="359" spans="1:1024" ht="11.25" customHeight="1" x14ac:dyDescent="0.2">
      <c r="A359" s="2"/>
      <c r="C359" s="110"/>
      <c r="D359" s="110"/>
      <c r="E359" s="1"/>
      <c r="F359" s="1"/>
      <c r="G359" s="1"/>
      <c r="AME359"/>
      <c r="AMF359"/>
      <c r="AMG359"/>
      <c r="AMH359"/>
      <c r="AMI359"/>
      <c r="AMJ359"/>
    </row>
    <row r="360" spans="1:1024" ht="11.25" customHeight="1" x14ac:dyDescent="0.2">
      <c r="A360" s="2"/>
      <c r="C360" s="110"/>
      <c r="D360" s="110"/>
      <c r="E360" s="1"/>
      <c r="F360" s="1"/>
      <c r="G360" s="1"/>
      <c r="AME360"/>
      <c r="AMF360"/>
      <c r="AMG360"/>
      <c r="AMH360"/>
      <c r="AMI360"/>
      <c r="AMJ360"/>
    </row>
    <row r="361" spans="1:1024" ht="11.25" customHeight="1" x14ac:dyDescent="0.2">
      <c r="A361" s="2"/>
      <c r="C361" s="110"/>
      <c r="D361" s="110"/>
      <c r="E361" s="1"/>
      <c r="F361" s="1"/>
      <c r="G361" s="1"/>
      <c r="AME361"/>
      <c r="AMF361"/>
      <c r="AMG361"/>
      <c r="AMH361"/>
      <c r="AMI361"/>
      <c r="AMJ361"/>
    </row>
    <row r="362" spans="1:1024" ht="11.25" customHeight="1" x14ac:dyDescent="0.2">
      <c r="A362" s="2"/>
      <c r="C362" s="110"/>
      <c r="D362" s="110"/>
      <c r="E362" s="1"/>
      <c r="F362" s="1"/>
      <c r="G362" s="1"/>
      <c r="AME362"/>
      <c r="AMF362"/>
      <c r="AMG362"/>
      <c r="AMH362"/>
      <c r="AMI362"/>
      <c r="AMJ362"/>
    </row>
    <row r="363" spans="1:1024" ht="11.25" customHeight="1" x14ac:dyDescent="0.2">
      <c r="A363" s="2"/>
      <c r="C363" s="110"/>
      <c r="D363" s="110"/>
      <c r="E363" s="1"/>
      <c r="F363" s="1"/>
      <c r="G363" s="1"/>
      <c r="AME363"/>
      <c r="AMF363"/>
      <c r="AMG363"/>
      <c r="AMH363"/>
      <c r="AMI363"/>
      <c r="AMJ363"/>
    </row>
    <row r="364" spans="1:1024" ht="11.25" customHeight="1" x14ac:dyDescent="0.2">
      <c r="A364" s="2"/>
      <c r="C364" s="110"/>
      <c r="D364" s="110"/>
      <c r="E364" s="1"/>
      <c r="F364" s="1"/>
      <c r="G364" s="1"/>
      <c r="AME364"/>
      <c r="AMF364"/>
      <c r="AMG364"/>
      <c r="AMH364"/>
      <c r="AMI364"/>
      <c r="AMJ364"/>
    </row>
    <row r="365" spans="1:1024" ht="11.25" customHeight="1" x14ac:dyDescent="0.2">
      <c r="A365" s="2"/>
      <c r="C365" s="110"/>
      <c r="D365" s="110"/>
      <c r="E365" s="1"/>
      <c r="F365" s="1"/>
      <c r="G365" s="1"/>
      <c r="AME365"/>
      <c r="AMF365"/>
      <c r="AMG365"/>
      <c r="AMH365"/>
      <c r="AMI365"/>
      <c r="AMJ365"/>
    </row>
    <row r="366" spans="1:1024" s="1" customFormat="1" ht="11.25" customHeight="1" x14ac:dyDescent="0.2">
      <c r="A366" s="2"/>
      <c r="C366" s="110"/>
      <c r="D366" s="110"/>
    </row>
    <row r="367" spans="1:1024" ht="11.25" customHeight="1" x14ac:dyDescent="0.2">
      <c r="A367" s="2"/>
      <c r="C367" s="110"/>
      <c r="D367" s="110"/>
      <c r="E367" s="1"/>
      <c r="F367" s="1"/>
      <c r="G367" s="1"/>
      <c r="AME367"/>
      <c r="AMF367"/>
      <c r="AMG367"/>
      <c r="AMH367"/>
      <c r="AMI367"/>
      <c r="AMJ367"/>
    </row>
    <row r="368" spans="1:1024" ht="11.25" customHeight="1" x14ac:dyDescent="0.2">
      <c r="A368" s="2"/>
      <c r="C368" s="110"/>
      <c r="D368" s="110"/>
      <c r="E368" s="1"/>
      <c r="F368" s="1"/>
      <c r="G368" s="1"/>
      <c r="AME368"/>
      <c r="AMF368"/>
      <c r="AMG368"/>
      <c r="AMH368"/>
      <c r="AMI368"/>
      <c r="AMJ368"/>
    </row>
    <row r="369" spans="1:1024" ht="11.25" customHeight="1" x14ac:dyDescent="0.2">
      <c r="A369" s="2"/>
      <c r="C369" s="110"/>
      <c r="D369" s="110"/>
      <c r="E369" s="1"/>
      <c r="F369" s="1"/>
      <c r="G369" s="1"/>
      <c r="AME369"/>
      <c r="AMF369"/>
      <c r="AMG369"/>
      <c r="AMH369"/>
      <c r="AMI369"/>
      <c r="AMJ369"/>
    </row>
    <row r="370" spans="1:1024" ht="11.25" customHeight="1" x14ac:dyDescent="0.2">
      <c r="A370" s="2"/>
      <c r="C370" s="110"/>
      <c r="D370" s="110"/>
      <c r="E370" s="1"/>
      <c r="F370" s="1"/>
      <c r="G370" s="1"/>
      <c r="AME370"/>
      <c r="AMF370"/>
      <c r="AMG370"/>
      <c r="AMH370"/>
      <c r="AMI370"/>
      <c r="AMJ370"/>
    </row>
    <row r="371" spans="1:1024" ht="11.25" customHeight="1" x14ac:dyDescent="0.2">
      <c r="A371" s="2"/>
      <c r="C371" s="110"/>
      <c r="D371" s="110"/>
      <c r="E371" s="1"/>
      <c r="F371" s="1"/>
      <c r="G371" s="1"/>
      <c r="AME371"/>
      <c r="AMF371"/>
      <c r="AMG371"/>
      <c r="AMH371"/>
      <c r="AMI371"/>
      <c r="AMJ371"/>
    </row>
    <row r="372" spans="1:1024" ht="11.25" customHeight="1" x14ac:dyDescent="0.2">
      <c r="A372" s="2"/>
      <c r="C372" s="110"/>
      <c r="D372" s="110"/>
      <c r="E372" s="1"/>
      <c r="F372" s="1"/>
      <c r="G372" s="1"/>
      <c r="AME372"/>
      <c r="AMF372"/>
      <c r="AMG372"/>
      <c r="AMH372"/>
      <c r="AMI372"/>
      <c r="AMJ372"/>
    </row>
    <row r="373" spans="1:1024" ht="11.25" customHeight="1" x14ac:dyDescent="0.2">
      <c r="A373" s="2"/>
      <c r="C373" s="110"/>
      <c r="D373" s="110"/>
      <c r="E373" s="1"/>
      <c r="F373" s="1"/>
      <c r="G373" s="1"/>
      <c r="AME373"/>
      <c r="AMF373"/>
      <c r="AMG373"/>
      <c r="AMH373"/>
      <c r="AMI373"/>
      <c r="AMJ373"/>
    </row>
    <row r="374" spans="1:1024" ht="11.25" customHeight="1" x14ac:dyDescent="0.2">
      <c r="A374" s="2"/>
      <c r="C374" s="110"/>
      <c r="D374" s="110"/>
      <c r="E374" s="1"/>
      <c r="F374" s="1"/>
      <c r="G374" s="1"/>
      <c r="AME374"/>
      <c r="AMF374"/>
      <c r="AMG374"/>
      <c r="AMH374"/>
      <c r="AMI374"/>
      <c r="AMJ374"/>
    </row>
    <row r="375" spans="1:1024" s="1" customFormat="1" ht="11.25" customHeight="1" x14ac:dyDescent="0.2">
      <c r="A375" s="2"/>
      <c r="C375" s="110"/>
      <c r="D375" s="110"/>
    </row>
    <row r="376" spans="1:1024" ht="11.25" customHeight="1" x14ac:dyDescent="0.2">
      <c r="A376" s="2"/>
      <c r="C376" s="110"/>
      <c r="D376" s="110"/>
      <c r="E376" s="1"/>
      <c r="F376" s="1"/>
      <c r="G376" s="1"/>
      <c r="AME376"/>
      <c r="AMF376"/>
      <c r="AMG376"/>
      <c r="AMH376"/>
      <c r="AMI376"/>
      <c r="AMJ376"/>
    </row>
    <row r="377" spans="1:1024" ht="11.25" customHeight="1" x14ac:dyDescent="0.2">
      <c r="A377" s="2"/>
      <c r="C377" s="110"/>
      <c r="D377" s="110"/>
      <c r="E377" s="1"/>
      <c r="F377" s="1"/>
      <c r="G377" s="1"/>
      <c r="AME377"/>
      <c r="AMF377"/>
      <c r="AMG377"/>
      <c r="AMH377"/>
      <c r="AMI377"/>
      <c r="AMJ377"/>
    </row>
    <row r="378" spans="1:1024" ht="11.25" customHeight="1" x14ac:dyDescent="0.2">
      <c r="A378" s="2"/>
      <c r="C378" s="110"/>
      <c r="D378" s="110"/>
      <c r="E378" s="1"/>
      <c r="F378" s="1"/>
      <c r="G378" s="1"/>
      <c r="AME378"/>
      <c r="AMF378"/>
      <c r="AMG378"/>
      <c r="AMH378"/>
      <c r="AMI378"/>
      <c r="AMJ378"/>
    </row>
    <row r="379" spans="1:1024" ht="11.25" customHeight="1" x14ac:dyDescent="0.2">
      <c r="A379" s="2"/>
      <c r="C379" s="110"/>
      <c r="D379" s="110"/>
      <c r="E379" s="1"/>
      <c r="F379" s="1"/>
      <c r="G379" s="1"/>
      <c r="AME379"/>
      <c r="AMF379"/>
      <c r="AMG379"/>
      <c r="AMH379"/>
      <c r="AMI379"/>
      <c r="AMJ379"/>
    </row>
    <row r="380" spans="1:1024" s="1" customFormat="1" ht="11.25" customHeight="1" x14ac:dyDescent="0.2">
      <c r="A380" s="2"/>
      <c r="C380" s="110"/>
      <c r="D380" s="110"/>
    </row>
    <row r="381" spans="1:1024" ht="11.25" customHeight="1" x14ac:dyDescent="0.2">
      <c r="A381" s="2"/>
      <c r="C381" s="110"/>
      <c r="D381" s="110"/>
      <c r="E381" s="1"/>
      <c r="F381" s="1"/>
      <c r="G381" s="1"/>
      <c r="AME381"/>
      <c r="AMF381"/>
      <c r="AMG381"/>
      <c r="AMH381"/>
      <c r="AMI381"/>
      <c r="AMJ381"/>
    </row>
    <row r="382" spans="1:1024" s="1" customFormat="1" ht="11.25" customHeight="1" x14ac:dyDescent="0.2">
      <c r="A382" s="2"/>
      <c r="C382" s="110"/>
      <c r="D382" s="110"/>
    </row>
    <row r="383" spans="1:1024" ht="11.25" customHeight="1" x14ac:dyDescent="0.2">
      <c r="A383" s="2"/>
      <c r="C383" s="110"/>
      <c r="D383" s="110"/>
      <c r="E383" s="1"/>
      <c r="F383" s="1"/>
      <c r="G383" s="1"/>
      <c r="AME383"/>
      <c r="AMF383"/>
      <c r="AMG383"/>
      <c r="AMH383"/>
      <c r="AMI383"/>
      <c r="AMJ383"/>
    </row>
    <row r="384" spans="1:1024" s="1" customFormat="1" ht="11.25" customHeight="1" x14ac:dyDescent="0.2">
      <c r="A384" s="2"/>
      <c r="C384" s="110"/>
      <c r="D384" s="110"/>
    </row>
    <row r="385" spans="1:1024" ht="11.25" customHeight="1" x14ac:dyDescent="0.2">
      <c r="D385" s="1"/>
      <c r="E385" s="1"/>
      <c r="F385" s="1"/>
      <c r="G385" s="1"/>
      <c r="AME385"/>
      <c r="AMF385"/>
      <c r="AMG385"/>
      <c r="AMH385"/>
      <c r="AMI385"/>
      <c r="AMJ385"/>
    </row>
    <row r="386" spans="1:1024" ht="11.25" customHeight="1" x14ac:dyDescent="0.2">
      <c r="D386" s="1"/>
      <c r="E386" s="1"/>
      <c r="F386" s="1"/>
      <c r="G386" s="1"/>
      <c r="AME386"/>
      <c r="AMF386"/>
      <c r="AMG386"/>
      <c r="AMH386"/>
      <c r="AMI386"/>
      <c r="AMJ386"/>
    </row>
    <row r="387" spans="1:1024" ht="11.25" customHeight="1" x14ac:dyDescent="0.2">
      <c r="D387" s="1"/>
      <c r="E387" s="1"/>
      <c r="F387" s="1"/>
      <c r="G387" s="1"/>
      <c r="AME387"/>
      <c r="AMF387"/>
      <c r="AMG387"/>
      <c r="AMH387"/>
      <c r="AMI387"/>
      <c r="AMJ387"/>
    </row>
    <row r="388" spans="1:1024" ht="11.25" customHeight="1" x14ac:dyDescent="0.2">
      <c r="D388" s="1"/>
      <c r="E388" s="1"/>
      <c r="F388" s="1"/>
      <c r="G388" s="1"/>
      <c r="AME388"/>
      <c r="AMF388"/>
      <c r="AMG388"/>
      <c r="AMH388"/>
      <c r="AMI388"/>
      <c r="AMJ388"/>
    </row>
    <row r="389" spans="1:1024" s="1" customFormat="1" ht="11.25" customHeight="1" x14ac:dyDescent="0.2"/>
    <row r="390" spans="1:1024" ht="11.25" customHeight="1" x14ac:dyDescent="0.2">
      <c r="D390" s="1"/>
      <c r="E390" s="1"/>
      <c r="F390" s="1"/>
      <c r="G390" s="1"/>
      <c r="AME390"/>
      <c r="AMF390"/>
      <c r="AMG390"/>
      <c r="AMH390"/>
      <c r="AMI390"/>
      <c r="AMJ390"/>
    </row>
    <row r="391" spans="1:1024" ht="11.25" customHeight="1" x14ac:dyDescent="0.2">
      <c r="D391" s="1"/>
      <c r="E391" s="1"/>
      <c r="F391" s="1"/>
      <c r="G391" s="1"/>
      <c r="AME391"/>
      <c r="AMF391"/>
      <c r="AMG391"/>
      <c r="AMH391"/>
      <c r="AMI391"/>
      <c r="AMJ391"/>
    </row>
    <row r="392" spans="1:1024" s="1" customFormat="1" ht="11.25" customHeight="1" x14ac:dyDescent="0.2"/>
    <row r="393" spans="1:1024" ht="11.25" customHeight="1" x14ac:dyDescent="0.2">
      <c r="D393" s="1"/>
      <c r="E393" s="1"/>
      <c r="F393" s="1"/>
      <c r="G393" s="1"/>
      <c r="AME393"/>
      <c r="AMF393"/>
      <c r="AMG393"/>
      <c r="AMH393"/>
      <c r="AMI393"/>
      <c r="AMJ393"/>
    </row>
    <row r="394" spans="1:1024" ht="11.25" customHeight="1" x14ac:dyDescent="0.2">
      <c r="D394" s="1"/>
      <c r="E394" s="1"/>
      <c r="F394" s="1"/>
      <c r="G394" s="1"/>
      <c r="AME394"/>
      <c r="AMF394"/>
      <c r="AMG394"/>
      <c r="AMH394"/>
      <c r="AMI394"/>
      <c r="AMJ394"/>
    </row>
    <row r="395" spans="1:1024" ht="11.25" customHeight="1" x14ac:dyDescent="0.2">
      <c r="D395" s="1"/>
      <c r="E395" s="1"/>
      <c r="F395" s="1"/>
      <c r="G395" s="1"/>
      <c r="AME395"/>
      <c r="AMF395"/>
      <c r="AMG395"/>
      <c r="AMH395"/>
      <c r="AMI395"/>
      <c r="AMJ395"/>
    </row>
    <row r="396" spans="1:1024" s="1" customFormat="1" ht="11.25" customHeight="1" x14ac:dyDescent="0.2"/>
    <row r="397" spans="1:1024" ht="11.25" customHeight="1" x14ac:dyDescent="0.2">
      <c r="D397" s="1"/>
      <c r="E397" s="1"/>
      <c r="F397" s="1"/>
      <c r="G397" s="1"/>
      <c r="AME397"/>
      <c r="AMF397"/>
      <c r="AMG397"/>
      <c r="AMH397"/>
      <c r="AMI397"/>
      <c r="AMJ397"/>
    </row>
    <row r="398" spans="1:1024" ht="11.25" customHeight="1" x14ac:dyDescent="0.2">
      <c r="D398" s="1"/>
      <c r="E398" s="1"/>
      <c r="F398" s="1"/>
      <c r="G398" s="1"/>
      <c r="AME398"/>
      <c r="AMF398"/>
      <c r="AMG398"/>
      <c r="AMH398"/>
      <c r="AMI398"/>
      <c r="AMJ398"/>
    </row>
    <row r="399" spans="1:1024" s="1" customFormat="1" ht="11.25" customHeight="1" x14ac:dyDescent="0.2"/>
    <row r="400" spans="1:1024" ht="11.25" customHeight="1" x14ac:dyDescent="0.2">
      <c r="A400" s="110"/>
      <c r="D400" s="1"/>
      <c r="E400" s="1"/>
      <c r="F400" s="1"/>
      <c r="G400" s="1"/>
      <c r="AME400"/>
      <c r="AMF400"/>
      <c r="AMG400"/>
      <c r="AMH400"/>
      <c r="AMI400"/>
      <c r="AMJ400"/>
    </row>
    <row r="401" spans="4:1024" s="1" customFormat="1" ht="11.25" customHeight="1" x14ac:dyDescent="0.2"/>
    <row r="402" spans="4:1024" s="1" customFormat="1" ht="11.25" customHeight="1" x14ac:dyDescent="0.2"/>
    <row r="403" spans="4:1024" s="1" customFormat="1" ht="11.25" customHeight="1" x14ac:dyDescent="0.2"/>
    <row r="404" spans="4:1024" s="1" customFormat="1" ht="11.25" customHeight="1" x14ac:dyDescent="0.2"/>
    <row r="405" spans="4:1024" s="1" customFormat="1" ht="11.25" customHeight="1" x14ac:dyDescent="0.2"/>
    <row r="406" spans="4:1024" s="1" customFormat="1" ht="11.25" customHeight="1" x14ac:dyDescent="0.2"/>
    <row r="407" spans="4:1024" ht="11.25" customHeight="1" x14ac:dyDescent="0.2">
      <c r="D407" s="1"/>
      <c r="E407" s="1"/>
      <c r="F407" s="1"/>
      <c r="G407" s="1"/>
      <c r="AME407"/>
      <c r="AMF407"/>
      <c r="AMG407"/>
      <c r="AMH407"/>
      <c r="AMI407"/>
      <c r="AMJ407"/>
    </row>
    <row r="408" spans="4:1024" ht="11.25" customHeight="1" x14ac:dyDescent="0.2">
      <c r="D408" s="1"/>
      <c r="E408" s="1"/>
      <c r="F408" s="1"/>
      <c r="G408" s="1"/>
      <c r="AME408"/>
      <c r="AMF408"/>
      <c r="AMG408"/>
      <c r="AMH408"/>
      <c r="AMI408"/>
      <c r="AMJ408"/>
    </row>
    <row r="409" spans="4:1024" s="1" customFormat="1" ht="11.25" customHeight="1" x14ac:dyDescent="0.2"/>
    <row r="410" spans="4:1024" ht="11.25" customHeight="1" x14ac:dyDescent="0.2">
      <c r="D410" s="1"/>
      <c r="E410" s="1"/>
      <c r="F410" s="1"/>
      <c r="G410" s="1"/>
      <c r="AME410"/>
      <c r="AMF410"/>
      <c r="AMG410"/>
      <c r="AMH410"/>
      <c r="AMI410"/>
      <c r="AMJ410"/>
    </row>
    <row r="411" spans="4:1024" ht="11.25" customHeight="1" x14ac:dyDescent="0.2">
      <c r="D411" s="1"/>
      <c r="E411" s="1"/>
      <c r="F411" s="1"/>
      <c r="G411" s="1"/>
      <c r="AME411"/>
      <c r="AMF411"/>
      <c r="AMG411"/>
      <c r="AMH411"/>
      <c r="AMI411"/>
      <c r="AMJ411"/>
    </row>
    <row r="412" spans="4:1024" s="1" customFormat="1" ht="11.25" customHeight="1" x14ac:dyDescent="0.2"/>
    <row r="413" spans="4:1024" ht="11.25" customHeight="1" x14ac:dyDescent="0.2">
      <c r="D413" s="1"/>
      <c r="E413" s="1"/>
      <c r="F413" s="1"/>
      <c r="G413" s="1"/>
      <c r="AME413"/>
      <c r="AMF413"/>
      <c r="AMG413"/>
      <c r="AMH413"/>
      <c r="AMI413"/>
      <c r="AMJ413"/>
    </row>
    <row r="414" spans="4:1024" s="1" customFormat="1" ht="11.25" customHeight="1" x14ac:dyDescent="0.2"/>
    <row r="415" spans="4:1024" ht="11.25" customHeight="1" x14ac:dyDescent="0.2">
      <c r="D415" s="1"/>
      <c r="E415" s="1"/>
      <c r="F415" s="1"/>
      <c r="G415" s="1"/>
      <c r="AME415"/>
      <c r="AMF415"/>
      <c r="AMG415"/>
      <c r="AMH415"/>
      <c r="AMI415"/>
      <c r="AMJ415"/>
    </row>
    <row r="416" spans="4:1024" ht="11.25" customHeight="1" x14ac:dyDescent="0.2">
      <c r="D416" s="1"/>
      <c r="E416" s="1"/>
      <c r="F416" s="1"/>
      <c r="G416" s="1"/>
      <c r="AME416"/>
      <c r="AMF416"/>
      <c r="AMG416"/>
      <c r="AMH416"/>
      <c r="AMI416"/>
      <c r="AMJ416"/>
    </row>
    <row r="417" spans="4:1024" ht="11.25" customHeight="1" x14ac:dyDescent="0.2">
      <c r="D417" s="1"/>
      <c r="E417" s="1"/>
      <c r="F417" s="1"/>
      <c r="G417" s="1"/>
      <c r="AME417"/>
      <c r="AMF417"/>
      <c r="AMG417"/>
      <c r="AMH417"/>
      <c r="AMI417"/>
      <c r="AMJ417"/>
    </row>
    <row r="418" spans="4:1024" ht="11.25" customHeight="1" x14ac:dyDescent="0.2">
      <c r="D418" s="1"/>
      <c r="E418" s="1"/>
      <c r="F418" s="1"/>
      <c r="G418" s="1"/>
      <c r="AME418"/>
      <c r="AMF418"/>
      <c r="AMG418"/>
      <c r="AMH418"/>
      <c r="AMI418"/>
      <c r="AMJ418"/>
    </row>
    <row r="419" spans="4:1024" ht="11.25" customHeight="1" x14ac:dyDescent="0.2">
      <c r="D419" s="1"/>
      <c r="E419" s="1"/>
      <c r="F419" s="1"/>
      <c r="G419" s="1"/>
      <c r="AME419"/>
      <c r="AMF419"/>
      <c r="AMG419"/>
      <c r="AMH419"/>
      <c r="AMI419"/>
      <c r="AMJ419"/>
    </row>
    <row r="420" spans="4:1024" s="1" customFormat="1" ht="11.25" customHeight="1" x14ac:dyDescent="0.2"/>
    <row r="421" spans="4:1024" s="1" customFormat="1" ht="11.25" customHeight="1" x14ac:dyDescent="0.2"/>
    <row r="422" spans="4:1024" ht="11.25" customHeight="1" x14ac:dyDescent="0.2">
      <c r="D422" s="1"/>
      <c r="E422" s="1"/>
      <c r="F422" s="1"/>
      <c r="G422" s="1"/>
      <c r="AME422"/>
      <c r="AMF422"/>
      <c r="AMG422"/>
      <c r="AMH422"/>
      <c r="AMI422"/>
      <c r="AMJ422"/>
    </row>
    <row r="423" spans="4:1024" ht="11.25" customHeight="1" x14ac:dyDescent="0.2">
      <c r="D423" s="1"/>
      <c r="E423" s="1"/>
      <c r="F423" s="1"/>
      <c r="G423" s="1"/>
      <c r="AME423"/>
      <c r="AMF423"/>
      <c r="AMG423"/>
      <c r="AMH423"/>
      <c r="AMI423"/>
      <c r="AMJ423"/>
    </row>
    <row r="424" spans="4:1024" ht="11.25" customHeight="1" x14ac:dyDescent="0.2">
      <c r="D424" s="1"/>
      <c r="E424" s="1"/>
      <c r="F424" s="1"/>
      <c r="G424" s="1"/>
      <c r="AME424"/>
      <c r="AMF424"/>
      <c r="AMG424"/>
      <c r="AMH424"/>
      <c r="AMI424"/>
      <c r="AMJ424"/>
    </row>
    <row r="425" spans="4:1024" ht="11.25" customHeight="1" x14ac:dyDescent="0.2">
      <c r="D425" s="1"/>
      <c r="E425" s="1"/>
      <c r="F425" s="1"/>
      <c r="G425" s="1"/>
      <c r="AME425"/>
      <c r="AMF425"/>
      <c r="AMG425"/>
      <c r="AMH425"/>
      <c r="AMI425"/>
      <c r="AMJ425"/>
    </row>
    <row r="426" spans="4:1024" ht="11.25" customHeight="1" x14ac:dyDescent="0.2">
      <c r="D426" s="1"/>
      <c r="E426" s="1"/>
      <c r="F426" s="1"/>
      <c r="G426" s="1"/>
      <c r="AME426"/>
      <c r="AMF426"/>
      <c r="AMG426"/>
      <c r="AMH426"/>
      <c r="AMI426"/>
      <c r="AMJ426"/>
    </row>
    <row r="427" spans="4:1024" ht="11.25" customHeight="1" x14ac:dyDescent="0.2">
      <c r="D427" s="1"/>
      <c r="E427" s="1"/>
      <c r="F427" s="1"/>
      <c r="G427" s="1"/>
      <c r="AME427"/>
      <c r="AMF427"/>
      <c r="AMG427"/>
      <c r="AMH427"/>
      <c r="AMI427"/>
      <c r="AMJ427"/>
    </row>
    <row r="428" spans="4:1024" ht="11.25" customHeight="1" x14ac:dyDescent="0.2">
      <c r="D428" s="1"/>
      <c r="E428" s="1"/>
      <c r="F428" s="1"/>
      <c r="G428" s="1"/>
      <c r="AME428"/>
      <c r="AMF428"/>
      <c r="AMG428"/>
      <c r="AMH428"/>
      <c r="AMI428"/>
      <c r="AMJ428"/>
    </row>
    <row r="429" spans="4:1024" s="1" customFormat="1" ht="11.25" customHeight="1" x14ac:dyDescent="0.2"/>
    <row r="430" spans="4:1024" ht="11.25" customHeight="1" x14ac:dyDescent="0.2">
      <c r="D430" s="1"/>
      <c r="E430" s="1"/>
      <c r="F430" s="1"/>
      <c r="G430" s="1"/>
      <c r="AME430"/>
      <c r="AMF430"/>
      <c r="AMG430"/>
      <c r="AMH430"/>
      <c r="AMI430"/>
      <c r="AMJ430"/>
    </row>
    <row r="431" spans="4:1024" ht="11.25" customHeight="1" x14ac:dyDescent="0.2">
      <c r="D431" s="1"/>
      <c r="E431" s="1"/>
      <c r="F431" s="1"/>
      <c r="G431" s="1"/>
      <c r="AME431"/>
      <c r="AMF431"/>
      <c r="AMG431"/>
      <c r="AMH431"/>
      <c r="AMI431"/>
      <c r="AMJ431"/>
    </row>
    <row r="432" spans="4:1024" ht="11.25" customHeight="1" x14ac:dyDescent="0.2">
      <c r="D432" s="1"/>
      <c r="E432" s="1"/>
      <c r="F432" s="1"/>
      <c r="G432" s="1"/>
      <c r="AME432"/>
      <c r="AMF432"/>
      <c r="AMG432"/>
      <c r="AMH432"/>
      <c r="AMI432"/>
      <c r="AMJ432"/>
    </row>
    <row r="433" spans="4:1024" ht="11.25" customHeight="1" x14ac:dyDescent="0.2">
      <c r="D433" s="1"/>
      <c r="E433" s="1"/>
      <c r="F433" s="1"/>
      <c r="G433" s="1"/>
      <c r="AME433"/>
      <c r="AMF433"/>
      <c r="AMG433"/>
      <c r="AMH433"/>
      <c r="AMI433"/>
      <c r="AMJ433"/>
    </row>
    <row r="434" spans="4:1024" s="1" customFormat="1" ht="11.25" customHeight="1" x14ac:dyDescent="0.2"/>
    <row r="435" spans="4:1024" ht="11.25" customHeight="1" x14ac:dyDescent="0.2">
      <c r="D435" s="1"/>
      <c r="E435" s="1"/>
      <c r="F435" s="1"/>
      <c r="G435" s="1"/>
      <c r="AME435"/>
      <c r="AMF435"/>
      <c r="AMG435"/>
      <c r="AMH435"/>
      <c r="AMI435"/>
      <c r="AMJ435"/>
    </row>
    <row r="436" spans="4:1024" ht="11.25" customHeight="1" x14ac:dyDescent="0.2">
      <c r="D436" s="1"/>
      <c r="E436" s="1"/>
      <c r="F436" s="1"/>
      <c r="G436" s="1"/>
      <c r="AME436"/>
      <c r="AMF436"/>
      <c r="AMG436"/>
      <c r="AMH436"/>
      <c r="AMI436"/>
      <c r="AMJ436"/>
    </row>
    <row r="437" spans="4:1024" ht="11.25" customHeight="1" x14ac:dyDescent="0.2">
      <c r="D437" s="1"/>
      <c r="E437" s="1"/>
      <c r="F437" s="1"/>
      <c r="G437" s="1"/>
      <c r="AME437"/>
      <c r="AMF437"/>
      <c r="AMG437"/>
      <c r="AMH437"/>
      <c r="AMI437"/>
      <c r="AMJ437"/>
    </row>
    <row r="438" spans="4:1024" ht="11.25" customHeight="1" x14ac:dyDescent="0.2">
      <c r="D438" s="1"/>
      <c r="E438" s="1"/>
      <c r="F438" s="1"/>
      <c r="G438" s="1"/>
      <c r="AME438"/>
      <c r="AMF438"/>
      <c r="AMG438"/>
      <c r="AMH438"/>
      <c r="AMI438"/>
      <c r="AMJ438"/>
    </row>
    <row r="439" spans="4:1024" ht="11.25" customHeight="1" x14ac:dyDescent="0.2">
      <c r="D439" s="1"/>
      <c r="E439" s="1"/>
      <c r="F439" s="1"/>
      <c r="G439" s="1"/>
      <c r="AME439"/>
      <c r="AMF439"/>
      <c r="AMG439"/>
      <c r="AMH439"/>
      <c r="AMI439"/>
      <c r="AMJ439"/>
    </row>
    <row r="440" spans="4:1024" ht="11.25" customHeight="1" x14ac:dyDescent="0.2">
      <c r="D440" s="1"/>
      <c r="E440" s="1"/>
      <c r="F440" s="1"/>
      <c r="G440" s="1"/>
      <c r="AME440"/>
      <c r="AMF440"/>
      <c r="AMG440"/>
      <c r="AMH440"/>
      <c r="AMI440"/>
      <c r="AMJ440"/>
    </row>
    <row r="441" spans="4:1024" x14ac:dyDescent="0.2">
      <c r="D441" s="1"/>
      <c r="E441" s="1"/>
      <c r="F441" s="1"/>
      <c r="G441" s="1"/>
      <c r="AME441"/>
      <c r="AMF441"/>
      <c r="AMG441"/>
      <c r="AMH441"/>
      <c r="AMI441"/>
      <c r="AMJ441"/>
    </row>
    <row r="442" spans="4:1024" s="1" customFormat="1" ht="11.25" customHeight="1" x14ac:dyDescent="0.2"/>
    <row r="443" spans="4:1024" s="1" customFormat="1" ht="11.25" customHeight="1" x14ac:dyDescent="0.2"/>
    <row r="444" spans="4:1024" ht="11.25" customHeight="1" x14ac:dyDescent="0.2">
      <c r="D444" s="1"/>
      <c r="E444" s="1"/>
      <c r="F444" s="1"/>
      <c r="G444" s="1"/>
      <c r="AME444"/>
      <c r="AMF444"/>
      <c r="AMG444"/>
      <c r="AMH444"/>
      <c r="AMI444"/>
      <c r="AMJ444"/>
    </row>
    <row r="445" spans="4:1024" ht="11.25" customHeight="1" x14ac:dyDescent="0.2">
      <c r="D445" s="1"/>
      <c r="E445" s="1"/>
      <c r="F445" s="1"/>
      <c r="G445" s="1"/>
      <c r="AME445"/>
      <c r="AMF445"/>
      <c r="AMG445"/>
      <c r="AMH445"/>
      <c r="AMI445"/>
      <c r="AMJ445"/>
    </row>
    <row r="446" spans="4:1024" ht="11.25" customHeight="1" x14ac:dyDescent="0.2">
      <c r="D446" s="1"/>
      <c r="E446" s="1"/>
      <c r="F446" s="1"/>
      <c r="G446" s="1"/>
      <c r="AME446"/>
      <c r="AMF446"/>
      <c r="AMG446"/>
      <c r="AMH446"/>
      <c r="AMI446"/>
      <c r="AMJ446"/>
    </row>
    <row r="447" spans="4:1024" ht="11.25" customHeight="1" x14ac:dyDescent="0.2">
      <c r="D447" s="1"/>
      <c r="E447" s="1"/>
      <c r="F447" s="1"/>
      <c r="G447" s="1"/>
      <c r="AME447"/>
      <c r="AMF447"/>
      <c r="AMG447"/>
      <c r="AMH447"/>
      <c r="AMI447"/>
      <c r="AMJ447"/>
    </row>
    <row r="448" spans="4:1024" ht="18.75" customHeight="1" x14ac:dyDescent="0.2">
      <c r="D448" s="1"/>
      <c r="E448" s="1"/>
      <c r="F448" s="1"/>
      <c r="G448" s="1"/>
      <c r="AME448"/>
      <c r="AMF448"/>
      <c r="AMG448"/>
      <c r="AMH448"/>
      <c r="AMI448"/>
      <c r="AMJ448"/>
    </row>
    <row r="449" spans="1:1024" ht="11.25" customHeight="1" x14ac:dyDescent="0.2">
      <c r="D449" s="1"/>
      <c r="E449" s="1"/>
      <c r="F449" s="1"/>
      <c r="G449" s="1"/>
      <c r="AME449"/>
      <c r="AMF449"/>
      <c r="AMG449"/>
      <c r="AMH449"/>
      <c r="AMI449"/>
      <c r="AMJ449"/>
    </row>
    <row r="450" spans="1:1024" ht="11.25" customHeight="1" x14ac:dyDescent="0.2">
      <c r="D450" s="1"/>
      <c r="E450" s="1"/>
      <c r="F450" s="1"/>
      <c r="G450" s="1"/>
      <c r="AME450"/>
      <c r="AMF450"/>
      <c r="AMG450"/>
      <c r="AMH450"/>
      <c r="AMI450"/>
      <c r="AMJ450"/>
    </row>
    <row r="451" spans="1:1024" ht="11.25" customHeight="1" x14ac:dyDescent="0.2">
      <c r="D451" s="1"/>
      <c r="E451" s="1"/>
      <c r="F451" s="1"/>
      <c r="G451" s="1"/>
      <c r="AME451"/>
      <c r="AMF451"/>
      <c r="AMG451"/>
      <c r="AMH451"/>
      <c r="AMI451"/>
      <c r="AMJ451"/>
    </row>
    <row r="452" spans="1:1024" ht="16.5" customHeight="1" x14ac:dyDescent="0.2">
      <c r="D452" s="1"/>
      <c r="E452" s="1"/>
      <c r="F452" s="1"/>
      <c r="G452" s="1"/>
      <c r="AME452"/>
      <c r="AMF452"/>
      <c r="AMG452"/>
      <c r="AMH452"/>
      <c r="AMI452"/>
      <c r="AMJ452"/>
    </row>
    <row r="453" spans="1:1024" ht="11.25" customHeight="1" x14ac:dyDescent="0.2">
      <c r="D453" s="1"/>
      <c r="E453" s="1"/>
      <c r="F453" s="1"/>
      <c r="G453" s="1"/>
      <c r="AME453"/>
      <c r="AMF453"/>
      <c r="AMG453"/>
      <c r="AMH453"/>
      <c r="AMI453"/>
      <c r="AMJ453"/>
    </row>
    <row r="454" spans="1:1024" s="1" customFormat="1" x14ac:dyDescent="0.2"/>
    <row r="455" spans="1:1024" ht="11.25" customHeight="1" x14ac:dyDescent="0.2">
      <c r="D455" s="1"/>
      <c r="E455" s="1"/>
      <c r="F455" s="1"/>
      <c r="G455" s="1"/>
      <c r="AME455"/>
      <c r="AMF455"/>
      <c r="AMG455"/>
      <c r="AMH455"/>
      <c r="AMI455"/>
      <c r="AMJ455"/>
    </row>
    <row r="456" spans="1:1024" s="1" customFormat="1" x14ac:dyDescent="0.2"/>
    <row r="457" spans="1:1024" x14ac:dyDescent="0.2">
      <c r="A457" s="110"/>
      <c r="B457" s="110"/>
      <c r="D457" s="1"/>
      <c r="E457" s="1"/>
      <c r="F457" s="1"/>
      <c r="G457" s="1"/>
      <c r="AME457"/>
      <c r="AMF457"/>
      <c r="AMG457"/>
      <c r="AMH457"/>
      <c r="AMI457"/>
      <c r="AMJ457"/>
    </row>
    <row r="458" spans="1:1024" x14ac:dyDescent="0.2">
      <c r="A458" s="110"/>
      <c r="B458" s="110"/>
      <c r="D458" s="1"/>
      <c r="E458" s="1"/>
      <c r="F458" s="1"/>
      <c r="G458" s="1"/>
      <c r="AME458"/>
      <c r="AMF458"/>
      <c r="AMG458"/>
      <c r="AMH458"/>
      <c r="AMI458"/>
      <c r="AMJ458"/>
    </row>
    <row r="459" spans="1:1024" x14ac:dyDescent="0.2">
      <c r="A459" s="110"/>
      <c r="B459" s="110"/>
      <c r="D459" s="1"/>
      <c r="E459" s="1"/>
      <c r="F459" s="1"/>
      <c r="G459" s="1"/>
      <c r="AME459"/>
      <c r="AMF459"/>
      <c r="AMG459"/>
      <c r="AMH459"/>
      <c r="AMI459"/>
      <c r="AMJ459"/>
    </row>
    <row r="460" spans="1:1024" s="1" customFormat="1" x14ac:dyDescent="0.2"/>
    <row r="461" spans="1:1024" ht="11.25" customHeight="1" x14ac:dyDescent="0.2">
      <c r="D461" s="1"/>
      <c r="E461" s="1"/>
      <c r="F461" s="1"/>
      <c r="G461" s="1"/>
      <c r="AME461"/>
      <c r="AMF461"/>
      <c r="AMG461"/>
      <c r="AMH461"/>
      <c r="AMI461"/>
      <c r="AMJ461"/>
    </row>
    <row r="462" spans="1:1024" s="1" customFormat="1" x14ac:dyDescent="0.2"/>
    <row r="463" spans="1:1024" ht="11.25" customHeight="1" x14ac:dyDescent="0.2">
      <c r="D463" s="1"/>
      <c r="E463" s="1"/>
      <c r="F463" s="1"/>
      <c r="G463" s="1"/>
      <c r="AME463"/>
      <c r="AMF463"/>
      <c r="AMG463"/>
      <c r="AMH463"/>
      <c r="AMI463"/>
      <c r="AMJ463"/>
    </row>
    <row r="464" spans="1:1024" x14ac:dyDescent="0.2">
      <c r="A464" s="2"/>
      <c r="D464" s="1"/>
      <c r="E464" s="1"/>
      <c r="F464" s="1"/>
      <c r="G464" s="1"/>
      <c r="AME464"/>
      <c r="AMF464"/>
      <c r="AMG464"/>
      <c r="AMH464"/>
      <c r="AMI464"/>
      <c r="AMJ464"/>
    </row>
    <row r="465" spans="1:1024" ht="11.25" customHeight="1" x14ac:dyDescent="0.2">
      <c r="A465" s="2"/>
      <c r="D465" s="1"/>
      <c r="E465" s="1"/>
      <c r="F465" s="1"/>
      <c r="G465" s="1"/>
      <c r="AME465"/>
      <c r="AMF465"/>
      <c r="AMG465"/>
      <c r="AMH465"/>
      <c r="AMI465"/>
      <c r="AMJ465"/>
    </row>
    <row r="466" spans="1:1024" x14ac:dyDescent="0.2">
      <c r="A466" s="2"/>
      <c r="D466" s="1"/>
      <c r="E466" s="1"/>
      <c r="F466" s="1"/>
      <c r="G466" s="1"/>
      <c r="AME466"/>
      <c r="AMF466"/>
      <c r="AMG466"/>
      <c r="AMH466"/>
      <c r="AMI466"/>
      <c r="AMJ466"/>
    </row>
    <row r="467" spans="1:1024" ht="11.25" customHeight="1" x14ac:dyDescent="0.2">
      <c r="A467" s="2"/>
      <c r="D467" s="1"/>
      <c r="E467" s="1"/>
      <c r="F467" s="1"/>
      <c r="G467" s="1"/>
      <c r="AME467"/>
      <c r="AMF467"/>
      <c r="AMG467"/>
      <c r="AMH467"/>
      <c r="AMI467"/>
      <c r="AMJ467"/>
    </row>
    <row r="468" spans="1:1024" x14ac:dyDescent="0.2">
      <c r="A468" s="2"/>
      <c r="D468" s="1"/>
      <c r="E468" s="1"/>
      <c r="F468" s="1"/>
      <c r="G468" s="1"/>
      <c r="AME468"/>
      <c r="AMF468"/>
      <c r="AMG468"/>
      <c r="AMH468"/>
      <c r="AMI468"/>
      <c r="AMJ468"/>
    </row>
    <row r="469" spans="1:1024" x14ac:dyDescent="0.2">
      <c r="A469" s="2"/>
      <c r="D469" s="1"/>
      <c r="E469" s="1"/>
      <c r="F469" s="1"/>
      <c r="G469" s="1"/>
      <c r="AME469"/>
      <c r="AMF469"/>
      <c r="AMG469"/>
      <c r="AMH469"/>
      <c r="AMI469"/>
      <c r="AMJ469"/>
    </row>
    <row r="470" spans="1:1024" s="136" customFormat="1" ht="11.25" customHeight="1" x14ac:dyDescent="0.2">
      <c r="A470" s="135"/>
    </row>
    <row r="471" spans="1:1024" x14ac:dyDescent="0.2">
      <c r="A471" s="2"/>
      <c r="D471" s="1"/>
      <c r="E471" s="1"/>
      <c r="F471" s="1"/>
      <c r="G471" s="1"/>
      <c r="AME471"/>
      <c r="AMF471"/>
      <c r="AMG471"/>
      <c r="AMH471"/>
      <c r="AMI471"/>
      <c r="AMJ471"/>
    </row>
    <row r="472" spans="1:1024" ht="11.25" customHeight="1" x14ac:dyDescent="0.2">
      <c r="A472" s="2"/>
      <c r="D472" s="1"/>
      <c r="E472" s="1"/>
      <c r="F472" s="1"/>
      <c r="G472" s="1"/>
      <c r="AME472"/>
      <c r="AMF472"/>
      <c r="AMG472"/>
      <c r="AMH472"/>
      <c r="AMI472"/>
      <c r="AMJ472"/>
    </row>
    <row r="473" spans="1:1024" ht="17.25" customHeight="1" x14ac:dyDescent="0.2">
      <c r="A473" s="2"/>
      <c r="D473" s="1"/>
      <c r="E473" s="1"/>
      <c r="F473" s="1"/>
      <c r="G473" s="1"/>
      <c r="AME473"/>
      <c r="AMF473"/>
      <c r="AMG473"/>
      <c r="AMH473"/>
      <c r="AMI473"/>
      <c r="AMJ473"/>
    </row>
    <row r="474" spans="1:1024" ht="11.25" customHeight="1" x14ac:dyDescent="0.2">
      <c r="A474" s="2"/>
      <c r="D474" s="1"/>
      <c r="E474" s="1"/>
      <c r="F474" s="1"/>
      <c r="G474" s="1"/>
      <c r="AME474"/>
      <c r="AMF474"/>
      <c r="AMG474"/>
      <c r="AMH474"/>
      <c r="AMI474"/>
      <c r="AMJ474"/>
    </row>
    <row r="475" spans="1:1024" x14ac:dyDescent="0.2">
      <c r="A475" s="2"/>
      <c r="D475" s="1"/>
      <c r="E475" s="1"/>
      <c r="F475" s="1"/>
      <c r="G475" s="1"/>
      <c r="AME475"/>
      <c r="AMF475"/>
      <c r="AMG475"/>
      <c r="AMH475"/>
      <c r="AMI475"/>
      <c r="AMJ475"/>
    </row>
    <row r="476" spans="1:1024" ht="11.25" customHeight="1" x14ac:dyDescent="0.2">
      <c r="A476" s="2"/>
      <c r="D476" s="1"/>
      <c r="E476" s="1"/>
      <c r="F476" s="1"/>
      <c r="G476" s="1"/>
      <c r="AME476"/>
      <c r="AMF476"/>
      <c r="AMG476"/>
      <c r="AMH476"/>
      <c r="AMI476"/>
      <c r="AMJ476"/>
    </row>
    <row r="477" spans="1:1024" x14ac:dyDescent="0.2">
      <c r="A477" s="2"/>
      <c r="D477" s="1"/>
      <c r="E477" s="1"/>
      <c r="F477" s="1"/>
      <c r="G477" s="1"/>
      <c r="AME477"/>
      <c r="AMF477"/>
      <c r="AMG477"/>
      <c r="AMH477"/>
      <c r="AMI477"/>
      <c r="AMJ477"/>
    </row>
    <row r="478" spans="1:1024" x14ac:dyDescent="0.2">
      <c r="D478" s="1"/>
      <c r="E478" s="1"/>
      <c r="F478" s="1"/>
      <c r="G478" s="1"/>
      <c r="AME478"/>
      <c r="AMF478"/>
      <c r="AMG478"/>
      <c r="AMH478"/>
      <c r="AMI478"/>
      <c r="AMJ478"/>
    </row>
    <row r="479" spans="1:1024" x14ac:dyDescent="0.2">
      <c r="A479" s="2"/>
      <c r="D479" s="1"/>
      <c r="E479" s="1"/>
      <c r="F479" s="1"/>
      <c r="G479" s="1"/>
      <c r="AME479"/>
      <c r="AMF479"/>
      <c r="AMG479"/>
      <c r="AMH479"/>
      <c r="AMI479"/>
      <c r="AMJ479"/>
    </row>
    <row r="480" spans="1:1024" ht="11.25" customHeight="1" x14ac:dyDescent="0.2">
      <c r="A480" s="2"/>
      <c r="D480" s="1"/>
      <c r="E480" s="1"/>
      <c r="F480" s="1"/>
      <c r="G480" s="1"/>
      <c r="AME480"/>
      <c r="AMF480"/>
      <c r="AMG480"/>
      <c r="AMH480"/>
      <c r="AMI480"/>
      <c r="AMJ480"/>
    </row>
    <row r="481" spans="1:1024" x14ac:dyDescent="0.2">
      <c r="A481" s="2"/>
      <c r="D481" s="1"/>
      <c r="E481" s="1"/>
      <c r="F481" s="1"/>
      <c r="G481" s="1"/>
      <c r="AME481"/>
      <c r="AMF481"/>
      <c r="AMG481"/>
      <c r="AMH481"/>
      <c r="AMI481"/>
      <c r="AMJ481"/>
    </row>
    <row r="482" spans="1:1024" x14ac:dyDescent="0.2">
      <c r="A482" s="2"/>
      <c r="D482" s="1"/>
      <c r="E482" s="1"/>
      <c r="F482" s="1"/>
      <c r="G482" s="1"/>
      <c r="AME482"/>
      <c r="AMF482"/>
      <c r="AMG482"/>
      <c r="AMH482"/>
      <c r="AMI482"/>
      <c r="AMJ482"/>
    </row>
    <row r="483" spans="1:1024" ht="11.25" customHeight="1" x14ac:dyDescent="0.2">
      <c r="A483" s="2"/>
      <c r="D483" s="1"/>
      <c r="E483" s="1"/>
      <c r="F483" s="1"/>
      <c r="G483" s="1"/>
      <c r="AME483"/>
      <c r="AMF483"/>
      <c r="AMG483"/>
      <c r="AMH483"/>
      <c r="AMI483"/>
      <c r="AMJ483"/>
    </row>
    <row r="484" spans="1:1024" ht="24.75" customHeight="1" x14ac:dyDescent="0.2">
      <c r="A484" s="2"/>
      <c r="D484" s="1"/>
      <c r="E484" s="1"/>
      <c r="F484" s="1"/>
      <c r="G484" s="1"/>
      <c r="AME484"/>
      <c r="AMF484"/>
      <c r="AMG484"/>
      <c r="AMH484"/>
      <c r="AMI484"/>
      <c r="AMJ484"/>
    </row>
    <row r="485" spans="1:1024" ht="12.6" customHeight="1" x14ac:dyDescent="0.2">
      <c r="A485" s="2"/>
      <c r="D485" s="1"/>
      <c r="E485" s="1"/>
      <c r="F485" s="1"/>
      <c r="G485" s="1"/>
      <c r="AME485"/>
      <c r="AMF485"/>
      <c r="AMG485"/>
      <c r="AMH485"/>
      <c r="AMI485"/>
      <c r="AMJ485"/>
    </row>
    <row r="486" spans="1:1024" x14ac:dyDescent="0.2">
      <c r="A486" s="2"/>
      <c r="D486" s="1"/>
      <c r="E486" s="1"/>
      <c r="F486" s="1"/>
      <c r="G486" s="1"/>
      <c r="AME486"/>
      <c r="AMF486"/>
      <c r="AMG486"/>
      <c r="AMH486"/>
      <c r="AMI486"/>
      <c r="AMJ486"/>
    </row>
    <row r="487" spans="1:1024" ht="16.149999999999999" customHeight="1" x14ac:dyDescent="0.2">
      <c r="A487" s="2"/>
      <c r="D487" s="1"/>
      <c r="E487" s="1"/>
      <c r="F487" s="1"/>
      <c r="G487" s="1"/>
      <c r="AME487"/>
      <c r="AMF487"/>
      <c r="AMG487"/>
      <c r="AMH487"/>
      <c r="AMI487"/>
      <c r="AMJ487"/>
    </row>
    <row r="488" spans="1:1024" x14ac:dyDescent="0.2">
      <c r="A488" s="2"/>
      <c r="D488" s="1"/>
      <c r="E488" s="1"/>
      <c r="F488" s="1"/>
      <c r="G488" s="1"/>
      <c r="AME488"/>
      <c r="AMF488"/>
      <c r="AMG488"/>
      <c r="AMH488"/>
      <c r="AMI488"/>
      <c r="AMJ488"/>
    </row>
    <row r="489" spans="1:1024" ht="25.5" customHeight="1" x14ac:dyDescent="0.2">
      <c r="A489" s="2"/>
      <c r="D489" s="1"/>
      <c r="E489" s="1"/>
      <c r="F489" s="1"/>
      <c r="G489" s="1"/>
      <c r="AME489"/>
      <c r="AMF489"/>
      <c r="AMG489"/>
      <c r="AMH489"/>
      <c r="AMI489"/>
      <c r="AMJ489"/>
    </row>
    <row r="490" spans="1:1024" ht="12.6" customHeight="1" x14ac:dyDescent="0.2">
      <c r="A490" s="2"/>
      <c r="D490" s="1"/>
      <c r="E490" s="1"/>
      <c r="F490" s="1"/>
      <c r="G490" s="1"/>
      <c r="AME490"/>
      <c r="AMF490"/>
      <c r="AMG490"/>
      <c r="AMH490"/>
      <c r="AMI490"/>
      <c r="AMJ490"/>
    </row>
    <row r="491" spans="1:1024" s="4" customFormat="1" ht="9.75" customHeight="1" x14ac:dyDescent="0.2">
      <c r="A491" s="3"/>
    </row>
    <row r="492" spans="1:1024" s="4" customFormat="1" ht="9.75" customHeight="1" x14ac:dyDescent="0.2">
      <c r="A492" s="3"/>
    </row>
    <row r="493" spans="1:1024" s="4" customFormat="1" ht="9.75" customHeight="1" x14ac:dyDescent="0.2">
      <c r="A493" s="3"/>
    </row>
    <row r="523" s="1" customFormat="1" ht="9" customHeight="1" x14ac:dyDescent="0.2"/>
  </sheetData>
  <sheetProtection selectLockedCells="1" selectUnlockedCells="1"/>
  <mergeCells count="3">
    <mergeCell ref="A1:F1"/>
    <mergeCell ref="A2:F2"/>
    <mergeCell ref="A3:F3"/>
  </mergeCells>
  <pageMargins left="0.9055118110236221" right="0.51181102362204722" top="0.74803149606299213" bottom="0.74803149606299213" header="0.51181102362204722" footer="0.31496062992125984"/>
  <pageSetup paperSize="9" scale="10" fitToHeight="0" orientation="portrait" r:id="rId1"/>
  <headerFooter>
    <oddFooter>&amp;R&amp;P de &amp;N</oddFooter>
  </headerFooter>
  <rowBreaks count="6" manualBreakCount="6">
    <brk id="50" max="16383" man="1"/>
    <brk id="118" max="16383" man="1"/>
    <brk id="179" max="16383" man="1"/>
    <brk id="237" max="16383" man="1"/>
    <brk id="306" max="16383" man="1"/>
    <brk id="38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59"/>
  <sheetViews>
    <sheetView view="pageBreakPreview" topLeftCell="A19" zoomScaleNormal="100" workbookViewId="0">
      <selection activeCell="D31" sqref="D31:D32"/>
    </sheetView>
  </sheetViews>
  <sheetFormatPr defaultColWidth="9.140625" defaultRowHeight="12.75" x14ac:dyDescent="0.2"/>
  <cols>
    <col min="1" max="1" width="13.5703125" style="145" customWidth="1"/>
    <col min="2" max="2" width="39.5703125" style="145" customWidth="1"/>
    <col min="3" max="3" width="14.5703125" style="145" customWidth="1"/>
    <col min="4" max="4" width="37.28515625" style="145" customWidth="1"/>
    <col min="5" max="10" width="9.140625" style="145"/>
    <col min="11" max="11" width="11" style="145" customWidth="1"/>
    <col min="12" max="1024" width="9.140625" style="145"/>
  </cols>
  <sheetData>
    <row r="1" spans="1:7" x14ac:dyDescent="0.2">
      <c r="A1" s="24" t="s">
        <v>183</v>
      </c>
    </row>
    <row r="2" spans="1:7" x14ac:dyDescent="0.2">
      <c r="A2" s="146" t="s">
        <v>184</v>
      </c>
    </row>
    <row r="3" spans="1:7" s="4" customFormat="1" ht="15.6" customHeight="1" x14ac:dyDescent="0.2">
      <c r="B3" s="8"/>
      <c r="C3" s="8"/>
      <c r="D3" s="8"/>
      <c r="E3" s="8"/>
      <c r="F3" s="8"/>
      <c r="G3" s="3"/>
    </row>
    <row r="4" spans="1:7" s="4" customFormat="1" ht="15.6" customHeight="1" x14ac:dyDescent="0.2">
      <c r="A4" s="147" t="s">
        <v>185</v>
      </c>
      <c r="B4" s="8"/>
      <c r="C4" s="8"/>
      <c r="D4" s="8"/>
      <c r="E4" s="8"/>
      <c r="F4" s="8"/>
      <c r="G4" s="3"/>
    </row>
    <row r="5" spans="1:7" s="4" customFormat="1" ht="16.5" customHeight="1" x14ac:dyDescent="0.2">
      <c r="A5" s="147" t="s">
        <v>186</v>
      </c>
      <c r="B5" s="8"/>
      <c r="C5" s="8"/>
      <c r="D5" s="3"/>
      <c r="E5" s="3"/>
      <c r="F5" s="3"/>
      <c r="G5" s="3"/>
    </row>
    <row r="7" spans="1:7" ht="18" x14ac:dyDescent="0.2">
      <c r="A7" s="409" t="s">
        <v>187</v>
      </c>
      <c r="B7" s="409"/>
      <c r="C7" s="409"/>
      <c r="D7" s="148"/>
      <c r="E7" s="148"/>
      <c r="F7" s="148"/>
    </row>
    <row r="8" spans="1:7" ht="14.25" x14ac:dyDescent="0.2">
      <c r="A8" s="149" t="s">
        <v>188</v>
      </c>
      <c r="B8" s="150" t="s">
        <v>189</v>
      </c>
      <c r="C8" s="151" t="s">
        <v>190</v>
      </c>
      <c r="D8" s="152"/>
    </row>
    <row r="9" spans="1:7" ht="14.25" x14ac:dyDescent="0.2">
      <c r="A9" s="149" t="s">
        <v>191</v>
      </c>
      <c r="B9" s="150" t="s">
        <v>192</v>
      </c>
      <c r="C9" s="153"/>
      <c r="D9" s="152"/>
    </row>
    <row r="10" spans="1:7" ht="14.25" x14ac:dyDescent="0.2">
      <c r="A10" s="149" t="s">
        <v>193</v>
      </c>
      <c r="B10" s="150" t="s">
        <v>194</v>
      </c>
      <c r="C10" s="153"/>
      <c r="D10" s="152"/>
    </row>
    <row r="11" spans="1:7" ht="14.25" x14ac:dyDescent="0.2">
      <c r="A11" s="149" t="s">
        <v>195</v>
      </c>
      <c r="B11" s="150" t="s">
        <v>196</v>
      </c>
      <c r="C11" s="153"/>
      <c r="D11" s="152"/>
    </row>
    <row r="12" spans="1:7" ht="14.25" x14ac:dyDescent="0.2">
      <c r="A12" s="149" t="s">
        <v>197</v>
      </c>
      <c r="B12" s="150" t="s">
        <v>198</v>
      </c>
      <c r="C12" s="153"/>
      <c r="D12" s="152"/>
    </row>
    <row r="13" spans="1:7" ht="14.25" x14ac:dyDescent="0.2">
      <c r="A13" s="149" t="s">
        <v>199</v>
      </c>
      <c r="B13" s="150" t="s">
        <v>200</v>
      </c>
      <c r="C13" s="153"/>
      <c r="D13" s="152"/>
    </row>
    <row r="14" spans="1:7" ht="14.25" x14ac:dyDescent="0.2">
      <c r="A14" s="149" t="s">
        <v>201</v>
      </c>
      <c r="B14" s="150" t="s">
        <v>202</v>
      </c>
      <c r="C14" s="153"/>
      <c r="D14" s="152"/>
    </row>
    <row r="15" spans="1:7" ht="14.25" x14ac:dyDescent="0.2">
      <c r="A15" s="149" t="s">
        <v>203</v>
      </c>
      <c r="B15" s="150" t="s">
        <v>204</v>
      </c>
      <c r="C15" s="153"/>
      <c r="D15" s="152"/>
    </row>
    <row r="16" spans="1:7" ht="14.25" x14ac:dyDescent="0.2">
      <c r="A16" s="149" t="s">
        <v>205</v>
      </c>
      <c r="B16" s="150" t="s">
        <v>206</v>
      </c>
      <c r="C16" s="153"/>
      <c r="D16" s="152"/>
    </row>
    <row r="17" spans="1:8" ht="15" x14ac:dyDescent="0.2">
      <c r="A17" s="149" t="s">
        <v>207</v>
      </c>
      <c r="B17" s="154" t="s">
        <v>208</v>
      </c>
      <c r="C17" s="155">
        <f>SUM(C9:C16)</f>
        <v>0</v>
      </c>
      <c r="D17" s="152"/>
    </row>
    <row r="18" spans="1:8" ht="15" x14ac:dyDescent="0.2">
      <c r="A18" s="156"/>
      <c r="B18" s="157"/>
      <c r="C18" s="158"/>
      <c r="D18" s="152"/>
    </row>
    <row r="19" spans="1:8" ht="14.25" x14ac:dyDescent="0.2">
      <c r="A19" s="149" t="s">
        <v>209</v>
      </c>
      <c r="B19" s="150" t="s">
        <v>210</v>
      </c>
      <c r="C19" s="153"/>
      <c r="D19" s="152"/>
    </row>
    <row r="20" spans="1:8" ht="14.25" x14ac:dyDescent="0.2">
      <c r="A20" s="149" t="s">
        <v>211</v>
      </c>
      <c r="B20" s="150" t="s">
        <v>212</v>
      </c>
      <c r="C20" s="153"/>
      <c r="D20" s="152"/>
    </row>
    <row r="21" spans="1:8" ht="14.25" x14ac:dyDescent="0.2">
      <c r="A21" s="149" t="s">
        <v>213</v>
      </c>
      <c r="B21" s="150" t="s">
        <v>214</v>
      </c>
      <c r="C21" s="153"/>
      <c r="D21" s="152"/>
    </row>
    <row r="22" spans="1:8" ht="14.25" x14ac:dyDescent="0.2">
      <c r="A22" s="149" t="s">
        <v>215</v>
      </c>
      <c r="B22" s="150" t="s">
        <v>216</v>
      </c>
      <c r="C22" s="153"/>
      <c r="D22" s="152"/>
    </row>
    <row r="23" spans="1:8" ht="14.25" x14ac:dyDescent="0.2">
      <c r="A23" s="149" t="s">
        <v>217</v>
      </c>
      <c r="B23" s="150" t="s">
        <v>218</v>
      </c>
      <c r="C23" s="153"/>
      <c r="D23" s="152"/>
    </row>
    <row r="24" spans="1:8" ht="14.25" x14ac:dyDescent="0.2">
      <c r="A24" s="149" t="s">
        <v>219</v>
      </c>
      <c r="B24" s="150" t="s">
        <v>220</v>
      </c>
      <c r="C24" s="153"/>
      <c r="D24" s="152"/>
    </row>
    <row r="25" spans="1:8" ht="15" x14ac:dyDescent="0.2">
      <c r="A25" s="149" t="s">
        <v>221</v>
      </c>
      <c r="B25" s="154" t="s">
        <v>222</v>
      </c>
      <c r="C25" s="155">
        <f>SUM(C19:C24)</f>
        <v>0</v>
      </c>
      <c r="D25" s="159"/>
    </row>
    <row r="26" spans="1:8" ht="15" x14ac:dyDescent="0.2">
      <c r="A26" s="156"/>
      <c r="B26" s="157"/>
      <c r="C26" s="158"/>
      <c r="D26" s="159"/>
    </row>
    <row r="27" spans="1:8" ht="14.25" x14ac:dyDescent="0.2">
      <c r="A27" s="149" t="s">
        <v>223</v>
      </c>
      <c r="B27" s="150" t="s">
        <v>224</v>
      </c>
      <c r="C27" s="153"/>
      <c r="D27" s="152"/>
      <c r="E27" s="160"/>
    </row>
    <row r="28" spans="1:8" ht="14.25" x14ac:dyDescent="0.2">
      <c r="A28" s="149" t="s">
        <v>225</v>
      </c>
      <c r="B28" s="150" t="s">
        <v>226</v>
      </c>
      <c r="C28" s="153"/>
      <c r="D28" s="152"/>
      <c r="H28" s="161"/>
    </row>
    <row r="29" spans="1:8" ht="14.25" x14ac:dyDescent="0.2">
      <c r="A29" s="149" t="s">
        <v>227</v>
      </c>
      <c r="B29" s="150" t="s">
        <v>228</v>
      </c>
      <c r="C29" s="153"/>
      <c r="D29" s="152"/>
      <c r="E29" s="160"/>
    </row>
    <row r="30" spans="1:8" ht="14.25" x14ac:dyDescent="0.2">
      <c r="A30" s="149" t="s">
        <v>229</v>
      </c>
      <c r="B30" s="150" t="s">
        <v>230</v>
      </c>
      <c r="C30" s="153"/>
      <c r="D30" s="152"/>
      <c r="G30" s="160"/>
    </row>
    <row r="31" spans="1:8" ht="14.25" x14ac:dyDescent="0.2">
      <c r="A31" s="149" t="s">
        <v>231</v>
      </c>
      <c r="B31" s="150" t="s">
        <v>232</v>
      </c>
      <c r="C31" s="153"/>
      <c r="D31" s="152"/>
    </row>
    <row r="32" spans="1:8" ht="15" x14ac:dyDescent="0.2">
      <c r="A32" s="149" t="s">
        <v>233</v>
      </c>
      <c r="B32" s="154" t="s">
        <v>234</v>
      </c>
      <c r="C32" s="155">
        <f>SUM(C27:C31)</f>
        <v>0</v>
      </c>
      <c r="D32" s="159"/>
    </row>
    <row r="33" spans="1:4" ht="15" x14ac:dyDescent="0.2">
      <c r="A33" s="156"/>
      <c r="B33" s="157"/>
      <c r="C33" s="158"/>
      <c r="D33" s="159"/>
    </row>
    <row r="34" spans="1:4" ht="14.25" x14ac:dyDescent="0.2">
      <c r="A34" s="149" t="s">
        <v>235</v>
      </c>
      <c r="B34" s="150" t="s">
        <v>236</v>
      </c>
      <c r="C34" s="153">
        <f>ROUND(C17*C25,4)</f>
        <v>0</v>
      </c>
      <c r="D34" s="152"/>
    </row>
    <row r="35" spans="1:4" ht="28.5" x14ac:dyDescent="0.2">
      <c r="A35" s="149" t="s">
        <v>237</v>
      </c>
      <c r="B35" s="162" t="s">
        <v>238</v>
      </c>
      <c r="C35" s="153"/>
      <c r="D35" s="152"/>
    </row>
    <row r="36" spans="1:4" ht="15" x14ac:dyDescent="0.2">
      <c r="A36" s="149" t="s">
        <v>239</v>
      </c>
      <c r="B36" s="154" t="s">
        <v>240</v>
      </c>
      <c r="C36" s="155">
        <f>SUM(C34:C35)</f>
        <v>0</v>
      </c>
      <c r="D36" s="159"/>
    </row>
    <row r="37" spans="1:4" ht="15" x14ac:dyDescent="0.2">
      <c r="A37" s="163"/>
      <c r="B37" s="164" t="s">
        <v>241</v>
      </c>
      <c r="C37" s="165">
        <f>C36+C32+C25+C17</f>
        <v>0</v>
      </c>
      <c r="D37" s="159"/>
    </row>
    <row r="38" spans="1:4" ht="15" x14ac:dyDescent="0.2">
      <c r="A38" s="152"/>
      <c r="B38" s="166"/>
      <c r="C38" s="167"/>
      <c r="D38" s="168"/>
    </row>
    <row r="39" spans="1:4" ht="14.25" x14ac:dyDescent="0.2">
      <c r="A39" s="152"/>
      <c r="B39" s="152"/>
      <c r="C39" s="169"/>
      <c r="D39" s="170"/>
    </row>
    <row r="40" spans="1:4" ht="14.25" x14ac:dyDescent="0.2">
      <c r="A40" s="152"/>
      <c r="B40" s="152"/>
      <c r="C40" s="169"/>
      <c r="D40" s="152"/>
    </row>
    <row r="41" spans="1:4" ht="14.25" x14ac:dyDescent="0.2">
      <c r="A41" s="152"/>
      <c r="B41" s="152"/>
      <c r="C41" s="169"/>
      <c r="D41" s="152"/>
    </row>
    <row r="42" spans="1:4" ht="14.25" x14ac:dyDescent="0.2">
      <c r="A42" s="152"/>
      <c r="B42" s="152"/>
      <c r="C42" s="169"/>
      <c r="D42" s="152"/>
    </row>
    <row r="43" spans="1:4" ht="15" x14ac:dyDescent="0.2">
      <c r="A43" s="152"/>
      <c r="B43" s="166"/>
      <c r="C43" s="167"/>
      <c r="D43" s="152"/>
    </row>
    <row r="44" spans="1:4" ht="15" x14ac:dyDescent="0.2">
      <c r="A44" s="159"/>
      <c r="B44" s="166"/>
      <c r="C44" s="167"/>
      <c r="D44" s="159"/>
    </row>
    <row r="45" spans="1:4" ht="16.5" x14ac:dyDescent="0.2">
      <c r="A45" s="171"/>
    </row>
    <row r="46" spans="1:4" x14ac:dyDescent="0.2">
      <c r="A46" s="172"/>
      <c r="B46" s="173"/>
      <c r="C46" s="173"/>
    </row>
    <row r="47" spans="1:4" ht="14.25" x14ac:dyDescent="0.2">
      <c r="A47" s="152"/>
      <c r="B47" s="174"/>
      <c r="C47" s="173"/>
    </row>
    <row r="48" spans="1:4" ht="14.25" x14ac:dyDescent="0.2">
      <c r="A48" s="152"/>
      <c r="B48" s="174"/>
      <c r="C48" s="152"/>
    </row>
    <row r="49" spans="1:3" ht="14.25" x14ac:dyDescent="0.2">
      <c r="A49" s="152"/>
      <c r="B49" s="169"/>
      <c r="C49" s="173"/>
    </row>
    <row r="50" spans="1:3" ht="14.25" x14ac:dyDescent="0.2">
      <c r="A50" s="152"/>
      <c r="B50" s="174"/>
      <c r="C50" s="152"/>
    </row>
    <row r="51" spans="1:3" ht="14.25" x14ac:dyDescent="0.2">
      <c r="A51" s="152"/>
      <c r="B51" s="169"/>
      <c r="C51" s="173"/>
    </row>
    <row r="52" spans="1:3" ht="14.25" x14ac:dyDescent="0.2">
      <c r="A52" s="152"/>
      <c r="B52" s="174"/>
      <c r="C52" s="152"/>
    </row>
    <row r="53" spans="1:3" ht="14.25" x14ac:dyDescent="0.2">
      <c r="A53" s="152"/>
      <c r="B53" s="169"/>
      <c r="C53" s="173"/>
    </row>
    <row r="54" spans="1:3" ht="14.25" x14ac:dyDescent="0.2">
      <c r="A54" s="152"/>
      <c r="B54" s="174"/>
      <c r="C54" s="152"/>
    </row>
    <row r="55" spans="1:3" ht="14.25" x14ac:dyDescent="0.2">
      <c r="A55" s="152"/>
      <c r="B55" s="169"/>
      <c r="C55" s="173"/>
    </row>
    <row r="56" spans="1:3" ht="16.5" x14ac:dyDescent="0.2">
      <c r="A56" s="171"/>
    </row>
    <row r="59" spans="1:3" x14ac:dyDescent="0.2">
      <c r="A59" s="111"/>
    </row>
  </sheetData>
  <sheetProtection selectLockedCells="1" selectUnlockedCells="1"/>
  <mergeCells count="1">
    <mergeCell ref="A7:C7"/>
  </mergeCells>
  <pageMargins left="0.905555555555556" right="0.51180555555555496" top="0.74791666666666701" bottom="0.74791666666666701" header="0.51180555555555496" footer="0.51180555555555496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35"/>
  <sheetViews>
    <sheetView view="pageBreakPreview" topLeftCell="A4" zoomScaleNormal="100" workbookViewId="0">
      <selection activeCell="E19" sqref="A1:F477"/>
    </sheetView>
  </sheetViews>
  <sheetFormatPr defaultColWidth="9.140625" defaultRowHeight="12.75" x14ac:dyDescent="0.2"/>
  <cols>
    <col min="1" max="1" width="8.5703125" style="145" customWidth="1"/>
    <col min="2" max="2" width="67.140625" style="145" customWidth="1"/>
    <col min="3" max="3" width="13.7109375" style="145" customWidth="1"/>
    <col min="4" max="4" width="10.28515625" style="145" customWidth="1"/>
    <col min="5" max="5" width="13.7109375" style="145" customWidth="1"/>
    <col min="6" max="1024" width="9.140625" style="145"/>
  </cols>
  <sheetData>
    <row r="1" spans="1:3" x14ac:dyDescent="0.2">
      <c r="A1" s="175" t="s">
        <v>242</v>
      </c>
    </row>
    <row r="3" spans="1:3" x14ac:dyDescent="0.2">
      <c r="A3" s="176" t="s">
        <v>243</v>
      </c>
    </row>
    <row r="5" spans="1:3" x14ac:dyDescent="0.2">
      <c r="A5" s="176" t="s">
        <v>244</v>
      </c>
    </row>
    <row r="7" spans="1:3" ht="18" x14ac:dyDescent="0.25">
      <c r="B7" s="410" t="s">
        <v>245</v>
      </c>
      <c r="C7" s="410"/>
    </row>
    <row r="8" spans="1:3" ht="15" x14ac:dyDescent="0.25">
      <c r="B8" s="177" t="s">
        <v>246</v>
      </c>
      <c r="C8" s="178"/>
    </row>
    <row r="9" spans="1:3" ht="15" x14ac:dyDescent="0.25">
      <c r="B9" s="179" t="s">
        <v>247</v>
      </c>
      <c r="C9" s="180">
        <v>2100</v>
      </c>
    </row>
    <row r="10" spans="1:3" ht="15" x14ac:dyDescent="0.25">
      <c r="B10" s="181" t="s">
        <v>248</v>
      </c>
      <c r="C10" s="180">
        <v>2031</v>
      </c>
    </row>
    <row r="11" spans="1:3" ht="14.25" x14ac:dyDescent="0.2">
      <c r="B11" s="182" t="s">
        <v>249</v>
      </c>
      <c r="C11" s="183">
        <v>44</v>
      </c>
    </row>
    <row r="12" spans="1:3" ht="14.25" x14ac:dyDescent="0.2">
      <c r="B12" s="182" t="s">
        <v>250</v>
      </c>
      <c r="C12" s="183">
        <v>1192</v>
      </c>
    </row>
    <row r="13" spans="1:3" ht="14.25" x14ac:dyDescent="0.2">
      <c r="B13" s="182" t="s">
        <v>251</v>
      </c>
      <c r="C13" s="183">
        <v>372</v>
      </c>
    </row>
    <row r="14" spans="1:3" ht="14.25" x14ac:dyDescent="0.2">
      <c r="B14" s="182" t="s">
        <v>252</v>
      </c>
      <c r="C14" s="183">
        <v>22</v>
      </c>
    </row>
    <row r="15" spans="1:3" ht="14.25" x14ac:dyDescent="0.2">
      <c r="B15" s="182" t="s">
        <v>253</v>
      </c>
      <c r="C15" s="183">
        <v>350</v>
      </c>
    </row>
    <row r="16" spans="1:3" ht="14.25" x14ac:dyDescent="0.2">
      <c r="B16" s="182" t="s">
        <v>254</v>
      </c>
      <c r="C16" s="183">
        <v>1</v>
      </c>
    </row>
    <row r="17" spans="1:3" ht="14.25" x14ac:dyDescent="0.2">
      <c r="B17" s="182" t="s">
        <v>255</v>
      </c>
      <c r="C17" s="183">
        <v>30</v>
      </c>
    </row>
    <row r="18" spans="1:3" ht="14.25" x14ac:dyDescent="0.2">
      <c r="B18" s="184" t="s">
        <v>256</v>
      </c>
      <c r="C18" s="185">
        <v>0</v>
      </c>
    </row>
    <row r="19" spans="1:3" ht="14.25" x14ac:dyDescent="0.2">
      <c r="B19" s="186" t="s">
        <v>257</v>
      </c>
      <c r="C19" s="185">
        <v>0</v>
      </c>
    </row>
    <row r="20" spans="1:3" ht="15" x14ac:dyDescent="0.25">
      <c r="A20" s="145" t="s">
        <v>258</v>
      </c>
      <c r="B20" s="177" t="s">
        <v>259</v>
      </c>
      <c r="C20" s="178"/>
    </row>
    <row r="21" spans="1:3" ht="14.25" x14ac:dyDescent="0.2">
      <c r="B21" s="187" t="s">
        <v>260</v>
      </c>
      <c r="C21" s="188">
        <v>4625</v>
      </c>
    </row>
    <row r="22" spans="1:3" ht="14.25" x14ac:dyDescent="0.2">
      <c r="B22" s="182" t="s">
        <v>261</v>
      </c>
      <c r="C22" s="183">
        <v>4694</v>
      </c>
    </row>
    <row r="23" spans="1:3" ht="14.25" x14ac:dyDescent="0.2">
      <c r="B23" s="182" t="s">
        <v>262</v>
      </c>
      <c r="C23" s="189">
        <f>C9-C10</f>
        <v>69</v>
      </c>
    </row>
    <row r="24" spans="1:3" ht="14.25" x14ac:dyDescent="0.2">
      <c r="B24" s="190"/>
      <c r="C24" s="191"/>
    </row>
    <row r="25" spans="1:3" s="175" customFormat="1" ht="15" x14ac:dyDescent="0.25">
      <c r="B25" s="179" t="s">
        <v>263</v>
      </c>
      <c r="C25" s="192">
        <f>MEDIAN(C21,C22)</f>
        <v>4659.5</v>
      </c>
    </row>
    <row r="26" spans="1:3" ht="15" x14ac:dyDescent="0.25">
      <c r="B26" s="181" t="s">
        <v>264</v>
      </c>
      <c r="C26" s="193">
        <f>C12/C25</f>
        <v>0.25582144006867691</v>
      </c>
    </row>
    <row r="27" spans="1:3" ht="15" x14ac:dyDescent="0.25">
      <c r="B27" s="181" t="s">
        <v>265</v>
      </c>
      <c r="C27" s="193">
        <f>MEDIAN(C9,C10)/C25</f>
        <v>0.44328790642772831</v>
      </c>
    </row>
    <row r="28" spans="1:3" s="175" customFormat="1" ht="15" x14ac:dyDescent="0.25">
      <c r="B28" s="181" t="s">
        <v>266</v>
      </c>
      <c r="C28" s="194">
        <f>12/C27</f>
        <v>27.070442992011618</v>
      </c>
    </row>
    <row r="29" spans="1:3" ht="15" x14ac:dyDescent="0.25">
      <c r="B29" s="181" t="s">
        <v>267</v>
      </c>
      <c r="C29" s="195">
        <v>360</v>
      </c>
    </row>
    <row r="30" spans="1:3" ht="15" x14ac:dyDescent="0.25">
      <c r="B30" s="181" t="s">
        <v>268</v>
      </c>
      <c r="C30" s="195">
        <v>10</v>
      </c>
    </row>
    <row r="31" spans="1:3" ht="15" x14ac:dyDescent="0.25">
      <c r="B31" s="179" t="s">
        <v>269</v>
      </c>
      <c r="C31" s="196">
        <v>30</v>
      </c>
    </row>
    <row r="32" spans="1:3" ht="15" x14ac:dyDescent="0.25">
      <c r="B32" s="179" t="s">
        <v>270</v>
      </c>
      <c r="C32" s="196">
        <v>30</v>
      </c>
    </row>
    <row r="33" spans="2:4" s="175" customFormat="1" ht="15" x14ac:dyDescent="0.25">
      <c r="B33" s="179" t="s">
        <v>271</v>
      </c>
      <c r="C33" s="196">
        <f>30+(3*TRUNC(1/C27))</f>
        <v>36</v>
      </c>
    </row>
    <row r="34" spans="2:4" s="175" customFormat="1" ht="15" x14ac:dyDescent="0.25">
      <c r="B34" s="181" t="s">
        <v>206</v>
      </c>
      <c r="C34" s="197">
        <v>0.08</v>
      </c>
    </row>
    <row r="35" spans="2:4" s="175" customFormat="1" ht="15" x14ac:dyDescent="0.25">
      <c r="B35" s="198" t="s">
        <v>272</v>
      </c>
      <c r="C35" s="199">
        <v>0.4</v>
      </c>
      <c r="D35" s="175" t="s">
        <v>273</v>
      </c>
    </row>
  </sheetData>
  <sheetProtection password="EFC3" sheet="1" objects="1" scenarios="1" selectLockedCells="1" selectUnlockedCells="1"/>
  <mergeCells count="1">
    <mergeCell ref="B7:C7"/>
  </mergeCells>
  <pageMargins left="0.905555555555556" right="0.51180555555555496" top="0.74791666666666701" bottom="0.74791666666666701" header="0.51180555555555496" footer="0.51180555555555496"/>
  <pageSetup paperSize="9" scale="98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view="pageBreakPreview" zoomScaleNormal="100" workbookViewId="0">
      <selection activeCell="V25" sqref="V25"/>
    </sheetView>
  </sheetViews>
  <sheetFormatPr defaultColWidth="8.7109375" defaultRowHeight="12.75" x14ac:dyDescent="0.2"/>
  <cols>
    <col min="1" max="1" width="41.85546875" customWidth="1"/>
    <col min="2" max="2" width="5.5703125" customWidth="1"/>
    <col min="4" max="4" width="9.7109375" customWidth="1"/>
    <col min="5" max="5" width="8" style="200" customWidth="1"/>
    <col min="6" max="6" width="9.7109375" customWidth="1"/>
  </cols>
  <sheetData>
    <row r="1" spans="1:8" s="201" customFormat="1" ht="14.25" x14ac:dyDescent="0.2">
      <c r="A1" s="24" t="s">
        <v>183</v>
      </c>
      <c r="B1" s="6"/>
      <c r="C1" s="6"/>
      <c r="E1" s="202"/>
    </row>
    <row r="2" spans="1:8" s="201" customFormat="1" ht="14.25" x14ac:dyDescent="0.2">
      <c r="A2" s="146" t="s">
        <v>274</v>
      </c>
      <c r="B2" s="6"/>
      <c r="C2" s="6"/>
      <c r="E2" s="202"/>
    </row>
    <row r="3" spans="1:8" s="201" customFormat="1" ht="14.25" x14ac:dyDescent="0.2">
      <c r="A3" s="1" t="s">
        <v>275</v>
      </c>
      <c r="B3" s="6"/>
      <c r="C3" s="6"/>
      <c r="E3" s="202"/>
    </row>
    <row r="4" spans="1:8" s="201" customFormat="1" ht="14.25" x14ac:dyDescent="0.2">
      <c r="A4" s="1"/>
      <c r="B4" s="6"/>
      <c r="C4" s="6"/>
      <c r="E4" s="202"/>
    </row>
    <row r="5" spans="1:8" s="4" customFormat="1" ht="15.6" customHeight="1" x14ac:dyDescent="0.2">
      <c r="A5" s="147" t="s">
        <v>185</v>
      </c>
      <c r="B5" s="8"/>
      <c r="C5" s="8"/>
      <c r="D5" s="8"/>
      <c r="E5" s="8"/>
      <c r="F5" s="8"/>
      <c r="G5" s="3"/>
    </row>
    <row r="6" spans="1:8" s="4" customFormat="1" ht="16.5" customHeight="1" x14ac:dyDescent="0.2">
      <c r="A6" s="147" t="s">
        <v>186</v>
      </c>
      <c r="B6" s="8"/>
      <c r="C6" s="8"/>
      <c r="D6" s="3"/>
      <c r="E6" s="3"/>
      <c r="F6" s="3"/>
      <c r="G6" s="3"/>
    </row>
    <row r="7" spans="1:8" s="201" customFormat="1" ht="14.25" x14ac:dyDescent="0.2">
      <c r="B7" s="6"/>
      <c r="C7" s="6"/>
      <c r="E7" s="202"/>
    </row>
    <row r="8" spans="1:8" ht="15.75" x14ac:dyDescent="0.2">
      <c r="A8" s="411" t="s">
        <v>276</v>
      </c>
      <c r="B8" s="411"/>
      <c r="C8" s="411"/>
      <c r="D8" s="411"/>
      <c r="E8" s="411"/>
      <c r="F8" s="411"/>
    </row>
    <row r="9" spans="1:8" ht="15.75" x14ac:dyDescent="0.2">
      <c r="A9" s="203"/>
      <c r="B9" s="204"/>
      <c r="C9" s="204"/>
      <c r="D9" s="204"/>
      <c r="E9" s="204"/>
      <c r="F9" s="205"/>
    </row>
    <row r="10" spans="1:8" ht="15" x14ac:dyDescent="0.25">
      <c r="A10" s="206"/>
      <c r="B10" s="6"/>
      <c r="C10" s="6"/>
      <c r="D10" s="412" t="s">
        <v>277</v>
      </c>
      <c r="E10" s="412"/>
      <c r="F10" s="412"/>
      <c r="G10" s="201"/>
      <c r="H10" s="201"/>
    </row>
    <row r="11" spans="1:8" ht="14.25" x14ac:dyDescent="0.2">
      <c r="A11" s="190"/>
      <c r="B11" s="201"/>
      <c r="C11" s="201"/>
      <c r="D11" s="207" t="s">
        <v>278</v>
      </c>
      <c r="E11" s="208" t="s">
        <v>279</v>
      </c>
      <c r="F11" s="209" t="s">
        <v>280</v>
      </c>
      <c r="G11" s="201"/>
      <c r="H11" s="201"/>
    </row>
    <row r="12" spans="1:8" ht="14.25" x14ac:dyDescent="0.2">
      <c r="A12" s="210" t="s">
        <v>281</v>
      </c>
      <c r="B12" s="211" t="s">
        <v>282</v>
      </c>
      <c r="C12" s="212"/>
      <c r="D12" s="213">
        <v>2.9700000000000001E-2</v>
      </c>
      <c r="E12" s="214">
        <v>5.0799999999999998E-2</v>
      </c>
      <c r="F12" s="215">
        <v>6.2700000000000006E-2</v>
      </c>
      <c r="G12" s="201"/>
      <c r="H12" s="201"/>
    </row>
    <row r="13" spans="1:8" ht="14.25" x14ac:dyDescent="0.2">
      <c r="A13" s="216" t="s">
        <v>283</v>
      </c>
      <c r="B13" s="217" t="s">
        <v>284</v>
      </c>
      <c r="C13" s="218"/>
      <c r="D13" s="213">
        <f>0.3%+0.56%</f>
        <v>8.6E-3</v>
      </c>
      <c r="E13" s="214">
        <f>0.48%+0.85%</f>
        <v>1.3299999999999999E-2</v>
      </c>
      <c r="F13" s="215">
        <f>0.82%+0.89%</f>
        <v>1.7099999999999997E-2</v>
      </c>
      <c r="G13" s="201"/>
      <c r="H13" s="201"/>
    </row>
    <row r="14" spans="1:8" ht="14.25" x14ac:dyDescent="0.2">
      <c r="A14" s="216" t="s">
        <v>285</v>
      </c>
      <c r="B14" s="217" t="s">
        <v>286</v>
      </c>
      <c r="C14" s="218"/>
      <c r="D14" s="213">
        <v>7.7799999999999994E-2</v>
      </c>
      <c r="E14" s="214">
        <v>0.1085</v>
      </c>
      <c r="F14" s="215">
        <v>0.13550000000000001</v>
      </c>
      <c r="G14" s="201"/>
      <c r="H14" s="201"/>
    </row>
    <row r="15" spans="1:8" ht="14.25" x14ac:dyDescent="0.2">
      <c r="A15" s="216" t="s">
        <v>287</v>
      </c>
      <c r="B15" s="217" t="s">
        <v>288</v>
      </c>
      <c r="C15" s="219">
        <f>(1+E15)^(E16/252)-1</f>
        <v>0</v>
      </c>
      <c r="D15" s="213" t="s">
        <v>289</v>
      </c>
      <c r="E15" s="220"/>
      <c r="F15" s="221"/>
      <c r="G15" s="201"/>
      <c r="H15" s="201"/>
    </row>
    <row r="16" spans="1:8" ht="14.25" x14ac:dyDescent="0.2">
      <c r="A16" s="216" t="s">
        <v>290</v>
      </c>
      <c r="B16" s="413" t="s">
        <v>291</v>
      </c>
      <c r="C16" s="218"/>
      <c r="D16" s="222" t="s">
        <v>292</v>
      </c>
      <c r="E16" s="223"/>
      <c r="F16" s="189"/>
      <c r="G16" s="201"/>
      <c r="H16" s="201"/>
    </row>
    <row r="17" spans="1:8" ht="14.25" x14ac:dyDescent="0.2">
      <c r="A17" s="224" t="s">
        <v>293</v>
      </c>
      <c r="B17" s="413"/>
      <c r="C17" s="225"/>
      <c r="D17" s="182"/>
      <c r="E17" s="226"/>
      <c r="F17" s="189"/>
      <c r="G17" s="201"/>
      <c r="H17" s="201"/>
    </row>
    <row r="18" spans="1:8" ht="14.25" x14ac:dyDescent="0.2">
      <c r="A18" s="227" t="s">
        <v>294</v>
      </c>
      <c r="B18" s="228"/>
      <c r="C18" s="229"/>
      <c r="D18" s="182"/>
      <c r="E18" s="226"/>
      <c r="F18" s="189"/>
      <c r="G18" s="201"/>
      <c r="H18" s="201"/>
    </row>
    <row r="19" spans="1:8" ht="14.25" x14ac:dyDescent="0.2">
      <c r="A19" s="230" t="s">
        <v>295</v>
      </c>
      <c r="B19" s="231"/>
      <c r="C19" s="232"/>
      <c r="D19" s="182"/>
      <c r="E19" s="226"/>
      <c r="F19" s="189"/>
      <c r="G19" s="201"/>
      <c r="H19" s="201"/>
    </row>
    <row r="20" spans="1:8" ht="15" x14ac:dyDescent="0.2">
      <c r="A20" s="233" t="s">
        <v>296</v>
      </c>
      <c r="B20" s="234"/>
      <c r="C20" s="235">
        <f>ROUND((((1+C12+C13)*(1+C14)*(1+C15))/(1-(C16+C17))-1),4)</f>
        <v>0</v>
      </c>
      <c r="D20" s="236">
        <v>0.21429999999999999</v>
      </c>
      <c r="E20" s="237">
        <v>0.2717</v>
      </c>
      <c r="F20" s="238">
        <v>0.3362</v>
      </c>
      <c r="G20" s="201"/>
      <c r="H20" s="201"/>
    </row>
    <row r="21" spans="1:8" ht="14.25" x14ac:dyDescent="0.2">
      <c r="A21" s="201"/>
      <c r="B21" s="201"/>
      <c r="C21" s="201"/>
      <c r="D21" s="201"/>
      <c r="E21" s="202"/>
      <c r="F21" s="201"/>
      <c r="G21" s="201"/>
      <c r="H21" s="201"/>
    </row>
    <row r="22" spans="1:8" ht="14.25" x14ac:dyDescent="0.2">
      <c r="A22" s="201"/>
      <c r="B22" s="201"/>
      <c r="C22" s="201"/>
      <c r="D22" s="201"/>
      <c r="E22" s="202"/>
      <c r="F22" s="201"/>
      <c r="G22" s="201"/>
      <c r="H22" s="201"/>
    </row>
    <row r="23" spans="1:8" ht="14.25" x14ac:dyDescent="0.2">
      <c r="A23" s="201"/>
      <c r="B23" s="201"/>
      <c r="C23" s="201"/>
      <c r="D23" s="201"/>
      <c r="E23" s="202"/>
      <c r="F23" s="201"/>
      <c r="G23" s="201"/>
      <c r="H23" s="201"/>
    </row>
    <row r="24" spans="1:8" ht="14.25" x14ac:dyDescent="0.2">
      <c r="A24" s="201"/>
      <c r="B24" s="201"/>
      <c r="C24" s="201"/>
      <c r="D24" s="201"/>
      <c r="E24" s="202"/>
      <c r="F24" s="201"/>
      <c r="G24" s="201"/>
      <c r="H24" s="201"/>
    </row>
  </sheetData>
  <sheetProtection selectLockedCells="1" selectUnlockedCells="1"/>
  <mergeCells count="3">
    <mergeCell ref="A8:F8"/>
    <mergeCell ref="D10:F10"/>
    <mergeCell ref="B16:B17"/>
  </mergeCells>
  <pageMargins left="0.905555555555556" right="0.51180555555555496" top="0.74791666666666701" bottom="0.74791666666666701" header="0.51180555555555496" footer="0.51180555555555496"/>
  <pageSetup paperSize="9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7"/>
  <sheetViews>
    <sheetView view="pageBreakPreview" zoomScaleNormal="100" workbookViewId="0">
      <selection activeCell="B9" sqref="B9"/>
    </sheetView>
  </sheetViews>
  <sheetFormatPr defaultColWidth="9.140625" defaultRowHeight="12.75" x14ac:dyDescent="0.2"/>
  <cols>
    <col min="1" max="1" width="24.5703125" style="145" customWidth="1"/>
    <col min="2" max="2" width="20.85546875" style="145" customWidth="1"/>
    <col min="3" max="1024" width="9.140625" style="145"/>
  </cols>
  <sheetData>
    <row r="1" spans="1:2" ht="19.5" customHeight="1" x14ac:dyDescent="0.2">
      <c r="A1" s="414" t="s">
        <v>297</v>
      </c>
      <c r="B1" s="414"/>
    </row>
    <row r="2" spans="1:2" s="175" customFormat="1" ht="19.5" customHeight="1" x14ac:dyDescent="0.2">
      <c r="A2" s="239" t="s">
        <v>298</v>
      </c>
      <c r="B2" s="240" t="s">
        <v>299</v>
      </c>
    </row>
    <row r="3" spans="1:2" ht="19.5" customHeight="1" x14ac:dyDescent="0.2">
      <c r="A3" s="241">
        <v>1</v>
      </c>
      <c r="B3" s="242">
        <v>33.630000000000003</v>
      </c>
    </row>
    <row r="4" spans="1:2" ht="19.5" customHeight="1" x14ac:dyDescent="0.2">
      <c r="A4" s="241">
        <v>2</v>
      </c>
      <c r="B4" s="242">
        <v>43.13</v>
      </c>
    </row>
    <row r="5" spans="1:2" ht="19.5" customHeight="1" x14ac:dyDescent="0.2">
      <c r="A5" s="241">
        <v>3</v>
      </c>
      <c r="B5" s="242">
        <v>48.68</v>
      </c>
    </row>
    <row r="6" spans="1:2" ht="19.5" customHeight="1" x14ac:dyDescent="0.2">
      <c r="A6" s="241">
        <v>4</v>
      </c>
      <c r="B6" s="242">
        <v>52.62</v>
      </c>
    </row>
    <row r="7" spans="1:2" ht="19.5" customHeight="1" x14ac:dyDescent="0.2">
      <c r="A7" s="241">
        <v>5</v>
      </c>
      <c r="B7" s="242">
        <v>55.68</v>
      </c>
    </row>
    <row r="8" spans="1:2" ht="19.5" customHeight="1" x14ac:dyDescent="0.2">
      <c r="A8" s="241">
        <v>6</v>
      </c>
      <c r="B8" s="242">
        <v>58.18</v>
      </c>
    </row>
    <row r="9" spans="1:2" ht="19.5" customHeight="1" x14ac:dyDescent="0.2">
      <c r="A9" s="241">
        <v>7</v>
      </c>
      <c r="B9" s="242">
        <v>60.29</v>
      </c>
    </row>
    <row r="10" spans="1:2" ht="19.5" customHeight="1" x14ac:dyDescent="0.2">
      <c r="A10" s="241">
        <v>8</v>
      </c>
      <c r="B10" s="242">
        <v>62.12</v>
      </c>
    </row>
    <row r="11" spans="1:2" ht="19.5" customHeight="1" x14ac:dyDescent="0.2">
      <c r="A11" s="241">
        <v>9</v>
      </c>
      <c r="B11" s="242">
        <v>63.73</v>
      </c>
    </row>
    <row r="12" spans="1:2" ht="19.5" customHeight="1" x14ac:dyDescent="0.2">
      <c r="A12" s="241">
        <v>10</v>
      </c>
      <c r="B12" s="242">
        <v>65.180000000000007</v>
      </c>
    </row>
    <row r="13" spans="1:2" ht="19.5" customHeight="1" x14ac:dyDescent="0.2">
      <c r="A13" s="241">
        <v>11</v>
      </c>
      <c r="B13" s="242">
        <v>66.48</v>
      </c>
    </row>
    <row r="14" spans="1:2" ht="19.5" customHeight="1" x14ac:dyDescent="0.2">
      <c r="A14" s="241">
        <v>12</v>
      </c>
      <c r="B14" s="242">
        <v>67.67</v>
      </c>
    </row>
    <row r="15" spans="1:2" ht="19.5" customHeight="1" x14ac:dyDescent="0.2">
      <c r="A15" s="241">
        <v>13</v>
      </c>
      <c r="B15" s="242">
        <v>68.77</v>
      </c>
    </row>
    <row r="16" spans="1:2" ht="19.5" customHeight="1" x14ac:dyDescent="0.2">
      <c r="A16" s="241">
        <v>14</v>
      </c>
      <c r="B16" s="242">
        <v>69.790000000000006</v>
      </c>
    </row>
    <row r="17" spans="1:2" ht="19.5" customHeight="1" x14ac:dyDescent="0.2">
      <c r="A17" s="243">
        <v>15</v>
      </c>
      <c r="B17" s="244">
        <v>70.73</v>
      </c>
    </row>
  </sheetData>
  <sheetProtection selectLockedCells="1" selectUnlockedCells="1"/>
  <mergeCells count="1">
    <mergeCell ref="A1:B1"/>
  </mergeCells>
  <pageMargins left="0.905555555555556" right="0.51180555555555496" top="0.74791666666666701" bottom="0.74791666666666701" header="0.51180555555555496" footer="0.51180555555555496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17"/>
  <sheetViews>
    <sheetView view="pageBreakPreview" zoomScaleNormal="100" workbookViewId="0">
      <selection sqref="A1:F477"/>
    </sheetView>
  </sheetViews>
  <sheetFormatPr defaultColWidth="9.140625" defaultRowHeight="12.75" x14ac:dyDescent="0.2"/>
  <cols>
    <col min="1" max="1" width="70.42578125" style="145" customWidth="1"/>
    <col min="2" max="3" width="9.140625" style="145"/>
    <col min="4" max="4" width="12.85546875" style="145" customWidth="1"/>
    <col min="5" max="1024" width="9.140625" style="145"/>
  </cols>
  <sheetData>
    <row r="1" spans="1:1" ht="18" x14ac:dyDescent="0.25">
      <c r="A1" s="245" t="s">
        <v>300</v>
      </c>
    </row>
    <row r="2" spans="1:1" x14ac:dyDescent="0.2">
      <c r="A2" s="246"/>
    </row>
    <row r="3" spans="1:1" x14ac:dyDescent="0.2">
      <c r="A3" s="246" t="s">
        <v>301</v>
      </c>
    </row>
    <row r="4" spans="1:1" x14ac:dyDescent="0.2">
      <c r="A4" s="246"/>
    </row>
    <row r="5" spans="1:1" x14ac:dyDescent="0.2">
      <c r="A5" s="246"/>
    </row>
    <row r="6" spans="1:1" x14ac:dyDescent="0.2">
      <c r="A6" s="246"/>
    </row>
    <row r="7" spans="1:1" x14ac:dyDescent="0.2">
      <c r="A7" s="246"/>
    </row>
    <row r="8" spans="1:1" x14ac:dyDescent="0.2">
      <c r="A8" s="246"/>
    </row>
    <row r="9" spans="1:1" x14ac:dyDescent="0.2">
      <c r="A9" s="246"/>
    </row>
    <row r="10" spans="1:1" x14ac:dyDescent="0.2">
      <c r="A10" s="246"/>
    </row>
    <row r="11" spans="1:1" x14ac:dyDescent="0.2">
      <c r="A11" s="246"/>
    </row>
    <row r="12" spans="1:1" ht="19.5" x14ac:dyDescent="0.35">
      <c r="A12" s="247" t="s">
        <v>302</v>
      </c>
    </row>
    <row r="13" spans="1:1" ht="15" x14ac:dyDescent="0.2">
      <c r="A13" s="247" t="s">
        <v>303</v>
      </c>
    </row>
    <row r="14" spans="1:1" ht="15" x14ac:dyDescent="0.2">
      <c r="A14" s="247" t="s">
        <v>304</v>
      </c>
    </row>
    <row r="15" spans="1:1" ht="19.5" x14ac:dyDescent="0.35">
      <c r="A15" s="247" t="s">
        <v>305</v>
      </c>
    </row>
    <row r="16" spans="1:1" ht="19.5" x14ac:dyDescent="0.35">
      <c r="A16" s="247" t="s">
        <v>306</v>
      </c>
    </row>
    <row r="17" spans="1:1" ht="15" x14ac:dyDescent="0.2">
      <c r="A17" s="248" t="s">
        <v>307</v>
      </c>
    </row>
  </sheetData>
  <pageMargins left="0.905555555555556" right="0.51180555555555496" top="0.74791666666666701" bottom="0.74791666666666701" header="0.51180555555555496" footer="0.51180555555555496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24"/>
  <sheetViews>
    <sheetView view="pageBreakPreview" topLeftCell="A8" zoomScaleNormal="100" workbookViewId="0">
      <selection activeCell="M41" sqref="M41"/>
    </sheetView>
  </sheetViews>
  <sheetFormatPr defaultColWidth="9.140625" defaultRowHeight="12.75" x14ac:dyDescent="0.2"/>
  <cols>
    <col min="1" max="1" width="58.28515625" style="145" customWidth="1"/>
    <col min="2" max="2" width="11.140625" style="145" customWidth="1"/>
    <col min="3" max="3" width="11.28515625" style="145" customWidth="1"/>
    <col min="4" max="1024" width="9.140625" style="145"/>
  </cols>
  <sheetData>
    <row r="1" spans="1:7" x14ac:dyDescent="0.2">
      <c r="A1" s="24" t="s">
        <v>183</v>
      </c>
    </row>
    <row r="2" spans="1:7" x14ac:dyDescent="0.2">
      <c r="A2" s="146" t="s">
        <v>308</v>
      </c>
    </row>
    <row r="3" spans="1:7" x14ac:dyDescent="0.2">
      <c r="A3" s="146" t="s">
        <v>309</v>
      </c>
    </row>
    <row r="4" spans="1:7" x14ac:dyDescent="0.2">
      <c r="A4" s="1" t="s">
        <v>310</v>
      </c>
    </row>
    <row r="5" spans="1:7" x14ac:dyDescent="0.2">
      <c r="A5" s="1"/>
    </row>
    <row r="6" spans="1:7" s="4" customFormat="1" ht="15.6" customHeight="1" x14ac:dyDescent="0.2">
      <c r="A6" s="147" t="s">
        <v>185</v>
      </c>
      <c r="B6" s="8"/>
      <c r="C6" s="8"/>
      <c r="D6" s="8"/>
      <c r="E6" s="8"/>
      <c r="F6" s="8"/>
      <c r="G6" s="3"/>
    </row>
    <row r="7" spans="1:7" s="4" customFormat="1" ht="16.5" customHeight="1" x14ac:dyDescent="0.2">
      <c r="A7" s="147" t="s">
        <v>186</v>
      </c>
      <c r="B7" s="8"/>
      <c r="C7" s="8"/>
      <c r="D7" s="3"/>
      <c r="E7" s="3"/>
      <c r="F7" s="3"/>
      <c r="G7" s="3"/>
    </row>
    <row r="9" spans="1:7" ht="18" x14ac:dyDescent="0.25">
      <c r="A9" s="410" t="s">
        <v>311</v>
      </c>
      <c r="B9" s="410"/>
      <c r="C9" s="410"/>
    </row>
    <row r="10" spans="1:7" ht="18" x14ac:dyDescent="0.25">
      <c r="A10" s="249"/>
      <c r="B10" s="250"/>
      <c r="C10" s="251"/>
    </row>
    <row r="11" spans="1:7" s="175" customFormat="1" ht="15" x14ac:dyDescent="0.25">
      <c r="A11" s="252" t="s">
        <v>312</v>
      </c>
      <c r="B11" s="253" t="s">
        <v>313</v>
      </c>
      <c r="C11" s="254" t="s">
        <v>190</v>
      </c>
    </row>
    <row r="12" spans="1:7" ht="14.25" x14ac:dyDescent="0.2">
      <c r="A12" s="182" t="s">
        <v>314</v>
      </c>
      <c r="B12" s="255" t="s">
        <v>315</v>
      </c>
      <c r="C12" s="256">
        <v>23876</v>
      </c>
    </row>
    <row r="13" spans="1:7" ht="14.25" x14ac:dyDescent="0.2">
      <c r="A13" s="182" t="s">
        <v>316</v>
      </c>
      <c r="B13" s="255" t="s">
        <v>317</v>
      </c>
      <c r="C13" s="257">
        <v>0.7</v>
      </c>
    </row>
    <row r="14" spans="1:7" ht="14.25" x14ac:dyDescent="0.2">
      <c r="A14" s="182" t="s">
        <v>318</v>
      </c>
      <c r="B14" s="255" t="s">
        <v>319</v>
      </c>
      <c r="C14" s="258">
        <f>C12*C13/1000</f>
        <v>16.713200000000001</v>
      </c>
    </row>
    <row r="15" spans="1:7" ht="14.25" x14ac:dyDescent="0.2">
      <c r="A15" s="182" t="s">
        <v>320</v>
      </c>
      <c r="B15" s="255" t="s">
        <v>321</v>
      </c>
      <c r="C15" s="259">
        <f>(C14*30)</f>
        <v>501.39600000000002</v>
      </c>
    </row>
    <row r="16" spans="1:7" ht="14.25" x14ac:dyDescent="0.2">
      <c r="A16" s="182" t="s">
        <v>322</v>
      </c>
      <c r="B16" s="255" t="s">
        <v>52</v>
      </c>
      <c r="C16" s="260">
        <v>6</v>
      </c>
    </row>
    <row r="17" spans="1:3" ht="14.25" x14ac:dyDescent="0.2">
      <c r="A17" s="182" t="s">
        <v>323</v>
      </c>
      <c r="B17" s="255" t="s">
        <v>319</v>
      </c>
      <c r="C17" s="258">
        <f>IFERROR(C14*7/C16,0)</f>
        <v>19.498733333333334</v>
      </c>
    </row>
    <row r="18" spans="1:3" ht="14.25" x14ac:dyDescent="0.2">
      <c r="A18" s="182" t="s">
        <v>324</v>
      </c>
      <c r="B18" s="255" t="s">
        <v>325</v>
      </c>
      <c r="C18" s="189">
        <v>500</v>
      </c>
    </row>
    <row r="19" spans="1:3" ht="14.25" x14ac:dyDescent="0.2">
      <c r="A19" s="182" t="s">
        <v>326</v>
      </c>
      <c r="B19" s="255"/>
      <c r="C19" s="183">
        <v>2</v>
      </c>
    </row>
    <row r="20" spans="1:3" ht="14.25" x14ac:dyDescent="0.2">
      <c r="A20" s="182" t="s">
        <v>327</v>
      </c>
      <c r="B20" s="255" t="s">
        <v>328</v>
      </c>
      <c r="C20" s="183">
        <v>15</v>
      </c>
    </row>
    <row r="21" spans="1:3" ht="14.25" x14ac:dyDescent="0.2">
      <c r="A21" s="182" t="s">
        <v>329</v>
      </c>
      <c r="B21" s="255" t="s">
        <v>321</v>
      </c>
      <c r="C21" s="189">
        <f>IF(AND(C20&gt;=15,C19=1),5.8,C20/2)</f>
        <v>7.5</v>
      </c>
    </row>
    <row r="22" spans="1:3" ht="14.25" x14ac:dyDescent="0.2">
      <c r="A22" s="182" t="s">
        <v>330</v>
      </c>
      <c r="B22" s="255"/>
      <c r="C22" s="258">
        <f>IFERROR(C17/C21,0)</f>
        <v>2.599831111111111</v>
      </c>
    </row>
    <row r="23" spans="1:3" ht="14.25" x14ac:dyDescent="0.2">
      <c r="A23" s="182" t="s">
        <v>331</v>
      </c>
      <c r="B23" s="255"/>
      <c r="C23" s="261">
        <v>1</v>
      </c>
    </row>
    <row r="24" spans="1:3" ht="14.25" x14ac:dyDescent="0.2">
      <c r="A24" s="262" t="s">
        <v>332</v>
      </c>
      <c r="B24" s="263"/>
      <c r="C24" s="264">
        <f>IFERROR(C22/C23,0)</f>
        <v>2.599831111111111</v>
      </c>
    </row>
  </sheetData>
  <sheetProtection selectLockedCells="1" selectUnlockedCells="1"/>
  <mergeCells count="1">
    <mergeCell ref="A9:C9"/>
  </mergeCells>
  <conditionalFormatting sqref="C21">
    <cfRule type="expression" dxfId="0" priority="2">
      <formula>"SE(E(C20&gt;=15;C19=1))"</formula>
    </cfRule>
  </conditionalFormatting>
  <pageMargins left="0.51180555555555496" right="0.51180555555555496" top="0.78749999999999998" bottom="0.78749999999999998" header="0.51180555555555496" footer="0.51180555555555496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1. Coleta Domiciliar</vt:lpstr>
      <vt:lpstr>2. Containers</vt:lpstr>
      <vt:lpstr>3.Encargos Sociais</vt:lpstr>
      <vt:lpstr>4.CAGED</vt:lpstr>
      <vt:lpstr>5.BDI</vt:lpstr>
      <vt:lpstr>6. Depreciação</vt:lpstr>
      <vt:lpstr>7.Remuneração de capital</vt:lpstr>
      <vt:lpstr>8. Dimensionamento</vt:lpstr>
      <vt:lpstr>AbaDeprec</vt:lpstr>
      <vt:lpstr>AbaRemun</vt:lpstr>
      <vt:lpstr>'1. Coleta Domiciliar'!Area_de_impressao</vt:lpstr>
      <vt:lpstr>'3.Encargos Sociais'!Area_de_impressao</vt:lpstr>
      <vt:lpstr>'1. Coleta Domiciliar'!Titulos_de_impressao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Lilian Ramos Martins</cp:lastModifiedBy>
  <cp:revision>6</cp:revision>
  <cp:lastPrinted>2023-06-16T11:16:53Z</cp:lastPrinted>
  <dcterms:created xsi:type="dcterms:W3CDTF">2000-12-13T10:02:50Z</dcterms:created>
  <dcterms:modified xsi:type="dcterms:W3CDTF">2023-12-08T20:31:54Z</dcterms:modified>
  <dc:language>pt-BR</dc:language>
</cp:coreProperties>
</file>