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LICITACOES\1. EDITAIS 2024\CONCORRENCIA ELETRONICA\CE 02.2024 - REFORMA E AMPLIACAO DO CRAS\PROJETO TECNICO\"/>
    </mc:Choice>
  </mc:AlternateContent>
  <bookViews>
    <workbookView xWindow="0" yWindow="0" windowWidth="20490" windowHeight="7755"/>
  </bookViews>
  <sheets>
    <sheet name="Orçamento Oficial" sheetId="7" r:id="rId1"/>
    <sheet name="Composição" sheetId="9" r:id="rId2"/>
    <sheet name="Cronograma" sheetId="3" r:id="rId3"/>
  </sheets>
  <calcPr calcId="191029"/>
</workbook>
</file>

<file path=xl/calcChain.xml><?xml version="1.0" encoding="utf-8"?>
<calcChain xmlns="http://schemas.openxmlformats.org/spreadsheetml/2006/main">
  <c r="T17" i="3" l="1"/>
  <c r="T18" i="3"/>
  <c r="T19" i="3"/>
  <c r="T20" i="3"/>
  <c r="T21" i="3"/>
  <c r="T22" i="3"/>
  <c r="T23" i="3"/>
  <c r="T24" i="3"/>
  <c r="T25" i="3"/>
  <c r="T26" i="3"/>
  <c r="T27" i="3"/>
  <c r="R17" i="3"/>
  <c r="R18" i="3"/>
  <c r="R19" i="3"/>
  <c r="R20" i="3"/>
  <c r="R21" i="3"/>
  <c r="R22" i="3"/>
  <c r="R23" i="3"/>
  <c r="R24" i="3"/>
  <c r="R25" i="3"/>
  <c r="R26" i="3"/>
  <c r="R27" i="3"/>
  <c r="P17" i="3"/>
  <c r="P18" i="3"/>
  <c r="P19" i="3"/>
  <c r="P20" i="3"/>
  <c r="P21" i="3"/>
  <c r="P22" i="3"/>
  <c r="P23" i="3"/>
  <c r="P24" i="3"/>
  <c r="P25" i="3"/>
  <c r="P26" i="3"/>
  <c r="P27" i="3"/>
  <c r="N17" i="3"/>
  <c r="N18" i="3"/>
  <c r="N19" i="3"/>
  <c r="N20" i="3"/>
  <c r="N21" i="3"/>
  <c r="N22" i="3"/>
  <c r="N23" i="3"/>
  <c r="N24" i="3"/>
  <c r="N25" i="3"/>
  <c r="N26" i="3"/>
  <c r="N27" i="3"/>
  <c r="L17" i="3"/>
  <c r="L18" i="3"/>
  <c r="L19" i="3"/>
  <c r="L20" i="3"/>
  <c r="L21" i="3"/>
  <c r="L22" i="3"/>
  <c r="L23" i="3"/>
  <c r="L24" i="3"/>
  <c r="L25" i="3"/>
  <c r="L26" i="3"/>
  <c r="L27" i="3"/>
  <c r="J17" i="3"/>
  <c r="J18" i="3"/>
  <c r="J19" i="3"/>
  <c r="J20" i="3"/>
  <c r="J21" i="3"/>
  <c r="J22" i="3"/>
  <c r="J23" i="3"/>
  <c r="J24" i="3"/>
  <c r="J25" i="3"/>
  <c r="J26" i="3"/>
  <c r="J27" i="3"/>
  <c r="H17" i="3"/>
  <c r="H18" i="3"/>
  <c r="H19" i="3"/>
  <c r="H20" i="3"/>
  <c r="H21" i="3"/>
  <c r="H22" i="3"/>
  <c r="H23" i="3"/>
  <c r="H24" i="3"/>
  <c r="H25" i="3"/>
  <c r="H26" i="3"/>
  <c r="H27" i="3"/>
  <c r="F18" i="3"/>
  <c r="F19" i="3"/>
  <c r="F20" i="3"/>
  <c r="F21" i="3"/>
  <c r="F22" i="3"/>
  <c r="F23" i="3"/>
  <c r="F24" i="3"/>
  <c r="F25" i="3"/>
  <c r="F26" i="3"/>
  <c r="F27" i="3"/>
  <c r="E17" i="3"/>
  <c r="E18" i="3"/>
  <c r="E19" i="3"/>
  <c r="E20" i="3"/>
  <c r="E21" i="3"/>
  <c r="E22" i="3"/>
  <c r="E23" i="3"/>
  <c r="E24" i="3"/>
  <c r="E25" i="3"/>
  <c r="E26" i="3"/>
  <c r="E27" i="3"/>
  <c r="D27" i="3"/>
  <c r="C27" i="3"/>
  <c r="B27" i="3"/>
  <c r="F23" i="7"/>
  <c r="L107" i="7" l="1"/>
  <c r="M107" i="7"/>
  <c r="N107" i="7"/>
  <c r="M108" i="7"/>
  <c r="L108" i="7"/>
  <c r="J108" i="7"/>
  <c r="I108" i="7"/>
  <c r="H108" i="7"/>
  <c r="V108" i="7"/>
  <c r="Q108" i="7" s="1"/>
  <c r="T108" i="7"/>
  <c r="C9" i="3"/>
  <c r="W16" i="3"/>
  <c r="W17" i="3"/>
  <c r="W18" i="3"/>
  <c r="W19" i="3"/>
  <c r="W20" i="3"/>
  <c r="W21" i="3"/>
  <c r="W22" i="3"/>
  <c r="W23" i="3"/>
  <c r="W24" i="3"/>
  <c r="W25" i="3"/>
  <c r="W26" i="3"/>
  <c r="W15" i="3"/>
  <c r="C26" i="3"/>
  <c r="C25" i="3"/>
  <c r="C24" i="3"/>
  <c r="C23" i="3"/>
  <c r="C22" i="3"/>
  <c r="C21" i="3"/>
  <c r="C20" i="3"/>
  <c r="C19" i="3"/>
  <c r="C18" i="3"/>
  <c r="B26" i="3"/>
  <c r="B25" i="3"/>
  <c r="B24" i="3"/>
  <c r="B23" i="3"/>
  <c r="B22" i="3"/>
  <c r="B21" i="3"/>
  <c r="B20" i="3"/>
  <c r="B19" i="3"/>
  <c r="F22" i="7"/>
  <c r="F58" i="7"/>
  <c r="V68" i="7"/>
  <c r="V36" i="7"/>
  <c r="V32" i="7"/>
  <c r="V29" i="7"/>
  <c r="V55" i="7"/>
  <c r="V45" i="7"/>
  <c r="F71" i="7"/>
  <c r="V18" i="7"/>
  <c r="I18" i="7" s="1"/>
  <c r="M18" i="7" s="1"/>
  <c r="V17" i="7"/>
  <c r="U17" i="7" s="1"/>
  <c r="P17" i="7" s="1"/>
  <c r="V16" i="7"/>
  <c r="Q16" i="7" s="1"/>
  <c r="V15" i="7"/>
  <c r="Q15" i="7" s="1"/>
  <c r="T15" i="7"/>
  <c r="T16" i="7"/>
  <c r="T17" i="7"/>
  <c r="T18" i="7"/>
  <c r="F18" i="7"/>
  <c r="F17" i="7"/>
  <c r="F16" i="7"/>
  <c r="F15" i="7"/>
  <c r="O107" i="7" l="1"/>
  <c r="N108" i="7"/>
  <c r="U108" i="7"/>
  <c r="P108" i="7" s="1"/>
  <c r="R108" i="7" s="1"/>
  <c r="R17" i="7"/>
  <c r="Q17" i="7"/>
  <c r="I17" i="7"/>
  <c r="M17" i="7" s="1"/>
  <c r="I16" i="7"/>
  <c r="M16" i="7" s="1"/>
  <c r="U16" i="7"/>
  <c r="H16" i="7" s="1"/>
  <c r="I15" i="7"/>
  <c r="M15" i="7" s="1"/>
  <c r="U18" i="7"/>
  <c r="H17" i="7"/>
  <c r="U15" i="7"/>
  <c r="Q18" i="7"/>
  <c r="V105" i="7"/>
  <c r="U105" i="7" s="1"/>
  <c r="T105" i="7"/>
  <c r="V96" i="7"/>
  <c r="V95" i="7"/>
  <c r="V90" i="7"/>
  <c r="I90" i="7" s="1"/>
  <c r="M90" i="7" s="1"/>
  <c r="T82" i="7"/>
  <c r="Q82" i="7"/>
  <c r="I82" i="7"/>
  <c r="M82" i="7" s="1"/>
  <c r="T85" i="7"/>
  <c r="Q85" i="7"/>
  <c r="I85" i="7"/>
  <c r="M85" i="7" s="1"/>
  <c r="V106" i="7"/>
  <c r="Q106" i="7" s="1"/>
  <c r="V104" i="7"/>
  <c r="I104" i="7" s="1"/>
  <c r="M104" i="7" s="1"/>
  <c r="V103" i="7"/>
  <c r="Q103" i="7" s="1"/>
  <c r="V102" i="7"/>
  <c r="Q102" i="7" s="1"/>
  <c r="V101" i="7"/>
  <c r="Q101" i="7" s="1"/>
  <c r="V100" i="7"/>
  <c r="U100" i="7" s="1"/>
  <c r="P100" i="7" s="1"/>
  <c r="V99" i="7"/>
  <c r="U99" i="7" s="1"/>
  <c r="P99" i="7" s="1"/>
  <c r="V98" i="7"/>
  <c r="Q98" i="7" s="1"/>
  <c r="Q96" i="7"/>
  <c r="I95" i="7"/>
  <c r="M95" i="7" s="1"/>
  <c r="V94" i="7"/>
  <c r="U94" i="7" s="1"/>
  <c r="P94" i="7" s="1"/>
  <c r="V92" i="7"/>
  <c r="Q92" i="7" s="1"/>
  <c r="V91" i="7"/>
  <c r="U91" i="7" s="1"/>
  <c r="Q89" i="7"/>
  <c r="V88" i="7"/>
  <c r="Q88" i="7" s="1"/>
  <c r="T94" i="7"/>
  <c r="T95" i="7"/>
  <c r="T96" i="7"/>
  <c r="Q97" i="7"/>
  <c r="T97" i="7"/>
  <c r="U97" i="7"/>
  <c r="P97" i="7" s="1"/>
  <c r="T98" i="7"/>
  <c r="T99" i="7"/>
  <c r="T100" i="7"/>
  <c r="T101" i="7"/>
  <c r="T102" i="7"/>
  <c r="T103" i="7"/>
  <c r="T104" i="7"/>
  <c r="T106" i="7"/>
  <c r="I97" i="7"/>
  <c r="M97" i="7" s="1"/>
  <c r="T89" i="7"/>
  <c r="T90" i="7"/>
  <c r="T91" i="7"/>
  <c r="T92" i="7"/>
  <c r="T88" i="7"/>
  <c r="V86" i="7"/>
  <c r="I86" i="7" s="1"/>
  <c r="M86" i="7" s="1"/>
  <c r="V84" i="7"/>
  <c r="Q84" i="7" s="1"/>
  <c r="Q83" i="7"/>
  <c r="V81" i="7"/>
  <c r="Q81" i="7" s="1"/>
  <c r="V80" i="7"/>
  <c r="Q80" i="7" s="1"/>
  <c r="V79" i="7"/>
  <c r="U79" i="7" s="1"/>
  <c r="V77" i="7"/>
  <c r="Q77" i="7" s="1"/>
  <c r="V76" i="7"/>
  <c r="U76" i="7" s="1"/>
  <c r="T77" i="7"/>
  <c r="Q78" i="7"/>
  <c r="T78" i="7"/>
  <c r="U78" i="7"/>
  <c r="T79" i="7"/>
  <c r="T80" i="7"/>
  <c r="T81" i="7"/>
  <c r="T83" i="7"/>
  <c r="T84" i="7"/>
  <c r="T86" i="7"/>
  <c r="T76" i="7"/>
  <c r="I78" i="7"/>
  <c r="M78" i="7" s="1"/>
  <c r="V74" i="7"/>
  <c r="Q74" i="7" s="1"/>
  <c r="V73" i="7"/>
  <c r="I73" i="7" s="1"/>
  <c r="V72" i="7"/>
  <c r="U72" i="7" s="1"/>
  <c r="P72" i="7" s="1"/>
  <c r="V71" i="7"/>
  <c r="Q71" i="7" s="1"/>
  <c r="V70" i="7"/>
  <c r="Q70" i="7" s="1"/>
  <c r="T71" i="7"/>
  <c r="T72" i="7"/>
  <c r="T73" i="7"/>
  <c r="T74" i="7"/>
  <c r="T70" i="7"/>
  <c r="V41" i="7"/>
  <c r="Q41" i="7" s="1"/>
  <c r="T41" i="7"/>
  <c r="P16" i="7" l="1"/>
  <c r="R16" i="7" s="1"/>
  <c r="P15" i="7"/>
  <c r="R15" i="7" s="1"/>
  <c r="H15" i="7"/>
  <c r="J17" i="7"/>
  <c r="L17" i="7"/>
  <c r="N17" i="7" s="1"/>
  <c r="P18" i="7"/>
  <c r="R18" i="7" s="1"/>
  <c r="H18" i="7"/>
  <c r="J16" i="7"/>
  <c r="L16" i="7"/>
  <c r="N16" i="7" s="1"/>
  <c r="Q100" i="7"/>
  <c r="R100" i="7" s="1"/>
  <c r="H105" i="7"/>
  <c r="P105" i="7"/>
  <c r="I105" i="7"/>
  <c r="M105" i="7" s="1"/>
  <c r="Q105" i="7"/>
  <c r="R105" i="7" s="1"/>
  <c r="U101" i="7"/>
  <c r="P101" i="7" s="1"/>
  <c r="R101" i="7" s="1"/>
  <c r="I101" i="7"/>
  <c r="M101" i="7" s="1"/>
  <c r="U98" i="7"/>
  <c r="P98" i="7" s="1"/>
  <c r="R98" i="7" s="1"/>
  <c r="I98" i="7"/>
  <c r="M98" i="7" s="1"/>
  <c r="I96" i="7"/>
  <c r="M96" i="7" s="1"/>
  <c r="I106" i="7"/>
  <c r="M106" i="7" s="1"/>
  <c r="U106" i="7"/>
  <c r="P106" i="7" s="1"/>
  <c r="R106" i="7" s="1"/>
  <c r="U96" i="7"/>
  <c r="P96" i="7" s="1"/>
  <c r="R96" i="7" s="1"/>
  <c r="U82" i="7"/>
  <c r="U102" i="7"/>
  <c r="P102" i="7" s="1"/>
  <c r="R102" i="7" s="1"/>
  <c r="U73" i="7"/>
  <c r="P73" i="7" s="1"/>
  <c r="I102" i="7"/>
  <c r="M102" i="7" s="1"/>
  <c r="Q73" i="7"/>
  <c r="Q94" i="7"/>
  <c r="R94" i="7" s="1"/>
  <c r="H97" i="7"/>
  <c r="L97" i="7" s="1"/>
  <c r="N97" i="7" s="1"/>
  <c r="U103" i="7"/>
  <c r="P103" i="7" s="1"/>
  <c r="R103" i="7" s="1"/>
  <c r="I103" i="7"/>
  <c r="M103" i="7" s="1"/>
  <c r="U85" i="7"/>
  <c r="I89" i="7"/>
  <c r="M89" i="7" s="1"/>
  <c r="I100" i="7"/>
  <c r="M100" i="7" s="1"/>
  <c r="Q99" i="7"/>
  <c r="R99" i="7" s="1"/>
  <c r="U104" i="7"/>
  <c r="H104" i="7" s="1"/>
  <c r="J104" i="7" s="1"/>
  <c r="I88" i="7"/>
  <c r="M88" i="7" s="1"/>
  <c r="U88" i="7"/>
  <c r="H88" i="7" s="1"/>
  <c r="L88" i="7" s="1"/>
  <c r="I99" i="7"/>
  <c r="M99" i="7" s="1"/>
  <c r="Q104" i="7"/>
  <c r="H99" i="7"/>
  <c r="L99" i="7" s="1"/>
  <c r="U95" i="7"/>
  <c r="H95" i="7" s="1"/>
  <c r="L95" i="7" s="1"/>
  <c r="N95" i="7" s="1"/>
  <c r="Q95" i="7"/>
  <c r="I94" i="7"/>
  <c r="M94" i="7" s="1"/>
  <c r="H94" i="7"/>
  <c r="L94" i="7" s="1"/>
  <c r="R97" i="7"/>
  <c r="H100" i="7"/>
  <c r="I76" i="7"/>
  <c r="M76" i="7" s="1"/>
  <c r="Q76" i="7"/>
  <c r="Q86" i="7"/>
  <c r="I83" i="7"/>
  <c r="M83" i="7" s="1"/>
  <c r="I72" i="7"/>
  <c r="M72" i="7" s="1"/>
  <c r="H72" i="7"/>
  <c r="L72" i="7" s="1"/>
  <c r="U81" i="7"/>
  <c r="P81" i="7" s="1"/>
  <c r="R81" i="7" s="1"/>
  <c r="I41" i="7"/>
  <c r="M41" i="7" s="1"/>
  <c r="U41" i="7"/>
  <c r="P41" i="7" s="1"/>
  <c r="R41" i="7" s="1"/>
  <c r="M73" i="7"/>
  <c r="I74" i="7"/>
  <c r="M74" i="7" s="1"/>
  <c r="I81" i="7"/>
  <c r="M81" i="7" s="1"/>
  <c r="Q79" i="7"/>
  <c r="I71" i="7"/>
  <c r="M71" i="7" s="1"/>
  <c r="U70" i="7"/>
  <c r="U71" i="7"/>
  <c r="I70" i="7"/>
  <c r="M70" i="7" s="1"/>
  <c r="P91" i="7"/>
  <c r="H91" i="7"/>
  <c r="I91" i="7"/>
  <c r="M91" i="7" s="1"/>
  <c r="U92" i="7"/>
  <c r="U89" i="7"/>
  <c r="U90" i="7"/>
  <c r="Q91" i="7"/>
  <c r="Q90" i="7"/>
  <c r="I92" i="7"/>
  <c r="M92" i="7" s="1"/>
  <c r="U83" i="7"/>
  <c r="H83" i="7" s="1"/>
  <c r="I79" i="7"/>
  <c r="M79" i="7" s="1"/>
  <c r="I77" i="7"/>
  <c r="M77" i="7" s="1"/>
  <c r="H79" i="7"/>
  <c r="L79" i="7" s="1"/>
  <c r="P79" i="7"/>
  <c r="H78" i="7"/>
  <c r="L78" i="7" s="1"/>
  <c r="N78" i="7" s="1"/>
  <c r="P78" i="7"/>
  <c r="R78" i="7" s="1"/>
  <c r="U84" i="7"/>
  <c r="U80" i="7"/>
  <c r="U86" i="7"/>
  <c r="U77" i="7"/>
  <c r="I84" i="7"/>
  <c r="M84" i="7" s="1"/>
  <c r="I80" i="7"/>
  <c r="M80" i="7" s="1"/>
  <c r="H76" i="7"/>
  <c r="L76" i="7" s="1"/>
  <c r="P76" i="7"/>
  <c r="U74" i="7"/>
  <c r="Q72" i="7"/>
  <c r="R72" i="7" s="1"/>
  <c r="J18" i="7" l="1"/>
  <c r="L18" i="7"/>
  <c r="N18" i="7" s="1"/>
  <c r="J15" i="7"/>
  <c r="L15" i="7"/>
  <c r="N15" i="7" s="1"/>
  <c r="R73" i="7"/>
  <c r="M93" i="7"/>
  <c r="H101" i="7"/>
  <c r="L101" i="7" s="1"/>
  <c r="N101" i="7" s="1"/>
  <c r="H98" i="7"/>
  <c r="J98" i="7" s="1"/>
  <c r="H73" i="7"/>
  <c r="L73" i="7" s="1"/>
  <c r="J105" i="7"/>
  <c r="L105" i="7"/>
  <c r="N105" i="7" s="1"/>
  <c r="P88" i="7"/>
  <c r="R88" i="7" s="1"/>
  <c r="M75" i="7"/>
  <c r="M87" i="7"/>
  <c r="N99" i="7"/>
  <c r="H106" i="7"/>
  <c r="L106" i="7" s="1"/>
  <c r="N106" i="7" s="1"/>
  <c r="J97" i="7"/>
  <c r="H103" i="7"/>
  <c r="L103" i="7" s="1"/>
  <c r="N103" i="7" s="1"/>
  <c r="H96" i="7"/>
  <c r="L96" i="7" s="1"/>
  <c r="N96" i="7" s="1"/>
  <c r="L104" i="7"/>
  <c r="N104" i="7" s="1"/>
  <c r="H102" i="7"/>
  <c r="J102" i="7" s="1"/>
  <c r="P82" i="7"/>
  <c r="R82" i="7" s="1"/>
  <c r="H82" i="7"/>
  <c r="J100" i="7"/>
  <c r="P85" i="7"/>
  <c r="R85" i="7" s="1"/>
  <c r="H85" i="7"/>
  <c r="P104" i="7"/>
  <c r="R104" i="7" s="1"/>
  <c r="N94" i="7"/>
  <c r="J83" i="7"/>
  <c r="R76" i="7"/>
  <c r="J99" i="7"/>
  <c r="P95" i="7"/>
  <c r="R95" i="7" s="1"/>
  <c r="J95" i="7"/>
  <c r="J94" i="7"/>
  <c r="J101" i="7"/>
  <c r="L100" i="7"/>
  <c r="N100" i="7" s="1"/>
  <c r="N73" i="7"/>
  <c r="H81" i="7"/>
  <c r="L81" i="7" s="1"/>
  <c r="N81" i="7" s="1"/>
  <c r="R79" i="7"/>
  <c r="H41" i="7"/>
  <c r="L41" i="7" s="1"/>
  <c r="N41" i="7" s="1"/>
  <c r="M69" i="7"/>
  <c r="N72" i="7"/>
  <c r="J72" i="7"/>
  <c r="J78" i="7"/>
  <c r="R91" i="7"/>
  <c r="J76" i="7"/>
  <c r="J88" i="7"/>
  <c r="P70" i="7"/>
  <c r="R70" i="7" s="1"/>
  <c r="H70" i="7"/>
  <c r="P71" i="7"/>
  <c r="R71" i="7" s="1"/>
  <c r="H71" i="7"/>
  <c r="P74" i="7"/>
  <c r="R74" i="7" s="1"/>
  <c r="H74" i="7"/>
  <c r="J79" i="7"/>
  <c r="H90" i="7"/>
  <c r="P90" i="7"/>
  <c r="R90" i="7" s="1"/>
  <c r="P89" i="7"/>
  <c r="R89" i="7" s="1"/>
  <c r="H89" i="7"/>
  <c r="P92" i="7"/>
  <c r="R92" i="7" s="1"/>
  <c r="H92" i="7"/>
  <c r="J91" i="7"/>
  <c r="L91" i="7"/>
  <c r="N91" i="7" s="1"/>
  <c r="N88" i="7"/>
  <c r="P83" i="7"/>
  <c r="R83" i="7" s="1"/>
  <c r="N79" i="7"/>
  <c r="P77" i="7"/>
  <c r="R77" i="7" s="1"/>
  <c r="H77" i="7"/>
  <c r="L83" i="7"/>
  <c r="N83" i="7" s="1"/>
  <c r="P86" i="7"/>
  <c r="R86" i="7" s="1"/>
  <c r="H86" i="7"/>
  <c r="P80" i="7"/>
  <c r="R80" i="7" s="1"/>
  <c r="H80" i="7"/>
  <c r="P84" i="7"/>
  <c r="R84" i="7" s="1"/>
  <c r="H84" i="7"/>
  <c r="N76" i="7"/>
  <c r="J103" i="7" l="1"/>
  <c r="L98" i="7"/>
  <c r="N98" i="7" s="1"/>
  <c r="J73" i="7"/>
  <c r="J106" i="7"/>
  <c r="L102" i="7"/>
  <c r="N102" i="7" s="1"/>
  <c r="J96" i="7"/>
  <c r="J82" i="7"/>
  <c r="L82" i="7"/>
  <c r="N82" i="7" s="1"/>
  <c r="J85" i="7"/>
  <c r="L85" i="7"/>
  <c r="N85" i="7" s="1"/>
  <c r="J81" i="7"/>
  <c r="J41" i="7"/>
  <c r="J74" i="7"/>
  <c r="L74" i="7"/>
  <c r="N74" i="7" s="1"/>
  <c r="J71" i="7"/>
  <c r="L71" i="7"/>
  <c r="N71" i="7" s="1"/>
  <c r="L70" i="7"/>
  <c r="J70" i="7"/>
  <c r="J89" i="7"/>
  <c r="L89" i="7"/>
  <c r="J92" i="7"/>
  <c r="L92" i="7"/>
  <c r="N92" i="7" s="1"/>
  <c r="J90" i="7"/>
  <c r="L90" i="7"/>
  <c r="N90" i="7" s="1"/>
  <c r="J84" i="7"/>
  <c r="L84" i="7"/>
  <c r="N84" i="7" s="1"/>
  <c r="J86" i="7"/>
  <c r="L86" i="7"/>
  <c r="N86" i="7" s="1"/>
  <c r="J80" i="7"/>
  <c r="L80" i="7"/>
  <c r="N80" i="7" s="1"/>
  <c r="J77" i="7"/>
  <c r="L77" i="7"/>
  <c r="N93" i="7" l="1"/>
  <c r="L93" i="7"/>
  <c r="L75" i="7"/>
  <c r="L87" i="7"/>
  <c r="N70" i="7"/>
  <c r="N69" i="7" s="1"/>
  <c r="L69" i="7"/>
  <c r="N89" i="7"/>
  <c r="N87" i="7" s="1"/>
  <c r="N77" i="7"/>
  <c r="N75" i="7" s="1"/>
  <c r="D23" i="3" l="1"/>
  <c r="O87" i="7"/>
  <c r="D24" i="3"/>
  <c r="O75" i="7"/>
  <c r="D25" i="3"/>
  <c r="O93" i="7"/>
  <c r="O69" i="7"/>
  <c r="D26" i="3"/>
  <c r="T68" i="7"/>
  <c r="Q68" i="7"/>
  <c r="U67" i="7"/>
  <c r="T67" i="7"/>
  <c r="V65" i="7"/>
  <c r="U65" i="7" s="1"/>
  <c r="V64" i="7"/>
  <c r="Q64" i="7" s="1"/>
  <c r="V63" i="7"/>
  <c r="U63" i="7" s="1"/>
  <c r="T64" i="7"/>
  <c r="T65" i="7"/>
  <c r="T63" i="7"/>
  <c r="F63" i="7"/>
  <c r="F64" i="7" s="1"/>
  <c r="F65" i="7" s="1"/>
  <c r="V61" i="7"/>
  <c r="Q61" i="7" s="1"/>
  <c r="V60" i="7"/>
  <c r="V59" i="7"/>
  <c r="V58" i="7"/>
  <c r="Q58" i="7" s="1"/>
  <c r="T59" i="7"/>
  <c r="T60" i="7"/>
  <c r="T61" i="7"/>
  <c r="T58" i="7"/>
  <c r="F59" i="7"/>
  <c r="F60" i="7" s="1"/>
  <c r="F61" i="7"/>
  <c r="V56" i="7"/>
  <c r="Q56" i="7" s="1"/>
  <c r="V54" i="7"/>
  <c r="Q54" i="7" s="1"/>
  <c r="V53" i="7"/>
  <c r="I53" i="7" s="1"/>
  <c r="M53" i="7" s="1"/>
  <c r="V52" i="7"/>
  <c r="I52" i="7" s="1"/>
  <c r="M52" i="7" s="1"/>
  <c r="V51" i="7"/>
  <c r="V50" i="7"/>
  <c r="U50" i="7" s="1"/>
  <c r="V49" i="7"/>
  <c r="I49" i="7" s="1"/>
  <c r="M49" i="7" s="1"/>
  <c r="V48" i="7"/>
  <c r="Q48" i="7" s="1"/>
  <c r="V47" i="7"/>
  <c r="I47" i="7" s="1"/>
  <c r="M47" i="7" s="1"/>
  <c r="T48" i="7"/>
  <c r="T49" i="7"/>
  <c r="T50" i="7"/>
  <c r="T51" i="7"/>
  <c r="T52" i="7"/>
  <c r="T53" i="7"/>
  <c r="T54" i="7"/>
  <c r="T55" i="7"/>
  <c r="U55" i="7"/>
  <c r="T56" i="7"/>
  <c r="T47" i="7"/>
  <c r="F51" i="7"/>
  <c r="F45" i="7"/>
  <c r="U45" i="7"/>
  <c r="T45" i="7"/>
  <c r="V33" i="7"/>
  <c r="Q33" i="7" s="1"/>
  <c r="U32" i="7"/>
  <c r="H32" i="7" s="1"/>
  <c r="L32" i="7" s="1"/>
  <c r="Q34" i="7"/>
  <c r="Q35" i="7"/>
  <c r="Q36" i="7"/>
  <c r="Q37" i="7"/>
  <c r="Q38" i="7"/>
  <c r="Q39" i="7"/>
  <c r="Q40" i="7"/>
  <c r="Q42" i="7"/>
  <c r="Q43" i="7"/>
  <c r="T33" i="7"/>
  <c r="T34" i="7"/>
  <c r="U34" i="7"/>
  <c r="H34" i="7" s="1"/>
  <c r="T35" i="7"/>
  <c r="U35" i="7"/>
  <c r="H35" i="7" s="1"/>
  <c r="T36" i="7"/>
  <c r="U36" i="7"/>
  <c r="H36" i="7" s="1"/>
  <c r="T37" i="7"/>
  <c r="I37" i="7"/>
  <c r="M37" i="7" s="1"/>
  <c r="T38" i="7"/>
  <c r="U38" i="7"/>
  <c r="H38" i="7" s="1"/>
  <c r="T39" i="7"/>
  <c r="U39" i="7"/>
  <c r="H39" i="7" s="1"/>
  <c r="T40" i="7"/>
  <c r="I40" i="7"/>
  <c r="M40" i="7" s="1"/>
  <c r="T42" i="7"/>
  <c r="U42" i="7"/>
  <c r="H42" i="7" s="1"/>
  <c r="T43" i="7"/>
  <c r="U43" i="7"/>
  <c r="H43" i="7" s="1"/>
  <c r="T32" i="7"/>
  <c r="I34" i="7"/>
  <c r="M34" i="7" s="1"/>
  <c r="I35" i="7"/>
  <c r="M35" i="7" s="1"/>
  <c r="I36" i="7"/>
  <c r="M36" i="7" s="1"/>
  <c r="I38" i="7"/>
  <c r="M38" i="7" s="1"/>
  <c r="I39" i="7"/>
  <c r="M39" i="7" s="1"/>
  <c r="I42" i="7"/>
  <c r="M42" i="7" s="1"/>
  <c r="I43" i="7"/>
  <c r="M43" i="7" s="1"/>
  <c r="V30" i="7"/>
  <c r="Q30" i="7" s="1"/>
  <c r="I29" i="7"/>
  <c r="M29" i="7" s="1"/>
  <c r="V28" i="7"/>
  <c r="U28" i="7" s="1"/>
  <c r="H28" i="7" s="1"/>
  <c r="V27" i="7"/>
  <c r="I27" i="7" s="1"/>
  <c r="M27" i="7" s="1"/>
  <c r="V26" i="7"/>
  <c r="Q26" i="7" s="1"/>
  <c r="V25" i="7"/>
  <c r="U25" i="7" s="1"/>
  <c r="P25" i="7" s="1"/>
  <c r="V21" i="7"/>
  <c r="Q21" i="7" s="1"/>
  <c r="V20" i="7"/>
  <c r="Q22" i="7"/>
  <c r="Q23" i="7"/>
  <c r="Q24" i="7"/>
  <c r="Q27" i="7"/>
  <c r="U22" i="7"/>
  <c r="P22" i="7" s="1"/>
  <c r="I24" i="7"/>
  <c r="M24" i="7" s="1"/>
  <c r="T21" i="7"/>
  <c r="T22" i="7"/>
  <c r="T23" i="7"/>
  <c r="T24" i="7"/>
  <c r="T25" i="7"/>
  <c r="T26" i="7"/>
  <c r="T27" i="7"/>
  <c r="T28" i="7"/>
  <c r="T29" i="7"/>
  <c r="T30" i="7"/>
  <c r="T20" i="7"/>
  <c r="T13" i="7"/>
  <c r="I28" i="7"/>
  <c r="M28" i="7" s="1"/>
  <c r="V13" i="7"/>
  <c r="T14" i="7"/>
  <c r="V14" i="7"/>
  <c r="I14" i="7" s="1"/>
  <c r="M14" i="7" s="1"/>
  <c r="I22" i="7"/>
  <c r="M22" i="7" s="1"/>
  <c r="I23" i="7"/>
  <c r="M23" i="7" s="1"/>
  <c r="F20" i="7"/>
  <c r="F13" i="7"/>
  <c r="U53" i="7" l="1"/>
  <c r="I65" i="7"/>
  <c r="M65" i="7" s="1"/>
  <c r="Q65" i="7"/>
  <c r="U49" i="7"/>
  <c r="P49" i="7" s="1"/>
  <c r="U58" i="7"/>
  <c r="P58" i="7" s="1"/>
  <c r="R58" i="7" s="1"/>
  <c r="Q63" i="7"/>
  <c r="U68" i="7"/>
  <c r="I68" i="7"/>
  <c r="M68" i="7" s="1"/>
  <c r="P67" i="7"/>
  <c r="H67" i="7"/>
  <c r="L67" i="7" s="1"/>
  <c r="I67" i="7"/>
  <c r="Q67" i="7"/>
  <c r="U61" i="7"/>
  <c r="H61" i="7" s="1"/>
  <c r="I63" i="7"/>
  <c r="M63" i="7" s="1"/>
  <c r="U33" i="7"/>
  <c r="H33" i="7" s="1"/>
  <c r="L33" i="7" s="1"/>
  <c r="I58" i="7"/>
  <c r="M58" i="7" s="1"/>
  <c r="I61" i="7"/>
  <c r="M61" i="7" s="1"/>
  <c r="H65" i="7"/>
  <c r="J65" i="7" s="1"/>
  <c r="P65" i="7"/>
  <c r="R65" i="7" s="1"/>
  <c r="U64" i="7"/>
  <c r="I64" i="7"/>
  <c r="M64" i="7" s="1"/>
  <c r="H63" i="7"/>
  <c r="L63" i="7" s="1"/>
  <c r="P63" i="7"/>
  <c r="Q29" i="7"/>
  <c r="Q53" i="7"/>
  <c r="I59" i="7"/>
  <c r="M59" i="7" s="1"/>
  <c r="Q50" i="7"/>
  <c r="I51" i="7"/>
  <c r="M51" i="7" s="1"/>
  <c r="U29" i="7"/>
  <c r="H29" i="7" s="1"/>
  <c r="J29" i="7" s="1"/>
  <c r="Q28" i="7"/>
  <c r="U54" i="7"/>
  <c r="P54" i="7" s="1"/>
  <c r="R54" i="7" s="1"/>
  <c r="I54" i="7"/>
  <c r="M54" i="7" s="1"/>
  <c r="U47" i="7"/>
  <c r="H47" i="7" s="1"/>
  <c r="I60" i="7"/>
  <c r="M60" i="7" s="1"/>
  <c r="I50" i="7"/>
  <c r="M50" i="7" s="1"/>
  <c r="Q60" i="7"/>
  <c r="Q47" i="7"/>
  <c r="Q59" i="7"/>
  <c r="I25" i="7"/>
  <c r="M25" i="7" s="1"/>
  <c r="U60" i="7"/>
  <c r="P60" i="7" s="1"/>
  <c r="U59" i="7"/>
  <c r="Q49" i="7"/>
  <c r="P55" i="7"/>
  <c r="H55" i="7"/>
  <c r="P53" i="7"/>
  <c r="H53" i="7"/>
  <c r="J53" i="7" s="1"/>
  <c r="P50" i="7"/>
  <c r="H50" i="7"/>
  <c r="U51" i="7"/>
  <c r="U48" i="7"/>
  <c r="I55" i="7"/>
  <c r="M55" i="7" s="1"/>
  <c r="Q55" i="7"/>
  <c r="Q51" i="7"/>
  <c r="I48" i="7"/>
  <c r="M48" i="7" s="1"/>
  <c r="U56" i="7"/>
  <c r="I56" i="7"/>
  <c r="M56" i="7" s="1"/>
  <c r="Q52" i="7"/>
  <c r="U52" i="7"/>
  <c r="I13" i="7"/>
  <c r="Q32" i="7"/>
  <c r="I26" i="7"/>
  <c r="M26" i="7" s="1"/>
  <c r="U26" i="7"/>
  <c r="H26" i="7" s="1"/>
  <c r="L26" i="7" s="1"/>
  <c r="P35" i="7"/>
  <c r="R35" i="7" s="1"/>
  <c r="I20" i="7"/>
  <c r="M20" i="7" s="1"/>
  <c r="I32" i="7"/>
  <c r="J32" i="7" s="1"/>
  <c r="I33" i="7"/>
  <c r="M33" i="7" s="1"/>
  <c r="P45" i="7"/>
  <c r="H45" i="7"/>
  <c r="L45" i="7" s="1"/>
  <c r="L44" i="7" s="1"/>
  <c r="I45" i="7"/>
  <c r="Q45" i="7"/>
  <c r="P43" i="7"/>
  <c r="R43" i="7" s="1"/>
  <c r="P39" i="7"/>
  <c r="R39" i="7" s="1"/>
  <c r="P38" i="7"/>
  <c r="R38" i="7" s="1"/>
  <c r="I21" i="7"/>
  <c r="M21" i="7" s="1"/>
  <c r="Q25" i="7"/>
  <c r="R25" i="7" s="1"/>
  <c r="P32" i="7"/>
  <c r="R32" i="7" s="1"/>
  <c r="P34" i="7"/>
  <c r="R34" i="7" s="1"/>
  <c r="U21" i="7"/>
  <c r="H21" i="7" s="1"/>
  <c r="L21" i="7" s="1"/>
  <c r="P42" i="7"/>
  <c r="R42" i="7" s="1"/>
  <c r="P36" i="7"/>
  <c r="R36" i="7" s="1"/>
  <c r="J43" i="7"/>
  <c r="L43" i="7"/>
  <c r="N43" i="7" s="1"/>
  <c r="J36" i="7"/>
  <c r="L36" i="7"/>
  <c r="N36" i="7" s="1"/>
  <c r="J42" i="7"/>
  <c r="J38" i="7"/>
  <c r="J34" i="7"/>
  <c r="J35" i="7"/>
  <c r="L35" i="7"/>
  <c r="N35" i="7" s="1"/>
  <c r="L39" i="7"/>
  <c r="N39" i="7" s="1"/>
  <c r="J39" i="7"/>
  <c r="U37" i="7"/>
  <c r="U40" i="7"/>
  <c r="L42" i="7"/>
  <c r="N42" i="7" s="1"/>
  <c r="L38" i="7"/>
  <c r="N38" i="7" s="1"/>
  <c r="L34" i="7"/>
  <c r="N34" i="7" s="1"/>
  <c r="I30" i="7"/>
  <c r="M30" i="7" s="1"/>
  <c r="U30" i="7"/>
  <c r="H22" i="7"/>
  <c r="J22" i="7" s="1"/>
  <c r="R22" i="7"/>
  <c r="H25" i="7"/>
  <c r="P28" i="7"/>
  <c r="J28" i="7"/>
  <c r="L28" i="7"/>
  <c r="N28" i="7" s="1"/>
  <c r="U24" i="7"/>
  <c r="U27" i="7"/>
  <c r="U23" i="7"/>
  <c r="P33" i="7" l="1"/>
  <c r="R33" i="7" s="1"/>
  <c r="H49" i="7"/>
  <c r="J49" i="7" s="1"/>
  <c r="R63" i="7"/>
  <c r="H58" i="7"/>
  <c r="L58" i="7" s="1"/>
  <c r="N58" i="7" s="1"/>
  <c r="L29" i="7"/>
  <c r="N29" i="7" s="1"/>
  <c r="M57" i="7"/>
  <c r="M45" i="7"/>
  <c r="M44" i="7" s="1"/>
  <c r="M13" i="7"/>
  <c r="M12" i="7" s="1"/>
  <c r="M32" i="7"/>
  <c r="M31" i="7" s="1"/>
  <c r="L22" i="7"/>
  <c r="N22" i="7" s="1"/>
  <c r="M67" i="7"/>
  <c r="N67" i="7" s="1"/>
  <c r="P29" i="7"/>
  <c r="R29" i="7" s="1"/>
  <c r="M62" i="7"/>
  <c r="J67" i="7"/>
  <c r="R67" i="7"/>
  <c r="P68" i="7"/>
  <c r="R68" i="7" s="1"/>
  <c r="H68" i="7"/>
  <c r="L47" i="7"/>
  <c r="N47" i="7" s="1"/>
  <c r="J47" i="7"/>
  <c r="R53" i="7"/>
  <c r="J63" i="7"/>
  <c r="P47" i="7"/>
  <c r="R47" i="7" s="1"/>
  <c r="P61" i="7"/>
  <c r="R61" i="7" s="1"/>
  <c r="R50" i="7"/>
  <c r="N63" i="7"/>
  <c r="H60" i="7"/>
  <c r="J60" i="7" s="1"/>
  <c r="L65" i="7"/>
  <c r="N65" i="7" s="1"/>
  <c r="P64" i="7"/>
  <c r="R64" i="7" s="1"/>
  <c r="H64" i="7"/>
  <c r="J26" i="7"/>
  <c r="H54" i="7"/>
  <c r="J54" i="7" s="1"/>
  <c r="R28" i="7"/>
  <c r="P26" i="7"/>
  <c r="R26" i="7" s="1"/>
  <c r="P21" i="7"/>
  <c r="R21" i="7" s="1"/>
  <c r="R60" i="7"/>
  <c r="M19" i="7"/>
  <c r="P59" i="7"/>
  <c r="R59" i="7" s="1"/>
  <c r="H59" i="7"/>
  <c r="J61" i="7"/>
  <c r="L61" i="7"/>
  <c r="N61" i="7" s="1"/>
  <c r="M46" i="7"/>
  <c r="R49" i="7"/>
  <c r="L50" i="7"/>
  <c r="N50" i="7" s="1"/>
  <c r="J50" i="7"/>
  <c r="J55" i="7"/>
  <c r="L55" i="7"/>
  <c r="N55" i="7" s="1"/>
  <c r="R55" i="7"/>
  <c r="P48" i="7"/>
  <c r="R48" i="7" s="1"/>
  <c r="H48" i="7"/>
  <c r="H51" i="7"/>
  <c r="P51" i="7"/>
  <c r="R51" i="7" s="1"/>
  <c r="P52" i="7"/>
  <c r="R52" i="7" s="1"/>
  <c r="H52" i="7"/>
  <c r="L53" i="7"/>
  <c r="N53" i="7" s="1"/>
  <c r="P56" i="7"/>
  <c r="R56" i="7" s="1"/>
  <c r="H56" i="7"/>
  <c r="J33" i="7"/>
  <c r="N33" i="7"/>
  <c r="R45" i="7"/>
  <c r="N26" i="7"/>
  <c r="J45" i="7"/>
  <c r="H40" i="7"/>
  <c r="J40" i="7" s="1"/>
  <c r="P40" i="7"/>
  <c r="R40" i="7" s="1"/>
  <c r="H37" i="7"/>
  <c r="J37" i="7" s="1"/>
  <c r="P37" i="7"/>
  <c r="R37" i="7" s="1"/>
  <c r="N21" i="7"/>
  <c r="J21" i="7"/>
  <c r="P30" i="7"/>
  <c r="R30" i="7" s="1"/>
  <c r="H30" i="7"/>
  <c r="H27" i="7"/>
  <c r="J27" i="7" s="1"/>
  <c r="P27" i="7"/>
  <c r="R27" i="7" s="1"/>
  <c r="H24" i="7"/>
  <c r="L24" i="7" s="1"/>
  <c r="N24" i="7" s="1"/>
  <c r="P24" i="7"/>
  <c r="R24" i="7" s="1"/>
  <c r="J25" i="7"/>
  <c r="L25" i="7"/>
  <c r="N25" i="7" s="1"/>
  <c r="H23" i="7"/>
  <c r="L23" i="7" s="1"/>
  <c r="N23" i="7" s="1"/>
  <c r="P23" i="7"/>
  <c r="R23" i="7" s="1"/>
  <c r="M109" i="7" l="1"/>
  <c r="O44" i="7"/>
  <c r="L49" i="7"/>
  <c r="N49" i="7" s="1"/>
  <c r="J58" i="7"/>
  <c r="N45" i="7"/>
  <c r="N44" i="7" s="1"/>
  <c r="M66" i="7"/>
  <c r="L60" i="7"/>
  <c r="N60" i="7" s="1"/>
  <c r="N32" i="7"/>
  <c r="J68" i="7"/>
  <c r="L68" i="7"/>
  <c r="L54" i="7"/>
  <c r="N54" i="7" s="1"/>
  <c r="J64" i="7"/>
  <c r="L64" i="7"/>
  <c r="L37" i="7"/>
  <c r="J59" i="7"/>
  <c r="L59" i="7"/>
  <c r="L51" i="7"/>
  <c r="N51" i="7" s="1"/>
  <c r="J51" i="7"/>
  <c r="J56" i="7"/>
  <c r="L56" i="7"/>
  <c r="N56" i="7" s="1"/>
  <c r="J48" i="7"/>
  <c r="L48" i="7"/>
  <c r="J52" i="7"/>
  <c r="L52" i="7"/>
  <c r="N52" i="7" s="1"/>
  <c r="L40" i="7"/>
  <c r="N40" i="7" s="1"/>
  <c r="L27" i="7"/>
  <c r="N27" i="7" s="1"/>
  <c r="J30" i="7"/>
  <c r="L30" i="7"/>
  <c r="N30" i="7" s="1"/>
  <c r="J24" i="7"/>
  <c r="J23" i="7"/>
  <c r="N37" i="7" l="1"/>
  <c r="L31" i="7"/>
  <c r="D18" i="3"/>
  <c r="N31" i="7"/>
  <c r="N68" i="7"/>
  <c r="N66" i="7" s="1"/>
  <c r="L66" i="7"/>
  <c r="N64" i="7"/>
  <c r="N62" i="7" s="1"/>
  <c r="L62" i="7"/>
  <c r="N59" i="7"/>
  <c r="N57" i="7" s="1"/>
  <c r="L57" i="7"/>
  <c r="N48" i="7"/>
  <c r="N46" i="7" s="1"/>
  <c r="L46" i="7"/>
  <c r="D22" i="3" l="1"/>
  <c r="O46" i="7"/>
  <c r="D19" i="3"/>
  <c r="D17" i="3"/>
  <c r="O57" i="7"/>
  <c r="D20" i="3"/>
  <c r="O62" i="7"/>
  <c r="D21" i="3"/>
  <c r="O31" i="7"/>
  <c r="O66" i="7"/>
  <c r="C17" i="3"/>
  <c r="C16" i="3"/>
  <c r="C15" i="3"/>
  <c r="Q20" i="7"/>
  <c r="Q14" i="7"/>
  <c r="F17" i="3" l="1"/>
  <c r="Q13" i="7"/>
  <c r="U13" i="7"/>
  <c r="H13" i="7" s="1"/>
  <c r="U14" i="7"/>
  <c r="H14" i="7" s="1"/>
  <c r="U20" i="7"/>
  <c r="L13" i="7" l="1"/>
  <c r="J13" i="7"/>
  <c r="J14" i="7"/>
  <c r="L14" i="7"/>
  <c r="N14" i="7" s="1"/>
  <c r="P20" i="7"/>
  <c r="R20" i="7" s="1"/>
  <c r="H20" i="7"/>
  <c r="P14" i="7"/>
  <c r="R14" i="7" s="1"/>
  <c r="P13" i="7"/>
  <c r="R13" i="7" s="1"/>
  <c r="L12" i="7" l="1"/>
  <c r="N13" i="7"/>
  <c r="N12" i="7" s="1"/>
  <c r="L20" i="7"/>
  <c r="J20" i="7"/>
  <c r="D15" i="3" l="1"/>
  <c r="O12" i="7"/>
  <c r="N20" i="7"/>
  <c r="N19" i="7" s="1"/>
  <c r="L19" i="7"/>
  <c r="L109" i="7" s="1"/>
  <c r="N109" i="7" l="1"/>
  <c r="O19" i="7"/>
  <c r="N15" i="3"/>
  <c r="T15" i="3"/>
  <c r="L15" i="3"/>
  <c r="J15" i="3"/>
  <c r="P15" i="3"/>
  <c r="R15" i="3"/>
  <c r="D16" i="3"/>
  <c r="O109" i="7"/>
  <c r="R16" i="3" l="1"/>
  <c r="R30" i="3" s="1"/>
  <c r="T16" i="3"/>
  <c r="T30" i="3" s="1"/>
  <c r="L16" i="3"/>
  <c r="L30" i="3" s="1"/>
  <c r="J16" i="3"/>
  <c r="J30" i="3" s="1"/>
  <c r="P16" i="3"/>
  <c r="P30" i="3" s="1"/>
  <c r="N16" i="3"/>
  <c r="N30" i="3" s="1"/>
  <c r="F15" i="3" l="1"/>
  <c r="H15" i="3"/>
  <c r="H16" i="3" l="1"/>
  <c r="F16" i="3"/>
  <c r="D30" i="3" l="1"/>
  <c r="M30" i="3" l="1"/>
  <c r="O30" i="3"/>
  <c r="K30" i="3"/>
  <c r="U30" i="3"/>
  <c r="Q30" i="3"/>
  <c r="S30" i="3"/>
  <c r="E16" i="3"/>
  <c r="H30" i="3"/>
  <c r="I30" i="3" s="1"/>
  <c r="E15" i="3"/>
  <c r="F30" i="3"/>
  <c r="W30" i="3" l="1"/>
  <c r="E30" i="3"/>
  <c r="G30" i="3"/>
  <c r="W32" i="3" s="1"/>
</calcChain>
</file>

<file path=xl/sharedStrings.xml><?xml version="1.0" encoding="utf-8"?>
<sst xmlns="http://schemas.openxmlformats.org/spreadsheetml/2006/main" count="461" uniqueCount="265">
  <si>
    <t>Município de Itacurubi - RS</t>
  </si>
  <si>
    <t>Horista</t>
  </si>
  <si>
    <t>Mensalista</t>
  </si>
  <si>
    <t>M2</t>
  </si>
  <si>
    <t>M3</t>
  </si>
  <si>
    <t>SINAPI</t>
  </si>
  <si>
    <t>DADOS DO ORÇAMENTO</t>
  </si>
  <si>
    <t>Data-Referência (SINAPI Porto Alegre)</t>
  </si>
  <si>
    <t>Encargos sociais</t>
  </si>
  <si>
    <t>Obra:</t>
  </si>
  <si>
    <t>Proponente:</t>
  </si>
  <si>
    <t>ITEM</t>
  </si>
  <si>
    <t>FONTE</t>
  </si>
  <si>
    <t>CÓDIGO</t>
  </si>
  <si>
    <t>DESCRIÇÃO</t>
  </si>
  <si>
    <t>UNID</t>
  </si>
  <si>
    <t>QUANT</t>
  </si>
  <si>
    <t>CUSTO UNITÁRIO (SEM BDI) (R$)</t>
  </si>
  <si>
    <t>BDI (%)</t>
  </si>
  <si>
    <t>PREÇO TOTAL (R$)</t>
  </si>
  <si>
    <t>KG</t>
  </si>
  <si>
    <t>Responsável Técnico pela Elaboração do Orçamento:</t>
  </si>
  <si>
    <t>1.0</t>
  </si>
  <si>
    <t>1.1</t>
  </si>
  <si>
    <t>1.2</t>
  </si>
  <si>
    <t>2.0</t>
  </si>
  <si>
    <t>2.1</t>
  </si>
  <si>
    <t>3.0</t>
  </si>
  <si>
    <t>3.1</t>
  </si>
  <si>
    <t>3.2</t>
  </si>
  <si>
    <t>3.3</t>
  </si>
  <si>
    <t>4.0</t>
  </si>
  <si>
    <t>7.0</t>
  </si>
  <si>
    <t>7.1</t>
  </si>
  <si>
    <t>7.2</t>
  </si>
  <si>
    <t>REVESTIMENTOS</t>
  </si>
  <si>
    <t>Declaro que os custos unitários adotados atendem ao regime de contribuição previdenciária, e NÃO DESONERADO sendo esta a alternativa mais adequada para a Administração Pública, e que o detalhamento de encargos sociais atendem ao estabelecido no SINAPI para o estado do RS, desta unidade da federação, para mão-de-obra horista e mensalista.</t>
  </si>
  <si>
    <t>BDI NÃO DESONERADO</t>
  </si>
  <si>
    <t>Gelso dos Santos Soares</t>
  </si>
  <si>
    <t>Prefeito Municipal de Itacurubi</t>
  </si>
  <si>
    <t>ESTADO DO RIO GRANDE DO SUL</t>
  </si>
  <si>
    <t>MUNICÍPIO DE ITACURUBI</t>
  </si>
  <si>
    <t>Município de Itacurubi</t>
  </si>
  <si>
    <t>CRONOGRAMA FÍSICO FINANCEIRO</t>
  </si>
  <si>
    <t>Total dos itens</t>
  </si>
  <si>
    <t>MÊS  1</t>
  </si>
  <si>
    <t>MÊS 2</t>
  </si>
  <si>
    <t>Itens</t>
  </si>
  <si>
    <t xml:space="preserve">Serviços </t>
  </si>
  <si>
    <t>Valor</t>
  </si>
  <si>
    <t>%</t>
  </si>
  <si>
    <t>Responsável Técnico pela Elaboração do Cronograma Físico-Financeiro:</t>
  </si>
  <si>
    <t>Material</t>
  </si>
  <si>
    <t>Mão de obra</t>
  </si>
  <si>
    <t>ALVENARIA DE VEDAÇÃO DE BLOCOS CERÂMICOS MACIÇOS DE 5X10X20CM (ESPESSURA 10CM) E ARGAMASSA DE ASSENTAMENTO COM PREPARO EM BETONEIRA. AF_05/2020</t>
  </si>
  <si>
    <t>TOTAL</t>
  </si>
  <si>
    <t>CUSTO UNITÁRIO TOTAL (SEM BDI) (R$)</t>
  </si>
  <si>
    <t>1.3</t>
  </si>
  <si>
    <t>CONCRETO FCK = 25MPA, TRAÇO 1:2,3:2,7 (EM MASSA SECA DE CIMENTO/ AREIA MÉDIA/ BRITA 1) - PREPARO MECÂNICO COM BETONEIRA 400 L. AF_05/2021</t>
  </si>
  <si>
    <t xml:space="preserve">Mão de obra </t>
  </si>
  <si>
    <t>Código</t>
  </si>
  <si>
    <t xml:space="preserve">PLANILHA ORÇAMENTÁRIA </t>
  </si>
  <si>
    <t>CUSTO TOTAL (SEM BDI) (R$)</t>
  </si>
  <si>
    <t>PREÇO TOTAL (COM BDI) (R$)</t>
  </si>
  <si>
    <t>4.1</t>
  </si>
  <si>
    <t>Custo unitário total</t>
  </si>
  <si>
    <t>___________________________________________</t>
  </si>
  <si>
    <t>Reforma e ampliação do CRAS Carlos Adalberto Rigon Chaves</t>
  </si>
  <si>
    <t>SERVIÇOS PRELIMINARES</t>
  </si>
  <si>
    <t>INFRA-ESTRUTURA</t>
  </si>
  <si>
    <t>SUPRA-ESTRUTURA</t>
  </si>
  <si>
    <t>PAREDES</t>
  </si>
  <si>
    <t>COBERTURA</t>
  </si>
  <si>
    <t>5.0</t>
  </si>
  <si>
    <t>PAVIMENTAÇÃO - CONTRAPISO E PISO</t>
  </si>
  <si>
    <t>6.0</t>
  </si>
  <si>
    <t xml:space="preserve">8.0 </t>
  </si>
  <si>
    <t>PINTURA DE ALVENARIAS</t>
  </si>
  <si>
    <t>9.0</t>
  </si>
  <si>
    <t>ESQUADRIAS</t>
  </si>
  <si>
    <t>10.0</t>
  </si>
  <si>
    <t>INSTALAÇÕES HIDRÁULICAS (ÁGUA FRIA)</t>
  </si>
  <si>
    <t>PLACA DE OBRA (PARA CONSTRUCAO CIVIL) EM CHAPA GALVANIZADA *N. 22*, ADESIVADA, DE *2,4 X 1,2* M (SEM POSTES PARA FIXACAO)</t>
  </si>
  <si>
    <t>SINAPI-I</t>
  </si>
  <si>
    <t>LOCAÇÃO COM CAVALETE COM ALTURA DE 0,50 M - 2 UTILIZAÇÕES. AF_10/2018</t>
  </si>
  <si>
    <t>UN</t>
  </si>
  <si>
    <t>EXECUÇÃO E COMPACTAÇÃO DE ATERRO COM SOLO PREDOMINANTEMENTE ARGILOSO - EXCLUSIVE SOLO, ESCAVAÇÃO, CARGA E TRANSPORTE. AF_11/2019</t>
  </si>
  <si>
    <t>2.2</t>
  </si>
  <si>
    <t>2.3</t>
  </si>
  <si>
    <t>CONCRETO CICLÓPICO FCK = 15MPA, 30% PEDRA DE MÃO EM VOLUME REAL, INCLUSIVE LANÇAMENTO. AF_05/2021</t>
  </si>
  <si>
    <t>2.4</t>
  </si>
  <si>
    <t>2.5</t>
  </si>
  <si>
    <t>2.6</t>
  </si>
  <si>
    <r>
      <t xml:space="preserve">CONCRETO FCK = 20MPA, TRAÇO 1:2,7:3 (EM MASSA SECA DE CIMENTO/ AREIA MÉDIA/ BRITA 1) - PREPARO MECÂNICO COM BETONEIRA 400 L. AF_05/2021 - </t>
    </r>
    <r>
      <rPr>
        <b/>
        <sz val="8"/>
        <rFont val="Calibri"/>
        <family val="2"/>
      </rPr>
      <t>SAPATAS</t>
    </r>
  </si>
  <si>
    <t>2.7</t>
  </si>
  <si>
    <t>2.8</t>
  </si>
  <si>
    <t>2.9</t>
  </si>
  <si>
    <t>2.10</t>
  </si>
  <si>
    <t>2.11</t>
  </si>
  <si>
    <r>
      <t xml:space="preserve">ARMAÇÃO DE </t>
    </r>
    <r>
      <rPr>
        <b/>
        <sz val="8"/>
        <rFont val="Calibri"/>
        <family val="2"/>
      </rPr>
      <t>VIGA BALDRAME</t>
    </r>
    <r>
      <rPr>
        <sz val="8"/>
        <rFont val="Calibri"/>
        <family val="2"/>
      </rPr>
      <t xml:space="preserve"> UTILIZANDO AÇO CA-50 DE 10 MM - MONTAGEM. AF_06/2017</t>
    </r>
  </si>
  <si>
    <r>
      <t xml:space="preserve">ARMAÇÃO DE </t>
    </r>
    <r>
      <rPr>
        <b/>
        <sz val="8"/>
        <rFont val="Calibri"/>
        <family val="2"/>
      </rPr>
      <t>VIGA BALDRAM</t>
    </r>
    <r>
      <rPr>
        <sz val="8"/>
        <rFont val="Calibri"/>
        <family val="2"/>
      </rPr>
      <t>E UTILIZANDO AÇO CA-60 DE 5 MM - MONTAGEM. AF_06/2017</t>
    </r>
  </si>
  <si>
    <r>
      <t xml:space="preserve">FABRICAÇÃO, MONTAGEM E DESMONTAGEM DE FÔRMA PARA </t>
    </r>
    <r>
      <rPr>
        <b/>
        <sz val="8"/>
        <rFont val="Calibri"/>
        <family val="2"/>
      </rPr>
      <t>VIGA BALDRAME</t>
    </r>
    <r>
      <rPr>
        <sz val="8"/>
        <rFont val="Calibri"/>
        <family val="2"/>
      </rPr>
      <t>, EM MADEIRA SERRADA, E=25 MM, 4 UTILIZAÇÕES. AF_06/2017</t>
    </r>
  </si>
  <si>
    <t>COMPOSIÇÃO</t>
  </si>
  <si>
    <t>IMPERMEABILIZAÇÃO DE SUPERFÍCIE COM EMULSÃO ASFÁLTICA, 2 DEMÃOS. AF_09/2023</t>
  </si>
  <si>
    <t>3.4</t>
  </si>
  <si>
    <t>3.5</t>
  </si>
  <si>
    <t>3.6</t>
  </si>
  <si>
    <t>3.7</t>
  </si>
  <si>
    <t>3.8</t>
  </si>
  <si>
    <t>3.9</t>
  </si>
  <si>
    <t>3.10</t>
  </si>
  <si>
    <t>3.11</t>
  </si>
  <si>
    <r>
      <t xml:space="preserve">ARMAÇÃO DE </t>
    </r>
    <r>
      <rPr>
        <b/>
        <sz val="8"/>
        <rFont val="Calibri"/>
        <family val="2"/>
      </rPr>
      <t>PILAR</t>
    </r>
    <r>
      <rPr>
        <sz val="8"/>
        <rFont val="Calibri"/>
        <family val="2"/>
      </rPr>
      <t xml:space="preserve"> DE CONCRETO ARMADO UTILIZANDO AÇO CA-60 DE 5,0 MM - MONTAGEM. AF_06/2022</t>
    </r>
  </si>
  <si>
    <r>
      <t xml:space="preserve">ARMAÇÃO DE </t>
    </r>
    <r>
      <rPr>
        <b/>
        <sz val="8"/>
        <rFont val="Calibri"/>
        <family val="2"/>
      </rPr>
      <t>PILAR</t>
    </r>
    <r>
      <rPr>
        <sz val="8"/>
        <rFont val="Calibri"/>
        <family val="2"/>
      </rPr>
      <t xml:space="preserve"> DE CONCRETO ARMADO UTILIZANDO AÇO CA-50 DE 10,0 MM - MONTAGEM. AF_06/2022</t>
    </r>
  </si>
  <si>
    <r>
      <t xml:space="preserve">ARMAÇÃO DE </t>
    </r>
    <r>
      <rPr>
        <b/>
        <sz val="8"/>
        <rFont val="Calibri"/>
        <family val="2"/>
      </rPr>
      <t>VIGA</t>
    </r>
    <r>
      <rPr>
        <sz val="8"/>
        <rFont val="Calibri"/>
        <family val="2"/>
      </rPr>
      <t xml:space="preserve"> DE ESTRUTURA CONVENCIONAL DE CONCRETO ARMADO UTILIZANDO AÇO CA-60 DE 5,0 MM - MONTAGEM. AF_06/2022</t>
    </r>
  </si>
  <si>
    <r>
      <t xml:space="preserve">ARMAÇÃO DE </t>
    </r>
    <r>
      <rPr>
        <b/>
        <sz val="8"/>
        <rFont val="Calibri"/>
        <family val="2"/>
      </rPr>
      <t>VIGA</t>
    </r>
    <r>
      <rPr>
        <sz val="8"/>
        <rFont val="Calibri"/>
        <family val="2"/>
      </rPr>
      <t xml:space="preserve"> DE ESTRUTURA CONVENCIONAL DE CONCRETO ARMADO UTILIZANDO AÇO CA-50 DE 10,0 MM - MONTAGEM. AF_06/2022</t>
    </r>
  </si>
  <si>
    <r>
      <t xml:space="preserve">CONCRETO FCK = 25MPA, TRAÇO 1:2,3:2,7 (EM MASSA SECA DE CIMENTO/ AREIA MÉDIA/ BRITA 1) - PREPARO MECÂNICO COM BETONEIRA 400 L. AF_05/2021 - </t>
    </r>
    <r>
      <rPr>
        <b/>
        <sz val="8"/>
        <rFont val="Calibri"/>
        <family val="2"/>
      </rPr>
      <t>VIGAS DE CINTAMENTO + LAJE</t>
    </r>
  </si>
  <si>
    <r>
      <t xml:space="preserve">VERGA PRÉ-MOLDADA PARA PORTAS </t>
    </r>
    <r>
      <rPr>
        <b/>
        <sz val="8"/>
        <rFont val="Calibri"/>
        <family val="2"/>
      </rPr>
      <t>COM ATÉ 1,5 M DE VÃO</t>
    </r>
    <r>
      <rPr>
        <sz val="8"/>
        <rFont val="Calibri"/>
        <family val="2"/>
      </rPr>
      <t>. AF_03/2016</t>
    </r>
  </si>
  <si>
    <t>M</t>
  </si>
  <si>
    <r>
      <t xml:space="preserve">VERGA MOLDADA IN LOCO EM CONCRETO PARA JANELAS </t>
    </r>
    <r>
      <rPr>
        <b/>
        <sz val="8"/>
        <rFont val="Calibri"/>
        <family val="2"/>
      </rPr>
      <t>COM ATÉ 1,5 M DE VÃO</t>
    </r>
    <r>
      <rPr>
        <sz val="8"/>
        <rFont val="Calibri"/>
        <family val="2"/>
      </rPr>
      <t>. AF_03/2016</t>
    </r>
  </si>
  <si>
    <r>
      <t xml:space="preserve">CONTRAVERGA MOLDADA IN LOCO EM CONCRETO PARA VÃOS DE </t>
    </r>
    <r>
      <rPr>
        <b/>
        <sz val="8"/>
        <rFont val="Calibri"/>
        <family val="2"/>
      </rPr>
      <t>ATÉ 1,5 M DE COMPRIMENTO</t>
    </r>
    <r>
      <rPr>
        <sz val="8"/>
        <rFont val="Calibri"/>
        <family val="2"/>
      </rPr>
      <t>. AF_03/2016</t>
    </r>
  </si>
  <si>
    <t>5.1</t>
  </si>
  <si>
    <t>92557</t>
  </si>
  <si>
    <t>FABRICAÇÃO E INSTALAÇÃO DE TESOURA INTEIRA EM MADEIRA NÃO APARELHADA, PARA TELHA ONDULADA DE FIBROCIMENTO, METÁLICA, PLÁSTICA OU TERMOACÚSTICA, INCLUSO IÇAMENTO. AF_07/2019</t>
  </si>
  <si>
    <t>5.2</t>
  </si>
  <si>
    <t>TRAMA DE MADEIRA COMPOSTA POR TERÇAS PARA TELHADOS DE ATÉ 2 ÁGUAS PARA TELHA ONDULADA DE FIBROCIMENTO, METÁLICA, PLÁSTICA OU TERMOACÚSTICA, INCLUSO TRANSPORTE VERTICAL. AF_07/2019</t>
  </si>
  <si>
    <t>5.3</t>
  </si>
  <si>
    <t>TELHAMENTO COM TELHA ONDULADA DE FIBROCIMENTO E = 6 MM, COM RECOBRIMENTO LATERAL DE 1/4 DE ONDA PARA TELHADO COM INCLINAÇÃO MAIOR QUE 10°, COM ATÉ 2 ÁGUAS, INCLUSO IÇAMENTO. AF_07/2019</t>
  </si>
  <si>
    <t>5.4</t>
  </si>
  <si>
    <t>CUMEEIRA PARA TELHA DE FIBROCIMENTO ONDULADA E = 6 MM, INCLUSO ACESSÓRIOS DE FIXAÇÃO E IÇAMENTO. AF_07/2019</t>
  </si>
  <si>
    <t>5.5</t>
  </si>
  <si>
    <t>5.6</t>
  </si>
  <si>
    <t>PINTURA IMUNIZANTE PARA MADEIRA, 1 DEMÃO. AF_01/2021</t>
  </si>
  <si>
    <t>5.7</t>
  </si>
  <si>
    <t>CALHA EM CHAPA DE AÇO GALVANIZADO NÚMERO 24, DESENVOLVIMENTO DE 100 CM, INCLUSO TRANSPORTE VERTICAL. AF_07/2019</t>
  </si>
  <si>
    <t>5.8</t>
  </si>
  <si>
    <t xml:space="preserve">BOCAL PVC, PARA CALHA PLUVIAL, DIAMETRO DA SAIDA ENTRE *75 E 120* MM, PARA DRENAGEM PLUVIAL PREDIAL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</si>
  <si>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5.9</t>
  </si>
  <si>
    <t>TUBO PVC, SÉRIE R, ÁGUA PLUVIAL, DN 100 MM, FORNECIDO E INSTALADO EM CONDUTORES VERTICAIS DE ÁGUAS PLUVIAIS. AF_06/2022</t>
  </si>
  <si>
    <t>5.10</t>
  </si>
  <si>
    <t>ACABAMENTOS PARA FORRO (RODA-FORRO EM PERFIL METÁLICO E PLÁSTICO). AF_05/2017</t>
  </si>
  <si>
    <t>LASTRO COM MATERIAL GRANULAR, APLICADO EM PISOS OU LAJES SOBRE SOLO, ESPESSURA DE *5 CM*. AF_08/2017</t>
  </si>
  <si>
    <t>CONCRETO FCK = 15MPA, TRAÇO 1:3,4:3,5 (EM MASSA SECA DE CIMENTO/ AREIA MÉDIA/ BRITA 1) - 0,05 CM DE ENCHIMENTO + 0,02 CM DE REGULARIZAÇÃO - PREPARO MECÂNICO COM BETONEIRA 400 L. AF_05/2021</t>
  </si>
  <si>
    <t>LANÇAMENTO COM USO DE BALDES, ADENSAMENTO E ACABAMENTO DE CONCRETO EM ESTRUTURAS. AF_02/2022</t>
  </si>
  <si>
    <t>REVESTIMENTO CERÂMICO PARA PISO COM PLACAS TIPO ESMALTADA EXTRA DE DIMENSÕES 35X35 CM APLICADA EM AMBIENTES DE ÁREA MAIOR QUE 10 M2. AF_02/2023_PE</t>
  </si>
  <si>
    <t>6.1</t>
  </si>
  <si>
    <t>6.2</t>
  </si>
  <si>
    <t>6.3</t>
  </si>
  <si>
    <t>6.4</t>
  </si>
  <si>
    <t>7.3</t>
  </si>
  <si>
    <r>
      <t xml:space="preserve">APLICAÇÃO MANUAL DE PINTURA COM TINTA LÁTEX ACRÍLICA EM PAREDES, DUAS DEMÃOS. AF_06/2014 - </t>
    </r>
    <r>
      <rPr>
        <b/>
        <sz val="8"/>
        <rFont val="Calibri"/>
        <family val="2"/>
      </rPr>
      <t>EXTERNAS E INTERNAS</t>
    </r>
  </si>
  <si>
    <t>8.2</t>
  </si>
  <si>
    <t>8.3</t>
  </si>
  <si>
    <t>PORTA PIVOTANTE DE VIDRO TEMPERADO, 2 FOLHAS DE 90X210 CM, ESPESSURA DE 10MM, INCLUSIVE ACESSÓRIOS. AF_01/2021</t>
  </si>
  <si>
    <t>JANELA DE ALUMÍNIO TIPO MAXIM-AR, COM VIDROS, BATENTE E FERRAGENS. FORNECIMENTO E INSTALAÇÃO. AF_12/2019</t>
  </si>
  <si>
    <t>JANELA DE ALUMÍNIO DE CORRER COM 4 FOLHAS PARA VIDROS, COM VIDROS, BATENTE, ACABAMENTO COM ACETATO OU BRILHANTE E FERRAGENS. FORNECIMENTO E INSTALAÇÃO. AF_12/2019</t>
  </si>
  <si>
    <t>PORTA EM ALUMÍNIO DE ABRIR TIPO VENEZIANA COM GUARNIÇÃO, FIXAÇÃO COM PARAFUSOS - FORNECIMENTO E INSTALAÇÃO. AF_12/2019</t>
  </si>
  <si>
    <t>90822</t>
  </si>
  <si>
    <t>PORTA DE MADEIRA PARA PINTURA, SEMI-OCA (LEVE OU MÉDIA), 80X210CM, ESPESSURA DE 3,5CM, INCLUSO DOBRADIÇAS - FORNECIMENTO E INSTALAÇÃO. AF_12/2019</t>
  </si>
  <si>
    <r>
      <t xml:space="preserve">CONCRETO FCK = 25MPA, TRAÇO 1:2,3:2,7 (EM MASSA SECA DE CIMENTO/ AREIA MÉDIA/ BRITA 1) - PREPARO MECÂNICO COM BETONEIRA 400 L. AF_05/2021 - </t>
    </r>
    <r>
      <rPr>
        <b/>
        <sz val="8"/>
        <rFont val="Calibri"/>
        <family val="2"/>
      </rPr>
      <t>VIGA BALDRAME</t>
    </r>
  </si>
  <si>
    <r>
      <t xml:space="preserve">ESCAVAÇÃO MANUAL DE VALA COM PROFUNDIDADE MENOR OU IGUAL A 1,30 M. AF_02/2021 - </t>
    </r>
    <r>
      <rPr>
        <b/>
        <sz val="8"/>
        <rFont val="Calibri"/>
        <family val="2"/>
      </rPr>
      <t>VIGA BALDRAME + SAPATAS</t>
    </r>
  </si>
  <si>
    <r>
      <t xml:space="preserve">ARMAÇÃO DE </t>
    </r>
    <r>
      <rPr>
        <b/>
        <sz val="8"/>
        <rFont val="Calibri"/>
        <family val="2"/>
      </rPr>
      <t>SAPATA</t>
    </r>
    <r>
      <rPr>
        <sz val="8"/>
        <rFont val="Calibri"/>
        <family val="2"/>
      </rPr>
      <t xml:space="preserve"> UTILIZANDO AÇO CA-50 DE 8 MM - MONTAGEM. AF_06/2017</t>
    </r>
  </si>
  <si>
    <r>
      <t xml:space="preserve">CHAPISCO APLICADO EM ALVENARIA E ESTRUTURAS DE CONCRETO INTERNAS, COM EQUIPAMENTO DE PROJEÇÃO.  ARGAMASSA TRAÇO 1:3 COM PREPARO MANUAL. AF_10/2022 - </t>
    </r>
    <r>
      <rPr>
        <b/>
        <sz val="8"/>
        <rFont val="Calibri"/>
        <family val="2"/>
      </rPr>
      <t>PAREDES COZINHA</t>
    </r>
  </si>
  <si>
    <r>
      <t xml:space="preserve">EMBOÇO, PARA RECEBIMENTO DE CERÂMICA, EM ARGAMASSA TRAÇO 1:2:8, PREPARO MECÂNICO COM BETONEIRA 400L, APLICADO MANUALMENTE EM FACES INTERNAS DE PAREDES, ESPESSURA DE 20MM, COM EXECUÇÃO DE TALISCAS. AF_06/2014 - </t>
    </r>
    <r>
      <rPr>
        <b/>
        <sz val="8"/>
        <rFont val="Calibri"/>
        <family val="2"/>
      </rPr>
      <t xml:space="preserve">PAREDES COZINHA </t>
    </r>
  </si>
  <si>
    <r>
      <t xml:space="preserve">REVESTIMENTO CERÂMICO PARA PAREDES INTERNAS COM PLACAS TIPO ESMALTADA EXTRA DE DIMENSÕES 20X20 CM APLICADAS NA ALTURA INTEIRA DAS PAREDES.  AF_02/2023_PE - </t>
    </r>
    <r>
      <rPr>
        <b/>
        <sz val="8"/>
        <rFont val="Calibri"/>
        <family val="2"/>
      </rPr>
      <t>PAREDES COZINHA</t>
    </r>
  </si>
  <si>
    <t>3.12</t>
  </si>
  <si>
    <r>
      <t xml:space="preserve">VERGA PRÉ-MOLDADA PARA PORTAS </t>
    </r>
    <r>
      <rPr>
        <b/>
        <sz val="8"/>
        <rFont val="Calibri"/>
        <family val="2"/>
      </rPr>
      <t>COM MAIS DE 1,5 M DE VÃO</t>
    </r>
    <r>
      <rPr>
        <sz val="8"/>
        <rFont val="Calibri"/>
        <family val="2"/>
      </rPr>
      <t>. AF_03/2016</t>
    </r>
  </si>
  <si>
    <t>9.1</t>
  </si>
  <si>
    <t>9.2</t>
  </si>
  <si>
    <t>9.3</t>
  </si>
  <si>
    <t>9.4</t>
  </si>
  <si>
    <t>9.5</t>
  </si>
  <si>
    <t>TUBO, PVC, SOLDÁVEL, DN 25MM, INSTALADO EM RAMAL DE DISTRIBUIÇÃO DE ÁGUA - FORNECIMENTO E INSTALAÇÃO. AF_12/2014</t>
  </si>
  <si>
    <t>RASGO EM ALVENARIA PARA RAMAIS/ DISTRIBUIÇÃO COM DIAMETROS MENORES OU IGUAIS A 40 MM. AF_05/2015</t>
  </si>
  <si>
    <t>CHUMBAMENTO LINEAR EM ALVENARIA PARA RAMAIS/DISTRIBUIÇÃO COM DIÂMETROS MENORES OU IGUAIS A 40 MM. AF_05/2015</t>
  </si>
  <si>
    <t>JOELHO 90 GRAUS, PVC, SOLDÁVEL, DN 25MM, INSTALADO EM RAMAL OU SUB-RAMAL DE ÁGUA - FORNECIMENTO E INSTALAÇÃO. AF_12/2014</t>
  </si>
  <si>
    <t>TE, PVC, SOLDÁVEL, DN 25MM, INSTALADO EM RAMAL OU SUB-RAMAL DE ÁGUA - FORNECIMENTO E INSTALAÇÃO. AF_12/2014</t>
  </si>
  <si>
    <t xml:space="preserve">SINAPI </t>
  </si>
  <si>
    <t>REGISTRO DE PRESSÃO BRUTO, LATÃO,  ROSCÁVEL, 3/4'' - FORNECIMENTO E INSTALAÇÃO. AF_08/2021</t>
  </si>
  <si>
    <t>ASSENTO SANITÁRIO CONVENCIONAL - FORNECIMENTO E INSTALACAO. AF_01/2020</t>
  </si>
  <si>
    <t>LAVATÓRIO LOUÇA BRANCA SUSPENSO, 29,5 X 39CM OU EQUIVALENTE, PADRÃO POPULAR, INCLUSO SIFÃO FLEXÍVEL EM PVC, VÁLVULA E ENGATE FLEXÍVEL 30CM EM PLÁSTICO E TORNEIRA CROMADA DE MESA, PADRÃO POPULAR - FORNECIMENTO E INSTALAÇÃO. AF_01/2020</t>
  </si>
  <si>
    <t>11.0</t>
  </si>
  <si>
    <t>INSTALAÇÕES SANITÁRIAS (ESGOTO)</t>
  </si>
  <si>
    <t>10.1</t>
  </si>
  <si>
    <t>10.2</t>
  </si>
  <si>
    <t>10.3</t>
  </si>
  <si>
    <t>10.4</t>
  </si>
  <si>
    <t>10.5</t>
  </si>
  <si>
    <t>10.6</t>
  </si>
  <si>
    <t>10.7</t>
  </si>
  <si>
    <t>10.8</t>
  </si>
  <si>
    <t>10.9</t>
  </si>
  <si>
    <t>10.10</t>
  </si>
  <si>
    <t>TUBO PVC, SERIE NORMAL, ESGOTO PREDIAL, DN 100 MM, FORNECIDO E INSTALADO EM RAMAL DE DESCARGA OU RAMAL DE ESGOTO SANITÁRIO. AF_12/2014</t>
  </si>
  <si>
    <t>CAIXA ENTERRADA HIDRÁULICA RETANGULAR EM ALVENARIA COM TIJOLOS CERÂMICOS MACIÇOS, DIMENSÕES INTERNAS: 0,4X0,4X0,4 M PARA REDE DE ESGOTO. AF_12/2020</t>
  </si>
  <si>
    <t>CAIXA DE GORDURA SIMPLES, CIRCULAR, EM CONCRETO PRÉ-MOLDADO, DIÂMETRO INTERNO = 0,4 M, ALTURA INTERNA = 0,4 M. AF_12/2020</t>
  </si>
  <si>
    <t>12.0</t>
  </si>
  <si>
    <t>INSTALAÇÕES ELÉTRICAS</t>
  </si>
  <si>
    <t>ELETRODUTO FLEXÍVEL CORRUGADO, PVC, DN 20 MM (1/2"), PARA CIRCUITOS TERMINAIS, INSTALADO EM FORRO - FORNECIMENTO E INSTALAÇÃO. AF_03/2023</t>
  </si>
  <si>
    <t>CABO DE COBRE FLEXÍVEL ISOLADO, 4 MM², ANTI-CHAMA 450/750 V, PARA CIRCUITOS TERMINAIS - FORNECIMENTO E INSTALAÇÃO. AF_03/2023</t>
  </si>
  <si>
    <t>CABO DE COBRE FLEXÍVEL ISOLADO, 6 MM², ANTI-CHAMA 450/750 V, PARA CIRCUITOS TERMINAIS - FORNECIMENTO E INSTALAÇÃO. AF_03/2023</t>
  </si>
  <si>
    <t>QUADRO DE DISTRIBUIÇÃO DE ENERGIA EM PVC, DE EMBUTIR, SEM BARRAMENTO, PARA 6 DISJUNTORES - FORNECIMENTO E INSTALAÇÃO. AF_10/2020</t>
  </si>
  <si>
    <t>DISJUNTOR MONOPOLAR TIPO NEMA, CORRENTE NOMINAL DE 10 ATÉ 30A - FORNECIMENTO E INSTALAÇÃO. AF_10/2020</t>
  </si>
  <si>
    <t>LUMINÁRIA TIPO PLAFON CIRCULAR, DE SOBREPOR, COM LED DE 12/13 W - FORNECIMENTO E INSTALAÇÃO. AF_03/2022</t>
  </si>
  <si>
    <t xml:space="preserve">CAIXA OCTOGONAL DE FUNDO MOVEL, EM PVC, DE 3" X 3", PARA ELETRODUTO FLEXIVEL CORRUGADO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</si>
  <si>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TOMADA ALTA DE EMBUTIR (1 MÓDULO), 2P+T 20 A, INCLUINDO SUPORTE E PLACA - FORNECIMENTO E INSTALAÇÃO. AF_12/2015</t>
  </si>
  <si>
    <t>TOMADA MÉDIA DE EMBUTIR (2 MÓDULOS), 2P+T 20 A, INCLUINDO SUPORTE E PLACA - FORNECIMENTO E INSTALAÇÃO. AF_12/2015</t>
  </si>
  <si>
    <t>INTERRUPTOR SIMPLES (1 MÓDULO) COM 1 TOMADA DE EMBUTIR 2P+T 10 A, INCLUINDO SUPORTE E PLACA - FORNECIMENTO E INSTALAÇÃO. AF_03/2023</t>
  </si>
  <si>
    <t>11.1</t>
  </si>
  <si>
    <t>11.2</t>
  </si>
  <si>
    <t>11.3</t>
  </si>
  <si>
    <t>11.4</t>
  </si>
  <si>
    <t>11.5</t>
  </si>
  <si>
    <t>12.1</t>
  </si>
  <si>
    <t>12.2</t>
  </si>
  <si>
    <t>12.3</t>
  </si>
  <si>
    <t>12.4</t>
  </si>
  <si>
    <t>12.5</t>
  </si>
  <si>
    <t>12.6</t>
  </si>
  <si>
    <t>12.7</t>
  </si>
  <si>
    <t>12.8</t>
  </si>
  <si>
    <t>12.9</t>
  </si>
  <si>
    <t>12.10</t>
  </si>
  <si>
    <t>12.11</t>
  </si>
  <si>
    <t>12.12</t>
  </si>
  <si>
    <t>12.13</t>
  </si>
  <si>
    <t>VASO SANITARIO SIFONADO CONVENCIONAL PARA PCD SEM FURO FRONTAL COM  LOUÇA BRANCA SEM ASSENTO -  FORNECIMENTO E INSTALAÇÃO. AF_01/2020</t>
  </si>
  <si>
    <t>BARRA DE APOIO RETA, EM ALUMINIO, COMPRIMENTO 60 CM,  FIXADA NA PAREDE - FORNECIMENTO E INSTALAÇÃO. AF_01/2020</t>
  </si>
  <si>
    <t>TORNEIRA CROMADA LONGA, DE PAREDE, 1/2 OU 3/4, PARA PIA DE COZINHA, PADRÃO POPULAR - FORNECIMENTO E INSTALAÇÃO. AF_01/2020</t>
  </si>
  <si>
    <t>10.11</t>
  </si>
  <si>
    <t>TUBO PVC, SERIE NORMAL, ESGOTO PREDIAL, DN 75 MM, FORNECIDO E INSTALADO EM RAMAL DE DESCARGA OU RAMAL DE ESGOTO SANITÁRIO. AF_08/2022</t>
  </si>
  <si>
    <t>JOELHO 90 GRAUS, PVC, SERIE NORMAL, ESGOTO PREDIAL, DN 75 MM, JUNTA ELÁSTICA, FORNECIDO E INSTALADO EM RAMAL DE DESCARGA OU RAMAL DE ESGOTO SANITÁRIO. AF_08/2022</t>
  </si>
  <si>
    <t>ELETRODUTO RÍGIDO ROSCÁVEL, PVC, DN 25 MM (3/4"), PARA CIRCUITOS TERMINAIS, INSTALADO EM PAREDE - FORNECIMENTO E INSTALAÇÃO. AF_03/2023</t>
  </si>
  <si>
    <t>CABO DE COBRE FLEXÍVEL ISOLADO, 1,5 MM², ANTI-CHAMA 450/750 V, PARA CIRCUITOS TERMINAIS - FORNECIMENTO E INSTALAÇÃO. AF_03/2023</t>
  </si>
  <si>
    <t>INTERRUPTOR SIMPLES (1 MÓDULO) COM INTERRUPTOR PARALELO (1 MÓDULO), 10A/250V, INCLUINDO SUPORTE E PLACA - FORNECIMENTO E INSTALAÇÃO. AF_03/2023</t>
  </si>
  <si>
    <t>DEMOLIÇÃO DE ALVENARIA DE BLOCO FURADO, DE FORMA MANUAL, SEM REAPROVEITAMENTO. AF_09/2023</t>
  </si>
  <si>
    <t>REMOÇÃO DE CHAPAS E PERFIS DE DRYWALL, DE FORMA MANUAL, SEM REAPROVEITAMENTO. AF_09/2023</t>
  </si>
  <si>
    <t>1.4</t>
  </si>
  <si>
    <t>1.5</t>
  </si>
  <si>
    <t>1.6</t>
  </si>
  <si>
    <t>ALVENARIA DE VEDAÇÃO DE BLOCOS CERÂMICOS FURADOS NA HORIZONTAL DE 14X9X19 CM (ESPESSURA 14 CM, BLOCO DEITADO) E ARGAMASSA DE ASSENTAMENTO COM PREPARO EM BETONEIRA. AF_12/2021</t>
  </si>
  <si>
    <t>FORRO EM RÉGUAS DE PVC, FRISADO, PARA AMBIENTES COMERCIAIS, INCLUSIVE ESTRUTURA BIDIRECIONAL DE FIXAÇÃO. AF_08/2023_PS</t>
  </si>
  <si>
    <r>
      <t xml:space="preserve">REMOÇÃO DE PORTAS, DE FORMA MANUAL, SEM REAPROVEITAMENTO. AF_09/2023 - </t>
    </r>
    <r>
      <rPr>
        <b/>
        <sz val="8"/>
        <rFont val="Calibri"/>
        <family val="2"/>
      </rPr>
      <t>REMOÇÃO PORTA FACHADA</t>
    </r>
  </si>
  <si>
    <r>
      <t xml:space="preserve">REMOÇÃO DE JANELAS, DE FORMA MANUAL, SEM REAPROVEITAMENTO. AF_09/2023 - </t>
    </r>
    <r>
      <rPr>
        <b/>
        <sz val="8"/>
        <rFont val="Calibri"/>
        <family val="2"/>
      </rPr>
      <t>REMOÇÃO JANELAS FACHADA</t>
    </r>
  </si>
  <si>
    <t>MONTAGEM E DESMONTAGEM DE FÔRMA DE VIGA, ESCORAMENTO COM PONTALETE DE MADEIRA, PÉ-DIREITO SIMPLES, EM MADEIRA SERRADA, 4 UTILIZAÇÕES. AF_09/2020</t>
  </si>
  <si>
    <r>
      <t>PINTURA COM TINTA ALQUÍDICA DE ACABAMENTO (ESMALTE SINTÉTICO FOSCO) PULVERIZADA SOBRE SUPERFÍCIES METÁLICAS (EXCETO PERFIL) EXECUTADO EM OBRA (POR DEMÃO). AF_01/2020_PE -</t>
    </r>
    <r>
      <rPr>
        <b/>
        <sz val="8"/>
        <rFont val="Calibri"/>
        <family val="2"/>
      </rPr>
      <t xml:space="preserve"> JANELAS E PORTAS METÁLICAS</t>
    </r>
  </si>
  <si>
    <t>Itacurubi, 31 de outubro de 2023.</t>
  </si>
  <si>
    <t>Rochele da Silva Mazzui</t>
  </si>
  <si>
    <t>Arquiteta e Urbanista</t>
  </si>
  <si>
    <t>CAU RS A 96026-8</t>
  </si>
  <si>
    <t>MÊS 3</t>
  </si>
  <si>
    <t>MÊS 4</t>
  </si>
  <si>
    <t>MÊS 5</t>
  </si>
  <si>
    <t>MÊS 6</t>
  </si>
  <si>
    <t>MÊS 7</t>
  </si>
  <si>
    <t>MÊS 8</t>
  </si>
  <si>
    <t>______________________________________________</t>
  </si>
  <si>
    <t xml:space="preserve">13.0 </t>
  </si>
  <si>
    <t xml:space="preserve">SERVIÇOS FINAIS </t>
  </si>
  <si>
    <t xml:space="preserve">13.1 </t>
  </si>
  <si>
    <t xml:space="preserve">COTAÇÃO </t>
  </si>
  <si>
    <t xml:space="preserve">IDENTIDADE VISUAL IDENTIDADE VISUAL TOTEM EM ACM ADESIVADO NAS MEDIDAS 0,60M X 0,25M X 2M </t>
  </si>
  <si>
    <t xml:space="preserve">FORNECIMENTO E INSTALAÇÃO - IDENTIDADE VISUAL DO PROGRAMA AVANÇAR SUAS - TOTEM EM ACM ADESIVADO NAS MEDIDAS 0,60M X 0,25M X 2M </t>
  </si>
  <si>
    <t>NÃO SE APLICA</t>
  </si>
  <si>
    <r>
      <t xml:space="preserve">MONTAGEM E DESMONTAGEM DE FÔRMA DE </t>
    </r>
    <r>
      <rPr>
        <b/>
        <sz val="8"/>
        <rFont val="Calibri"/>
        <family val="2"/>
      </rPr>
      <t>PILARES RETANGULARES</t>
    </r>
    <r>
      <rPr>
        <sz val="8"/>
        <rFont val="Calibri"/>
        <family val="2"/>
      </rPr>
      <t xml:space="preserve"> E ESTRUTURAS SIMILARES, PÉ-DIREITO SIMPLES, EM MADEIRA SERRADA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</si>
</sst>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0.0"/>
    <numFmt numFmtId="165" formatCode="dd/mm/yyyy;@"/>
    <numFmt numFmtId="166" formatCode="_(* #,##0_);_(* \(#,##0\);_(* &quot;-&quot;??_);_(@_)"/>
    <numFmt numFmtId="167" formatCode="0.000000000"/>
    <numFmt numFmtId="168" formatCode="000"/>
  </numFmts>
  <fonts count="33" x14ac:knownFonts="1">
    <font>
      <sz val="10"/>
      <color rgb="FF000000"/>
      <name val="Times New Roman"/>
      <charset val="204"/>
    </font>
    <font>
      <b/>
      <sz val="10"/>
      <name val="Calibri"/>
      <family val="2"/>
    </font>
    <font>
      <b/>
      <sz val="9"/>
      <color rgb="FF000000"/>
      <name val="Calibri"/>
      <family val="2"/>
    </font>
    <font>
      <b/>
      <sz val="9"/>
      <name val="Calibri"/>
      <family val="2"/>
    </font>
    <font>
      <sz val="9"/>
      <name val="Calibri"/>
      <family val="2"/>
    </font>
    <font>
      <sz val="8"/>
      <name val="Calibri"/>
      <family val="2"/>
    </font>
    <font>
      <sz val="8"/>
      <color rgb="FF000000"/>
      <name val="Calibri"/>
      <family val="2"/>
    </font>
    <font>
      <sz val="10"/>
      <color rgb="FF000000"/>
      <name val="Calibri"/>
      <family val="2"/>
      <scheme val="minor"/>
    </font>
    <font>
      <b/>
      <sz val="10"/>
      <color rgb="FF000000"/>
      <name val="Calibri"/>
      <family val="2"/>
      <scheme val="minor"/>
    </font>
    <font>
      <b/>
      <sz val="8"/>
      <name val="Calibri"/>
      <family val="2"/>
    </font>
    <font>
      <sz val="10"/>
      <color rgb="FF000000"/>
      <name val="Times New Roman"/>
      <family val="1"/>
    </font>
    <font>
      <sz val="8"/>
      <name val="Calibri"/>
      <family val="2"/>
      <scheme val="minor"/>
    </font>
    <font>
      <sz val="10"/>
      <color rgb="FF000000"/>
      <name val="Calibri"/>
      <family val="2"/>
    </font>
    <font>
      <b/>
      <sz val="11"/>
      <name val="Calibri"/>
      <family val="2"/>
    </font>
    <font>
      <sz val="8"/>
      <color rgb="FF000000"/>
      <name val="Times New Roman"/>
      <family val="1"/>
    </font>
    <font>
      <sz val="9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9"/>
      <color rgb="FF000000"/>
      <name val="Calibri"/>
      <family val="2"/>
    </font>
    <font>
      <sz val="10"/>
      <name val="MS Sans Serif"/>
      <family val="2"/>
    </font>
    <font>
      <sz val="10"/>
      <name val="Arial"/>
      <family val="2"/>
    </font>
    <font>
      <sz val="10"/>
      <name val="Calibri"/>
      <family val="2"/>
      <scheme val="minor"/>
    </font>
    <font>
      <sz val="9"/>
      <color rgb="FF000000"/>
      <name val="Calibri"/>
      <family val="2"/>
      <scheme val="minor"/>
    </font>
    <font>
      <sz val="10"/>
      <name val="Calibri"/>
      <family val="2"/>
    </font>
    <font>
      <sz val="10"/>
      <color rgb="FF000000"/>
      <name val="Times New Roman"/>
      <family val="1"/>
    </font>
    <font>
      <sz val="9"/>
      <name val="Calibri"/>
      <family val="2"/>
      <scheme val="minor"/>
    </font>
    <font>
      <b/>
      <sz val="10"/>
      <name val="Calibri"/>
      <family val="2"/>
      <scheme val="minor"/>
    </font>
    <font>
      <b/>
      <sz val="8"/>
      <name val="Calibri"/>
      <family val="2"/>
      <scheme val="minor"/>
    </font>
    <font>
      <b/>
      <sz val="9"/>
      <name val="Calibri"/>
      <family val="2"/>
      <scheme val="minor"/>
    </font>
    <font>
      <sz val="8"/>
      <color indexed="12"/>
      <name val="Calibri"/>
      <family val="2"/>
      <scheme val="minor"/>
    </font>
    <font>
      <sz val="8"/>
      <color indexed="1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8"/>
      <name val="Times New Roman"/>
      <family val="1"/>
    </font>
    <font>
      <sz val="10"/>
      <color rgb="FF00000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D9D9D9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6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rgb="FF000000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44" fontId="10" fillId="0" borderId="0" applyFont="0" applyFill="0" applyBorder="0" applyAlignment="0" applyProtection="0"/>
    <xf numFmtId="0" fontId="18" fillId="0" borderId="0"/>
    <xf numFmtId="43" fontId="23" fillId="0" borderId="0" applyFont="0" applyFill="0" applyBorder="0" applyAlignment="0" applyProtection="0"/>
    <xf numFmtId="9" fontId="23" fillId="0" borderId="0" applyFont="0" applyFill="0" applyBorder="0" applyAlignment="0" applyProtection="0"/>
  </cellStyleXfs>
  <cellXfs count="354">
    <xf numFmtId="0" fontId="0" fillId="0" borderId="0" xfId="0" applyAlignment="1">
      <alignment horizontal="left" vertical="top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left" vertical="center" wrapText="1"/>
    </xf>
    <xf numFmtId="2" fontId="12" fillId="0" borderId="0" xfId="0" applyNumberFormat="1" applyFont="1" applyAlignment="1">
      <alignment horizontal="center" vertical="center" wrapText="1"/>
    </xf>
    <xf numFmtId="0" fontId="14" fillId="0" borderId="0" xfId="0" applyFont="1" applyAlignment="1">
      <alignment horizontal="left" vertical="top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4" fontId="12" fillId="0" borderId="0" xfId="1" applyFont="1" applyAlignment="1">
      <alignment horizontal="center" vertical="center" wrapText="1"/>
    </xf>
    <xf numFmtId="164" fontId="0" fillId="0" borderId="0" xfId="0" applyNumberFormat="1" applyAlignment="1">
      <alignment horizontal="center" vertical="top"/>
    </xf>
    <xf numFmtId="0" fontId="15" fillId="0" borderId="0" xfId="0" applyFont="1" applyAlignment="1">
      <alignment horizontal="left" vertical="top"/>
    </xf>
    <xf numFmtId="0" fontId="19" fillId="0" borderId="0" xfId="2" applyFont="1" applyAlignment="1">
      <alignment horizontal="center" vertical="justify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Alignment="1">
      <alignment horizontal="left" vertical="top"/>
    </xf>
    <xf numFmtId="164" fontId="4" fillId="0" borderId="0" xfId="0" applyNumberFormat="1" applyFont="1" applyAlignment="1">
      <alignment horizontal="right" vertical="center" wrapText="1"/>
    </xf>
    <xf numFmtId="44" fontId="21" fillId="0" borderId="0" xfId="1" applyFont="1" applyBorder="1" applyAlignment="1">
      <alignment horizontal="right" vertical="center" wrapText="1"/>
    </xf>
    <xf numFmtId="0" fontId="22" fillId="0" borderId="0" xfId="0" applyFont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2" fontId="10" fillId="0" borderId="0" xfId="0" applyNumberFormat="1" applyFont="1" applyAlignment="1">
      <alignment horizontal="left" vertical="center" wrapText="1"/>
    </xf>
    <xf numFmtId="165" fontId="12" fillId="0" borderId="0" xfId="0" applyNumberFormat="1" applyFont="1" applyAlignment="1">
      <alignment horizontal="center" vertical="center" shrinkToFit="1"/>
    </xf>
    <xf numFmtId="0" fontId="1" fillId="0" borderId="0" xfId="0" applyFont="1" applyAlignment="1">
      <alignment horizontal="right" vertical="center" wrapText="1"/>
    </xf>
    <xf numFmtId="44" fontId="12" fillId="0" borderId="0" xfId="1" applyFont="1" applyAlignment="1">
      <alignment horizontal="left" vertical="center" wrapText="1"/>
    </xf>
    <xf numFmtId="17" fontId="3" fillId="0" borderId="6" xfId="0" applyNumberFormat="1" applyFont="1" applyBorder="1" applyAlignment="1">
      <alignment horizontal="center" vertical="center" wrapText="1"/>
    </xf>
    <xf numFmtId="10" fontId="3" fillId="0" borderId="6" xfId="0" applyNumberFormat="1" applyFont="1" applyBorder="1" applyAlignment="1">
      <alignment horizontal="center" vertical="center" wrapText="1"/>
    </xf>
    <xf numFmtId="44" fontId="3" fillId="2" borderId="6" xfId="1" applyFont="1" applyFill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19" fillId="0" borderId="0" xfId="2" applyFont="1" applyAlignment="1">
      <alignment horizontal="center" vertical="center"/>
    </xf>
    <xf numFmtId="0" fontId="1" fillId="0" borderId="0" xfId="0" applyFont="1" applyAlignment="1">
      <alignment horizontal="center" vertical="top" wrapText="1"/>
    </xf>
    <xf numFmtId="0" fontId="20" fillId="0" borderId="0" xfId="2" applyFont="1" applyAlignment="1">
      <alignment horizontal="left" vertical="justify"/>
    </xf>
    <xf numFmtId="0" fontId="1" fillId="0" borderId="0" xfId="0" applyFont="1" applyAlignment="1">
      <alignment vertical="top" wrapText="1"/>
    </xf>
    <xf numFmtId="0" fontId="10" fillId="0" borderId="0" xfId="0" applyFont="1" applyAlignment="1">
      <alignment horizontal="left" vertical="top" indent="1"/>
    </xf>
    <xf numFmtId="0" fontId="19" fillId="0" borderId="0" xfId="2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2" fillId="0" borderId="0" xfId="0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4" fontId="10" fillId="0" borderId="0" xfId="1" applyFont="1" applyFill="1" applyAlignment="1">
      <alignment horizontal="left" vertical="center" wrapText="1"/>
    </xf>
    <xf numFmtId="0" fontId="1" fillId="0" borderId="0" xfId="0" applyFont="1" applyAlignment="1">
      <alignment horizontal="center" wrapText="1"/>
    </xf>
    <xf numFmtId="164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44" fontId="0" fillId="0" borderId="0" xfId="1" applyFont="1" applyAlignment="1">
      <alignment horizontal="center" vertical="center"/>
    </xf>
    <xf numFmtId="0" fontId="20" fillId="0" borderId="0" xfId="2" applyFont="1" applyAlignment="1">
      <alignment horizontal="left" vertical="center"/>
    </xf>
    <xf numFmtId="44" fontId="10" fillId="0" borderId="0" xfId="1" applyFont="1" applyBorder="1" applyAlignment="1">
      <alignment horizontal="left" vertical="center" wrapText="1"/>
    </xf>
    <xf numFmtId="44" fontId="0" fillId="0" borderId="0" xfId="1" applyFont="1" applyBorder="1" applyAlignment="1">
      <alignment horizontal="left" vertical="center" wrapText="1"/>
    </xf>
    <xf numFmtId="44" fontId="0" fillId="0" borderId="0" xfId="1" applyFont="1" applyFill="1" applyAlignment="1">
      <alignment horizontal="center" vertical="center"/>
    </xf>
    <xf numFmtId="0" fontId="1" fillId="0" borderId="0" xfId="0" applyFont="1" applyAlignment="1">
      <alignment wrapText="1"/>
    </xf>
    <xf numFmtId="0" fontId="24" fillId="0" borderId="0" xfId="0" applyFont="1"/>
    <xf numFmtId="44" fontId="12" fillId="0" borderId="0" xfId="1" applyFont="1" applyBorder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vertical="center"/>
    </xf>
    <xf numFmtId="0" fontId="27" fillId="0" borderId="14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5" borderId="6" xfId="0" applyFont="1" applyFill="1" applyBorder="1" applyAlignment="1">
      <alignment horizontal="center" vertical="center"/>
    </xf>
    <xf numFmtId="0" fontId="27" fillId="5" borderId="15" xfId="0" applyFont="1" applyFill="1" applyBorder="1" applyAlignment="1">
      <alignment horizontal="center" vertical="center"/>
    </xf>
    <xf numFmtId="0" fontId="21" fillId="0" borderId="0" xfId="0" applyFont="1" applyAlignment="1">
      <alignment vertical="center"/>
    </xf>
    <xf numFmtId="0" fontId="11" fillId="0" borderId="6" xfId="0" applyFont="1" applyBorder="1" applyAlignment="1">
      <alignment horizontal="left" vertical="center" wrapText="1"/>
    </xf>
    <xf numFmtId="44" fontId="11" fillId="0" borderId="6" xfId="1" applyFont="1" applyFill="1" applyBorder="1" applyAlignment="1">
      <alignment horizontal="center" vertical="center"/>
    </xf>
    <xf numFmtId="2" fontId="11" fillId="0" borderId="6" xfId="0" applyNumberFormat="1" applyFont="1" applyBorder="1" applyAlignment="1">
      <alignment horizontal="center" vertical="center"/>
    </xf>
    <xf numFmtId="9" fontId="11" fillId="5" borderId="6" xfId="0" applyNumberFormat="1" applyFont="1" applyFill="1" applyBorder="1" applyAlignment="1">
      <alignment horizontal="center" vertical="center"/>
    </xf>
    <xf numFmtId="9" fontId="11" fillId="5" borderId="15" xfId="0" applyNumberFormat="1" applyFont="1" applyFill="1" applyBorder="1" applyAlignment="1">
      <alignment horizontal="center" vertical="center"/>
    </xf>
    <xf numFmtId="0" fontId="11" fillId="0" borderId="6" xfId="0" applyFont="1" applyBorder="1" applyAlignment="1">
      <alignment horizontal="left" vertical="center"/>
    </xf>
    <xf numFmtId="44" fontId="7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28" fillId="0" borderId="0" xfId="0" applyFont="1" applyAlignment="1">
      <alignment vertical="center"/>
    </xf>
    <xf numFmtId="43" fontId="29" fillId="0" borderId="0" xfId="3" applyFont="1" applyBorder="1" applyAlignment="1">
      <alignment vertical="center"/>
    </xf>
    <xf numFmtId="10" fontId="19" fillId="0" borderId="0" xfId="4" applyNumberFormat="1" applyFont="1" applyAlignment="1">
      <alignment horizontal="center" vertical="justify"/>
    </xf>
    <xf numFmtId="0" fontId="22" fillId="0" borderId="0" xfId="0" applyFont="1" applyAlignment="1">
      <alignment vertical="center"/>
    </xf>
    <xf numFmtId="0" fontId="17" fillId="0" borderId="0" xfId="0" applyFont="1" applyAlignment="1">
      <alignment horizontal="left" vertical="center" wrapText="1"/>
    </xf>
    <xf numFmtId="2" fontId="17" fillId="0" borderId="0" xfId="0" applyNumberFormat="1" applyFont="1" applyAlignment="1">
      <alignment horizontal="center" vertical="center" wrapText="1"/>
    </xf>
    <xf numFmtId="44" fontId="17" fillId="0" borderId="0" xfId="1" applyFont="1" applyBorder="1" applyAlignment="1">
      <alignment horizontal="center" vertical="center" wrapText="1"/>
    </xf>
    <xf numFmtId="0" fontId="17" fillId="0" borderId="0" xfId="0" applyFont="1" applyAlignment="1">
      <alignment horizontal="center" vertical="center" wrapText="1"/>
    </xf>
    <xf numFmtId="0" fontId="11" fillId="0" borderId="19" xfId="0" applyFont="1" applyBorder="1" applyAlignment="1">
      <alignment vertical="center"/>
    </xf>
    <xf numFmtId="0" fontId="11" fillId="0" borderId="10" xfId="0" applyFont="1" applyBorder="1" applyAlignment="1">
      <alignment vertical="center"/>
    </xf>
    <xf numFmtId="0" fontId="20" fillId="0" borderId="0" xfId="2" applyFont="1" applyAlignment="1">
      <alignment horizontal="left" vertical="center" wrapText="1"/>
    </xf>
    <xf numFmtId="0" fontId="3" fillId="3" borderId="22" xfId="0" applyFont="1" applyFill="1" applyBorder="1" applyAlignment="1">
      <alignment vertical="center"/>
    </xf>
    <xf numFmtId="2" fontId="12" fillId="0" borderId="0" xfId="0" applyNumberFormat="1" applyFont="1" applyAlignment="1">
      <alignment horizontal="left" vertical="center" wrapText="1"/>
    </xf>
    <xf numFmtId="0" fontId="16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44" fontId="3" fillId="2" borderId="0" xfId="1" applyFont="1" applyFill="1" applyBorder="1" applyAlignment="1">
      <alignment horizontal="center" vertical="center" wrapText="1"/>
    </xf>
    <xf numFmtId="44" fontId="11" fillId="6" borderId="0" xfId="1" applyFont="1" applyFill="1" applyBorder="1" applyAlignment="1">
      <alignment horizontal="center" vertical="center" wrapText="1"/>
    </xf>
    <xf numFmtId="44" fontId="8" fillId="0" borderId="0" xfId="1" applyFont="1" applyBorder="1" applyAlignment="1">
      <alignment horizontal="right" vertical="center" wrapText="1"/>
    </xf>
    <xf numFmtId="2" fontId="0" fillId="0" borderId="0" xfId="1" applyNumberFormat="1" applyFont="1" applyAlignment="1">
      <alignment horizontal="center" vertical="center"/>
    </xf>
    <xf numFmtId="2" fontId="17" fillId="0" borderId="0" xfId="1" applyNumberFormat="1" applyFont="1" applyAlignment="1">
      <alignment horizontal="center" vertical="center" wrapText="1"/>
    </xf>
    <xf numFmtId="2" fontId="13" fillId="0" borderId="0" xfId="1" applyNumberFormat="1" applyFont="1" applyBorder="1" applyAlignment="1">
      <alignment horizontal="center" vertical="center" wrapText="1"/>
    </xf>
    <xf numFmtId="2" fontId="3" fillId="2" borderId="0" xfId="1" applyNumberFormat="1" applyFont="1" applyFill="1" applyBorder="1" applyAlignment="1">
      <alignment horizontal="center" vertical="center" wrapText="1"/>
    </xf>
    <xf numFmtId="2" fontId="11" fillId="6" borderId="0" xfId="1" applyNumberFormat="1" applyFont="1" applyFill="1" applyBorder="1" applyAlignment="1">
      <alignment horizontal="center" vertical="center" wrapText="1"/>
    </xf>
    <xf numFmtId="2" fontId="8" fillId="0" borderId="0" xfId="1" applyNumberFormat="1" applyFont="1" applyBorder="1" applyAlignment="1">
      <alignment horizontal="right" vertical="center" wrapText="1"/>
    </xf>
    <xf numFmtId="2" fontId="21" fillId="0" borderId="0" xfId="1" applyNumberFormat="1" applyFont="1" applyBorder="1" applyAlignment="1">
      <alignment horizontal="right" vertical="center" wrapText="1"/>
    </xf>
    <xf numFmtId="2" fontId="20" fillId="0" borderId="0" xfId="1" applyNumberFormat="1" applyFont="1" applyAlignment="1">
      <alignment horizontal="left" vertical="center" wrapText="1"/>
    </xf>
    <xf numFmtId="2" fontId="10" fillId="0" borderId="0" xfId="1" applyNumberFormat="1" applyFont="1" applyBorder="1" applyAlignment="1">
      <alignment horizontal="left" vertical="center" wrapText="1"/>
    </xf>
    <xf numFmtId="2" fontId="0" fillId="0" borderId="0" xfId="1" applyNumberFormat="1" applyFont="1" applyBorder="1" applyAlignment="1">
      <alignment horizontal="left" vertical="center" wrapText="1"/>
    </xf>
    <xf numFmtId="2" fontId="22" fillId="0" borderId="0" xfId="1" applyNumberFormat="1" applyFont="1" applyAlignment="1">
      <alignment horizontal="left" vertical="center" wrapText="1"/>
    </xf>
    <xf numFmtId="2" fontId="22" fillId="0" borderId="0" xfId="1" applyNumberFormat="1" applyFont="1" applyAlignment="1">
      <alignment vertical="center" wrapText="1"/>
    </xf>
    <xf numFmtId="2" fontId="12" fillId="0" borderId="0" xfId="1" applyNumberFormat="1" applyFont="1" applyAlignment="1">
      <alignment horizontal="center" vertical="center" shrinkToFit="1"/>
    </xf>
    <xf numFmtId="2" fontId="0" fillId="0" borderId="0" xfId="1" applyNumberFormat="1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44" fontId="3" fillId="0" borderId="0" xfId="1" applyFont="1" applyFill="1" applyBorder="1" applyAlignment="1">
      <alignment horizontal="center" vertical="center" wrapText="1"/>
    </xf>
    <xf numFmtId="44" fontId="11" fillId="0" borderId="0" xfId="1" applyFont="1" applyFill="1" applyBorder="1" applyAlignment="1">
      <alignment horizontal="center" vertical="center" wrapText="1"/>
    </xf>
    <xf numFmtId="44" fontId="21" fillId="0" borderId="0" xfId="1" applyFont="1" applyFill="1" applyBorder="1" applyAlignment="1">
      <alignment horizontal="right" vertical="center" wrapText="1"/>
    </xf>
    <xf numFmtId="44" fontId="10" fillId="0" borderId="0" xfId="1" applyFont="1" applyFill="1" applyBorder="1" applyAlignment="1">
      <alignment horizontal="left" vertical="center" wrapText="1"/>
    </xf>
    <xf numFmtId="44" fontId="0" fillId="0" borderId="0" xfId="1" applyFont="1" applyFill="1" applyBorder="1" applyAlignment="1">
      <alignment horizontal="left" vertical="center" wrapText="1"/>
    </xf>
    <xf numFmtId="2" fontId="5" fillId="0" borderId="0" xfId="1" applyNumberFormat="1" applyFont="1" applyFill="1" applyBorder="1" applyAlignment="1">
      <alignment horizontal="center" vertical="center" wrapText="1"/>
    </xf>
    <xf numFmtId="0" fontId="16" fillId="0" borderId="0" xfId="0" applyFont="1" applyAlignment="1">
      <alignment horizontal="left" vertical="top"/>
    </xf>
    <xf numFmtId="0" fontId="16" fillId="0" borderId="0" xfId="0" applyFont="1" applyAlignment="1">
      <alignment horizontal="center" vertical="top"/>
    </xf>
    <xf numFmtId="44" fontId="16" fillId="0" borderId="0" xfId="0" applyNumberFormat="1" applyFont="1" applyAlignment="1">
      <alignment horizontal="left" vertical="top"/>
    </xf>
    <xf numFmtId="0" fontId="16" fillId="0" borderId="0" xfId="0" applyFont="1" applyAlignment="1">
      <alignment horizontal="left" vertical="top" indent="1"/>
    </xf>
    <xf numFmtId="167" fontId="11" fillId="6" borderId="0" xfId="1" applyNumberFormat="1" applyFont="1" applyFill="1" applyBorder="1" applyAlignment="1">
      <alignment horizontal="center" vertical="center" wrapText="1"/>
    </xf>
    <xf numFmtId="0" fontId="16" fillId="3" borderId="0" xfId="0" applyFont="1" applyFill="1" applyAlignment="1">
      <alignment horizontal="left" vertical="center"/>
    </xf>
    <xf numFmtId="0" fontId="16" fillId="3" borderId="0" xfId="0" applyFont="1" applyFill="1" applyAlignment="1">
      <alignment horizontal="center" vertical="center"/>
    </xf>
    <xf numFmtId="0" fontId="11" fillId="6" borderId="0" xfId="0" applyFont="1" applyFill="1" applyAlignment="1">
      <alignment horizontal="center" vertical="center"/>
    </xf>
    <xf numFmtId="0" fontId="16" fillId="6" borderId="0" xfId="0" applyFont="1" applyFill="1" applyAlignment="1">
      <alignment horizontal="center" vertical="center"/>
    </xf>
    <xf numFmtId="0" fontId="13" fillId="0" borderId="13" xfId="0" applyFont="1" applyBorder="1" applyAlignment="1">
      <alignment vertical="center" wrapText="1"/>
    </xf>
    <xf numFmtId="2" fontId="5" fillId="0" borderId="17" xfId="0" applyNumberFormat="1" applyFont="1" applyBorder="1" applyAlignment="1">
      <alignment horizontal="center" vertical="center" wrapText="1"/>
    </xf>
    <xf numFmtId="10" fontId="11" fillId="5" borderId="15" xfId="0" applyNumberFormat="1" applyFont="1" applyFill="1" applyBorder="1" applyAlignment="1">
      <alignment horizontal="center" vertical="center"/>
    </xf>
    <xf numFmtId="0" fontId="30" fillId="3" borderId="0" xfId="0" applyFont="1" applyFill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22" fillId="0" borderId="0" xfId="0" applyFont="1" applyAlignment="1">
      <alignment wrapText="1"/>
    </xf>
    <xf numFmtId="0" fontId="1" fillId="0" borderId="0" xfId="0" applyFont="1" applyAlignment="1">
      <alignment vertical="center" wrapText="1"/>
    </xf>
    <xf numFmtId="2" fontId="21" fillId="0" borderId="0" xfId="1" applyNumberFormat="1" applyFont="1" applyFill="1" applyAlignment="1">
      <alignment horizontal="center" vertical="center"/>
    </xf>
    <xf numFmtId="167" fontId="16" fillId="6" borderId="0" xfId="0" applyNumberFormat="1" applyFont="1" applyFill="1" applyAlignment="1">
      <alignment horizontal="center" vertical="center"/>
    </xf>
    <xf numFmtId="44" fontId="11" fillId="6" borderId="33" xfId="1" applyFont="1" applyFill="1" applyBorder="1" applyAlignment="1">
      <alignment horizontal="center" vertical="center" wrapText="1"/>
    </xf>
    <xf numFmtId="44" fontId="11" fillId="6" borderId="38" xfId="1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vertical="center"/>
    </xf>
    <xf numFmtId="44" fontId="30" fillId="2" borderId="13" xfId="0" applyNumberFormat="1" applyFont="1" applyFill="1" applyBorder="1" applyAlignment="1">
      <alignment horizontal="left" vertical="center" wrapText="1"/>
    </xf>
    <xf numFmtId="44" fontId="30" fillId="2" borderId="18" xfId="0" applyNumberFormat="1" applyFont="1" applyFill="1" applyBorder="1" applyAlignment="1">
      <alignment horizontal="left" vertical="center" wrapText="1"/>
    </xf>
    <xf numFmtId="2" fontId="5" fillId="0" borderId="16" xfId="0" applyNumberFormat="1" applyFont="1" applyBorder="1" applyAlignment="1">
      <alignment horizontal="center" vertical="center" wrapText="1"/>
    </xf>
    <xf numFmtId="44" fontId="11" fillId="0" borderId="19" xfId="1" applyFont="1" applyBorder="1" applyAlignment="1">
      <alignment horizontal="center" vertical="center" wrapText="1"/>
    </xf>
    <xf numFmtId="44" fontId="16" fillId="0" borderId="20" xfId="1" applyFont="1" applyBorder="1" applyAlignment="1">
      <alignment horizontal="center" vertical="center" wrapText="1"/>
    </xf>
    <xf numFmtId="0" fontId="3" fillId="3" borderId="18" xfId="0" applyFont="1" applyFill="1" applyBorder="1" applyAlignment="1">
      <alignment vertical="center"/>
    </xf>
    <xf numFmtId="164" fontId="2" fillId="2" borderId="11" xfId="0" applyNumberFormat="1" applyFont="1" applyFill="1" applyBorder="1" applyAlignment="1">
      <alignment horizontal="center" vertical="center" shrinkToFit="1"/>
    </xf>
    <xf numFmtId="0" fontId="3" fillId="3" borderId="13" xfId="0" applyFont="1" applyFill="1" applyBorder="1" applyAlignment="1">
      <alignment vertical="center"/>
    </xf>
    <xf numFmtId="10" fontId="11" fillId="6" borderId="45" xfId="4" applyNumberFormat="1" applyFont="1" applyFill="1" applyBorder="1" applyAlignment="1">
      <alignment horizontal="center" vertical="center" wrapText="1"/>
    </xf>
    <xf numFmtId="44" fontId="11" fillId="0" borderId="38" xfId="1" applyFont="1" applyBorder="1" applyAlignment="1">
      <alignment horizontal="center" vertical="center" wrapText="1"/>
    </xf>
    <xf numFmtId="2" fontId="5" fillId="0" borderId="29" xfId="0" applyNumberFormat="1" applyFont="1" applyBorder="1" applyAlignment="1">
      <alignment horizontal="center" vertical="center" wrapText="1"/>
    </xf>
    <xf numFmtId="2" fontId="5" fillId="0" borderId="31" xfId="0" applyNumberFormat="1" applyFont="1" applyBorder="1" applyAlignment="1">
      <alignment horizontal="center" vertical="center" wrapText="1"/>
    </xf>
    <xf numFmtId="2" fontId="5" fillId="0" borderId="47" xfId="0" applyNumberFormat="1" applyFont="1" applyBorder="1" applyAlignment="1">
      <alignment horizontal="center" vertical="center" wrapText="1"/>
    </xf>
    <xf numFmtId="0" fontId="3" fillId="3" borderId="11" xfId="0" applyFont="1" applyFill="1" applyBorder="1" applyAlignment="1">
      <alignment vertical="center"/>
    </xf>
    <xf numFmtId="44" fontId="11" fillId="0" borderId="20" xfId="1" applyFont="1" applyBorder="1" applyAlignment="1">
      <alignment horizontal="center" vertical="center" wrapText="1"/>
    </xf>
    <xf numFmtId="44" fontId="5" fillId="6" borderId="33" xfId="1" quotePrefix="1" applyFont="1" applyFill="1" applyBorder="1" applyAlignment="1">
      <alignment horizontal="center" vertical="center" wrapText="1"/>
    </xf>
    <xf numFmtId="44" fontId="5" fillId="6" borderId="33" xfId="1" applyFont="1" applyFill="1" applyBorder="1" applyAlignment="1">
      <alignment horizontal="center" vertical="center" wrapText="1"/>
    </xf>
    <xf numFmtId="44" fontId="5" fillId="6" borderId="48" xfId="1" applyFont="1" applyFill="1" applyBorder="1" applyAlignment="1">
      <alignment horizontal="center" vertical="center" wrapText="1"/>
    </xf>
    <xf numFmtId="2" fontId="26" fillId="0" borderId="38" xfId="0" applyNumberFormat="1" applyFont="1" applyBorder="1" applyAlignment="1">
      <alignment horizontal="center" vertical="center" wrapText="1"/>
    </xf>
    <xf numFmtId="2" fontId="9" fillId="0" borderId="33" xfId="0" applyNumberFormat="1" applyFont="1" applyBorder="1" applyAlignment="1">
      <alignment horizontal="center" vertical="center" wrapText="1"/>
    </xf>
    <xf numFmtId="2" fontId="9" fillId="0" borderId="42" xfId="0" applyNumberFormat="1" applyFont="1" applyBorder="1" applyAlignment="1">
      <alignment horizontal="center" vertical="center" wrapText="1"/>
    </xf>
    <xf numFmtId="0" fontId="11" fillId="0" borderId="38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49" xfId="0" applyFont="1" applyBorder="1" applyAlignment="1">
      <alignment horizontal="center" vertical="center" wrapText="1"/>
    </xf>
    <xf numFmtId="0" fontId="5" fillId="0" borderId="35" xfId="0" applyFont="1" applyBorder="1" applyAlignment="1">
      <alignment horizontal="center" vertical="center" wrapText="1"/>
    </xf>
    <xf numFmtId="0" fontId="5" fillId="0" borderId="33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 wrapText="1"/>
    </xf>
    <xf numFmtId="0" fontId="5" fillId="0" borderId="38" xfId="0" applyFont="1" applyBorder="1" applyAlignment="1">
      <alignment vertical="center" wrapText="1"/>
    </xf>
    <xf numFmtId="0" fontId="5" fillId="0" borderId="33" xfId="0" applyFont="1" applyBorder="1" applyAlignment="1">
      <alignment vertical="center" wrapText="1"/>
    </xf>
    <xf numFmtId="0" fontId="5" fillId="0" borderId="34" xfId="0" applyFont="1" applyBorder="1" applyAlignment="1">
      <alignment vertical="center" wrapText="1"/>
    </xf>
    <xf numFmtId="0" fontId="5" fillId="0" borderId="33" xfId="0" applyFont="1" applyBorder="1" applyAlignment="1">
      <alignment horizontal="left" vertical="center" wrapText="1"/>
    </xf>
    <xf numFmtId="1" fontId="6" fillId="0" borderId="33" xfId="0" applyNumberFormat="1" applyFont="1" applyBorder="1" applyAlignment="1">
      <alignment horizontal="center" vertical="center" shrinkToFit="1"/>
    </xf>
    <xf numFmtId="168" fontId="6" fillId="0" borderId="42" xfId="0" applyNumberFormat="1" applyFont="1" applyBorder="1" applyAlignment="1">
      <alignment horizontal="center" vertical="center" shrinkToFit="1"/>
    </xf>
    <xf numFmtId="168" fontId="6" fillId="0" borderId="49" xfId="0" applyNumberFormat="1" applyFont="1" applyBorder="1" applyAlignment="1">
      <alignment horizontal="center" vertical="center" shrinkToFit="1"/>
    </xf>
    <xf numFmtId="168" fontId="6" fillId="0" borderId="33" xfId="0" applyNumberFormat="1" applyFont="1" applyBorder="1" applyAlignment="1">
      <alignment horizontal="center" vertical="center" shrinkToFit="1"/>
    </xf>
    <xf numFmtId="168" fontId="6" fillId="0" borderId="35" xfId="0" applyNumberFormat="1" applyFont="1" applyBorder="1" applyAlignment="1">
      <alignment horizontal="center" vertical="center" shrinkToFit="1"/>
    </xf>
    <xf numFmtId="1" fontId="6" fillId="0" borderId="49" xfId="0" applyNumberFormat="1" applyFont="1" applyBorder="1" applyAlignment="1">
      <alignment horizontal="center" vertical="center" shrinkToFit="1"/>
    </xf>
    <xf numFmtId="1" fontId="6" fillId="0" borderId="38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/>
    </xf>
    <xf numFmtId="1" fontId="6" fillId="0" borderId="48" xfId="0" applyNumberFormat="1" applyFont="1" applyBorder="1" applyAlignment="1">
      <alignment horizontal="center" vertical="center" shrinkToFit="1"/>
    </xf>
    <xf numFmtId="0" fontId="5" fillId="0" borderId="48" xfId="0" applyFont="1" applyBorder="1" applyAlignment="1">
      <alignment horizontal="center" vertical="center" wrapText="1"/>
    </xf>
    <xf numFmtId="164" fontId="5" fillId="0" borderId="33" xfId="0" applyNumberFormat="1" applyFont="1" applyBorder="1" applyAlignment="1">
      <alignment horizontal="center" vertical="center" wrapText="1"/>
    </xf>
    <xf numFmtId="164" fontId="17" fillId="0" borderId="33" xfId="0" applyNumberFormat="1" applyFont="1" applyBorder="1" applyAlignment="1">
      <alignment horizontal="center" vertical="center" shrinkToFit="1"/>
    </xf>
    <xf numFmtId="2" fontId="9" fillId="0" borderId="38" xfId="0" applyNumberFormat="1" applyFont="1" applyBorder="1" applyAlignment="1">
      <alignment horizontal="center" vertical="center" wrapText="1"/>
    </xf>
    <xf numFmtId="44" fontId="5" fillId="6" borderId="38" xfId="1" quotePrefix="1" applyFont="1" applyFill="1" applyBorder="1" applyAlignment="1">
      <alignment horizontal="center" vertical="center" wrapText="1"/>
    </xf>
    <xf numFmtId="0" fontId="5" fillId="0" borderId="48" xfId="0" applyFont="1" applyBorder="1" applyAlignment="1">
      <alignment vertical="center" wrapText="1"/>
    </xf>
    <xf numFmtId="44" fontId="3" fillId="2" borderId="18" xfId="1" applyFont="1" applyFill="1" applyBorder="1" applyAlignment="1">
      <alignment horizontal="center" vertical="center" wrapText="1"/>
    </xf>
    <xf numFmtId="2" fontId="9" fillId="0" borderId="48" xfId="0" applyNumberFormat="1" applyFont="1" applyBorder="1" applyAlignment="1">
      <alignment horizontal="center" vertical="center" wrapText="1"/>
    </xf>
    <xf numFmtId="44" fontId="5" fillId="6" borderId="48" xfId="1" quotePrefix="1" applyFont="1" applyFill="1" applyBorder="1" applyAlignment="1">
      <alignment horizontal="center" vertical="center" wrapText="1"/>
    </xf>
    <xf numFmtId="44" fontId="11" fillId="0" borderId="37" xfId="1" applyFont="1" applyBorder="1" applyAlignment="1">
      <alignment horizontal="center" vertical="center" wrapText="1"/>
    </xf>
    <xf numFmtId="44" fontId="11" fillId="0" borderId="51" xfId="1" applyFont="1" applyBorder="1" applyAlignment="1">
      <alignment horizontal="center" vertical="center" wrapText="1"/>
    </xf>
    <xf numFmtId="44" fontId="11" fillId="0" borderId="34" xfId="1" applyFont="1" applyBorder="1" applyAlignment="1">
      <alignment horizontal="center" vertical="center" wrapText="1"/>
    </xf>
    <xf numFmtId="10" fontId="11" fillId="6" borderId="21" xfId="4" applyNumberFormat="1" applyFont="1" applyFill="1" applyBorder="1" applyAlignment="1">
      <alignment horizontal="center" vertical="center" wrapText="1"/>
    </xf>
    <xf numFmtId="44" fontId="16" fillId="0" borderId="51" xfId="1" applyFont="1" applyBorder="1" applyAlignment="1">
      <alignment horizontal="center" vertical="center" wrapText="1"/>
    </xf>
    <xf numFmtId="44" fontId="11" fillId="6" borderId="34" xfId="1" applyFont="1" applyFill="1" applyBorder="1" applyAlignment="1">
      <alignment horizontal="center" vertical="center" wrapText="1"/>
    </xf>
    <xf numFmtId="2" fontId="9" fillId="0" borderId="35" xfId="0" applyNumberFormat="1" applyFont="1" applyBorder="1" applyAlignment="1">
      <alignment horizontal="center" vertical="center" wrapText="1"/>
    </xf>
    <xf numFmtId="44" fontId="5" fillId="6" borderId="38" xfId="1" applyFont="1" applyFill="1" applyBorder="1" applyAlignment="1">
      <alignment horizontal="center" vertical="center" wrapText="1"/>
    </xf>
    <xf numFmtId="164" fontId="5" fillId="0" borderId="48" xfId="0" applyNumberFormat="1" applyFont="1" applyBorder="1" applyAlignment="1">
      <alignment horizontal="center" vertical="center" wrapText="1"/>
    </xf>
    <xf numFmtId="164" fontId="17" fillId="0" borderId="38" xfId="0" applyNumberFormat="1" applyFont="1" applyBorder="1" applyAlignment="1">
      <alignment horizontal="center" vertical="center" shrinkToFit="1"/>
    </xf>
    <xf numFmtId="44" fontId="11" fillId="0" borderId="39" xfId="1" applyFont="1" applyFill="1" applyBorder="1" applyAlignment="1">
      <alignment horizontal="center" vertical="center" wrapText="1"/>
    </xf>
    <xf numFmtId="44" fontId="11" fillId="6" borderId="18" xfId="1" applyFont="1" applyFill="1" applyBorder="1" applyAlignment="1">
      <alignment horizontal="center" vertical="center" wrapText="1"/>
    </xf>
    <xf numFmtId="168" fontId="6" fillId="0" borderId="48" xfId="0" applyNumberFormat="1" applyFont="1" applyBorder="1" applyAlignment="1">
      <alignment horizontal="center" vertical="center" shrinkToFit="1"/>
    </xf>
    <xf numFmtId="2" fontId="9" fillId="0" borderId="49" xfId="0" applyNumberFormat="1" applyFont="1" applyBorder="1" applyAlignment="1">
      <alignment horizontal="center" vertical="center" wrapText="1"/>
    </xf>
    <xf numFmtId="164" fontId="17" fillId="0" borderId="48" xfId="0" applyNumberFormat="1" applyFont="1" applyBorder="1" applyAlignment="1">
      <alignment horizontal="center" vertical="center" shrinkToFit="1"/>
    </xf>
    <xf numFmtId="164" fontId="17" fillId="0" borderId="34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center" vertical="center" wrapText="1"/>
    </xf>
    <xf numFmtId="1" fontId="6" fillId="0" borderId="34" xfId="0" applyNumberFormat="1" applyFont="1" applyBorder="1" applyAlignment="1">
      <alignment horizontal="center" vertical="center" shrinkToFit="1"/>
    </xf>
    <xf numFmtId="2" fontId="9" fillId="0" borderId="34" xfId="0" applyNumberFormat="1" applyFont="1" applyBorder="1" applyAlignment="1">
      <alignment horizontal="center" vertical="center" wrapText="1"/>
    </xf>
    <xf numFmtId="44" fontId="5" fillId="6" borderId="34" xfId="1" applyFont="1" applyFill="1" applyBorder="1" applyAlignment="1">
      <alignment horizontal="center" vertical="center" wrapText="1"/>
    </xf>
    <xf numFmtId="164" fontId="5" fillId="0" borderId="38" xfId="0" applyNumberFormat="1" applyFont="1" applyBorder="1" applyAlignment="1">
      <alignment horizontal="center" vertical="center" wrapText="1"/>
    </xf>
    <xf numFmtId="49" fontId="16" fillId="0" borderId="38" xfId="0" applyNumberFormat="1" applyFont="1" applyBorder="1" applyAlignment="1" applyProtection="1">
      <alignment horizontal="center" vertical="center"/>
      <protection locked="0"/>
    </xf>
    <xf numFmtId="44" fontId="3" fillId="3" borderId="11" xfId="0" applyNumberFormat="1" applyFont="1" applyFill="1" applyBorder="1" applyAlignment="1">
      <alignment vertical="center"/>
    </xf>
    <xf numFmtId="44" fontId="11" fillId="6" borderId="40" xfId="1" applyFont="1" applyFill="1" applyBorder="1" applyAlignment="1">
      <alignment horizontal="center" vertical="center" wrapText="1"/>
    </xf>
    <xf numFmtId="0" fontId="5" fillId="0" borderId="38" xfId="0" applyFont="1" applyBorder="1" applyAlignment="1">
      <alignment horizontal="center" vertical="center"/>
    </xf>
    <xf numFmtId="10" fontId="11" fillId="3" borderId="13" xfId="4" applyNumberFormat="1" applyFont="1" applyFill="1" applyBorder="1" applyAlignment="1">
      <alignment horizontal="center" vertical="center" wrapText="1"/>
    </xf>
    <xf numFmtId="44" fontId="5" fillId="3" borderId="12" xfId="1" applyFont="1" applyFill="1" applyBorder="1" applyAlignment="1">
      <alignment horizontal="center" vertical="center" wrapText="1"/>
    </xf>
    <xf numFmtId="44" fontId="11" fillId="3" borderId="12" xfId="1" applyFont="1" applyFill="1" applyBorder="1" applyAlignment="1">
      <alignment horizontal="center" vertical="center" wrapText="1"/>
    </xf>
    <xf numFmtId="0" fontId="15" fillId="2" borderId="13" xfId="0" applyFont="1" applyFill="1" applyBorder="1" applyAlignment="1">
      <alignment horizontal="center" vertical="center" wrapText="1"/>
    </xf>
    <xf numFmtId="44" fontId="3" fillId="3" borderId="18" xfId="0" applyNumberFormat="1" applyFont="1" applyFill="1" applyBorder="1" applyAlignment="1">
      <alignment vertical="center"/>
    </xf>
    <xf numFmtId="0" fontId="5" fillId="0" borderId="40" xfId="0" applyFont="1" applyBorder="1" applyAlignment="1">
      <alignment horizontal="center" vertical="center" wrapText="1"/>
    </xf>
    <xf numFmtId="44" fontId="0" fillId="0" borderId="0" xfId="0" applyNumberFormat="1" applyAlignment="1">
      <alignment horizontal="center" vertical="center"/>
    </xf>
    <xf numFmtId="0" fontId="5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3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1" fontId="6" fillId="0" borderId="55" xfId="0" applyNumberFormat="1" applyFont="1" applyBorder="1" applyAlignment="1">
      <alignment horizontal="center" vertical="center" shrinkToFit="1"/>
    </xf>
    <xf numFmtId="1" fontId="6" fillId="0" borderId="42" xfId="0" applyNumberFormat="1" applyFont="1" applyBorder="1" applyAlignment="1">
      <alignment horizontal="center" vertical="center" shrinkToFit="1"/>
    </xf>
    <xf numFmtId="1" fontId="6" fillId="0" borderId="35" xfId="0" applyNumberFormat="1" applyFont="1" applyBorder="1" applyAlignment="1">
      <alignment horizontal="center" vertical="center" shrinkToFit="1"/>
    </xf>
    <xf numFmtId="1" fontId="5" fillId="0" borderId="42" xfId="0" applyNumberFormat="1" applyFont="1" applyBorder="1" applyAlignment="1">
      <alignment horizontal="center" vertical="center" shrinkToFit="1"/>
    </xf>
    <xf numFmtId="1" fontId="5" fillId="0" borderId="56" xfId="0" applyNumberFormat="1" applyFont="1" applyBorder="1" applyAlignment="1">
      <alignment horizontal="center" vertical="center" shrinkToFit="1"/>
    </xf>
    <xf numFmtId="0" fontId="5" fillId="0" borderId="2" xfId="0" applyFont="1" applyBorder="1" applyAlignment="1">
      <alignment horizontal="left" vertical="center" wrapText="1"/>
    </xf>
    <xf numFmtId="0" fontId="5" fillId="0" borderId="5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52" xfId="0" applyFont="1" applyBorder="1" applyAlignment="1">
      <alignment horizontal="left" vertical="center" wrapText="1"/>
    </xf>
    <xf numFmtId="0" fontId="5" fillId="0" borderId="52" xfId="0" applyFont="1" applyBorder="1" applyAlignment="1">
      <alignment vertical="center" wrapText="1"/>
    </xf>
    <xf numFmtId="0" fontId="5" fillId="0" borderId="55" xfId="0" applyFont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2" fontId="9" fillId="0" borderId="3" xfId="0" applyNumberFormat="1" applyFont="1" applyBorder="1" applyAlignment="1">
      <alignment horizontal="center" vertical="center" wrapText="1"/>
    </xf>
    <xf numFmtId="2" fontId="9" fillId="0" borderId="54" xfId="0" applyNumberFormat="1" applyFont="1" applyBorder="1" applyAlignment="1">
      <alignment horizontal="center" vertical="center" wrapText="1"/>
    </xf>
    <xf numFmtId="2" fontId="9" fillId="0" borderId="8" xfId="0" applyNumberFormat="1" applyFont="1" applyBorder="1" applyAlignment="1">
      <alignment horizontal="center" vertical="center" wrapText="1"/>
    </xf>
    <xf numFmtId="0" fontId="3" fillId="3" borderId="57" xfId="0" applyFont="1" applyFill="1" applyBorder="1" applyAlignment="1">
      <alignment vertical="center"/>
    </xf>
    <xf numFmtId="1" fontId="6" fillId="0" borderId="56" xfId="0" applyNumberFormat="1" applyFont="1" applyBorder="1" applyAlignment="1">
      <alignment horizontal="center" vertical="center" shrinkToFit="1"/>
    </xf>
    <xf numFmtId="0" fontId="5" fillId="0" borderId="0" xfId="0" applyFont="1" applyAlignment="1">
      <alignment wrapText="1"/>
    </xf>
    <xf numFmtId="1" fontId="5" fillId="0" borderId="49" xfId="0" applyNumberFormat="1" applyFont="1" applyBorder="1" applyAlignment="1">
      <alignment horizontal="center" vertical="center" shrinkToFit="1"/>
    </xf>
    <xf numFmtId="0" fontId="5" fillId="0" borderId="58" xfId="0" applyFont="1" applyBorder="1" applyAlignment="1">
      <alignment vertical="center" wrapText="1"/>
    </xf>
    <xf numFmtId="164" fontId="2" fillId="2" borderId="29" xfId="0" applyNumberFormat="1" applyFont="1" applyFill="1" applyBorder="1" applyAlignment="1">
      <alignment horizontal="center" vertical="center" shrinkToFit="1"/>
    </xf>
    <xf numFmtId="0" fontId="15" fillId="2" borderId="26" xfId="0" applyFont="1" applyFill="1" applyBorder="1" applyAlignment="1">
      <alignment horizontal="center" vertical="center" wrapText="1"/>
    </xf>
    <xf numFmtId="0" fontId="3" fillId="3" borderId="29" xfId="0" applyFont="1" applyFill="1" applyBorder="1" applyAlignment="1">
      <alignment vertical="center"/>
    </xf>
    <xf numFmtId="0" fontId="3" fillId="3" borderId="24" xfId="0" applyFont="1" applyFill="1" applyBorder="1" applyAlignment="1">
      <alignment vertical="center"/>
    </xf>
    <xf numFmtId="0" fontId="3" fillId="3" borderId="26" xfId="0" applyFont="1" applyFill="1" applyBorder="1" applyAlignment="1">
      <alignment vertical="center"/>
    </xf>
    <xf numFmtId="164" fontId="16" fillId="0" borderId="33" xfId="0" applyNumberFormat="1" applyFont="1" applyBorder="1" applyAlignment="1">
      <alignment horizontal="center" vertical="center" shrinkToFit="1"/>
    </xf>
    <xf numFmtId="0" fontId="16" fillId="0" borderId="33" xfId="0" applyFont="1" applyBorder="1" applyAlignment="1">
      <alignment horizontal="center" vertical="center" wrapText="1"/>
    </xf>
    <xf numFmtId="0" fontId="11" fillId="0" borderId="33" xfId="0" applyFont="1" applyBorder="1" applyAlignment="1">
      <alignment horizontal="center" vertical="center"/>
    </xf>
    <xf numFmtId="2" fontId="26" fillId="0" borderId="33" xfId="0" applyNumberFormat="1" applyFont="1" applyBorder="1" applyAlignment="1">
      <alignment horizontal="center" vertical="center" wrapText="1"/>
    </xf>
    <xf numFmtId="44" fontId="11" fillId="0" borderId="30" xfId="1" applyFont="1" applyBorder="1" applyAlignment="1">
      <alignment horizontal="center" vertical="center" wrapText="1"/>
    </xf>
    <xf numFmtId="44" fontId="11" fillId="0" borderId="31" xfId="1" applyFont="1" applyBorder="1" applyAlignment="1">
      <alignment horizontal="center" vertical="center" wrapText="1"/>
    </xf>
    <xf numFmtId="44" fontId="11" fillId="0" borderId="14" xfId="1" applyFont="1" applyBorder="1" applyAlignment="1">
      <alignment horizontal="center" vertical="center" wrapText="1"/>
    </xf>
    <xf numFmtId="44" fontId="11" fillId="0" borderId="15" xfId="1" applyFont="1" applyBorder="1" applyAlignment="1">
      <alignment horizontal="center" vertical="center" wrapText="1"/>
    </xf>
    <xf numFmtId="44" fontId="11" fillId="0" borderId="40" xfId="1" applyFont="1" applyBorder="1" applyAlignment="1">
      <alignment horizontal="center" vertical="center" wrapText="1"/>
    </xf>
    <xf numFmtId="44" fontId="11" fillId="0" borderId="33" xfId="1" applyFont="1" applyBorder="1" applyAlignment="1">
      <alignment horizontal="center" vertical="center" wrapText="1"/>
    </xf>
    <xf numFmtId="10" fontId="11" fillId="6" borderId="33" xfId="4" applyNumberFormat="1" applyFont="1" applyFill="1" applyBorder="1" applyAlignment="1">
      <alignment horizontal="center" vertical="center" wrapText="1"/>
    </xf>
    <xf numFmtId="44" fontId="16" fillId="0" borderId="31" xfId="1" applyFont="1" applyBorder="1" applyAlignment="1">
      <alignment horizontal="center" vertical="center" wrapText="1"/>
    </xf>
    <xf numFmtId="44" fontId="16" fillId="0" borderId="15" xfId="1" applyFont="1" applyBorder="1" applyAlignment="1">
      <alignment horizontal="center" vertical="center" wrapText="1"/>
    </xf>
    <xf numFmtId="164" fontId="16" fillId="0" borderId="38" xfId="0" applyNumberFormat="1" applyFont="1" applyBorder="1" applyAlignment="1">
      <alignment horizontal="center" vertical="center" shrinkToFit="1"/>
    </xf>
    <xf numFmtId="0" fontId="16" fillId="0" borderId="38" xfId="0" applyFont="1" applyBorder="1" applyAlignment="1">
      <alignment horizontal="center" vertical="center" wrapText="1"/>
    </xf>
    <xf numFmtId="0" fontId="5" fillId="0" borderId="36" xfId="0" applyFont="1" applyBorder="1" applyAlignment="1">
      <alignment vertical="center" wrapText="1"/>
    </xf>
    <xf numFmtId="10" fontId="11" fillId="6" borderId="38" xfId="4" applyNumberFormat="1" applyFont="1" applyFill="1" applyBorder="1" applyAlignment="1">
      <alignment horizontal="center" vertical="center" wrapText="1"/>
    </xf>
    <xf numFmtId="0" fontId="5" fillId="0" borderId="40" xfId="0" applyFont="1" applyBorder="1" applyAlignment="1">
      <alignment horizontal="left" vertical="center" wrapText="1"/>
    </xf>
    <xf numFmtId="168" fontId="6" fillId="0" borderId="40" xfId="0" applyNumberFormat="1" applyFont="1" applyBorder="1" applyAlignment="1">
      <alignment horizontal="center" vertical="center" shrinkToFit="1"/>
    </xf>
    <xf numFmtId="0" fontId="5" fillId="0" borderId="34" xfId="0" applyFont="1" applyBorder="1" applyAlignment="1">
      <alignment horizontal="left" vertical="center" wrapText="1"/>
    </xf>
    <xf numFmtId="2" fontId="9" fillId="0" borderId="40" xfId="0" applyNumberFormat="1" applyFont="1" applyBorder="1" applyAlignment="1">
      <alignment horizontal="center" vertical="center" wrapText="1"/>
    </xf>
    <xf numFmtId="44" fontId="5" fillId="6" borderId="40" xfId="1" applyFont="1" applyFill="1" applyBorder="1" applyAlignment="1">
      <alignment horizontal="center" vertical="center" wrapText="1"/>
    </xf>
    <xf numFmtId="10" fontId="11" fillId="6" borderId="43" xfId="4" applyNumberFormat="1" applyFont="1" applyFill="1" applyBorder="1" applyAlignment="1">
      <alignment horizontal="center" vertical="center" wrapText="1"/>
    </xf>
    <xf numFmtId="44" fontId="27" fillId="3" borderId="18" xfId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27" fillId="5" borderId="9" xfId="0" applyFont="1" applyFill="1" applyBorder="1" applyAlignment="1">
      <alignment horizontal="center" vertical="center"/>
    </xf>
    <xf numFmtId="10" fontId="11" fillId="5" borderId="9" xfId="0" applyNumberFormat="1" applyFont="1" applyFill="1" applyBorder="1" applyAlignment="1">
      <alignment horizontal="center" vertical="center"/>
    </xf>
    <xf numFmtId="9" fontId="11" fillId="5" borderId="9" xfId="0" applyNumberFormat="1" applyFont="1" applyFill="1" applyBorder="1" applyAlignment="1">
      <alignment horizontal="center" vertical="center"/>
    </xf>
    <xf numFmtId="10" fontId="11" fillId="5" borderId="6" xfId="0" applyNumberFormat="1" applyFont="1" applyFill="1" applyBorder="1" applyAlignment="1">
      <alignment horizontal="center" vertical="center"/>
    </xf>
    <xf numFmtId="9" fontId="11" fillId="0" borderId="6" xfId="0" applyNumberFormat="1" applyFont="1" applyBorder="1" applyAlignment="1">
      <alignment horizontal="center" vertical="center"/>
    </xf>
    <xf numFmtId="0" fontId="27" fillId="0" borderId="28" xfId="0" applyFont="1" applyBorder="1" applyAlignment="1">
      <alignment horizontal="center" vertical="center"/>
    </xf>
    <xf numFmtId="0" fontId="11" fillId="0" borderId="7" xfId="0" applyFont="1" applyBorder="1" applyAlignment="1">
      <alignment horizontal="left" vertical="center" wrapText="1"/>
    </xf>
    <xf numFmtId="44" fontId="11" fillId="0" borderId="7" xfId="1" applyFont="1" applyFill="1" applyBorder="1" applyAlignment="1">
      <alignment horizontal="center" vertical="center"/>
    </xf>
    <xf numFmtId="2" fontId="11" fillId="0" borderId="7" xfId="0" applyNumberFormat="1" applyFont="1" applyBorder="1" applyAlignment="1">
      <alignment horizontal="center" vertical="center"/>
    </xf>
    <xf numFmtId="9" fontId="11" fillId="5" borderId="7" xfId="0" applyNumberFormat="1" applyFont="1" applyFill="1" applyBorder="1" applyAlignment="1">
      <alignment horizontal="center" vertical="center"/>
    </xf>
    <xf numFmtId="9" fontId="11" fillId="5" borderId="61" xfId="0" applyNumberFormat="1" applyFont="1" applyFill="1" applyBorder="1" applyAlignment="1">
      <alignment horizontal="center" vertical="center"/>
    </xf>
    <xf numFmtId="9" fontId="11" fillId="0" borderId="7" xfId="0" applyNumberFormat="1" applyFont="1" applyBorder="1" applyAlignment="1">
      <alignment horizontal="center" vertical="center"/>
    </xf>
    <xf numFmtId="9" fontId="11" fillId="5" borderId="50" xfId="0" applyNumberFormat="1" applyFont="1" applyFill="1" applyBorder="1" applyAlignment="1">
      <alignment horizontal="center" vertical="center"/>
    </xf>
    <xf numFmtId="0" fontId="11" fillId="0" borderId="62" xfId="0" applyFont="1" applyBorder="1" applyAlignment="1">
      <alignment horizontal="center" vertical="center"/>
    </xf>
    <xf numFmtId="0" fontId="26" fillId="0" borderId="63" xfId="0" applyFont="1" applyBorder="1" applyAlignment="1">
      <alignment vertical="center"/>
    </xf>
    <xf numFmtId="43" fontId="26" fillId="0" borderId="63" xfId="3" applyFont="1" applyFill="1" applyBorder="1" applyAlignment="1">
      <alignment vertical="center"/>
    </xf>
    <xf numFmtId="166" fontId="11" fillId="0" borderId="63" xfId="3" applyNumberFormat="1" applyFont="1" applyFill="1" applyBorder="1" applyAlignment="1">
      <alignment horizontal="center" vertical="center"/>
    </xf>
    <xf numFmtId="44" fontId="26" fillId="4" borderId="63" xfId="1" applyFont="1" applyFill="1" applyBorder="1" applyAlignment="1">
      <alignment vertical="center"/>
    </xf>
    <xf numFmtId="43" fontId="11" fillId="0" borderId="63" xfId="3" applyFont="1" applyFill="1" applyBorder="1" applyAlignment="1">
      <alignment horizontal="center" vertical="center"/>
    </xf>
    <xf numFmtId="43" fontId="11" fillId="0" borderId="64" xfId="3" applyFont="1" applyFill="1" applyBorder="1" applyAlignment="1">
      <alignment horizontal="center" vertical="center"/>
    </xf>
    <xf numFmtId="43" fontId="11" fillId="0" borderId="65" xfId="3" applyFont="1" applyFill="1" applyBorder="1" applyAlignment="1">
      <alignment horizontal="center" vertical="center"/>
    </xf>
    <xf numFmtId="10" fontId="7" fillId="0" borderId="0" xfId="0" applyNumberFormat="1" applyFont="1" applyAlignment="1">
      <alignment vertical="center"/>
    </xf>
    <xf numFmtId="43" fontId="7" fillId="0" borderId="0" xfId="0" applyNumberFormat="1" applyFont="1" applyAlignment="1">
      <alignment vertical="center"/>
    </xf>
    <xf numFmtId="0" fontId="7" fillId="0" borderId="0" xfId="0" applyFont="1" applyAlignment="1">
      <alignment vertical="top"/>
    </xf>
    <xf numFmtId="0" fontId="0" fillId="0" borderId="0" xfId="0" applyAlignment="1">
      <alignment vertical="top"/>
    </xf>
    <xf numFmtId="0" fontId="8" fillId="0" borderId="0" xfId="0" applyFont="1" applyAlignment="1">
      <alignment vertical="top"/>
    </xf>
    <xf numFmtId="0" fontId="3" fillId="3" borderId="23" xfId="0" applyFont="1" applyFill="1" applyBorder="1" applyAlignment="1">
      <alignment vertical="center"/>
    </xf>
    <xf numFmtId="44" fontId="3" fillId="2" borderId="32" xfId="1" applyFont="1" applyFill="1" applyBorder="1" applyAlignment="1">
      <alignment horizontal="center" vertical="center" wrapText="1"/>
    </xf>
    <xf numFmtId="44" fontId="8" fillId="0" borderId="46" xfId="1" applyFont="1" applyBorder="1" applyAlignment="1">
      <alignment horizontal="right" vertical="center" wrapText="1"/>
    </xf>
    <xf numFmtId="164" fontId="17" fillId="0" borderId="18" xfId="0" applyNumberFormat="1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1" fontId="6" fillId="0" borderId="18" xfId="0" applyNumberFormat="1" applyFont="1" applyBorder="1" applyAlignment="1">
      <alignment horizontal="center" vertical="center" shrinkToFit="1"/>
    </xf>
    <xf numFmtId="2" fontId="9" fillId="0" borderId="18" xfId="0" applyNumberFormat="1" applyFont="1" applyBorder="1" applyAlignment="1">
      <alignment horizontal="center" vertical="center" wrapText="1"/>
    </xf>
    <xf numFmtId="44" fontId="5" fillId="6" borderId="18" xfId="1" applyFont="1" applyFill="1" applyBorder="1" applyAlignment="1">
      <alignment horizontal="center" vertical="center" wrapText="1"/>
    </xf>
    <xf numFmtId="44" fontId="11" fillId="0" borderId="62" xfId="1" applyFont="1" applyBorder="1" applyAlignment="1">
      <alignment horizontal="center" vertical="center" wrapText="1"/>
    </xf>
    <xf numFmtId="44" fontId="11" fillId="0" borderId="65" xfId="1" applyFont="1" applyBorder="1" applyAlignment="1">
      <alignment horizontal="center" vertical="center" wrapText="1"/>
    </xf>
    <xf numFmtId="44" fontId="11" fillId="0" borderId="18" xfId="1" applyFont="1" applyBorder="1" applyAlignment="1">
      <alignment horizontal="center" vertical="center" wrapText="1"/>
    </xf>
    <xf numFmtId="44" fontId="16" fillId="0" borderId="65" xfId="1" applyFont="1" applyBorder="1" applyAlignment="1">
      <alignment horizontal="center" vertical="center" wrapText="1"/>
    </xf>
    <xf numFmtId="0" fontId="32" fillId="0" borderId="0" xfId="0" applyFont="1" applyAlignment="1">
      <alignment horizontal="justify" vertical="center"/>
    </xf>
    <xf numFmtId="0" fontId="16" fillId="0" borderId="18" xfId="0" applyFont="1" applyBorder="1" applyAlignment="1">
      <alignment horizontal="justify" vertical="center"/>
    </xf>
    <xf numFmtId="10" fontId="11" fillId="6" borderId="13" xfId="4" applyNumberFormat="1" applyFont="1" applyFill="1" applyBorder="1" applyAlignment="1">
      <alignment horizontal="center" vertical="center" wrapText="1"/>
    </xf>
    <xf numFmtId="0" fontId="20" fillId="0" borderId="0" xfId="2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5" fillId="6" borderId="43" xfId="0" applyFont="1" applyFill="1" applyBorder="1" applyAlignment="1">
      <alignment horizontal="center" vertical="center" wrapText="1"/>
    </xf>
    <xf numFmtId="0" fontId="5" fillId="6" borderId="44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22" fillId="0" borderId="0" xfId="0" applyFont="1" applyAlignment="1">
      <alignment horizontal="center" wrapText="1"/>
    </xf>
    <xf numFmtId="0" fontId="5" fillId="6" borderId="21" xfId="0" applyFont="1" applyFill="1" applyBorder="1" applyAlignment="1">
      <alignment horizontal="center" vertical="center" wrapText="1"/>
    </xf>
    <xf numFmtId="0" fontId="5" fillId="6" borderId="27" xfId="0" applyFont="1" applyFill="1" applyBorder="1" applyAlignment="1">
      <alignment horizontal="center" vertical="center" wrapText="1"/>
    </xf>
    <xf numFmtId="164" fontId="1" fillId="0" borderId="59" xfId="0" applyNumberFormat="1" applyFont="1" applyBorder="1" applyAlignment="1">
      <alignment horizontal="right" vertical="center" wrapText="1"/>
    </xf>
    <xf numFmtId="164" fontId="1" fillId="0" borderId="25" xfId="0" applyNumberFormat="1" applyFont="1" applyBorder="1" applyAlignment="1">
      <alignment horizontal="right" vertical="center" wrapText="1"/>
    </xf>
    <xf numFmtId="0" fontId="20" fillId="0" borderId="0" xfId="2" applyFont="1" applyAlignment="1">
      <alignment horizontal="left" vertical="center" wrapText="1"/>
    </xf>
    <xf numFmtId="0" fontId="5" fillId="0" borderId="40" xfId="0" applyFont="1" applyBorder="1" applyAlignment="1">
      <alignment horizontal="center" vertical="center" wrapText="1"/>
    </xf>
    <xf numFmtId="0" fontId="5" fillId="0" borderId="41" xfId="0" applyFont="1" applyBorder="1" applyAlignment="1">
      <alignment horizontal="center" vertical="center" wrapText="1"/>
    </xf>
    <xf numFmtId="2" fontId="5" fillId="0" borderId="40" xfId="0" applyNumberFormat="1" applyFont="1" applyBorder="1" applyAlignment="1">
      <alignment horizontal="center" vertical="center" wrapText="1"/>
    </xf>
    <xf numFmtId="2" fontId="5" fillId="0" borderId="41" xfId="0" applyNumberFormat="1" applyFont="1" applyBorder="1" applyAlignment="1">
      <alignment horizontal="center" vertical="center" wrapText="1"/>
    </xf>
    <xf numFmtId="2" fontId="5" fillId="6" borderId="40" xfId="0" applyNumberFormat="1" applyFont="1" applyFill="1" applyBorder="1" applyAlignment="1">
      <alignment horizontal="center" vertical="center" wrapText="1"/>
    </xf>
    <xf numFmtId="2" fontId="5" fillId="6" borderId="4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164" fontId="5" fillId="0" borderId="32" xfId="0" applyNumberFormat="1" applyFont="1" applyBorder="1" applyAlignment="1">
      <alignment horizontal="center" vertical="center" wrapText="1"/>
    </xf>
    <xf numFmtId="164" fontId="5" fillId="0" borderId="46" xfId="0" applyNumberFormat="1" applyFont="1" applyBorder="1" applyAlignment="1">
      <alignment horizontal="center" vertical="center" wrapText="1"/>
    </xf>
    <xf numFmtId="0" fontId="5" fillId="0" borderId="32" xfId="0" applyFont="1" applyBorder="1" applyAlignment="1">
      <alignment horizontal="center" vertical="center" wrapText="1"/>
    </xf>
    <xf numFmtId="0" fontId="5" fillId="0" borderId="46" xfId="0" applyFont="1" applyBorder="1" applyAlignment="1">
      <alignment horizontal="center" vertical="center" wrapText="1"/>
    </xf>
    <xf numFmtId="0" fontId="13" fillId="0" borderId="11" xfId="0" applyFont="1" applyBorder="1" applyAlignment="1">
      <alignment horizontal="center" vertical="center" wrapText="1"/>
    </xf>
    <xf numFmtId="0" fontId="13" fillId="0" borderId="12" xfId="0" applyFont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2" fontId="5" fillId="0" borderId="32" xfId="0" applyNumberFormat="1" applyFont="1" applyBorder="1" applyAlignment="1">
      <alignment horizontal="center" vertical="center" wrapText="1"/>
    </xf>
    <xf numFmtId="2" fontId="5" fillId="0" borderId="46" xfId="0" applyNumberFormat="1" applyFont="1" applyBorder="1" applyAlignment="1">
      <alignment horizontal="center" vertical="center" wrapText="1"/>
    </xf>
    <xf numFmtId="44" fontId="5" fillId="0" borderId="30" xfId="1" applyFont="1" applyBorder="1" applyAlignment="1">
      <alignment horizontal="center" vertical="center" wrapText="1"/>
    </xf>
    <xf numFmtId="44" fontId="5" fillId="0" borderId="31" xfId="1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0" fillId="0" borderId="0" xfId="2" applyFont="1" applyAlignment="1">
      <alignment horizontal="left" vertical="justify"/>
    </xf>
    <xf numFmtId="0" fontId="22" fillId="0" borderId="0" xfId="0" applyFont="1" applyAlignment="1">
      <alignment horizontal="left" vertical="center"/>
    </xf>
    <xf numFmtId="0" fontId="26" fillId="4" borderId="10" xfId="0" applyFont="1" applyFill="1" applyBorder="1" applyAlignment="1">
      <alignment horizontal="center" vertical="center"/>
    </xf>
    <xf numFmtId="0" fontId="26" fillId="4" borderId="60" xfId="0" applyFont="1" applyFill="1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top"/>
    </xf>
    <xf numFmtId="0" fontId="26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/>
    </xf>
    <xf numFmtId="0" fontId="25" fillId="0" borderId="12" xfId="0" applyFont="1" applyBorder="1" applyAlignment="1">
      <alignment horizontal="center"/>
    </xf>
    <xf numFmtId="0" fontId="25" fillId="0" borderId="13" xfId="0" applyFont="1" applyBorder="1" applyAlignment="1">
      <alignment horizontal="center"/>
    </xf>
    <xf numFmtId="0" fontId="26" fillId="4" borderId="20" xfId="0" applyFont="1" applyFill="1" applyBorder="1" applyAlignment="1">
      <alignment horizontal="center" vertical="center"/>
    </xf>
    <xf numFmtId="0" fontId="20" fillId="0" borderId="0" xfId="2" applyFont="1" applyAlignment="1">
      <alignment vertical="center"/>
    </xf>
  </cellXfs>
  <cellStyles count="5">
    <cellStyle name="Moeda" xfId="1" builtinId="4"/>
    <cellStyle name="Normal" xfId="0" builtinId="0"/>
    <cellStyle name="Normal_ORÇAMENTO-HAB" xfId="2"/>
    <cellStyle name="Porcentagem" xfId="4" builtinId="5"/>
    <cellStyle name="Vírgula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487679</xdr:colOff>
      <xdr:row>1</xdr:row>
      <xdr:rowOff>160020</xdr:rowOff>
    </xdr:from>
    <xdr:to>
      <xdr:col>3</xdr:col>
      <xdr:colOff>623494</xdr:colOff>
      <xdr:row>5</xdr:row>
      <xdr:rowOff>121920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C73DA5A-8FFC-4B21-B41F-B1D6A795F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7679" y="327660"/>
          <a:ext cx="2078915" cy="1143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13</xdr:col>
      <xdr:colOff>198824</xdr:colOff>
      <xdr:row>24</xdr:row>
      <xdr:rowOff>68935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A171D5EB-0312-401C-6805-A620CBD8909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8123624" cy="409229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906781</xdr:colOff>
      <xdr:row>2</xdr:row>
      <xdr:rowOff>30480</xdr:rowOff>
    </xdr:from>
    <xdr:to>
      <xdr:col>2</xdr:col>
      <xdr:colOff>1935481</xdr:colOff>
      <xdr:row>6</xdr:row>
      <xdr:rowOff>142374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xmlns="" id="{24E5E093-3C49-4744-9D18-AA16F38273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06781" y="365760"/>
          <a:ext cx="1958340" cy="8053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38"/>
  <sheetViews>
    <sheetView tabSelected="1" topLeftCell="A112" zoomScaleNormal="100" workbookViewId="0">
      <selection activeCell="A113" sqref="A113:D113"/>
    </sheetView>
  </sheetViews>
  <sheetFormatPr defaultRowHeight="12.75" x14ac:dyDescent="0.2"/>
  <cols>
    <col min="1" max="1" width="8.83203125" style="38" customWidth="1"/>
    <col min="2" max="2" width="10.83203125" style="2" customWidth="1"/>
    <col min="3" max="3" width="8.83203125" style="2" customWidth="1"/>
    <col min="4" max="4" width="50.83203125" style="13" customWidth="1"/>
    <col min="5" max="5" width="8.83203125" style="13" customWidth="1"/>
    <col min="6" max="6" width="8.83203125" style="39" customWidth="1"/>
    <col min="7" max="7" width="10.83203125" style="39" customWidth="1"/>
    <col min="8" max="10" width="12.83203125" style="39" customWidth="1"/>
    <col min="11" max="11" width="10.83203125" style="39" customWidth="1"/>
    <col min="12" max="12" width="19.6640625" style="39" customWidth="1"/>
    <col min="13" max="13" width="14.83203125" style="40" customWidth="1"/>
    <col min="14" max="14" width="18.6640625" style="2" customWidth="1"/>
    <col min="15" max="15" width="14.83203125" style="2" customWidth="1"/>
    <col min="16" max="16" width="14.83203125" style="82" customWidth="1"/>
    <col min="17" max="17" width="12.83203125" style="82" customWidth="1"/>
    <col min="18" max="18" width="12.83203125" style="2" customWidth="1"/>
    <col min="19" max="19" width="12.83203125" customWidth="1"/>
    <col min="20" max="20" width="12.83203125" style="103" customWidth="1"/>
    <col min="21" max="22" width="12.83203125" style="104" customWidth="1"/>
    <col min="23" max="26" width="10.83203125" customWidth="1"/>
  </cols>
  <sheetData>
    <row r="2" spans="1:22" ht="22.15" customHeight="1" x14ac:dyDescent="0.2">
      <c r="A2" s="9"/>
      <c r="B2" s="1"/>
      <c r="C2" s="21"/>
      <c r="D2" s="4"/>
      <c r="E2" s="75"/>
      <c r="F2" s="4"/>
      <c r="G2" s="4"/>
      <c r="H2" s="4"/>
      <c r="I2" s="4"/>
      <c r="J2" s="4"/>
      <c r="K2" s="4"/>
      <c r="L2" s="4"/>
      <c r="M2" s="8"/>
    </row>
    <row r="3" spans="1:22" ht="22.5" customHeight="1" x14ac:dyDescent="0.2">
      <c r="A3" s="30"/>
      <c r="B3" s="30"/>
      <c r="C3" s="30"/>
      <c r="D3" s="30"/>
      <c r="E3" s="3"/>
      <c r="F3" s="4"/>
      <c r="G3" s="4"/>
      <c r="H3" s="4"/>
      <c r="I3" s="333" t="s">
        <v>6</v>
      </c>
      <c r="J3" s="333"/>
      <c r="K3" s="333"/>
      <c r="M3" s="8"/>
    </row>
    <row r="4" spans="1:22" ht="27.75" customHeight="1" x14ac:dyDescent="0.2">
      <c r="A4" s="30"/>
      <c r="B4" s="30"/>
      <c r="C4" s="30"/>
      <c r="D4" s="37" t="s">
        <v>40</v>
      </c>
      <c r="E4" s="3"/>
      <c r="F4" s="4"/>
      <c r="G4" s="4"/>
      <c r="H4" s="4"/>
      <c r="I4" s="334" t="s">
        <v>7</v>
      </c>
      <c r="J4" s="335"/>
      <c r="K4" s="23">
        <v>45170</v>
      </c>
      <c r="M4" s="8"/>
      <c r="N4" s="205"/>
    </row>
    <row r="5" spans="1:22" ht="22.15" customHeight="1" x14ac:dyDescent="0.2">
      <c r="A5" s="30"/>
      <c r="B5" s="30"/>
      <c r="C5" s="30"/>
      <c r="D5" s="28" t="s">
        <v>41</v>
      </c>
      <c r="E5" s="3"/>
      <c r="F5" s="4"/>
      <c r="G5" s="4"/>
      <c r="H5" s="4"/>
      <c r="I5" s="334" t="s">
        <v>37</v>
      </c>
      <c r="J5" s="335"/>
      <c r="K5" s="24">
        <v>0.20349999999999999</v>
      </c>
      <c r="M5" s="8"/>
    </row>
    <row r="6" spans="1:22" ht="22.15" customHeight="1" x14ac:dyDescent="0.2">
      <c r="A6" s="30"/>
      <c r="B6" s="30"/>
      <c r="C6" s="30"/>
      <c r="D6" s="30"/>
      <c r="E6" s="3"/>
      <c r="F6" s="4"/>
      <c r="G6" s="4"/>
      <c r="H6" s="4"/>
      <c r="I6" s="336" t="s">
        <v>8</v>
      </c>
      <c r="J6" s="25" t="s">
        <v>1</v>
      </c>
      <c r="K6" s="24">
        <v>1.1276999999999999</v>
      </c>
      <c r="M6" s="8"/>
      <c r="P6" s="119"/>
    </row>
    <row r="7" spans="1:22" s="10" customFormat="1" ht="22.15" customHeight="1" x14ac:dyDescent="0.2">
      <c r="A7" s="321" t="s">
        <v>9</v>
      </c>
      <c r="B7" s="321"/>
      <c r="C7" s="307" t="s">
        <v>67</v>
      </c>
      <c r="D7" s="307"/>
      <c r="H7" s="4"/>
      <c r="I7" s="337"/>
      <c r="J7" s="25" t="s">
        <v>2</v>
      </c>
      <c r="K7" s="24">
        <v>0.69879999999999998</v>
      </c>
      <c r="M7" s="22"/>
      <c r="T7" s="103"/>
      <c r="U7" s="104"/>
      <c r="V7" s="104"/>
    </row>
    <row r="8" spans="1:22" s="10" customFormat="1" ht="22.15" customHeight="1" thickBot="1" x14ac:dyDescent="0.25">
      <c r="A8" s="321" t="s">
        <v>10</v>
      </c>
      <c r="B8" s="321"/>
      <c r="C8" s="307" t="s">
        <v>0</v>
      </c>
      <c r="D8" s="307"/>
      <c r="E8" s="67"/>
      <c r="F8" s="68"/>
      <c r="G8" s="68"/>
      <c r="H8" s="68"/>
      <c r="I8" s="68"/>
      <c r="J8" s="68"/>
      <c r="K8" s="68"/>
      <c r="L8" s="68"/>
      <c r="M8" s="69"/>
      <c r="N8" s="70"/>
      <c r="O8" s="70"/>
      <c r="P8" s="83"/>
      <c r="Q8" s="83"/>
      <c r="R8" s="70"/>
      <c r="T8" s="103"/>
      <c r="U8" s="104"/>
      <c r="V8" s="104"/>
    </row>
    <row r="9" spans="1:22" ht="22.15" customHeight="1" thickBot="1" x14ac:dyDescent="0.25">
      <c r="A9" s="326" t="s">
        <v>61</v>
      </c>
      <c r="B9" s="327"/>
      <c r="C9" s="327"/>
      <c r="D9" s="327"/>
      <c r="E9" s="327"/>
      <c r="F9" s="327"/>
      <c r="G9" s="327"/>
      <c r="H9" s="327"/>
      <c r="I9" s="327"/>
      <c r="J9" s="327"/>
      <c r="K9" s="327"/>
      <c r="L9" s="327"/>
      <c r="M9" s="328"/>
      <c r="N9" s="112"/>
      <c r="O9" s="78"/>
      <c r="P9" s="84"/>
      <c r="Q9" s="84"/>
      <c r="R9" s="78"/>
    </row>
    <row r="10" spans="1:22" s="5" customFormat="1" ht="40.15" customHeight="1" x14ac:dyDescent="0.2">
      <c r="A10" s="322" t="s">
        <v>11</v>
      </c>
      <c r="B10" s="324" t="s">
        <v>12</v>
      </c>
      <c r="C10" s="315" t="s">
        <v>13</v>
      </c>
      <c r="D10" s="315" t="s">
        <v>14</v>
      </c>
      <c r="E10" s="315" t="s">
        <v>15</v>
      </c>
      <c r="F10" s="317" t="s">
        <v>16</v>
      </c>
      <c r="G10" s="319" t="s">
        <v>56</v>
      </c>
      <c r="H10" s="134" t="s">
        <v>17</v>
      </c>
      <c r="I10" s="135" t="s">
        <v>17</v>
      </c>
      <c r="J10" s="329" t="s">
        <v>62</v>
      </c>
      <c r="K10" s="305" t="s">
        <v>18</v>
      </c>
      <c r="L10" s="331" t="s">
        <v>63</v>
      </c>
      <c r="M10" s="332"/>
      <c r="N10" s="310" t="s">
        <v>19</v>
      </c>
      <c r="O10" s="96"/>
      <c r="P10" s="102"/>
      <c r="Q10" s="102"/>
      <c r="R10" s="96"/>
      <c r="T10" s="103"/>
      <c r="U10" s="104"/>
      <c r="V10" s="104"/>
    </row>
    <row r="11" spans="1:22" s="5" customFormat="1" ht="15" customHeight="1" thickBot="1" x14ac:dyDescent="0.25">
      <c r="A11" s="323"/>
      <c r="B11" s="325"/>
      <c r="C11" s="316"/>
      <c r="D11" s="316"/>
      <c r="E11" s="316"/>
      <c r="F11" s="318"/>
      <c r="G11" s="320"/>
      <c r="H11" s="126" t="s">
        <v>52</v>
      </c>
      <c r="I11" s="136" t="s">
        <v>53</v>
      </c>
      <c r="J11" s="330"/>
      <c r="K11" s="306"/>
      <c r="L11" s="126" t="s">
        <v>52</v>
      </c>
      <c r="M11" s="113" t="s">
        <v>53</v>
      </c>
      <c r="N11" s="311"/>
      <c r="O11" s="96"/>
      <c r="P11" s="102"/>
      <c r="Q11" s="102"/>
      <c r="R11" s="96"/>
      <c r="T11" s="103"/>
      <c r="U11" s="104"/>
      <c r="V11" s="104"/>
    </row>
    <row r="12" spans="1:22" s="7" customFormat="1" ht="15" customHeight="1" thickBot="1" x14ac:dyDescent="0.25">
      <c r="A12" s="130" t="s">
        <v>22</v>
      </c>
      <c r="B12" s="202"/>
      <c r="C12" s="129" t="s">
        <v>68</v>
      </c>
      <c r="D12" s="137"/>
      <c r="E12" s="123"/>
      <c r="F12" s="123"/>
      <c r="G12" s="123"/>
      <c r="H12" s="123"/>
      <c r="I12" s="123"/>
      <c r="J12" s="123"/>
      <c r="K12" s="131"/>
      <c r="L12" s="125">
        <f>L13+L14+L15+L16+L17+L18</f>
        <v>1527.3658738627425</v>
      </c>
      <c r="M12" s="125">
        <f>M13+M14+M15+M16+M17+M18</f>
        <v>1518.4149786872579</v>
      </c>
      <c r="N12" s="125">
        <f>N13+N14+N15+N16+N17+N18</f>
        <v>3045.78085255</v>
      </c>
      <c r="O12" s="97">
        <f>L12+M12</f>
        <v>3045.7808525500004</v>
      </c>
      <c r="P12" s="85" t="s">
        <v>52</v>
      </c>
      <c r="Q12" s="85" t="s">
        <v>59</v>
      </c>
      <c r="R12" s="85" t="s">
        <v>65</v>
      </c>
      <c r="T12" s="115" t="s">
        <v>60</v>
      </c>
      <c r="U12" s="115" t="s">
        <v>52</v>
      </c>
      <c r="V12" s="115" t="s">
        <v>59</v>
      </c>
    </row>
    <row r="13" spans="1:22" s="7" customFormat="1" ht="34.9" customHeight="1" x14ac:dyDescent="0.2">
      <c r="A13" s="248" t="s">
        <v>23</v>
      </c>
      <c r="B13" s="249" t="s">
        <v>83</v>
      </c>
      <c r="C13" s="145">
        <v>4813</v>
      </c>
      <c r="D13" s="250" t="s">
        <v>82</v>
      </c>
      <c r="E13" s="145" t="s">
        <v>3</v>
      </c>
      <c r="F13" s="142">
        <f>2*1.125</f>
        <v>2.25</v>
      </c>
      <c r="G13" s="122">
        <v>250</v>
      </c>
      <c r="H13" s="127">
        <f>(U13*G13)*F13</f>
        <v>562.5</v>
      </c>
      <c r="I13" s="138">
        <f>(V13*G13)*F13</f>
        <v>0</v>
      </c>
      <c r="J13" s="133">
        <f>H13+I13</f>
        <v>562.5</v>
      </c>
      <c r="K13" s="251">
        <v>0.20349999999999999</v>
      </c>
      <c r="L13" s="127">
        <f>H13*1.2035</f>
        <v>676.96875</v>
      </c>
      <c r="M13" s="128">
        <f>I13*1.2035</f>
        <v>0</v>
      </c>
      <c r="N13" s="122">
        <f>L13+M13</f>
        <v>676.96875</v>
      </c>
      <c r="O13" s="98"/>
      <c r="P13" s="86">
        <f>U13*G13</f>
        <v>250</v>
      </c>
      <c r="Q13" s="86">
        <f>V13*G13</f>
        <v>0</v>
      </c>
      <c r="R13" s="80">
        <f>P13+Q13</f>
        <v>250</v>
      </c>
      <c r="T13" s="110">
        <f>C13</f>
        <v>4813</v>
      </c>
      <c r="U13" s="120">
        <f>1-V13</f>
        <v>1</v>
      </c>
      <c r="V13" s="107">
        <f>0</f>
        <v>0</v>
      </c>
    </row>
    <row r="14" spans="1:22" s="6" customFormat="1" ht="34.9" customHeight="1" x14ac:dyDescent="0.2">
      <c r="A14" s="235" t="s">
        <v>24</v>
      </c>
      <c r="B14" s="236" t="s">
        <v>5</v>
      </c>
      <c r="C14" s="237">
        <v>99061</v>
      </c>
      <c r="D14" s="219" t="s">
        <v>84</v>
      </c>
      <c r="E14" s="237" t="s">
        <v>85</v>
      </c>
      <c r="F14" s="238">
        <v>14</v>
      </c>
      <c r="G14" s="121">
        <v>90.13</v>
      </c>
      <c r="H14" s="241">
        <f>(U14*G14)*F14</f>
        <v>548.53807494499983</v>
      </c>
      <c r="I14" s="242">
        <f>(V14*G14)*F14</f>
        <v>713.2819250550001</v>
      </c>
      <c r="J14" s="244">
        <f>H14+I14</f>
        <v>1261.82</v>
      </c>
      <c r="K14" s="245">
        <v>0.20349999999999999</v>
      </c>
      <c r="L14" s="241">
        <f>H14*1.2035</f>
        <v>660.16557319630726</v>
      </c>
      <c r="M14" s="247">
        <f>I14*1.2035</f>
        <v>858.43479680369262</v>
      </c>
      <c r="N14" s="121">
        <f>L14+M14</f>
        <v>1518.6003699999999</v>
      </c>
      <c r="O14" s="98"/>
      <c r="P14" s="86">
        <f>U14*G14</f>
        <v>39.181291067499991</v>
      </c>
      <c r="Q14" s="86">
        <f t="shared" ref="Q14:Q20" si="0">V14*G14</f>
        <v>50.948708932500004</v>
      </c>
      <c r="R14" s="80">
        <f t="shared" ref="R14" si="1">P14+Q14</f>
        <v>90.13</v>
      </c>
      <c r="T14" s="110">
        <f>C14</f>
        <v>99061</v>
      </c>
      <c r="U14" s="111">
        <f t="shared" ref="U14" si="2">1-V14</f>
        <v>0.43471974999999996</v>
      </c>
      <c r="V14" s="107">
        <f>0.56528025</f>
        <v>0.56528025000000004</v>
      </c>
    </row>
    <row r="15" spans="1:22" s="6" customFormat="1" ht="34.9" customHeight="1" x14ac:dyDescent="0.2">
      <c r="A15" s="248" t="s">
        <v>57</v>
      </c>
      <c r="B15" s="249" t="s">
        <v>83</v>
      </c>
      <c r="C15" s="237">
        <v>97622</v>
      </c>
      <c r="D15" s="153" t="s">
        <v>235</v>
      </c>
      <c r="E15" s="237" t="s">
        <v>4</v>
      </c>
      <c r="F15" s="238">
        <f>7*3.1*0.15</f>
        <v>3.2549999999999999</v>
      </c>
      <c r="G15" s="121">
        <v>57.7</v>
      </c>
      <c r="H15" s="241">
        <f t="shared" ref="H15:H18" si="3">(U15*G15)*F15</f>
        <v>44.452127958220515</v>
      </c>
      <c r="I15" s="242">
        <f t="shared" ref="I15:I18" si="4">(V15*G15)*F15</f>
        <v>143.3613720417795</v>
      </c>
      <c r="J15" s="244">
        <f t="shared" ref="J15:J18" si="5">H15+I15</f>
        <v>187.81350000000003</v>
      </c>
      <c r="K15" s="251">
        <v>0.20349999999999999</v>
      </c>
      <c r="L15" s="241">
        <f t="shared" ref="L15:L18" si="6">H15*1.2035</f>
        <v>53.498135997718393</v>
      </c>
      <c r="M15" s="247">
        <f t="shared" ref="M15:M18" si="7">I15*1.2035</f>
        <v>172.53541125228165</v>
      </c>
      <c r="N15" s="121">
        <f t="shared" ref="N15:N18" si="8">L15+M15</f>
        <v>226.03354725000003</v>
      </c>
      <c r="O15" s="98"/>
      <c r="P15" s="86">
        <f t="shared" ref="P15:P18" si="9">U15*G15</f>
        <v>13.656567729100004</v>
      </c>
      <c r="Q15" s="86">
        <f t="shared" ref="Q15:Q18" si="10">V15*G15</f>
        <v>44.043432270899999</v>
      </c>
      <c r="R15" s="80">
        <f t="shared" ref="R15:R18" si="11">P15+Q15</f>
        <v>57.7</v>
      </c>
      <c r="T15" s="110">
        <f t="shared" ref="T15:T18" si="12">C15</f>
        <v>97622</v>
      </c>
      <c r="U15" s="111">
        <f t="shared" ref="U15:U18" si="13">1-V15</f>
        <v>0.23668228300000005</v>
      </c>
      <c r="V15" s="107">
        <f>0.763317717</f>
        <v>0.76331771699999995</v>
      </c>
    </row>
    <row r="16" spans="1:22" s="6" customFormat="1" ht="34.9" customHeight="1" x14ac:dyDescent="0.2">
      <c r="A16" s="235" t="s">
        <v>237</v>
      </c>
      <c r="B16" s="236" t="s">
        <v>5</v>
      </c>
      <c r="C16" s="237">
        <v>97638</v>
      </c>
      <c r="D16" s="153" t="s">
        <v>236</v>
      </c>
      <c r="E16" s="237" t="s">
        <v>3</v>
      </c>
      <c r="F16" s="238">
        <f>(7*3.1)+(4*3.1)+(4*3.1)</f>
        <v>46.5</v>
      </c>
      <c r="G16" s="121">
        <v>8.67</v>
      </c>
      <c r="H16" s="241">
        <f t="shared" si="3"/>
        <v>87.092717542469998</v>
      </c>
      <c r="I16" s="242">
        <f t="shared" si="4"/>
        <v>316.06228245752999</v>
      </c>
      <c r="J16" s="244">
        <f t="shared" si="5"/>
        <v>403.15499999999997</v>
      </c>
      <c r="K16" s="245">
        <v>0.20349999999999999</v>
      </c>
      <c r="L16" s="241">
        <f t="shared" si="6"/>
        <v>104.81608556236264</v>
      </c>
      <c r="M16" s="247">
        <f t="shared" si="7"/>
        <v>380.38095693763734</v>
      </c>
      <c r="N16" s="121">
        <f t="shared" si="8"/>
        <v>485.19704249999995</v>
      </c>
      <c r="O16" s="98"/>
      <c r="P16" s="86">
        <f t="shared" si="9"/>
        <v>1.87296166758</v>
      </c>
      <c r="Q16" s="86">
        <f t="shared" si="10"/>
        <v>6.7970383324199997</v>
      </c>
      <c r="R16" s="80">
        <f t="shared" si="11"/>
        <v>8.67</v>
      </c>
      <c r="T16" s="110">
        <f t="shared" si="12"/>
        <v>97638</v>
      </c>
      <c r="U16" s="111">
        <f t="shared" si="13"/>
        <v>0.21602787400000001</v>
      </c>
      <c r="V16" s="107">
        <f>0.783972126</f>
        <v>0.78397212599999999</v>
      </c>
    </row>
    <row r="17" spans="1:22" s="6" customFormat="1" ht="34.9" customHeight="1" x14ac:dyDescent="0.2">
      <c r="A17" s="248" t="s">
        <v>238</v>
      </c>
      <c r="B17" s="249" t="s">
        <v>83</v>
      </c>
      <c r="C17" s="237">
        <v>97645</v>
      </c>
      <c r="D17" s="153" t="s">
        <v>243</v>
      </c>
      <c r="E17" s="237" t="s">
        <v>3</v>
      </c>
      <c r="F17" s="238">
        <f>(3*(0.6*1.8))</f>
        <v>3.24</v>
      </c>
      <c r="G17" s="121">
        <v>24.92</v>
      </c>
      <c r="H17" s="241">
        <f t="shared" si="3"/>
        <v>18.567457388222405</v>
      </c>
      <c r="I17" s="242">
        <f t="shared" si="4"/>
        <v>62.173342611777606</v>
      </c>
      <c r="J17" s="244">
        <f t="shared" si="5"/>
        <v>80.740800000000007</v>
      </c>
      <c r="K17" s="251">
        <v>0.20349999999999999</v>
      </c>
      <c r="L17" s="241">
        <f t="shared" si="6"/>
        <v>22.345934966725665</v>
      </c>
      <c r="M17" s="247">
        <f t="shared" si="7"/>
        <v>74.82561783327435</v>
      </c>
      <c r="N17" s="121">
        <f t="shared" si="8"/>
        <v>97.171552800000015</v>
      </c>
      <c r="O17" s="98"/>
      <c r="P17" s="86">
        <f t="shared" si="9"/>
        <v>5.7306967247600014</v>
      </c>
      <c r="Q17" s="86">
        <f t="shared" si="10"/>
        <v>19.18930327524</v>
      </c>
      <c r="R17" s="80">
        <f t="shared" si="11"/>
        <v>24.92</v>
      </c>
      <c r="T17" s="110">
        <f t="shared" si="12"/>
        <v>97645</v>
      </c>
      <c r="U17" s="111">
        <f t="shared" si="13"/>
        <v>0.22996375300000005</v>
      </c>
      <c r="V17" s="107">
        <f>0.770036247</f>
        <v>0.77003624699999995</v>
      </c>
    </row>
    <row r="18" spans="1:22" s="6" customFormat="1" ht="34.9" customHeight="1" thickBot="1" x14ac:dyDescent="0.25">
      <c r="A18" s="235" t="s">
        <v>239</v>
      </c>
      <c r="B18" s="236" t="s">
        <v>5</v>
      </c>
      <c r="C18" s="237">
        <v>97644</v>
      </c>
      <c r="D18" s="206" t="s">
        <v>242</v>
      </c>
      <c r="E18" s="237" t="s">
        <v>3</v>
      </c>
      <c r="F18" s="238">
        <f>(1.5*2.4)</f>
        <v>3.5999999999999996</v>
      </c>
      <c r="G18" s="121">
        <v>9.65</v>
      </c>
      <c r="H18" s="241">
        <f t="shared" si="3"/>
        <v>7.9529656332600007</v>
      </c>
      <c r="I18" s="242">
        <f t="shared" si="4"/>
        <v>26.787034366739999</v>
      </c>
      <c r="J18" s="244">
        <f t="shared" si="5"/>
        <v>34.74</v>
      </c>
      <c r="K18" s="245">
        <v>0.20349999999999999</v>
      </c>
      <c r="L18" s="241">
        <f t="shared" si="6"/>
        <v>9.5713941396284117</v>
      </c>
      <c r="M18" s="247">
        <f t="shared" si="7"/>
        <v>32.23819586037159</v>
      </c>
      <c r="N18" s="121">
        <f t="shared" si="8"/>
        <v>41.80959</v>
      </c>
      <c r="O18" s="98"/>
      <c r="P18" s="86">
        <f t="shared" si="9"/>
        <v>2.2091571203500004</v>
      </c>
      <c r="Q18" s="86">
        <f t="shared" si="10"/>
        <v>7.4408428796499999</v>
      </c>
      <c r="R18" s="80">
        <f t="shared" si="11"/>
        <v>9.65</v>
      </c>
      <c r="T18" s="110">
        <f t="shared" si="12"/>
        <v>97644</v>
      </c>
      <c r="U18" s="111">
        <f t="shared" si="13"/>
        <v>0.22892819900000005</v>
      </c>
      <c r="V18" s="107">
        <f>0.771071801</f>
        <v>0.77107180099999995</v>
      </c>
    </row>
    <row r="19" spans="1:22" s="7" customFormat="1" ht="15" customHeight="1" thickBot="1" x14ac:dyDescent="0.25">
      <c r="A19" s="130" t="s">
        <v>25</v>
      </c>
      <c r="B19" s="202"/>
      <c r="C19" s="129" t="s">
        <v>69</v>
      </c>
      <c r="D19" s="137"/>
      <c r="E19" s="123"/>
      <c r="F19" s="123"/>
      <c r="G19" s="123"/>
      <c r="H19" s="123"/>
      <c r="I19" s="123"/>
      <c r="J19" s="123"/>
      <c r="K19" s="131"/>
      <c r="L19" s="125">
        <f>L20+L21+L22+L23+L24+L25+L26+L27+L28+L29+L30</f>
        <v>21105.882956751277</v>
      </c>
      <c r="M19" s="125">
        <f>M20+M21+M22+M23+M24+M25+M26+M27+M28+M29+M30</f>
        <v>9211.8199643068456</v>
      </c>
      <c r="N19" s="125">
        <f>N20+N21+N22+N23+N24+N25+N26+N27+N28+N29+N30</f>
        <v>30317.702921058124</v>
      </c>
      <c r="O19" s="97">
        <f>L19+M19</f>
        <v>30317.702921058124</v>
      </c>
      <c r="P19" s="85"/>
      <c r="Q19" s="85"/>
      <c r="R19" s="79"/>
      <c r="T19" s="108"/>
      <c r="U19" s="109"/>
      <c r="V19" s="109"/>
    </row>
    <row r="20" spans="1:22" s="6" customFormat="1" ht="45" customHeight="1" x14ac:dyDescent="0.2">
      <c r="A20" s="194" t="s">
        <v>26</v>
      </c>
      <c r="B20" s="151" t="s">
        <v>5</v>
      </c>
      <c r="C20" s="162">
        <v>93358</v>
      </c>
      <c r="D20" s="152" t="s">
        <v>160</v>
      </c>
      <c r="E20" s="151" t="s">
        <v>4</v>
      </c>
      <c r="F20" s="168">
        <f>6.44+5.35</f>
        <v>11.79</v>
      </c>
      <c r="G20" s="169">
        <v>86.95</v>
      </c>
      <c r="H20" s="127">
        <f>(U20*G20)*F20</f>
        <v>249.23735684747552</v>
      </c>
      <c r="I20" s="138">
        <f>(V20*G20)*F20</f>
        <v>775.90314315252442</v>
      </c>
      <c r="J20" s="133">
        <f>H20+I20</f>
        <v>1025.1405</v>
      </c>
      <c r="K20" s="132">
        <v>0.20349999999999999</v>
      </c>
      <c r="L20" s="127">
        <f>H20*1.2035</f>
        <v>299.9571589659368</v>
      </c>
      <c r="M20" s="128">
        <f>I20*1.2035</f>
        <v>933.79943278406313</v>
      </c>
      <c r="N20" s="122">
        <f>L20+M20</f>
        <v>1233.7565917499999</v>
      </c>
      <c r="O20" s="98"/>
      <c r="P20" s="86">
        <f>U20*G20</f>
        <v>21.139724923450004</v>
      </c>
      <c r="Q20" s="86">
        <f t="shared" si="0"/>
        <v>65.810275076549999</v>
      </c>
      <c r="R20" s="80">
        <f t="shared" ref="R20" si="14">P20+Q20</f>
        <v>86.95</v>
      </c>
      <c r="T20" s="110">
        <f>C20</f>
        <v>93358</v>
      </c>
      <c r="U20" s="111">
        <f>1-V20</f>
        <v>0.24312507100000003</v>
      </c>
      <c r="V20" s="107">
        <f>0.756874929</f>
        <v>0.75687492899999997</v>
      </c>
    </row>
    <row r="21" spans="1:22" s="6" customFormat="1" ht="25.15" customHeight="1" x14ac:dyDescent="0.2">
      <c r="A21" s="166" t="s">
        <v>87</v>
      </c>
      <c r="B21" s="146" t="s">
        <v>5</v>
      </c>
      <c r="C21" s="156">
        <v>96385</v>
      </c>
      <c r="D21" s="153" t="s">
        <v>86</v>
      </c>
      <c r="E21" s="146" t="s">
        <v>4</v>
      </c>
      <c r="F21" s="143">
        <v>29.83</v>
      </c>
      <c r="G21" s="139">
        <v>11.57</v>
      </c>
      <c r="H21" s="127">
        <f t="shared" ref="H21:H30" si="15">(U21*G21)*F21</f>
        <v>249.75530827490883</v>
      </c>
      <c r="I21" s="138">
        <f t="shared" ref="I21:I30" si="16">(V21*G21)*F21</f>
        <v>95.377791725091186</v>
      </c>
      <c r="J21" s="133">
        <f t="shared" ref="J21:J30" si="17">H21+I21</f>
        <v>345.13310000000001</v>
      </c>
      <c r="K21" s="132">
        <v>0.20349999999999999</v>
      </c>
      <c r="L21" s="127">
        <f t="shared" ref="L21:L30" si="18">H21*1.2035</f>
        <v>300.58051350885279</v>
      </c>
      <c r="M21" s="128">
        <f t="shared" ref="M21:M30" si="19">I21*1.2035</f>
        <v>114.78717234114724</v>
      </c>
      <c r="N21" s="122">
        <f t="shared" ref="N21:N30" si="20">L21+M21</f>
        <v>415.36768585000004</v>
      </c>
      <c r="O21" s="98"/>
      <c r="P21" s="86">
        <f t="shared" ref="P21:P30" si="21">U21*G21</f>
        <v>8.3726217993600009</v>
      </c>
      <c r="Q21" s="86">
        <f t="shared" ref="Q21:Q30" si="22">V21*G21</f>
        <v>3.1973782006399998</v>
      </c>
      <c r="R21" s="80">
        <f t="shared" ref="R21:R30" si="23">P21+Q21</f>
        <v>11.57</v>
      </c>
      <c r="T21" s="110">
        <f t="shared" ref="T21:T30" si="24">C21</f>
        <v>96385</v>
      </c>
      <c r="U21" s="111">
        <f t="shared" ref="U21:U30" si="25">1-V21</f>
        <v>0.72364924800000008</v>
      </c>
      <c r="V21" s="107">
        <f>0.276350752</f>
        <v>0.27635075199999998</v>
      </c>
    </row>
    <row r="22" spans="1:22" s="6" customFormat="1" ht="25.15" customHeight="1" x14ac:dyDescent="0.2">
      <c r="A22" s="166" t="s">
        <v>88</v>
      </c>
      <c r="B22" s="146" t="s">
        <v>5</v>
      </c>
      <c r="C22" s="156">
        <v>102487</v>
      </c>
      <c r="D22" s="153" t="s">
        <v>89</v>
      </c>
      <c r="E22" s="146" t="s">
        <v>4</v>
      </c>
      <c r="F22" s="143">
        <f>(13*0.3*0.3)+(7*0.3*0.3)</f>
        <v>1.7999999999999998</v>
      </c>
      <c r="G22" s="139">
        <v>558.96</v>
      </c>
      <c r="H22" s="127">
        <f t="shared" si="15"/>
        <v>644.91967399665589</v>
      </c>
      <c r="I22" s="138">
        <f t="shared" si="16"/>
        <v>361.20832600334398</v>
      </c>
      <c r="J22" s="133">
        <f t="shared" si="17"/>
        <v>1006.1279999999999</v>
      </c>
      <c r="K22" s="132">
        <v>0.20349999999999999</v>
      </c>
      <c r="L22" s="127">
        <f t="shared" si="18"/>
        <v>776.16082765497538</v>
      </c>
      <c r="M22" s="128">
        <f t="shared" si="19"/>
        <v>434.7142203450245</v>
      </c>
      <c r="N22" s="122">
        <f t="shared" si="20"/>
        <v>1210.8750479999999</v>
      </c>
      <c r="O22" s="98"/>
      <c r="P22" s="86">
        <f t="shared" si="21"/>
        <v>358.28870777591999</v>
      </c>
      <c r="Q22" s="86">
        <f t="shared" si="22"/>
        <v>200.67129222408002</v>
      </c>
      <c r="R22" s="80">
        <f t="shared" si="23"/>
        <v>558.96</v>
      </c>
      <c r="T22" s="110">
        <f t="shared" si="24"/>
        <v>102487</v>
      </c>
      <c r="U22" s="111">
        <f t="shared" si="25"/>
        <v>0.64099167699999993</v>
      </c>
      <c r="V22" s="107">
        <v>0.35900832300000002</v>
      </c>
    </row>
    <row r="23" spans="1:22" s="6" customFormat="1" ht="34.9" customHeight="1" x14ac:dyDescent="0.2">
      <c r="A23" s="166" t="s">
        <v>90</v>
      </c>
      <c r="B23" s="146" t="s">
        <v>5</v>
      </c>
      <c r="C23" s="156">
        <v>101159</v>
      </c>
      <c r="D23" s="153" t="s">
        <v>54</v>
      </c>
      <c r="E23" s="146" t="s">
        <v>3</v>
      </c>
      <c r="F23" s="143">
        <f>23.72375*0.5</f>
        <v>11.861875</v>
      </c>
      <c r="G23" s="139">
        <v>137.33000000000001</v>
      </c>
      <c r="H23" s="127">
        <f t="shared" si="15"/>
        <v>916.87174033830479</v>
      </c>
      <c r="I23" s="138">
        <f t="shared" si="16"/>
        <v>712.11955341169516</v>
      </c>
      <c r="J23" s="133">
        <f t="shared" si="17"/>
        <v>1628.9912937499998</v>
      </c>
      <c r="K23" s="132">
        <v>0.20349999999999999</v>
      </c>
      <c r="L23" s="127">
        <f t="shared" si="18"/>
        <v>1103.4551394971497</v>
      </c>
      <c r="M23" s="128">
        <f t="shared" si="19"/>
        <v>857.03588253097519</v>
      </c>
      <c r="N23" s="122">
        <f t="shared" si="20"/>
        <v>1960.4910220281249</v>
      </c>
      <c r="O23" s="98"/>
      <c r="P23" s="86">
        <f t="shared" si="21"/>
        <v>77.295683889629998</v>
      </c>
      <c r="Q23" s="86">
        <f t="shared" si="22"/>
        <v>60.034316110370007</v>
      </c>
      <c r="R23" s="80">
        <f t="shared" si="23"/>
        <v>137.33000000000001</v>
      </c>
      <c r="T23" s="110">
        <f t="shared" si="24"/>
        <v>101159</v>
      </c>
      <c r="U23" s="111">
        <f t="shared" si="25"/>
        <v>0.56284631099999993</v>
      </c>
      <c r="V23" s="107">
        <v>0.43715368900000001</v>
      </c>
    </row>
    <row r="24" spans="1:22" s="6" customFormat="1" ht="25.15" customHeight="1" x14ac:dyDescent="0.2">
      <c r="A24" s="166" t="s">
        <v>91</v>
      </c>
      <c r="B24" s="146" t="s">
        <v>5</v>
      </c>
      <c r="C24" s="156">
        <v>96545</v>
      </c>
      <c r="D24" s="154" t="s">
        <v>161</v>
      </c>
      <c r="E24" s="146" t="s">
        <v>20</v>
      </c>
      <c r="F24" s="143">
        <v>107.7165</v>
      </c>
      <c r="G24" s="139">
        <v>14.92</v>
      </c>
      <c r="H24" s="127">
        <f t="shared" si="15"/>
        <v>1239.2596889281801</v>
      </c>
      <c r="I24" s="138">
        <f t="shared" si="16"/>
        <v>367.87049107181997</v>
      </c>
      <c r="J24" s="133">
        <f t="shared" si="17"/>
        <v>1607.1301800000001</v>
      </c>
      <c r="K24" s="132">
        <v>0.20349999999999999</v>
      </c>
      <c r="L24" s="127">
        <f t="shared" si="18"/>
        <v>1491.4490356250649</v>
      </c>
      <c r="M24" s="128">
        <f t="shared" si="19"/>
        <v>442.73213600493534</v>
      </c>
      <c r="N24" s="122">
        <f t="shared" si="20"/>
        <v>1934.1811716300003</v>
      </c>
      <c r="O24" s="98"/>
      <c r="P24" s="86">
        <f t="shared" si="21"/>
        <v>11.504826920000001</v>
      </c>
      <c r="Q24" s="86">
        <f t="shared" si="22"/>
        <v>3.4151730799999998</v>
      </c>
      <c r="R24" s="80">
        <f t="shared" si="23"/>
        <v>14.920000000000002</v>
      </c>
      <c r="T24" s="110">
        <f t="shared" si="24"/>
        <v>96545</v>
      </c>
      <c r="U24" s="111">
        <f t="shared" si="25"/>
        <v>0.77110100000000004</v>
      </c>
      <c r="V24" s="107">
        <v>0.22889899999999999</v>
      </c>
    </row>
    <row r="25" spans="1:22" s="6" customFormat="1" ht="34.9" customHeight="1" x14ac:dyDescent="0.2">
      <c r="A25" s="166" t="s">
        <v>92</v>
      </c>
      <c r="B25" s="146" t="s">
        <v>5</v>
      </c>
      <c r="C25" s="156">
        <v>94964</v>
      </c>
      <c r="D25" s="153" t="s">
        <v>93</v>
      </c>
      <c r="E25" s="146" t="s">
        <v>4</v>
      </c>
      <c r="F25" s="143">
        <v>5.35</v>
      </c>
      <c r="G25" s="139">
        <v>468.59</v>
      </c>
      <c r="H25" s="127">
        <f t="shared" si="15"/>
        <v>2088.7558288977407</v>
      </c>
      <c r="I25" s="138">
        <f t="shared" si="16"/>
        <v>418.20067110225892</v>
      </c>
      <c r="J25" s="133">
        <f t="shared" si="17"/>
        <v>2506.9564999999998</v>
      </c>
      <c r="K25" s="132">
        <v>0.20349999999999999</v>
      </c>
      <c r="L25" s="127">
        <f t="shared" si="18"/>
        <v>2513.8176400784309</v>
      </c>
      <c r="M25" s="128">
        <f t="shared" si="19"/>
        <v>503.30450767156862</v>
      </c>
      <c r="N25" s="122">
        <f t="shared" si="20"/>
        <v>3017.1221477499994</v>
      </c>
      <c r="O25" s="98"/>
      <c r="P25" s="86">
        <f t="shared" si="21"/>
        <v>390.42165026125997</v>
      </c>
      <c r="Q25" s="86">
        <f t="shared" si="22"/>
        <v>78.168349738739991</v>
      </c>
      <c r="R25" s="80">
        <f t="shared" si="23"/>
        <v>468.59</v>
      </c>
      <c r="T25" s="110">
        <f t="shared" si="24"/>
        <v>94964</v>
      </c>
      <c r="U25" s="111">
        <f t="shared" si="25"/>
        <v>0.83318391400000003</v>
      </c>
      <c r="V25" s="107">
        <f>0.166816086</f>
        <v>0.166816086</v>
      </c>
    </row>
    <row r="26" spans="1:22" s="6" customFormat="1" ht="25.15" customHeight="1" x14ac:dyDescent="0.2">
      <c r="A26" s="166" t="s">
        <v>94</v>
      </c>
      <c r="B26" s="146" t="s">
        <v>5</v>
      </c>
      <c r="C26" s="156">
        <v>96543</v>
      </c>
      <c r="D26" s="154" t="s">
        <v>100</v>
      </c>
      <c r="E26" s="146" t="s">
        <v>20</v>
      </c>
      <c r="F26" s="143">
        <v>103.5</v>
      </c>
      <c r="G26" s="139">
        <v>17.62</v>
      </c>
      <c r="H26" s="127">
        <f t="shared" si="15"/>
        <v>1150.8597102605399</v>
      </c>
      <c r="I26" s="138">
        <f t="shared" si="16"/>
        <v>672.81028973946013</v>
      </c>
      <c r="J26" s="133">
        <f t="shared" si="17"/>
        <v>1823.67</v>
      </c>
      <c r="K26" s="132">
        <v>0.20349999999999999</v>
      </c>
      <c r="L26" s="127">
        <f t="shared" si="18"/>
        <v>1385.0596612985598</v>
      </c>
      <c r="M26" s="128">
        <f t="shared" si="19"/>
        <v>809.72718370144025</v>
      </c>
      <c r="N26" s="122">
        <f t="shared" si="20"/>
        <v>2194.7868450000001</v>
      </c>
      <c r="O26" s="98"/>
      <c r="P26" s="86">
        <f t="shared" si="21"/>
        <v>11.11941749044</v>
      </c>
      <c r="Q26" s="86">
        <f t="shared" si="22"/>
        <v>6.5005825095600009</v>
      </c>
      <c r="R26" s="80">
        <f t="shared" si="23"/>
        <v>17.62</v>
      </c>
      <c r="T26" s="110">
        <f t="shared" si="24"/>
        <v>96543</v>
      </c>
      <c r="U26" s="111">
        <f t="shared" si="25"/>
        <v>0.63106796199999993</v>
      </c>
      <c r="V26" s="107">
        <f>0.368932038</f>
        <v>0.36893203800000002</v>
      </c>
    </row>
    <row r="27" spans="1:22" s="6" customFormat="1" ht="25.15" customHeight="1" x14ac:dyDescent="0.2">
      <c r="A27" s="166" t="s">
        <v>95</v>
      </c>
      <c r="B27" s="146" t="s">
        <v>5</v>
      </c>
      <c r="C27" s="156">
        <v>96546</v>
      </c>
      <c r="D27" s="153" t="s">
        <v>99</v>
      </c>
      <c r="E27" s="146" t="s">
        <v>20</v>
      </c>
      <c r="F27" s="143">
        <v>264.55</v>
      </c>
      <c r="G27" s="139">
        <v>13.21</v>
      </c>
      <c r="H27" s="127">
        <f t="shared" si="15"/>
        <v>2821.3159427579558</v>
      </c>
      <c r="I27" s="138">
        <f t="shared" si="16"/>
        <v>673.38955724204459</v>
      </c>
      <c r="J27" s="133">
        <f t="shared" si="17"/>
        <v>3494.7055000000005</v>
      </c>
      <c r="K27" s="132">
        <v>0.20349999999999999</v>
      </c>
      <c r="L27" s="127">
        <f t="shared" si="18"/>
        <v>3395.4537371091997</v>
      </c>
      <c r="M27" s="128">
        <f t="shared" si="19"/>
        <v>810.42433214080063</v>
      </c>
      <c r="N27" s="122">
        <f t="shared" si="20"/>
        <v>4205.8780692500004</v>
      </c>
      <c r="O27" s="98"/>
      <c r="P27" s="86">
        <f t="shared" si="21"/>
        <v>10.664584928210001</v>
      </c>
      <c r="Q27" s="86">
        <f t="shared" si="22"/>
        <v>2.5454150717900004</v>
      </c>
      <c r="R27" s="80">
        <f t="shared" si="23"/>
        <v>13.21</v>
      </c>
      <c r="T27" s="110">
        <f t="shared" si="24"/>
        <v>96546</v>
      </c>
      <c r="U27" s="111">
        <f t="shared" si="25"/>
        <v>0.80731150100000004</v>
      </c>
      <c r="V27" s="107">
        <f>0.192688499</f>
        <v>0.19268849900000001</v>
      </c>
    </row>
    <row r="28" spans="1:22" s="6" customFormat="1" ht="34.9" customHeight="1" x14ac:dyDescent="0.2">
      <c r="A28" s="166" t="s">
        <v>96</v>
      </c>
      <c r="B28" s="146" t="s">
        <v>5</v>
      </c>
      <c r="C28" s="156">
        <v>94965</v>
      </c>
      <c r="D28" s="153" t="s">
        <v>159</v>
      </c>
      <c r="E28" s="146" t="s">
        <v>4</v>
      </c>
      <c r="F28" s="143">
        <v>6.44</v>
      </c>
      <c r="G28" s="139">
        <v>489.57</v>
      </c>
      <c r="H28" s="127">
        <f t="shared" si="15"/>
        <v>2693.5743730709605</v>
      </c>
      <c r="I28" s="138">
        <f t="shared" si="16"/>
        <v>459.25642692903961</v>
      </c>
      <c r="J28" s="133">
        <f t="shared" si="17"/>
        <v>3152.8308000000002</v>
      </c>
      <c r="K28" s="132">
        <v>0.20349999999999999</v>
      </c>
      <c r="L28" s="127">
        <f t="shared" si="18"/>
        <v>3241.716757990901</v>
      </c>
      <c r="M28" s="128">
        <f t="shared" si="19"/>
        <v>552.7151098090992</v>
      </c>
      <c r="N28" s="122">
        <f t="shared" si="20"/>
        <v>3794.4318678</v>
      </c>
      <c r="O28" s="98"/>
      <c r="P28" s="86">
        <f t="shared" si="21"/>
        <v>418.25689022840999</v>
      </c>
      <c r="Q28" s="86">
        <f t="shared" si="22"/>
        <v>71.313109771589993</v>
      </c>
      <c r="R28" s="80">
        <f t="shared" si="23"/>
        <v>489.57</v>
      </c>
      <c r="T28" s="110">
        <f t="shared" si="24"/>
        <v>94965</v>
      </c>
      <c r="U28" s="111">
        <f t="shared" si="25"/>
        <v>0.85433521300000004</v>
      </c>
      <c r="V28" s="107">
        <f>0.145664787</f>
        <v>0.14566478699999999</v>
      </c>
    </row>
    <row r="29" spans="1:22" s="6" customFormat="1" ht="25.15" customHeight="1" x14ac:dyDescent="0.2">
      <c r="A29" s="166" t="s">
        <v>97</v>
      </c>
      <c r="B29" s="146" t="s">
        <v>5</v>
      </c>
      <c r="C29" s="157">
        <v>96536</v>
      </c>
      <c r="D29" s="206" t="s">
        <v>101</v>
      </c>
      <c r="E29" s="146" t="s">
        <v>3</v>
      </c>
      <c r="F29" s="143">
        <v>64.349999999999994</v>
      </c>
      <c r="G29" s="139">
        <v>65.36</v>
      </c>
      <c r="H29" s="127">
        <f t="shared" si="15"/>
        <v>2068.4621326529154</v>
      </c>
      <c r="I29" s="138">
        <f t="shared" si="16"/>
        <v>2137.4538673470838</v>
      </c>
      <c r="J29" s="133">
        <f t="shared" si="17"/>
        <v>4205.9159999999993</v>
      </c>
      <c r="K29" s="132">
        <v>0.20349999999999999</v>
      </c>
      <c r="L29" s="127">
        <f t="shared" si="18"/>
        <v>2489.3941766477838</v>
      </c>
      <c r="M29" s="128">
        <f t="shared" si="19"/>
        <v>2572.4257293522155</v>
      </c>
      <c r="N29" s="122">
        <f t="shared" si="20"/>
        <v>5061.8199059999988</v>
      </c>
      <c r="O29" s="98"/>
      <c r="P29" s="86">
        <f t="shared" si="21"/>
        <v>32.143933685359997</v>
      </c>
      <c r="Q29" s="86">
        <f t="shared" si="22"/>
        <v>33.216066314640003</v>
      </c>
      <c r="R29" s="80">
        <f t="shared" si="23"/>
        <v>65.36</v>
      </c>
      <c r="T29" s="110">
        <f t="shared" si="24"/>
        <v>96536</v>
      </c>
      <c r="U29" s="111">
        <f t="shared" si="25"/>
        <v>0.49179825099999996</v>
      </c>
      <c r="V29" s="107">
        <f>0.508201749</f>
        <v>0.50820174900000004</v>
      </c>
    </row>
    <row r="30" spans="1:22" s="6" customFormat="1" ht="25.15" customHeight="1" thickBot="1" x14ac:dyDescent="0.25">
      <c r="A30" s="182" t="s">
        <v>98</v>
      </c>
      <c r="B30" s="165" t="s">
        <v>5</v>
      </c>
      <c r="C30" s="164">
        <v>98557</v>
      </c>
      <c r="D30" s="170" t="s">
        <v>103</v>
      </c>
      <c r="E30" s="165" t="s">
        <v>3</v>
      </c>
      <c r="F30" s="172">
        <v>85.8</v>
      </c>
      <c r="G30" s="173">
        <v>51.22</v>
      </c>
      <c r="H30" s="174">
        <f t="shared" si="15"/>
        <v>3414.0742072076632</v>
      </c>
      <c r="I30" s="175">
        <f t="shared" si="16"/>
        <v>980.60179279233591</v>
      </c>
      <c r="J30" s="176">
        <f t="shared" si="17"/>
        <v>4394.6759999999995</v>
      </c>
      <c r="K30" s="177">
        <v>0.20349999999999999</v>
      </c>
      <c r="L30" s="174">
        <f t="shared" si="18"/>
        <v>4108.8383083744229</v>
      </c>
      <c r="M30" s="128">
        <f t="shared" si="19"/>
        <v>1180.1542576255763</v>
      </c>
      <c r="N30" s="179">
        <f t="shared" si="20"/>
        <v>5288.992565999999</v>
      </c>
      <c r="O30" s="184"/>
      <c r="P30" s="86">
        <f t="shared" si="21"/>
        <v>39.791074676079994</v>
      </c>
      <c r="Q30" s="86">
        <f t="shared" si="22"/>
        <v>11.42892532392</v>
      </c>
      <c r="R30" s="80">
        <f t="shared" si="23"/>
        <v>51.219999999999992</v>
      </c>
      <c r="T30" s="110">
        <f t="shared" si="24"/>
        <v>98557</v>
      </c>
      <c r="U30" s="111">
        <f t="shared" si="25"/>
        <v>0.77686596399999996</v>
      </c>
      <c r="V30" s="107">
        <f>0.223134036</f>
        <v>0.22313403600000001</v>
      </c>
    </row>
    <row r="31" spans="1:22" s="7" customFormat="1" ht="15" customHeight="1" thickBot="1" x14ac:dyDescent="0.25">
      <c r="A31" s="130" t="s">
        <v>27</v>
      </c>
      <c r="B31" s="202"/>
      <c r="C31" s="129" t="s">
        <v>70</v>
      </c>
      <c r="D31" s="137"/>
      <c r="E31" s="123"/>
      <c r="F31" s="123"/>
      <c r="G31" s="123"/>
      <c r="H31" s="123"/>
      <c r="I31" s="123"/>
      <c r="J31" s="123"/>
      <c r="K31" s="131"/>
      <c r="L31" s="171">
        <f>L32+L33+L34+L35+L36+L37+L38+L39+L40+L41+L42+L43</f>
        <v>18993.351419693645</v>
      </c>
      <c r="M31" s="171">
        <f>M32+M33+M34+M35+M36+M37+M38+M39+M40+M41+M42+M43</f>
        <v>7941.869651706359</v>
      </c>
      <c r="N31" s="171">
        <f>N32+N33+N34+N35+N36+N37+N38+N39+N40+N41+N42+N43</f>
        <v>26935.221071400003</v>
      </c>
      <c r="O31" s="97">
        <f>L31+M31</f>
        <v>26935.221071400003</v>
      </c>
      <c r="P31" s="85"/>
      <c r="Q31" s="85"/>
      <c r="R31" s="79"/>
      <c r="T31" s="108"/>
      <c r="U31" s="109"/>
      <c r="V31" s="109"/>
    </row>
    <row r="32" spans="1:22" s="7" customFormat="1" ht="34.9" customHeight="1" x14ac:dyDescent="0.2">
      <c r="A32" s="183" t="s">
        <v>28</v>
      </c>
      <c r="B32" s="149" t="s">
        <v>102</v>
      </c>
      <c r="C32" s="160">
        <v>1</v>
      </c>
      <c r="D32" s="227" t="s">
        <v>264</v>
      </c>
      <c r="E32" s="149" t="s">
        <v>3</v>
      </c>
      <c r="F32" s="180">
        <v>50.22</v>
      </c>
      <c r="G32" s="181">
        <v>54.54</v>
      </c>
      <c r="H32" s="127">
        <f>(U32*G32)*F32</f>
        <v>1132.1040989577491</v>
      </c>
      <c r="I32" s="138">
        <f>(V32*G32)*F32</f>
        <v>1606.8947010422507</v>
      </c>
      <c r="J32" s="133">
        <f>H32+I32</f>
        <v>2738.9987999999998</v>
      </c>
      <c r="K32" s="132">
        <v>0.20349999999999999</v>
      </c>
      <c r="L32" s="127">
        <f>H32*1.2035</f>
        <v>1362.487283095651</v>
      </c>
      <c r="M32" s="128">
        <f>I32*1.2035</f>
        <v>1933.8977727043489</v>
      </c>
      <c r="N32" s="197">
        <f>L32+M32</f>
        <v>3296.3850557999999</v>
      </c>
      <c r="O32" s="98"/>
      <c r="P32" s="86">
        <f>U32*G32</f>
        <v>22.54289324886</v>
      </c>
      <c r="Q32" s="86">
        <f t="shared" ref="Q32" si="26">V32*G32</f>
        <v>31.997106751139999</v>
      </c>
      <c r="R32" s="80">
        <f t="shared" ref="R32" si="27">P32+Q32</f>
        <v>54.54</v>
      </c>
      <c r="T32" s="110">
        <f>C32</f>
        <v>1</v>
      </c>
      <c r="U32" s="111">
        <f>1-V32</f>
        <v>0.41332770900000004</v>
      </c>
      <c r="V32" s="107">
        <f>0.586672291</f>
        <v>0.58667229099999996</v>
      </c>
    </row>
    <row r="33" spans="1:22" s="7" customFormat="1" ht="34.9" customHeight="1" x14ac:dyDescent="0.2">
      <c r="A33" s="167" t="s">
        <v>29</v>
      </c>
      <c r="B33" s="147" t="s">
        <v>5</v>
      </c>
      <c r="C33" s="150">
        <v>92759</v>
      </c>
      <c r="D33" s="153" t="s">
        <v>112</v>
      </c>
      <c r="E33" s="147" t="s">
        <v>20</v>
      </c>
      <c r="F33" s="144">
        <v>62.54</v>
      </c>
      <c r="G33" s="140">
        <v>14.18</v>
      </c>
      <c r="H33" s="127">
        <f t="shared" ref="H33:H43" si="28">(U33*G33)*F33</f>
        <v>642.72171193395241</v>
      </c>
      <c r="I33" s="138">
        <f t="shared" ref="I33:I43" si="29">(V33*G33)*F33</f>
        <v>244.09548806604758</v>
      </c>
      <c r="J33" s="133">
        <f t="shared" ref="J33:J43" si="30">H33+I33</f>
        <v>886.81719999999996</v>
      </c>
      <c r="K33" s="132">
        <v>0.20349999999999999</v>
      </c>
      <c r="L33" s="127">
        <f t="shared" ref="L33:L43" si="31">H33*1.2035</f>
        <v>773.5155803125117</v>
      </c>
      <c r="M33" s="128">
        <f>I33*1.2035</f>
        <v>293.76891988748827</v>
      </c>
      <c r="N33" s="122">
        <f t="shared" ref="N33:N43" si="32">L33+M33</f>
        <v>1067.2845001999999</v>
      </c>
      <c r="O33" s="98"/>
      <c r="P33" s="86">
        <f t="shared" ref="P33:P43" si="33">U33*G33</f>
        <v>10.27697013006</v>
      </c>
      <c r="Q33" s="86">
        <f t="shared" ref="Q33:Q43" si="34">V33*G33</f>
        <v>3.9030298699399997</v>
      </c>
      <c r="R33" s="80">
        <f t="shared" ref="R33:R43" si="35">P33+Q33</f>
        <v>14.18</v>
      </c>
      <c r="T33" s="110">
        <f t="shared" ref="T33:T43" si="36">C33</f>
        <v>92759</v>
      </c>
      <c r="U33" s="111">
        <f t="shared" ref="U33:U65" si="37">1-V33</f>
        <v>0.72475106700000003</v>
      </c>
      <c r="V33" s="107">
        <f>0.275248933</f>
        <v>0.27524893299999997</v>
      </c>
    </row>
    <row r="34" spans="1:22" s="7" customFormat="1" ht="34.9" customHeight="1" x14ac:dyDescent="0.2">
      <c r="A34" s="183" t="s">
        <v>30</v>
      </c>
      <c r="B34" s="147" t="s">
        <v>5</v>
      </c>
      <c r="C34" s="150">
        <v>92762</v>
      </c>
      <c r="D34" s="153" t="s">
        <v>113</v>
      </c>
      <c r="E34" s="147" t="s">
        <v>20</v>
      </c>
      <c r="F34" s="144">
        <v>182.14</v>
      </c>
      <c r="G34" s="140">
        <v>11.41</v>
      </c>
      <c r="H34" s="127">
        <f t="shared" si="28"/>
        <v>1874.2544192524936</v>
      </c>
      <c r="I34" s="138">
        <f t="shared" si="29"/>
        <v>203.96298074750638</v>
      </c>
      <c r="J34" s="133">
        <f t="shared" si="30"/>
        <v>2078.2174</v>
      </c>
      <c r="K34" s="132">
        <v>0.20349999999999999</v>
      </c>
      <c r="L34" s="127">
        <f t="shared" si="31"/>
        <v>2255.6651935703762</v>
      </c>
      <c r="M34" s="128">
        <f t="shared" ref="M34:M43" si="38">I34*1.2035</f>
        <v>245.46944732962393</v>
      </c>
      <c r="N34" s="122">
        <f t="shared" si="32"/>
        <v>2501.1346409000002</v>
      </c>
      <c r="O34" s="98"/>
      <c r="P34" s="86">
        <f t="shared" si="33"/>
        <v>10.29018567724</v>
      </c>
      <c r="Q34" s="86">
        <f t="shared" si="34"/>
        <v>1.1198143227599999</v>
      </c>
      <c r="R34" s="80">
        <f t="shared" si="35"/>
        <v>11.41</v>
      </c>
      <c r="T34" s="110">
        <f t="shared" si="36"/>
        <v>92762</v>
      </c>
      <c r="U34" s="111">
        <f t="shared" si="37"/>
        <v>0.90185676400000003</v>
      </c>
      <c r="V34" s="107">
        <v>9.8143235999999995E-2</v>
      </c>
    </row>
    <row r="35" spans="1:22" s="7" customFormat="1" ht="34.9" customHeight="1" x14ac:dyDescent="0.2">
      <c r="A35" s="167" t="s">
        <v>104</v>
      </c>
      <c r="B35" s="147" t="s">
        <v>5</v>
      </c>
      <c r="C35" s="150">
        <v>94965</v>
      </c>
      <c r="D35" s="155" t="s">
        <v>58</v>
      </c>
      <c r="E35" s="147" t="s">
        <v>4</v>
      </c>
      <c r="F35" s="144">
        <v>2.84</v>
      </c>
      <c r="G35" s="140">
        <v>489.57</v>
      </c>
      <c r="H35" s="127">
        <f t="shared" si="28"/>
        <v>1187.8495682486844</v>
      </c>
      <c r="I35" s="138">
        <f t="shared" si="29"/>
        <v>202.52923175131556</v>
      </c>
      <c r="J35" s="133">
        <f t="shared" si="30"/>
        <v>1390.3788</v>
      </c>
      <c r="K35" s="132">
        <v>0.20349999999999999</v>
      </c>
      <c r="L35" s="127">
        <f t="shared" si="31"/>
        <v>1429.5769553872917</v>
      </c>
      <c r="M35" s="128">
        <f t="shared" si="38"/>
        <v>243.74393041270829</v>
      </c>
      <c r="N35" s="122">
        <f t="shared" si="32"/>
        <v>1673.3208858</v>
      </c>
      <c r="O35" s="98"/>
      <c r="P35" s="86">
        <f t="shared" si="33"/>
        <v>418.25689022840999</v>
      </c>
      <c r="Q35" s="86">
        <f t="shared" si="34"/>
        <v>71.313109771589993</v>
      </c>
      <c r="R35" s="80">
        <f t="shared" si="35"/>
        <v>489.57</v>
      </c>
      <c r="T35" s="110">
        <f t="shared" si="36"/>
        <v>94965</v>
      </c>
      <c r="U35" s="111">
        <f t="shared" si="37"/>
        <v>0.85433521300000004</v>
      </c>
      <c r="V35" s="107">
        <v>0.14566478699999999</v>
      </c>
    </row>
    <row r="36" spans="1:22" s="7" customFormat="1" ht="34.9" customHeight="1" x14ac:dyDescent="0.2">
      <c r="A36" s="183" t="s">
        <v>105</v>
      </c>
      <c r="B36" s="148" t="s">
        <v>5</v>
      </c>
      <c r="C36" s="158">
        <v>92448</v>
      </c>
      <c r="D36" s="206" t="s">
        <v>244</v>
      </c>
      <c r="E36" s="148" t="s">
        <v>3</v>
      </c>
      <c r="F36" s="144">
        <v>40.22</v>
      </c>
      <c r="G36" s="140">
        <v>132.05000000000001</v>
      </c>
      <c r="H36" s="127">
        <f t="shared" si="28"/>
        <v>2959.3895925631523</v>
      </c>
      <c r="I36" s="138">
        <f t="shared" si="29"/>
        <v>2351.6614074368481</v>
      </c>
      <c r="J36" s="133">
        <f t="shared" si="30"/>
        <v>5311.0510000000004</v>
      </c>
      <c r="K36" s="132">
        <v>0.20349999999999999</v>
      </c>
      <c r="L36" s="127">
        <f t="shared" si="31"/>
        <v>3561.6253746497537</v>
      </c>
      <c r="M36" s="128">
        <f t="shared" si="38"/>
        <v>2830.2245038502465</v>
      </c>
      <c r="N36" s="122">
        <f t="shared" si="32"/>
        <v>6391.8498785000002</v>
      </c>
      <c r="O36" s="98"/>
      <c r="P36" s="86">
        <f t="shared" si="33"/>
        <v>73.580049541600005</v>
      </c>
      <c r="Q36" s="86">
        <f t="shared" si="34"/>
        <v>58.469950458400007</v>
      </c>
      <c r="R36" s="80">
        <f t="shared" si="35"/>
        <v>132.05000000000001</v>
      </c>
      <c r="T36" s="110">
        <f t="shared" si="36"/>
        <v>92448</v>
      </c>
      <c r="U36" s="111">
        <f t="shared" si="37"/>
        <v>0.557213552</v>
      </c>
      <c r="V36" s="107">
        <f>0.442786448</f>
        <v>0.442786448</v>
      </c>
    </row>
    <row r="37" spans="1:22" s="7" customFormat="1" ht="34.9" customHeight="1" x14ac:dyDescent="0.2">
      <c r="A37" s="167" t="s">
        <v>106</v>
      </c>
      <c r="B37" s="146" t="s">
        <v>5</v>
      </c>
      <c r="C37" s="159">
        <v>92759</v>
      </c>
      <c r="D37" s="153" t="s">
        <v>114</v>
      </c>
      <c r="E37" s="146" t="s">
        <v>20</v>
      </c>
      <c r="F37" s="144">
        <v>92.49</v>
      </c>
      <c r="G37" s="140">
        <v>14.18</v>
      </c>
      <c r="H37" s="127">
        <f t="shared" si="28"/>
        <v>950.51696732924938</v>
      </c>
      <c r="I37" s="138">
        <f t="shared" si="29"/>
        <v>360.99123267075055</v>
      </c>
      <c r="J37" s="133">
        <f t="shared" si="30"/>
        <v>1311.5082</v>
      </c>
      <c r="K37" s="132">
        <v>0.20349999999999999</v>
      </c>
      <c r="L37" s="127">
        <f t="shared" si="31"/>
        <v>1143.9471701807518</v>
      </c>
      <c r="M37" s="128">
        <f t="shared" si="38"/>
        <v>434.45294851924831</v>
      </c>
      <c r="N37" s="122">
        <f t="shared" si="32"/>
        <v>1578.4001187000001</v>
      </c>
      <c r="O37" s="98"/>
      <c r="P37" s="86">
        <f t="shared" si="33"/>
        <v>10.27697013006</v>
      </c>
      <c r="Q37" s="86">
        <f t="shared" si="34"/>
        <v>3.9030298699399997</v>
      </c>
      <c r="R37" s="80">
        <f t="shared" si="35"/>
        <v>14.18</v>
      </c>
      <c r="T37" s="110">
        <f t="shared" si="36"/>
        <v>92759</v>
      </c>
      <c r="U37" s="111">
        <f t="shared" si="37"/>
        <v>0.72475106700000003</v>
      </c>
      <c r="V37" s="107">
        <v>0.27524893299999997</v>
      </c>
    </row>
    <row r="38" spans="1:22" s="7" customFormat="1" ht="34.9" customHeight="1" x14ac:dyDescent="0.2">
      <c r="A38" s="183" t="s">
        <v>107</v>
      </c>
      <c r="B38" s="146" t="s">
        <v>5</v>
      </c>
      <c r="C38" s="159">
        <v>92762</v>
      </c>
      <c r="D38" s="153" t="s">
        <v>115</v>
      </c>
      <c r="E38" s="146" t="s">
        <v>20</v>
      </c>
      <c r="F38" s="144">
        <v>264.69</v>
      </c>
      <c r="G38" s="140">
        <v>11.41</v>
      </c>
      <c r="H38" s="127">
        <f t="shared" si="28"/>
        <v>2723.7092469086556</v>
      </c>
      <c r="I38" s="138">
        <f t="shared" si="29"/>
        <v>296.40365309134438</v>
      </c>
      <c r="J38" s="133">
        <f t="shared" si="30"/>
        <v>3020.1129000000001</v>
      </c>
      <c r="K38" s="132">
        <v>0.20349999999999999</v>
      </c>
      <c r="L38" s="127">
        <f t="shared" si="31"/>
        <v>3277.9840786545669</v>
      </c>
      <c r="M38" s="128">
        <f t="shared" si="38"/>
        <v>356.72179649543295</v>
      </c>
      <c r="N38" s="122">
        <f t="shared" si="32"/>
        <v>3634.7058751499999</v>
      </c>
      <c r="O38" s="98"/>
      <c r="P38" s="86">
        <f t="shared" si="33"/>
        <v>10.29018567724</v>
      </c>
      <c r="Q38" s="86">
        <f t="shared" si="34"/>
        <v>1.1198143227599999</v>
      </c>
      <c r="R38" s="80">
        <f t="shared" si="35"/>
        <v>11.41</v>
      </c>
      <c r="T38" s="110">
        <f t="shared" si="36"/>
        <v>92762</v>
      </c>
      <c r="U38" s="111">
        <f t="shared" si="37"/>
        <v>0.90185676400000003</v>
      </c>
      <c r="V38" s="107">
        <v>9.8143235999999995E-2</v>
      </c>
    </row>
    <row r="39" spans="1:22" s="7" customFormat="1" ht="34.9" customHeight="1" x14ac:dyDescent="0.2">
      <c r="A39" s="167" t="s">
        <v>108</v>
      </c>
      <c r="B39" s="146" t="s">
        <v>5</v>
      </c>
      <c r="C39" s="156">
        <v>94965</v>
      </c>
      <c r="D39" s="153" t="s">
        <v>116</v>
      </c>
      <c r="E39" s="146" t="s">
        <v>4</v>
      </c>
      <c r="F39" s="144">
        <v>4.83</v>
      </c>
      <c r="G39" s="140">
        <v>489.57</v>
      </c>
      <c r="H39" s="127">
        <f t="shared" si="28"/>
        <v>2020.1807798032203</v>
      </c>
      <c r="I39" s="138">
        <f t="shared" si="29"/>
        <v>344.44232019677969</v>
      </c>
      <c r="J39" s="133">
        <f t="shared" si="30"/>
        <v>2364.6230999999998</v>
      </c>
      <c r="K39" s="132">
        <v>0.20349999999999999</v>
      </c>
      <c r="L39" s="127">
        <f t="shared" si="31"/>
        <v>2431.2875684931755</v>
      </c>
      <c r="M39" s="128">
        <f t="shared" si="38"/>
        <v>414.53633235682435</v>
      </c>
      <c r="N39" s="122">
        <f t="shared" si="32"/>
        <v>2845.82390085</v>
      </c>
      <c r="O39" s="98"/>
      <c r="P39" s="86">
        <f t="shared" si="33"/>
        <v>418.25689022840999</v>
      </c>
      <c r="Q39" s="86">
        <f t="shared" si="34"/>
        <v>71.313109771589993</v>
      </c>
      <c r="R39" s="80">
        <f t="shared" si="35"/>
        <v>489.57</v>
      </c>
      <c r="T39" s="110">
        <f t="shared" si="36"/>
        <v>94965</v>
      </c>
      <c r="U39" s="111">
        <f t="shared" si="37"/>
        <v>0.85433521300000004</v>
      </c>
      <c r="V39" s="107">
        <v>0.14566478699999999</v>
      </c>
    </row>
    <row r="40" spans="1:22" s="7" customFormat="1" ht="34.9" customHeight="1" x14ac:dyDescent="0.2">
      <c r="A40" s="183" t="s">
        <v>109</v>
      </c>
      <c r="B40" s="146" t="s">
        <v>5</v>
      </c>
      <c r="C40" s="159">
        <v>93184</v>
      </c>
      <c r="D40" s="153" t="s">
        <v>117</v>
      </c>
      <c r="E40" s="146" t="s">
        <v>118</v>
      </c>
      <c r="F40" s="144">
        <v>9.1</v>
      </c>
      <c r="G40" s="140">
        <v>29.81</v>
      </c>
      <c r="H40" s="127">
        <f t="shared" si="28"/>
        <v>194.18853018064496</v>
      </c>
      <c r="I40" s="138">
        <f t="shared" si="29"/>
        <v>77.082469819354998</v>
      </c>
      <c r="J40" s="133">
        <f t="shared" si="30"/>
        <v>271.27099999999996</v>
      </c>
      <c r="K40" s="132">
        <v>0.20349999999999999</v>
      </c>
      <c r="L40" s="127">
        <f t="shared" si="31"/>
        <v>233.7058960724062</v>
      </c>
      <c r="M40" s="128">
        <f t="shared" si="38"/>
        <v>92.768752427593739</v>
      </c>
      <c r="N40" s="122">
        <f t="shared" si="32"/>
        <v>326.47464849999994</v>
      </c>
      <c r="O40" s="98"/>
      <c r="P40" s="86">
        <f t="shared" si="33"/>
        <v>21.339398920949996</v>
      </c>
      <c r="Q40" s="86">
        <f t="shared" si="34"/>
        <v>8.4706010790500006</v>
      </c>
      <c r="R40" s="80">
        <f t="shared" si="35"/>
        <v>29.809999999999995</v>
      </c>
      <c r="T40" s="110">
        <f t="shared" si="36"/>
        <v>93184</v>
      </c>
      <c r="U40" s="111">
        <f t="shared" si="37"/>
        <v>0.71584699499999993</v>
      </c>
      <c r="V40" s="107">
        <v>0.28415300500000001</v>
      </c>
    </row>
    <row r="41" spans="1:22" s="7" customFormat="1" ht="34.9" customHeight="1" x14ac:dyDescent="0.2">
      <c r="A41" s="167" t="s">
        <v>110</v>
      </c>
      <c r="B41" s="146" t="s">
        <v>5</v>
      </c>
      <c r="C41" s="159">
        <v>93185</v>
      </c>
      <c r="D41" s="26" t="s">
        <v>166</v>
      </c>
      <c r="E41" s="146" t="s">
        <v>118</v>
      </c>
      <c r="F41" s="144">
        <v>4.5999999999999996</v>
      </c>
      <c r="G41" s="140">
        <v>49.87</v>
      </c>
      <c r="H41" s="127">
        <f t="shared" ref="H41" si="39">(U41*G41)*F41</f>
        <v>181.28058333210001</v>
      </c>
      <c r="I41" s="138">
        <f t="shared" ref="I41" si="40">(V41*G41)*F41</f>
        <v>48.121416667899993</v>
      </c>
      <c r="J41" s="133">
        <f t="shared" ref="J41" si="41">H41+I41</f>
        <v>229.40199999999999</v>
      </c>
      <c r="K41" s="132">
        <v>0.20349999999999999</v>
      </c>
      <c r="L41" s="127">
        <f t="shared" ref="L41" si="42">H41*1.2035</f>
        <v>218.17118204018237</v>
      </c>
      <c r="M41" s="128">
        <f t="shared" si="38"/>
        <v>57.914124959817642</v>
      </c>
      <c r="N41" s="122">
        <f t="shared" ref="N41" si="43">L41+M41</f>
        <v>276.085307</v>
      </c>
      <c r="O41" s="98"/>
      <c r="P41" s="86">
        <f t="shared" ref="P41" si="44">U41*G41</f>
        <v>39.408822463500002</v>
      </c>
      <c r="Q41" s="86">
        <f t="shared" ref="Q41" si="45">V41*G41</f>
        <v>10.461177536499999</v>
      </c>
      <c r="R41" s="80">
        <f t="shared" ref="R41" si="46">P41+Q41</f>
        <v>49.870000000000005</v>
      </c>
      <c r="T41" s="110">
        <f t="shared" ref="T41" si="47">C41</f>
        <v>93185</v>
      </c>
      <c r="U41" s="111">
        <f t="shared" ref="U41" si="48">1-V41</f>
        <v>0.79023105000000005</v>
      </c>
      <c r="V41" s="107">
        <f>0.20976895</f>
        <v>0.20976895000000001</v>
      </c>
    </row>
    <row r="42" spans="1:22" s="7" customFormat="1" ht="34.9" customHeight="1" x14ac:dyDescent="0.2">
      <c r="A42" s="183" t="s">
        <v>111</v>
      </c>
      <c r="B42" s="146" t="s">
        <v>5</v>
      </c>
      <c r="C42" s="159">
        <v>93186</v>
      </c>
      <c r="D42" s="153" t="s">
        <v>119</v>
      </c>
      <c r="E42" s="146" t="s">
        <v>118</v>
      </c>
      <c r="F42" s="144">
        <v>19.5</v>
      </c>
      <c r="G42" s="140">
        <v>72.48</v>
      </c>
      <c r="H42" s="127">
        <f t="shared" si="28"/>
        <v>982.01242010664009</v>
      </c>
      <c r="I42" s="138">
        <f t="shared" si="29"/>
        <v>431.34757989336009</v>
      </c>
      <c r="J42" s="133">
        <f t="shared" si="30"/>
        <v>1413.3600000000001</v>
      </c>
      <c r="K42" s="132">
        <v>0.20349999999999999</v>
      </c>
      <c r="L42" s="127">
        <f t="shared" si="31"/>
        <v>1181.8519475983414</v>
      </c>
      <c r="M42" s="128">
        <f t="shared" si="38"/>
        <v>519.12681240165887</v>
      </c>
      <c r="N42" s="122">
        <f t="shared" si="32"/>
        <v>1700.9787600000004</v>
      </c>
      <c r="O42" s="98"/>
      <c r="P42" s="86">
        <f t="shared" si="33"/>
        <v>50.359611287520003</v>
      </c>
      <c r="Q42" s="86">
        <f t="shared" si="34"/>
        <v>22.120388712480004</v>
      </c>
      <c r="R42" s="80">
        <f t="shared" si="35"/>
        <v>72.48</v>
      </c>
      <c r="T42" s="110">
        <f t="shared" si="36"/>
        <v>93186</v>
      </c>
      <c r="U42" s="111">
        <f t="shared" si="37"/>
        <v>0.69480699899999998</v>
      </c>
      <c r="V42" s="107">
        <v>0.30519300100000002</v>
      </c>
    </row>
    <row r="43" spans="1:22" s="7" customFormat="1" ht="34.9" customHeight="1" thickBot="1" x14ac:dyDescent="0.25">
      <c r="A43" s="167" t="s">
        <v>165</v>
      </c>
      <c r="B43" s="165" t="s">
        <v>5</v>
      </c>
      <c r="C43" s="186">
        <v>93196</v>
      </c>
      <c r="D43" s="170" t="s">
        <v>120</v>
      </c>
      <c r="E43" s="165" t="s">
        <v>118</v>
      </c>
      <c r="F43" s="187">
        <v>19.5</v>
      </c>
      <c r="G43" s="141">
        <v>70</v>
      </c>
      <c r="H43" s="174">
        <f t="shared" si="28"/>
        <v>933.554789895</v>
      </c>
      <c r="I43" s="175">
        <f t="shared" si="29"/>
        <v>431.44521010499994</v>
      </c>
      <c r="J43" s="176">
        <f t="shared" si="30"/>
        <v>1365</v>
      </c>
      <c r="K43" s="177">
        <v>0.20349999999999999</v>
      </c>
      <c r="L43" s="174">
        <f t="shared" si="31"/>
        <v>1123.5331896386326</v>
      </c>
      <c r="M43" s="128">
        <f t="shared" si="38"/>
        <v>519.24431036136741</v>
      </c>
      <c r="N43" s="179">
        <f t="shared" si="32"/>
        <v>1642.7775000000001</v>
      </c>
      <c r="O43" s="98"/>
      <c r="P43" s="86">
        <f t="shared" si="33"/>
        <v>47.874604609999999</v>
      </c>
      <c r="Q43" s="86">
        <f t="shared" si="34"/>
        <v>22.125395389999998</v>
      </c>
      <c r="R43" s="80">
        <f t="shared" si="35"/>
        <v>70</v>
      </c>
      <c r="T43" s="110">
        <f t="shared" si="36"/>
        <v>93196</v>
      </c>
      <c r="U43" s="111">
        <f t="shared" si="37"/>
        <v>0.68392292300000002</v>
      </c>
      <c r="V43" s="107">
        <v>0.31607707699999998</v>
      </c>
    </row>
    <row r="44" spans="1:22" s="7" customFormat="1" ht="15" customHeight="1" thickBot="1" x14ac:dyDescent="0.25">
      <c r="A44" s="130" t="s">
        <v>31</v>
      </c>
      <c r="B44" s="202"/>
      <c r="C44" s="137" t="s">
        <v>71</v>
      </c>
      <c r="D44" s="123"/>
      <c r="E44" s="123"/>
      <c r="F44" s="123"/>
      <c r="G44" s="123"/>
      <c r="H44" s="123"/>
      <c r="I44" s="123"/>
      <c r="J44" s="123"/>
      <c r="K44" s="131"/>
      <c r="L44" s="196">
        <f>L45</f>
        <v>15494.872872987884</v>
      </c>
      <c r="M44" s="125">
        <f>M45</f>
        <v>15344.055218512114</v>
      </c>
      <c r="N44" s="171">
        <f>N45</f>
        <v>30838.928091499998</v>
      </c>
      <c r="O44" s="97">
        <f>L44+M44</f>
        <v>30838.928091499998</v>
      </c>
      <c r="P44" s="85"/>
      <c r="Q44" s="85"/>
      <c r="R44" s="79"/>
      <c r="T44" s="108"/>
      <c r="U44" s="109"/>
      <c r="V44" s="109"/>
    </row>
    <row r="45" spans="1:22" s="7" customFormat="1" ht="34.9" customHeight="1" thickBot="1" x14ac:dyDescent="0.25">
      <c r="A45" s="189" t="s">
        <v>64</v>
      </c>
      <c r="B45" s="190" t="s">
        <v>5</v>
      </c>
      <c r="C45" s="191">
        <v>103334</v>
      </c>
      <c r="D45" s="227" t="s">
        <v>240</v>
      </c>
      <c r="E45" s="190" t="s">
        <v>3</v>
      </c>
      <c r="F45" s="192">
        <f>174.45+7</f>
        <v>181.45</v>
      </c>
      <c r="G45" s="193">
        <v>141.22</v>
      </c>
      <c r="H45" s="127">
        <f>(U45*G45)*F45</f>
        <v>12874.842437048512</v>
      </c>
      <c r="I45" s="138">
        <f>(V45*G45)*F45</f>
        <v>12749.526562951487</v>
      </c>
      <c r="J45" s="133">
        <f>H45+I45</f>
        <v>25624.368999999999</v>
      </c>
      <c r="K45" s="132">
        <v>0.20349999999999999</v>
      </c>
      <c r="L45" s="127">
        <f>H45*1.2035</f>
        <v>15494.872872987884</v>
      </c>
      <c r="M45" s="128">
        <f>I45*1.2035</f>
        <v>15344.055218512114</v>
      </c>
      <c r="N45" s="185">
        <f>L45+M45</f>
        <v>30838.928091499998</v>
      </c>
      <c r="O45" s="98"/>
      <c r="P45" s="86">
        <f t="shared" ref="P45" si="49">U45*G45</f>
        <v>70.955317922559999</v>
      </c>
      <c r="Q45" s="86">
        <f t="shared" ref="Q45" si="50">V45*G45</f>
        <v>70.26468207744</v>
      </c>
      <c r="R45" s="80">
        <f t="shared" ref="R45" si="51">P45+Q45</f>
        <v>141.22</v>
      </c>
      <c r="T45" s="110">
        <f t="shared" ref="T45" si="52">C45</f>
        <v>103334</v>
      </c>
      <c r="U45" s="111">
        <f t="shared" si="37"/>
        <v>0.50244524800000001</v>
      </c>
      <c r="V45" s="107">
        <f>0.497554752</f>
        <v>0.49755475199999999</v>
      </c>
    </row>
    <row r="46" spans="1:22" s="7" customFormat="1" ht="15" customHeight="1" thickBot="1" x14ac:dyDescent="0.25">
      <c r="A46" s="130" t="s">
        <v>73</v>
      </c>
      <c r="B46" s="202"/>
      <c r="C46" s="137" t="s">
        <v>72</v>
      </c>
      <c r="D46" s="123"/>
      <c r="E46" s="123"/>
      <c r="F46" s="123"/>
      <c r="G46" s="123"/>
      <c r="H46" s="123"/>
      <c r="I46" s="123"/>
      <c r="J46" s="123"/>
      <c r="K46" s="131"/>
      <c r="L46" s="171">
        <f>L47+L48+L49+L50+L51+L52+L53+L54+L55+L56</f>
        <v>37027.934896127917</v>
      </c>
      <c r="M46" s="171">
        <f>M47+M48+M49+M50+M51+M52+M53+M54+M55+M56</f>
        <v>12131.949515872093</v>
      </c>
      <c r="N46" s="171">
        <f>N47+N48+N49+N50+N51+N52+N53+N54+N55+N56</f>
        <v>49159.884412000014</v>
      </c>
      <c r="O46" s="97">
        <f>L46+M46</f>
        <v>49159.884412000014</v>
      </c>
      <c r="P46" s="85"/>
      <c r="Q46" s="85"/>
      <c r="R46" s="79"/>
      <c r="T46" s="108"/>
      <c r="U46" s="109"/>
      <c r="V46" s="109"/>
    </row>
    <row r="47" spans="1:22" s="7" customFormat="1" ht="34.9" customHeight="1" x14ac:dyDescent="0.2">
      <c r="A47" s="194" t="s">
        <v>121</v>
      </c>
      <c r="B47" s="151" t="s">
        <v>5</v>
      </c>
      <c r="C47" s="195" t="s">
        <v>122</v>
      </c>
      <c r="D47" s="152" t="s">
        <v>123</v>
      </c>
      <c r="E47" s="151" t="s">
        <v>85</v>
      </c>
      <c r="F47" s="168">
        <v>16</v>
      </c>
      <c r="G47" s="181">
        <v>1022.8</v>
      </c>
      <c r="H47" s="127">
        <f>(U47*G47)*F47</f>
        <v>10169.067327712</v>
      </c>
      <c r="I47" s="138">
        <f>(V47*G47)*F47</f>
        <v>6195.7326722879998</v>
      </c>
      <c r="J47" s="133">
        <f>H47+I47</f>
        <v>16364.8</v>
      </c>
      <c r="K47" s="132">
        <v>0.20349999999999999</v>
      </c>
      <c r="L47" s="127">
        <f>H47*1.2035</f>
        <v>12238.472528901393</v>
      </c>
      <c r="M47" s="128">
        <f>I47*1.2035</f>
        <v>7456.5642710986076</v>
      </c>
      <c r="N47" s="197">
        <f>L47+M47</f>
        <v>19695.036800000002</v>
      </c>
      <c r="O47" s="98"/>
      <c r="P47" s="86">
        <f t="shared" ref="P47" si="53">U47*G47</f>
        <v>635.56670798200003</v>
      </c>
      <c r="Q47" s="86">
        <f t="shared" ref="Q47" si="54">V47*G47</f>
        <v>387.23329201799999</v>
      </c>
      <c r="R47" s="80">
        <f t="shared" ref="R47" si="55">P47+Q47</f>
        <v>1022.8</v>
      </c>
      <c r="T47" s="110" t="str">
        <f t="shared" ref="T47" si="56">C47</f>
        <v>92557</v>
      </c>
      <c r="U47" s="111">
        <f t="shared" si="37"/>
        <v>0.62139881500000005</v>
      </c>
      <c r="V47" s="107">
        <f>0.378601185</f>
        <v>0.37860118500000001</v>
      </c>
    </row>
    <row r="48" spans="1:22" s="7" customFormat="1" ht="34.9" customHeight="1" x14ac:dyDescent="0.2">
      <c r="A48" s="166" t="s">
        <v>124</v>
      </c>
      <c r="B48" s="146" t="s">
        <v>5</v>
      </c>
      <c r="C48" s="156">
        <v>92543</v>
      </c>
      <c r="D48" s="153" t="s">
        <v>125</v>
      </c>
      <c r="E48" s="146" t="s">
        <v>3</v>
      </c>
      <c r="F48" s="143">
        <v>119.7</v>
      </c>
      <c r="G48" s="140">
        <v>16.05</v>
      </c>
      <c r="H48" s="127">
        <f t="shared" ref="H48:H56" si="57">(U48*G48)*F48</f>
        <v>1456.9087009749303</v>
      </c>
      <c r="I48" s="138">
        <f t="shared" ref="I48:I56" si="58">(V48*G48)*F48</f>
        <v>464.27629902506999</v>
      </c>
      <c r="J48" s="133">
        <f t="shared" ref="J48:J56" si="59">H48+I48</f>
        <v>1921.1850000000004</v>
      </c>
      <c r="K48" s="132">
        <v>0.20349999999999999</v>
      </c>
      <c r="L48" s="127">
        <f t="shared" ref="L48:L56" si="60">H48*1.2035</f>
        <v>1753.3896216233286</v>
      </c>
      <c r="M48" s="128">
        <f t="shared" ref="M48:M56" si="61">I48*1.2035</f>
        <v>558.75652587667173</v>
      </c>
      <c r="N48" s="122">
        <f t="shared" ref="N48:N56" si="62">L48+M48</f>
        <v>2312.1461475000006</v>
      </c>
      <c r="O48" s="98"/>
      <c r="P48" s="86">
        <f t="shared" ref="P48:P56" si="63">U48*G48</f>
        <v>12.171334176900002</v>
      </c>
      <c r="Q48" s="86">
        <f t="shared" ref="Q48:Q56" si="64">V48*G48</f>
        <v>3.8786658231</v>
      </c>
      <c r="R48" s="80">
        <f t="shared" ref="R48:R56" si="65">P48+Q48</f>
        <v>16.05</v>
      </c>
      <c r="T48" s="110">
        <f t="shared" ref="T48:T56" si="66">C48</f>
        <v>92543</v>
      </c>
      <c r="U48" s="111">
        <f t="shared" si="37"/>
        <v>0.75833857800000004</v>
      </c>
      <c r="V48" s="107">
        <f>0.241661422</f>
        <v>0.24166142199999999</v>
      </c>
    </row>
    <row r="49" spans="1:22" s="7" customFormat="1" ht="34.9" customHeight="1" x14ac:dyDescent="0.2">
      <c r="A49" s="194" t="s">
        <v>126</v>
      </c>
      <c r="B49" s="146" t="s">
        <v>5</v>
      </c>
      <c r="C49" s="156">
        <v>94207</v>
      </c>
      <c r="D49" s="153" t="s">
        <v>127</v>
      </c>
      <c r="E49" s="146" t="s">
        <v>3</v>
      </c>
      <c r="F49" s="143">
        <v>119.7</v>
      </c>
      <c r="G49" s="140">
        <v>50.05</v>
      </c>
      <c r="H49" s="127">
        <f t="shared" si="57"/>
        <v>5376.5250033795292</v>
      </c>
      <c r="I49" s="138">
        <f t="shared" si="58"/>
        <v>614.45999662046995</v>
      </c>
      <c r="J49" s="133">
        <f t="shared" si="59"/>
        <v>5990.9849999999988</v>
      </c>
      <c r="K49" s="132">
        <v>0.20349999999999999</v>
      </c>
      <c r="L49" s="127">
        <f t="shared" si="60"/>
        <v>6470.6478415672636</v>
      </c>
      <c r="M49" s="128">
        <f t="shared" si="61"/>
        <v>739.50260593273561</v>
      </c>
      <c r="N49" s="122">
        <f t="shared" si="62"/>
        <v>7210.1504474999992</v>
      </c>
      <c r="O49" s="98"/>
      <c r="P49" s="86">
        <f t="shared" si="63"/>
        <v>44.916666694899995</v>
      </c>
      <c r="Q49" s="86">
        <f t="shared" si="64"/>
        <v>5.1333333050999999</v>
      </c>
      <c r="R49" s="80">
        <f t="shared" si="65"/>
        <v>50.05</v>
      </c>
      <c r="T49" s="110">
        <f t="shared" si="66"/>
        <v>94207</v>
      </c>
      <c r="U49" s="111">
        <f t="shared" si="37"/>
        <v>0.89743589800000001</v>
      </c>
      <c r="V49" s="107">
        <f>0.102564102</f>
        <v>0.102564102</v>
      </c>
    </row>
    <row r="50" spans="1:22" s="7" customFormat="1" ht="34.9" customHeight="1" x14ac:dyDescent="0.2">
      <c r="A50" s="166" t="s">
        <v>128</v>
      </c>
      <c r="B50" s="146" t="s">
        <v>5</v>
      </c>
      <c r="C50" s="156">
        <v>94223</v>
      </c>
      <c r="D50" s="153" t="s">
        <v>129</v>
      </c>
      <c r="E50" s="146" t="s">
        <v>118</v>
      </c>
      <c r="F50" s="143">
        <v>18</v>
      </c>
      <c r="G50" s="140">
        <v>86.41</v>
      </c>
      <c r="H50" s="127">
        <f t="shared" si="57"/>
        <v>1509.7925198978999</v>
      </c>
      <c r="I50" s="138">
        <f t="shared" si="58"/>
        <v>45.587480102099995</v>
      </c>
      <c r="J50" s="133">
        <f t="shared" si="59"/>
        <v>1555.3799999999999</v>
      </c>
      <c r="K50" s="132">
        <v>0.20349999999999999</v>
      </c>
      <c r="L50" s="127">
        <f t="shared" si="60"/>
        <v>1817.0352976971226</v>
      </c>
      <c r="M50" s="128">
        <f t="shared" si="61"/>
        <v>54.864532302877343</v>
      </c>
      <c r="N50" s="122">
        <f t="shared" si="62"/>
        <v>1871.8998299999998</v>
      </c>
      <c r="O50" s="98"/>
      <c r="P50" s="86">
        <f t="shared" si="63"/>
        <v>83.877362216549997</v>
      </c>
      <c r="Q50" s="86">
        <f t="shared" si="64"/>
        <v>2.5326377834499998</v>
      </c>
      <c r="R50" s="80">
        <f t="shared" si="65"/>
        <v>86.41</v>
      </c>
      <c r="T50" s="110">
        <f t="shared" si="66"/>
        <v>94223</v>
      </c>
      <c r="U50" s="111">
        <f t="shared" si="37"/>
        <v>0.97069045499999995</v>
      </c>
      <c r="V50" s="107">
        <f>0.029309545</f>
        <v>2.9309544999999999E-2</v>
      </c>
    </row>
    <row r="51" spans="1:22" s="7" customFormat="1" ht="34.9" customHeight="1" x14ac:dyDescent="0.2">
      <c r="A51" s="194" t="s">
        <v>130</v>
      </c>
      <c r="B51" s="146" t="s">
        <v>5</v>
      </c>
      <c r="C51" s="156">
        <v>102233</v>
      </c>
      <c r="D51" s="153" t="s">
        <v>132</v>
      </c>
      <c r="E51" s="146" t="s">
        <v>3</v>
      </c>
      <c r="F51" s="143">
        <f>3.6*16</f>
        <v>57.6</v>
      </c>
      <c r="G51" s="140">
        <v>12.37</v>
      </c>
      <c r="H51" s="127">
        <f t="shared" si="57"/>
        <v>438.24684635020805</v>
      </c>
      <c r="I51" s="138">
        <f t="shared" si="58"/>
        <v>274.26515364979196</v>
      </c>
      <c r="J51" s="133">
        <f t="shared" si="59"/>
        <v>712.51199999999994</v>
      </c>
      <c r="K51" s="132">
        <v>0.20349999999999999</v>
      </c>
      <c r="L51" s="127">
        <f t="shared" si="60"/>
        <v>527.4300795824754</v>
      </c>
      <c r="M51" s="128">
        <f t="shared" si="61"/>
        <v>330.07811241752461</v>
      </c>
      <c r="N51" s="122">
        <f t="shared" si="62"/>
        <v>857.50819200000001</v>
      </c>
      <c r="O51" s="98"/>
      <c r="P51" s="86">
        <f t="shared" si="63"/>
        <v>7.6084521935800007</v>
      </c>
      <c r="Q51" s="86">
        <f t="shared" si="64"/>
        <v>4.7615478064199994</v>
      </c>
      <c r="R51" s="80">
        <f t="shared" si="65"/>
        <v>12.370000000000001</v>
      </c>
      <c r="T51" s="110">
        <f t="shared" si="66"/>
        <v>102233</v>
      </c>
      <c r="U51" s="111">
        <f t="shared" si="37"/>
        <v>0.61507293400000007</v>
      </c>
      <c r="V51" s="107">
        <f>0.384927066</f>
        <v>0.38492706599999998</v>
      </c>
    </row>
    <row r="52" spans="1:22" s="7" customFormat="1" ht="34.9" customHeight="1" x14ac:dyDescent="0.2">
      <c r="A52" s="166" t="s">
        <v>131</v>
      </c>
      <c r="B52" s="146" t="s">
        <v>5</v>
      </c>
      <c r="C52" s="156">
        <v>94229</v>
      </c>
      <c r="D52" s="153" t="s">
        <v>134</v>
      </c>
      <c r="E52" s="146" t="s">
        <v>118</v>
      </c>
      <c r="F52" s="143">
        <v>18</v>
      </c>
      <c r="G52" s="140">
        <v>193.02</v>
      </c>
      <c r="H52" s="127">
        <f t="shared" si="57"/>
        <v>3071.5878648056405</v>
      </c>
      <c r="I52" s="138">
        <f t="shared" si="58"/>
        <v>402.77213519436003</v>
      </c>
      <c r="J52" s="133">
        <f t="shared" si="59"/>
        <v>3474.3600000000006</v>
      </c>
      <c r="K52" s="132">
        <v>0.20349999999999999</v>
      </c>
      <c r="L52" s="127">
        <f t="shared" si="60"/>
        <v>3696.6559952935886</v>
      </c>
      <c r="M52" s="128">
        <f t="shared" si="61"/>
        <v>484.73626470641233</v>
      </c>
      <c r="N52" s="122">
        <f t="shared" si="62"/>
        <v>4181.3922600000005</v>
      </c>
      <c r="O52" s="98"/>
      <c r="P52" s="86">
        <f t="shared" si="63"/>
        <v>170.64377026698003</v>
      </c>
      <c r="Q52" s="86">
        <f t="shared" si="64"/>
        <v>22.376229733020001</v>
      </c>
      <c r="R52" s="80">
        <f t="shared" si="65"/>
        <v>193.02000000000004</v>
      </c>
      <c r="T52" s="110">
        <f t="shared" si="66"/>
        <v>94229</v>
      </c>
      <c r="U52" s="111">
        <f t="shared" si="37"/>
        <v>0.88407299900000003</v>
      </c>
      <c r="V52" s="107">
        <f>0.115927001</f>
        <v>0.115927001</v>
      </c>
    </row>
    <row r="53" spans="1:22" s="7" customFormat="1" ht="34.9" customHeight="1" x14ac:dyDescent="0.2">
      <c r="A53" s="194" t="s">
        <v>133</v>
      </c>
      <c r="B53" s="146" t="s">
        <v>83</v>
      </c>
      <c r="C53" s="156">
        <v>12614</v>
      </c>
      <c r="D53" s="153" t="s">
        <v>136</v>
      </c>
      <c r="E53" s="146" t="s">
        <v>85</v>
      </c>
      <c r="F53" s="143">
        <v>2</v>
      </c>
      <c r="G53" s="140">
        <v>61.8</v>
      </c>
      <c r="H53" s="127">
        <f t="shared" si="57"/>
        <v>123.6</v>
      </c>
      <c r="I53" s="138">
        <f t="shared" si="58"/>
        <v>0</v>
      </c>
      <c r="J53" s="133">
        <f t="shared" si="59"/>
        <v>123.6</v>
      </c>
      <c r="K53" s="132">
        <v>0.20349999999999999</v>
      </c>
      <c r="L53" s="127">
        <f t="shared" si="60"/>
        <v>148.7526</v>
      </c>
      <c r="M53" s="128">
        <f t="shared" si="61"/>
        <v>0</v>
      </c>
      <c r="N53" s="122">
        <f t="shared" si="62"/>
        <v>148.7526</v>
      </c>
      <c r="O53" s="98"/>
      <c r="P53" s="86">
        <f t="shared" si="63"/>
        <v>61.8</v>
      </c>
      <c r="Q53" s="86">
        <f t="shared" si="64"/>
        <v>0</v>
      </c>
      <c r="R53" s="80">
        <f t="shared" si="65"/>
        <v>61.8</v>
      </c>
      <c r="T53" s="110">
        <f t="shared" si="66"/>
        <v>12614</v>
      </c>
      <c r="U53" s="111">
        <f t="shared" si="37"/>
        <v>1</v>
      </c>
      <c r="V53" s="107">
        <f>0</f>
        <v>0</v>
      </c>
    </row>
    <row r="54" spans="1:22" s="7" customFormat="1" ht="34.9" customHeight="1" x14ac:dyDescent="0.2">
      <c r="A54" s="166" t="s">
        <v>135</v>
      </c>
      <c r="B54" s="146" t="s">
        <v>5</v>
      </c>
      <c r="C54" s="156">
        <v>89578</v>
      </c>
      <c r="D54" s="153" t="s">
        <v>138</v>
      </c>
      <c r="E54" s="146" t="s">
        <v>118</v>
      </c>
      <c r="F54" s="143">
        <v>8</v>
      </c>
      <c r="G54" s="140">
        <v>37.4</v>
      </c>
      <c r="H54" s="127">
        <f t="shared" si="57"/>
        <v>272.98392306239998</v>
      </c>
      <c r="I54" s="138">
        <f t="shared" si="58"/>
        <v>26.2160769376</v>
      </c>
      <c r="J54" s="133">
        <f t="shared" si="59"/>
        <v>299.2</v>
      </c>
      <c r="K54" s="132">
        <v>0.20349999999999999</v>
      </c>
      <c r="L54" s="127">
        <f t="shared" si="60"/>
        <v>328.53615140559839</v>
      </c>
      <c r="M54" s="128">
        <f t="shared" si="61"/>
        <v>31.5510485944016</v>
      </c>
      <c r="N54" s="122">
        <f t="shared" si="62"/>
        <v>360.0872</v>
      </c>
      <c r="O54" s="98"/>
      <c r="P54" s="86">
        <f t="shared" si="63"/>
        <v>34.122990382799998</v>
      </c>
      <c r="Q54" s="86">
        <f t="shared" si="64"/>
        <v>3.2770096172000001</v>
      </c>
      <c r="R54" s="80">
        <f t="shared" si="65"/>
        <v>37.4</v>
      </c>
      <c r="T54" s="110">
        <f t="shared" si="66"/>
        <v>89578</v>
      </c>
      <c r="U54" s="111">
        <f t="shared" si="37"/>
        <v>0.912379422</v>
      </c>
      <c r="V54" s="107">
        <f>0.087620578</f>
        <v>8.7620578000000005E-2</v>
      </c>
    </row>
    <row r="55" spans="1:22" s="7" customFormat="1" ht="34.9" customHeight="1" x14ac:dyDescent="0.2">
      <c r="A55" s="194" t="s">
        <v>137</v>
      </c>
      <c r="B55" s="149" t="s">
        <v>5</v>
      </c>
      <c r="C55" s="160">
        <v>96116</v>
      </c>
      <c r="D55" s="206" t="s">
        <v>241</v>
      </c>
      <c r="E55" s="146" t="s">
        <v>3</v>
      </c>
      <c r="F55" s="143">
        <v>109.5</v>
      </c>
      <c r="G55" s="140">
        <v>78.86</v>
      </c>
      <c r="H55" s="127">
        <f t="shared" si="57"/>
        <v>7178.2657659711913</v>
      </c>
      <c r="I55" s="138">
        <f t="shared" si="58"/>
        <v>1456.9042340288099</v>
      </c>
      <c r="J55" s="133">
        <f t="shared" si="59"/>
        <v>8635.1700000000019</v>
      </c>
      <c r="K55" s="132">
        <v>0.20349999999999999</v>
      </c>
      <c r="L55" s="127">
        <f t="shared" si="60"/>
        <v>8639.0428493463296</v>
      </c>
      <c r="M55" s="128">
        <f t="shared" si="61"/>
        <v>1753.3842456536727</v>
      </c>
      <c r="N55" s="122">
        <f t="shared" si="62"/>
        <v>10392.427095000003</v>
      </c>
      <c r="O55" s="98"/>
      <c r="P55" s="86">
        <f t="shared" si="63"/>
        <v>65.554938502020008</v>
      </c>
      <c r="Q55" s="86">
        <f t="shared" si="64"/>
        <v>13.305061497979999</v>
      </c>
      <c r="R55" s="80">
        <f t="shared" si="65"/>
        <v>78.860000000000014</v>
      </c>
      <c r="T55" s="110">
        <f t="shared" si="66"/>
        <v>96116</v>
      </c>
      <c r="U55" s="111">
        <f t="shared" si="37"/>
        <v>0.83128250700000006</v>
      </c>
      <c r="V55" s="107">
        <f>0.168717493</f>
        <v>0.168717493</v>
      </c>
    </row>
    <row r="56" spans="1:22" s="7" customFormat="1" ht="34.9" customHeight="1" thickBot="1" x14ac:dyDescent="0.25">
      <c r="A56" s="182" t="s">
        <v>139</v>
      </c>
      <c r="B56" s="148" t="s">
        <v>5</v>
      </c>
      <c r="C56" s="161">
        <v>96121</v>
      </c>
      <c r="D56" s="170" t="s">
        <v>140</v>
      </c>
      <c r="E56" s="190" t="s">
        <v>118</v>
      </c>
      <c r="F56" s="172">
        <v>128</v>
      </c>
      <c r="G56" s="141">
        <v>13.83</v>
      </c>
      <c r="H56" s="174">
        <f t="shared" si="57"/>
        <v>1169.89774051584</v>
      </c>
      <c r="I56" s="175">
        <f t="shared" si="58"/>
        <v>600.34225948415997</v>
      </c>
      <c r="J56" s="176">
        <f t="shared" si="59"/>
        <v>1770.24</v>
      </c>
      <c r="K56" s="177">
        <v>0.20349999999999999</v>
      </c>
      <c r="L56" s="174">
        <f t="shared" si="60"/>
        <v>1407.9719307108135</v>
      </c>
      <c r="M56" s="128">
        <f t="shared" si="61"/>
        <v>722.51190928918652</v>
      </c>
      <c r="N56" s="179">
        <f t="shared" si="62"/>
        <v>2130.4838399999999</v>
      </c>
      <c r="O56" s="98"/>
      <c r="P56" s="86">
        <f t="shared" si="63"/>
        <v>9.1398260977800003</v>
      </c>
      <c r="Q56" s="86">
        <f t="shared" si="64"/>
        <v>4.6901739022199997</v>
      </c>
      <c r="R56" s="80">
        <f t="shared" si="65"/>
        <v>13.83</v>
      </c>
      <c r="T56" s="110">
        <f t="shared" si="66"/>
        <v>96121</v>
      </c>
      <c r="U56" s="111">
        <f t="shared" si="37"/>
        <v>0.66086956600000002</v>
      </c>
      <c r="V56" s="107">
        <f>0.339130434</f>
        <v>0.33913043399999998</v>
      </c>
    </row>
    <row r="57" spans="1:22" s="7" customFormat="1" ht="15" customHeight="1" thickBot="1" x14ac:dyDescent="0.25">
      <c r="A57" s="130" t="s">
        <v>75</v>
      </c>
      <c r="B57" s="202"/>
      <c r="C57" s="129" t="s">
        <v>74</v>
      </c>
      <c r="D57" s="137"/>
      <c r="E57" s="123"/>
      <c r="F57" s="123"/>
      <c r="G57" s="200"/>
      <c r="H57" s="201"/>
      <c r="I57" s="201"/>
      <c r="J57" s="201"/>
      <c r="K57" s="199"/>
      <c r="L57" s="258">
        <f>L58+L59+L60+L61</f>
        <v>15973.633365448171</v>
      </c>
      <c r="M57" s="258">
        <f>M58+M59+M60+M61</f>
        <v>3798.097555201829</v>
      </c>
      <c r="N57" s="258">
        <f>N58+N59+N60+N61</f>
        <v>19771.730920650003</v>
      </c>
      <c r="O57" s="97">
        <f>L57+M57</f>
        <v>19771.730920649999</v>
      </c>
      <c r="P57" s="85"/>
      <c r="Q57" s="85"/>
      <c r="R57" s="79"/>
      <c r="T57" s="108"/>
      <c r="U57" s="109"/>
      <c r="V57" s="109"/>
    </row>
    <row r="58" spans="1:22" s="7" customFormat="1" ht="34.9" customHeight="1" x14ac:dyDescent="0.2">
      <c r="A58" s="183" t="s">
        <v>145</v>
      </c>
      <c r="B58" s="149" t="s">
        <v>5</v>
      </c>
      <c r="C58" s="198">
        <v>96622</v>
      </c>
      <c r="D58" s="152" t="s">
        <v>141</v>
      </c>
      <c r="E58" s="198" t="s">
        <v>4</v>
      </c>
      <c r="F58" s="168">
        <f>F55*0.05</f>
        <v>5.4750000000000005</v>
      </c>
      <c r="G58" s="181">
        <v>123.38</v>
      </c>
      <c r="H58" s="127">
        <f>(U58*G58)*F58</f>
        <v>498.6030462817605</v>
      </c>
      <c r="I58" s="138">
        <f>(V58*G58)*F58</f>
        <v>176.90245371823951</v>
      </c>
      <c r="J58" s="133">
        <f>H58+I58</f>
        <v>675.50549999999998</v>
      </c>
      <c r="K58" s="132">
        <v>0.20349999999999999</v>
      </c>
      <c r="L58" s="127">
        <f>H58*1.2035</f>
        <v>600.06876620009882</v>
      </c>
      <c r="M58" s="128">
        <f>I58*1.2035</f>
        <v>212.90210304990126</v>
      </c>
      <c r="N58" s="197">
        <f>L58+M58</f>
        <v>812.97086925000008</v>
      </c>
      <c r="O58" s="98"/>
      <c r="P58" s="86">
        <f t="shared" ref="P58" si="67">U58*G58</f>
        <v>91.069049549179994</v>
      </c>
      <c r="Q58" s="86">
        <f t="shared" ref="Q58" si="68">V58*G58</f>
        <v>32.310950450820002</v>
      </c>
      <c r="R58" s="80">
        <f t="shared" ref="R58" si="69">P58+Q58</f>
        <v>123.38</v>
      </c>
      <c r="T58" s="110">
        <f t="shared" ref="T58" si="70">C58</f>
        <v>96622</v>
      </c>
      <c r="U58" s="111">
        <f t="shared" si="37"/>
        <v>0.73811841099999997</v>
      </c>
      <c r="V58" s="107">
        <f>0.261881589</f>
        <v>0.26188158900000003</v>
      </c>
    </row>
    <row r="59" spans="1:22" s="7" customFormat="1" ht="34.9" customHeight="1" x14ac:dyDescent="0.2">
      <c r="A59" s="167" t="s">
        <v>146</v>
      </c>
      <c r="B59" s="147" t="s">
        <v>5</v>
      </c>
      <c r="C59" s="150">
        <v>94964</v>
      </c>
      <c r="D59" s="154" t="s">
        <v>142</v>
      </c>
      <c r="E59" s="150" t="s">
        <v>4</v>
      </c>
      <c r="F59" s="143">
        <f>F55*0.07</f>
        <v>7.6650000000000009</v>
      </c>
      <c r="G59" s="181">
        <v>124.38</v>
      </c>
      <c r="H59" s="127">
        <f t="shared" ref="H59:H61" si="71">(U59*G59)*F59</f>
        <v>794.33479768674795</v>
      </c>
      <c r="I59" s="138">
        <f t="shared" ref="I59:I61" si="72">(V59*G59)*F59</f>
        <v>159.0379023132522</v>
      </c>
      <c r="J59" s="133">
        <f t="shared" ref="J59:J61" si="73">H59+I59</f>
        <v>953.37270000000012</v>
      </c>
      <c r="K59" s="132">
        <v>0.20349999999999999</v>
      </c>
      <c r="L59" s="127">
        <f t="shared" ref="L59:L61" si="74">H59*1.2035</f>
        <v>955.98192901600112</v>
      </c>
      <c r="M59" s="128">
        <f t="shared" ref="M59:M61" si="75">I59*1.2035</f>
        <v>191.40211543399903</v>
      </c>
      <c r="N59" s="121">
        <f t="shared" ref="N59:N61" si="76">L59+M59</f>
        <v>1147.3840444500001</v>
      </c>
      <c r="O59" s="98"/>
      <c r="P59" s="86">
        <f t="shared" ref="P59:P61" si="77">U59*G59</f>
        <v>103.63141522332</v>
      </c>
      <c r="Q59" s="86">
        <f t="shared" ref="Q59:Q61" si="78">V59*G59</f>
        <v>20.748584776679998</v>
      </c>
      <c r="R59" s="80">
        <f t="shared" ref="R59:R61" si="79">P59+Q59</f>
        <v>124.38</v>
      </c>
      <c r="T59" s="110">
        <f t="shared" ref="T59:T61" si="80">C59</f>
        <v>94964</v>
      </c>
      <c r="U59" s="111">
        <f t="shared" si="37"/>
        <v>0.83318391400000003</v>
      </c>
      <c r="V59" s="107">
        <f>0.166816086</f>
        <v>0.166816086</v>
      </c>
    </row>
    <row r="60" spans="1:22" s="7" customFormat="1" ht="34.9" customHeight="1" x14ac:dyDescent="0.2">
      <c r="A60" s="167" t="s">
        <v>147</v>
      </c>
      <c r="B60" s="147" t="s">
        <v>5</v>
      </c>
      <c r="C60" s="150">
        <v>103670</v>
      </c>
      <c r="D60" s="155" t="s">
        <v>143</v>
      </c>
      <c r="E60" s="150" t="s">
        <v>4</v>
      </c>
      <c r="F60" s="143">
        <f>F59</f>
        <v>7.6650000000000009</v>
      </c>
      <c r="G60" s="181">
        <v>125.38</v>
      </c>
      <c r="H60" s="127">
        <f t="shared" si="71"/>
        <v>222.24772273820133</v>
      </c>
      <c r="I60" s="138">
        <f t="shared" si="72"/>
        <v>738.78997726179875</v>
      </c>
      <c r="J60" s="133">
        <f t="shared" si="73"/>
        <v>961.03770000000009</v>
      </c>
      <c r="K60" s="132">
        <v>0.20349999999999999</v>
      </c>
      <c r="L60" s="127">
        <f>H60*1.2035</f>
        <v>267.47513431542529</v>
      </c>
      <c r="M60" s="128">
        <f t="shared" si="75"/>
        <v>889.1337376345748</v>
      </c>
      <c r="N60" s="122">
        <f t="shared" si="76"/>
        <v>1156.6088719500001</v>
      </c>
      <c r="O60" s="98"/>
      <c r="P60" s="86">
        <f t="shared" si="77"/>
        <v>28.995136691220001</v>
      </c>
      <c r="Q60" s="86">
        <f t="shared" si="78"/>
        <v>96.384863308779998</v>
      </c>
      <c r="R60" s="80">
        <f t="shared" si="79"/>
        <v>125.38</v>
      </c>
      <c r="T60" s="110">
        <f t="shared" si="80"/>
        <v>103670</v>
      </c>
      <c r="U60" s="111">
        <f t="shared" si="37"/>
        <v>0.23125806900000001</v>
      </c>
      <c r="V60" s="107">
        <f>0.768741931</f>
        <v>0.76874193099999999</v>
      </c>
    </row>
    <row r="61" spans="1:22" s="7" customFormat="1" ht="34.9" customHeight="1" thickBot="1" x14ac:dyDescent="0.25">
      <c r="A61" s="188" t="s">
        <v>148</v>
      </c>
      <c r="B61" s="148" t="s">
        <v>5</v>
      </c>
      <c r="C61" s="161">
        <v>87248</v>
      </c>
      <c r="D61" s="170" t="s">
        <v>144</v>
      </c>
      <c r="E61" s="148" t="s">
        <v>3</v>
      </c>
      <c r="F61" s="172">
        <f>F55</f>
        <v>109.5</v>
      </c>
      <c r="G61" s="193">
        <v>126.38</v>
      </c>
      <c r="H61" s="174">
        <f t="shared" si="71"/>
        <v>11757.46367753772</v>
      </c>
      <c r="I61" s="175">
        <f t="shared" si="72"/>
        <v>2081.1463224622798</v>
      </c>
      <c r="J61" s="176">
        <f t="shared" si="73"/>
        <v>13838.61</v>
      </c>
      <c r="K61" s="177">
        <v>0.20349999999999999</v>
      </c>
      <c r="L61" s="174">
        <f t="shared" si="74"/>
        <v>14150.107535916646</v>
      </c>
      <c r="M61" s="128">
        <f t="shared" si="75"/>
        <v>2504.6595990833539</v>
      </c>
      <c r="N61" s="179">
        <f t="shared" si="76"/>
        <v>16654.767135000002</v>
      </c>
      <c r="O61" s="98"/>
      <c r="P61" s="86">
        <f t="shared" si="77"/>
        <v>107.37409751176</v>
      </c>
      <c r="Q61" s="86">
        <f t="shared" si="78"/>
        <v>19.005902488239997</v>
      </c>
      <c r="R61" s="80">
        <f t="shared" si="79"/>
        <v>126.38</v>
      </c>
      <c r="T61" s="110">
        <f t="shared" si="80"/>
        <v>87248</v>
      </c>
      <c r="U61" s="111">
        <f t="shared" si="37"/>
        <v>0.84961305200000004</v>
      </c>
      <c r="V61" s="107">
        <f>0.150386948</f>
        <v>0.15038694799999999</v>
      </c>
    </row>
    <row r="62" spans="1:22" s="7" customFormat="1" ht="15" customHeight="1" thickBot="1" x14ac:dyDescent="0.25">
      <c r="A62" s="130" t="s">
        <v>32</v>
      </c>
      <c r="B62" s="202"/>
      <c r="C62" s="129" t="s">
        <v>35</v>
      </c>
      <c r="D62" s="137"/>
      <c r="E62" s="123"/>
      <c r="F62" s="123"/>
      <c r="G62" s="123"/>
      <c r="H62" s="123"/>
      <c r="I62" s="123"/>
      <c r="J62" s="123"/>
      <c r="K62" s="131"/>
      <c r="L62" s="203">
        <f>L63+L64+L65</f>
        <v>5060.0756996504624</v>
      </c>
      <c r="M62" s="124">
        <f>M63+M64+M65</f>
        <v>2834.745897849537</v>
      </c>
      <c r="N62" s="171">
        <f>N63+N64+N65</f>
        <v>7894.8215975000003</v>
      </c>
      <c r="O62" s="97">
        <f>L62+M62</f>
        <v>7894.8215974999994</v>
      </c>
      <c r="P62" s="85"/>
      <c r="Q62" s="85"/>
      <c r="R62" s="79"/>
      <c r="T62" s="108"/>
      <c r="U62" s="109"/>
      <c r="V62" s="109"/>
    </row>
    <row r="63" spans="1:22" s="7" customFormat="1" ht="45" customHeight="1" x14ac:dyDescent="0.2">
      <c r="A63" s="183" t="s">
        <v>33</v>
      </c>
      <c r="B63" s="151" t="s">
        <v>5</v>
      </c>
      <c r="C63" s="162">
        <v>104410</v>
      </c>
      <c r="D63" s="152" t="s">
        <v>162</v>
      </c>
      <c r="E63" s="151" t="s">
        <v>3</v>
      </c>
      <c r="F63" s="168">
        <f>62.75</f>
        <v>62.75</v>
      </c>
      <c r="G63" s="181">
        <v>5.04</v>
      </c>
      <c r="H63" s="127">
        <f>(U63*G63)*F63</f>
        <v>177.13136475342003</v>
      </c>
      <c r="I63" s="138">
        <f>(V63*G63)*F63</f>
        <v>139.12863524658002</v>
      </c>
      <c r="J63" s="133">
        <f>H63+I63</f>
        <v>316.26000000000005</v>
      </c>
      <c r="K63" s="132">
        <v>0.20349999999999999</v>
      </c>
      <c r="L63" s="127">
        <f>H63*1.2035</f>
        <v>213.17759748074101</v>
      </c>
      <c r="M63" s="128">
        <f>I63*1.2035</f>
        <v>167.44131251925904</v>
      </c>
      <c r="N63" s="122">
        <f>L63+M63</f>
        <v>380.61891000000003</v>
      </c>
      <c r="O63" s="98"/>
      <c r="P63" s="86">
        <f t="shared" ref="P63" si="81">U63*G63</f>
        <v>2.8228105936800003</v>
      </c>
      <c r="Q63" s="86">
        <f t="shared" ref="Q63" si="82">V63*G63</f>
        <v>2.2171894063200002</v>
      </c>
      <c r="R63" s="80">
        <f t="shared" ref="R63" si="83">P63+Q63</f>
        <v>5.0400000000000009</v>
      </c>
      <c r="T63" s="110">
        <f t="shared" ref="T63" si="84">C63</f>
        <v>104410</v>
      </c>
      <c r="U63" s="111">
        <f t="shared" si="37"/>
        <v>0.56008146700000006</v>
      </c>
      <c r="V63" s="107">
        <f>0.439918533</f>
        <v>0.439918533</v>
      </c>
    </row>
    <row r="64" spans="1:22" s="7" customFormat="1" ht="45" customHeight="1" x14ac:dyDescent="0.2">
      <c r="A64" s="167" t="s">
        <v>34</v>
      </c>
      <c r="B64" s="146" t="s">
        <v>5</v>
      </c>
      <c r="C64" s="156">
        <v>87527</v>
      </c>
      <c r="D64" s="153" t="s">
        <v>163</v>
      </c>
      <c r="E64" s="146" t="s">
        <v>3</v>
      </c>
      <c r="F64" s="143">
        <f>F63</f>
        <v>62.75</v>
      </c>
      <c r="G64" s="140">
        <v>40.31</v>
      </c>
      <c r="H64" s="127">
        <f t="shared" ref="H64:H65" si="85">(U64*G64)*F64</f>
        <v>1298.4145025876423</v>
      </c>
      <c r="I64" s="138">
        <f t="shared" ref="I64:I65" si="86">(V64*G64)*F64</f>
        <v>1231.0379974123575</v>
      </c>
      <c r="J64" s="133">
        <f t="shared" ref="J64:J65" si="87">H64+I64</f>
        <v>2529.4524999999999</v>
      </c>
      <c r="K64" s="132">
        <v>0.20349999999999999</v>
      </c>
      <c r="L64" s="127">
        <f t="shared" ref="L64:L65" si="88">H64*1.2035</f>
        <v>1562.6418538642276</v>
      </c>
      <c r="M64" s="128">
        <f t="shared" ref="M64:M65" si="89">I64*1.2035</f>
        <v>1481.5542298857722</v>
      </c>
      <c r="N64" s="121">
        <f t="shared" ref="N64:N65" si="90">L64+M64</f>
        <v>3044.1960837500001</v>
      </c>
      <c r="O64" s="98"/>
      <c r="P64" s="86">
        <f t="shared" ref="P64:P65" si="91">U64*G64</f>
        <v>20.691864583069997</v>
      </c>
      <c r="Q64" s="86">
        <f t="shared" ref="Q64:Q65" si="92">V64*G64</f>
        <v>19.618135416930002</v>
      </c>
      <c r="R64" s="80">
        <f t="shared" ref="R64:R65" si="93">P64+Q64</f>
        <v>40.31</v>
      </c>
      <c r="T64" s="110">
        <f t="shared" ref="T64:T65" si="94">C64</f>
        <v>87527</v>
      </c>
      <c r="U64" s="111">
        <f t="shared" si="37"/>
        <v>0.51331839699999993</v>
      </c>
      <c r="V64" s="107">
        <f>0.486681603</f>
        <v>0.48668160300000002</v>
      </c>
    </row>
    <row r="65" spans="1:22" s="7" customFormat="1" ht="34.9" customHeight="1" thickBot="1" x14ac:dyDescent="0.25">
      <c r="A65" s="189" t="s">
        <v>149</v>
      </c>
      <c r="B65" s="165" t="s">
        <v>5</v>
      </c>
      <c r="C65" s="164">
        <v>87265</v>
      </c>
      <c r="D65" s="170" t="s">
        <v>164</v>
      </c>
      <c r="E65" s="165" t="s">
        <v>3</v>
      </c>
      <c r="F65" s="172">
        <f>F64</f>
        <v>62.75</v>
      </c>
      <c r="G65" s="141">
        <v>59.19</v>
      </c>
      <c r="H65" s="174">
        <f t="shared" si="85"/>
        <v>2728.92085442916</v>
      </c>
      <c r="I65" s="175">
        <f t="shared" si="86"/>
        <v>985.25164557083986</v>
      </c>
      <c r="J65" s="176">
        <f t="shared" si="87"/>
        <v>3714.1724999999997</v>
      </c>
      <c r="K65" s="177">
        <v>0.20349999999999999</v>
      </c>
      <c r="L65" s="174">
        <f t="shared" si="88"/>
        <v>3284.256248305494</v>
      </c>
      <c r="M65" s="128">
        <f t="shared" si="89"/>
        <v>1185.7503554445059</v>
      </c>
      <c r="N65" s="179">
        <f t="shared" si="90"/>
        <v>4470.0066037500001</v>
      </c>
      <c r="O65" s="98"/>
      <c r="P65" s="86">
        <f t="shared" si="91"/>
        <v>43.48877855664</v>
      </c>
      <c r="Q65" s="86">
        <f t="shared" si="92"/>
        <v>15.701221443359998</v>
      </c>
      <c r="R65" s="80">
        <f t="shared" si="93"/>
        <v>59.19</v>
      </c>
      <c r="T65" s="110">
        <f t="shared" si="94"/>
        <v>87265</v>
      </c>
      <c r="U65" s="111">
        <f t="shared" si="37"/>
        <v>0.73473185600000002</v>
      </c>
      <c r="V65" s="107">
        <f>0.265268144</f>
        <v>0.26526814399999998</v>
      </c>
    </row>
    <row r="66" spans="1:22" s="7" customFormat="1" ht="15" customHeight="1" thickBot="1" x14ac:dyDescent="0.25">
      <c r="A66" s="130" t="s">
        <v>76</v>
      </c>
      <c r="B66" s="202"/>
      <c r="C66" s="129" t="s">
        <v>77</v>
      </c>
      <c r="D66" s="137"/>
      <c r="E66" s="123"/>
      <c r="F66" s="123"/>
      <c r="G66" s="123"/>
      <c r="H66" s="123"/>
      <c r="I66" s="123"/>
      <c r="J66" s="123"/>
      <c r="K66" s="131"/>
      <c r="L66" s="171">
        <f>L67+L68</f>
        <v>8599.1639449495742</v>
      </c>
      <c r="M66" s="171">
        <f>M67+M68</f>
        <v>4352.247147550429</v>
      </c>
      <c r="N66" s="171">
        <f>N67+N68</f>
        <v>12951.411092500002</v>
      </c>
      <c r="O66" s="97">
        <f>L66+M66</f>
        <v>12951.411092500002</v>
      </c>
      <c r="P66" s="85"/>
      <c r="Q66" s="85"/>
      <c r="R66" s="79"/>
      <c r="T66" s="108"/>
      <c r="U66" s="109"/>
      <c r="V66" s="109"/>
    </row>
    <row r="67" spans="1:22" s="7" customFormat="1" ht="34.9" customHeight="1" x14ac:dyDescent="0.2">
      <c r="A67" s="167" t="s">
        <v>151</v>
      </c>
      <c r="B67" s="147" t="s">
        <v>5</v>
      </c>
      <c r="C67" s="156">
        <v>88489</v>
      </c>
      <c r="D67" s="155" t="s">
        <v>150</v>
      </c>
      <c r="E67" s="146" t="s">
        <v>3</v>
      </c>
      <c r="F67" s="143">
        <v>770.7</v>
      </c>
      <c r="G67" s="140">
        <v>13.15</v>
      </c>
      <c r="H67" s="127">
        <f t="shared" ref="H67:H68" si="95">(U67*G67)*F67</f>
        <v>6795.2112611565017</v>
      </c>
      <c r="I67" s="138">
        <f t="shared" ref="I67:I68" si="96">(V67*G67)*F67</f>
        <v>3339.4937388435001</v>
      </c>
      <c r="J67" s="133">
        <f t="shared" ref="J67:J68" si="97">H67+I67</f>
        <v>10134.705000000002</v>
      </c>
      <c r="K67" s="132">
        <v>0.20349999999999999</v>
      </c>
      <c r="L67" s="127">
        <f t="shared" ref="L67:L68" si="98">H67*1.2035</f>
        <v>8178.0367528018496</v>
      </c>
      <c r="M67" s="128">
        <f>I67*1.2035</f>
        <v>4019.0807146981524</v>
      </c>
      <c r="N67" s="122">
        <f t="shared" ref="N67:N68" si="99">L67+M67</f>
        <v>12197.117467500002</v>
      </c>
      <c r="O67" s="98"/>
      <c r="P67" s="86">
        <f t="shared" ref="P67" si="100">U67*G67</f>
        <v>8.8169342950000011</v>
      </c>
      <c r="Q67" s="86">
        <f t="shared" ref="Q67" si="101">V67*G67</f>
        <v>4.3330657050000001</v>
      </c>
      <c r="R67" s="80">
        <f t="shared" ref="R67" si="102">P67+Q67</f>
        <v>13.150000000000002</v>
      </c>
      <c r="T67" s="110">
        <f t="shared" ref="T67" si="103">C67</f>
        <v>88489</v>
      </c>
      <c r="U67" s="111">
        <f t="shared" ref="U67" si="104">1-V67</f>
        <v>0.67048930000000007</v>
      </c>
      <c r="V67" s="107">
        <v>0.32951069999999999</v>
      </c>
    </row>
    <row r="68" spans="1:22" s="7" customFormat="1" ht="34.9" customHeight="1" thickBot="1" x14ac:dyDescent="0.25">
      <c r="A68" s="188" t="s">
        <v>152</v>
      </c>
      <c r="B68" s="190" t="s">
        <v>5</v>
      </c>
      <c r="C68" s="164">
        <v>100749</v>
      </c>
      <c r="D68" s="170" t="s">
        <v>245</v>
      </c>
      <c r="E68" s="165" t="s">
        <v>3</v>
      </c>
      <c r="F68" s="172">
        <v>25</v>
      </c>
      <c r="G68" s="141">
        <v>25.07</v>
      </c>
      <c r="H68" s="174">
        <f t="shared" si="95"/>
        <v>349.9187304925</v>
      </c>
      <c r="I68" s="175">
        <f t="shared" si="96"/>
        <v>276.8312695075</v>
      </c>
      <c r="J68" s="176">
        <f t="shared" si="97"/>
        <v>626.75</v>
      </c>
      <c r="K68" s="177">
        <v>0.20349999999999999</v>
      </c>
      <c r="L68" s="174">
        <f t="shared" si="98"/>
        <v>421.12719214772375</v>
      </c>
      <c r="M68" s="178">
        <f>I68*1.2035</f>
        <v>333.16643285227627</v>
      </c>
      <c r="N68" s="179">
        <f t="shared" si="99"/>
        <v>754.29362500000002</v>
      </c>
      <c r="O68" s="98"/>
      <c r="P68" s="86">
        <f t="shared" ref="P68" si="105">U68*G68</f>
        <v>13.9967492197</v>
      </c>
      <c r="Q68" s="86">
        <f t="shared" ref="Q68" si="106">V68*G68</f>
        <v>11.0732507803</v>
      </c>
      <c r="R68" s="80">
        <f t="shared" ref="R68" si="107">P68+Q68</f>
        <v>25.07</v>
      </c>
      <c r="T68" s="110">
        <f t="shared" ref="T68" si="108">C68</f>
        <v>100749</v>
      </c>
      <c r="U68" s="111">
        <f t="shared" ref="U68" si="109">1-V68</f>
        <v>0.55830670999999998</v>
      </c>
      <c r="V68" s="107">
        <f>0.44169329</f>
        <v>0.44169329000000002</v>
      </c>
    </row>
    <row r="69" spans="1:22" s="7" customFormat="1" ht="15" customHeight="1" thickBot="1" x14ac:dyDescent="0.25">
      <c r="A69" s="130" t="s">
        <v>78</v>
      </c>
      <c r="B69" s="202"/>
      <c r="C69" s="129" t="s">
        <v>79</v>
      </c>
      <c r="D69" s="137"/>
      <c r="E69" s="123"/>
      <c r="F69" s="123"/>
      <c r="G69" s="123"/>
      <c r="H69" s="123"/>
      <c r="I69" s="123"/>
      <c r="J69" s="123"/>
      <c r="K69" s="131"/>
      <c r="L69" s="171">
        <f>L70+L71+L72+L73+L74</f>
        <v>25786.999406981511</v>
      </c>
      <c r="M69" s="171">
        <f>M70+M71+M72+M73+M74</f>
        <v>1800.5263668184905</v>
      </c>
      <c r="N69" s="171">
        <f>N70+N71+N72+N73+N74</f>
        <v>27587.5257738</v>
      </c>
      <c r="O69" s="97">
        <f>L69+M69</f>
        <v>27587.5257738</v>
      </c>
      <c r="P69" s="85"/>
      <c r="Q69" s="85"/>
      <c r="R69" s="79"/>
      <c r="T69" s="108"/>
      <c r="U69" s="109"/>
      <c r="V69" s="109"/>
    </row>
    <row r="70" spans="1:22" s="7" customFormat="1" ht="34.9" customHeight="1" x14ac:dyDescent="0.2">
      <c r="A70" s="183" t="s">
        <v>167</v>
      </c>
      <c r="B70" s="149" t="s">
        <v>5</v>
      </c>
      <c r="C70" s="253">
        <v>102183</v>
      </c>
      <c r="D70" s="252" t="s">
        <v>153</v>
      </c>
      <c r="E70" s="204" t="s">
        <v>85</v>
      </c>
      <c r="F70" s="255">
        <v>3</v>
      </c>
      <c r="G70" s="256">
        <v>1649.42</v>
      </c>
      <c r="H70" s="239">
        <f t="shared" ref="H70" si="110">(U70*G70)*F70</f>
        <v>4522.4193503270999</v>
      </c>
      <c r="I70" s="240">
        <f t="shared" ref="I70" si="111">(V70*G70)*F70</f>
        <v>425.8406496729001</v>
      </c>
      <c r="J70" s="243">
        <f t="shared" ref="J70" si="112">H70+I70</f>
        <v>4948.26</v>
      </c>
      <c r="K70" s="257">
        <v>0.20349999999999999</v>
      </c>
      <c r="L70" s="239">
        <f t="shared" ref="L70" si="113">H70*1.2035</f>
        <v>5442.7316881186644</v>
      </c>
      <c r="M70" s="246">
        <f>I70*1.2035</f>
        <v>512.4992218813353</v>
      </c>
      <c r="N70" s="197">
        <f t="shared" ref="N70" si="114">L70+M70</f>
        <v>5955.2309099999993</v>
      </c>
      <c r="O70" s="98"/>
      <c r="P70" s="86">
        <f t="shared" ref="P70" si="115">U70*G70</f>
        <v>1507.4731167757</v>
      </c>
      <c r="Q70" s="86">
        <f t="shared" ref="Q70" si="116">V70*G70</f>
        <v>141.94688322430002</v>
      </c>
      <c r="R70" s="80">
        <f t="shared" ref="R70" si="117">P70+Q70</f>
        <v>1649.42</v>
      </c>
      <c r="T70" s="110">
        <f t="shared" ref="T70" si="118">C70</f>
        <v>102183</v>
      </c>
      <c r="U70" s="111">
        <f t="shared" ref="U70" si="119">1-V70</f>
        <v>0.91394133499999997</v>
      </c>
      <c r="V70" s="107">
        <f>0.086058665</f>
        <v>8.6058665000000006E-2</v>
      </c>
    </row>
    <row r="71" spans="1:22" s="7" customFormat="1" ht="34.9" customHeight="1" x14ac:dyDescent="0.2">
      <c r="A71" s="167" t="s">
        <v>168</v>
      </c>
      <c r="B71" s="147" t="s">
        <v>5</v>
      </c>
      <c r="C71" s="191">
        <v>94569</v>
      </c>
      <c r="D71" s="254" t="s">
        <v>154</v>
      </c>
      <c r="E71" s="190" t="s">
        <v>3</v>
      </c>
      <c r="F71" s="168">
        <f>5.4+3.24</f>
        <v>8.64</v>
      </c>
      <c r="G71" s="181">
        <v>840.39</v>
      </c>
      <c r="H71" s="127">
        <f t="shared" ref="H71:H74" si="120">(U71*G71)*F71</f>
        <v>6826.5038785154684</v>
      </c>
      <c r="I71" s="138">
        <f t="shared" ref="I71:I74" si="121">(V71*G71)*F71</f>
        <v>434.46572148453129</v>
      </c>
      <c r="J71" s="133">
        <f t="shared" ref="J71:J74" si="122">H71+I71</f>
        <v>7260.9695999999994</v>
      </c>
      <c r="K71" s="132">
        <v>0.20349999999999999</v>
      </c>
      <c r="L71" s="127">
        <f t="shared" ref="L71:L74" si="123">H71*1.2035</f>
        <v>8215.6974177933662</v>
      </c>
      <c r="M71" s="128">
        <f t="shared" ref="M71:M74" si="124">I71*1.2035</f>
        <v>522.87949580663337</v>
      </c>
      <c r="N71" s="122">
        <f t="shared" ref="N71:N74" si="125">L71+M71</f>
        <v>8738.5769135999999</v>
      </c>
      <c r="O71" s="98"/>
      <c r="P71" s="86">
        <f t="shared" ref="P71:P74" si="126">U71*G71</f>
        <v>790.10461556891994</v>
      </c>
      <c r="Q71" s="86">
        <f t="shared" ref="Q71:Q74" si="127">V71*G71</f>
        <v>50.285384431080004</v>
      </c>
      <c r="R71" s="80">
        <f t="shared" ref="R71:R74" si="128">P71+Q71</f>
        <v>840.39</v>
      </c>
      <c r="T71" s="110">
        <f t="shared" ref="T71:T74" si="129">C71</f>
        <v>94569</v>
      </c>
      <c r="U71" s="111">
        <f t="shared" ref="U71:U74" si="130">1-V71</f>
        <v>0.94016422799999999</v>
      </c>
      <c r="V71" s="107">
        <f>0.059835772</f>
        <v>5.9835772000000002E-2</v>
      </c>
    </row>
    <row r="72" spans="1:22" s="7" customFormat="1" ht="34.9" customHeight="1" x14ac:dyDescent="0.2">
      <c r="A72" s="167" t="s">
        <v>169</v>
      </c>
      <c r="B72" s="147" t="s">
        <v>5</v>
      </c>
      <c r="C72" s="156">
        <v>94573</v>
      </c>
      <c r="D72" s="153" t="s">
        <v>155</v>
      </c>
      <c r="E72" s="146" t="s">
        <v>3</v>
      </c>
      <c r="F72" s="143">
        <v>12.6</v>
      </c>
      <c r="G72" s="140">
        <v>506.21</v>
      </c>
      <c r="H72" s="127">
        <f t="shared" si="120"/>
        <v>6021.8616833408878</v>
      </c>
      <c r="I72" s="138">
        <f t="shared" si="121"/>
        <v>356.38431665911196</v>
      </c>
      <c r="J72" s="133">
        <f t="shared" si="122"/>
        <v>6378.2460000000001</v>
      </c>
      <c r="K72" s="132">
        <v>0.20349999999999999</v>
      </c>
      <c r="L72" s="127">
        <f t="shared" si="123"/>
        <v>7247.3105359007586</v>
      </c>
      <c r="M72" s="128">
        <f t="shared" si="124"/>
        <v>428.90852509924127</v>
      </c>
      <c r="N72" s="122">
        <f t="shared" si="125"/>
        <v>7676.2190609999998</v>
      </c>
      <c r="O72" s="98"/>
      <c r="P72" s="86">
        <f t="shared" si="126"/>
        <v>477.92553042387999</v>
      </c>
      <c r="Q72" s="86">
        <f t="shared" si="127"/>
        <v>28.284469576119999</v>
      </c>
      <c r="R72" s="80">
        <f t="shared" si="128"/>
        <v>506.21</v>
      </c>
      <c r="T72" s="110">
        <f t="shared" si="129"/>
        <v>94573</v>
      </c>
      <c r="U72" s="111">
        <f t="shared" si="130"/>
        <v>0.94412502799999998</v>
      </c>
      <c r="V72" s="107">
        <f>0.055874972</f>
        <v>5.5874972000000002E-2</v>
      </c>
    </row>
    <row r="73" spans="1:22" s="7" customFormat="1" ht="34.9" customHeight="1" x14ac:dyDescent="0.2">
      <c r="A73" s="167" t="s">
        <v>170</v>
      </c>
      <c r="B73" s="147" t="s">
        <v>5</v>
      </c>
      <c r="C73" s="162">
        <v>91341</v>
      </c>
      <c r="D73" s="152" t="s">
        <v>156</v>
      </c>
      <c r="E73" s="151" t="s">
        <v>3</v>
      </c>
      <c r="F73" s="143">
        <v>1.68</v>
      </c>
      <c r="G73" s="140">
        <v>935.34</v>
      </c>
      <c r="H73" s="127">
        <f t="shared" si="120"/>
        <v>1552.4863854925825</v>
      </c>
      <c r="I73" s="138">
        <f t="shared" si="121"/>
        <v>18.884814507417598</v>
      </c>
      <c r="J73" s="133">
        <f t="shared" si="122"/>
        <v>1571.3712</v>
      </c>
      <c r="K73" s="132">
        <v>0.20349999999999999</v>
      </c>
      <c r="L73" s="127">
        <f t="shared" si="123"/>
        <v>1868.4173649403231</v>
      </c>
      <c r="M73" s="128">
        <f t="shared" si="124"/>
        <v>22.72787425967708</v>
      </c>
      <c r="N73" s="122">
        <f t="shared" si="125"/>
        <v>1891.1452392000001</v>
      </c>
      <c r="O73" s="98"/>
      <c r="P73" s="86">
        <f t="shared" si="126"/>
        <v>924.09903898368009</v>
      </c>
      <c r="Q73" s="86">
        <f t="shared" si="127"/>
        <v>11.24096101632</v>
      </c>
      <c r="R73" s="80">
        <f t="shared" si="128"/>
        <v>935.34000000000015</v>
      </c>
      <c r="T73" s="110">
        <f t="shared" si="129"/>
        <v>91341</v>
      </c>
      <c r="U73" s="111">
        <f t="shared" si="130"/>
        <v>0.98798195200000005</v>
      </c>
      <c r="V73" s="107">
        <f>0.012018048</f>
        <v>1.2018048E-2</v>
      </c>
    </row>
    <row r="74" spans="1:22" s="7" customFormat="1" ht="34.9" customHeight="1" thickBot="1" x14ac:dyDescent="0.25">
      <c r="A74" s="188" t="s">
        <v>171</v>
      </c>
      <c r="B74" s="148" t="s">
        <v>5</v>
      </c>
      <c r="C74" s="163" t="s">
        <v>157</v>
      </c>
      <c r="D74" s="154" t="s">
        <v>158</v>
      </c>
      <c r="E74" s="190" t="s">
        <v>85</v>
      </c>
      <c r="F74" s="172">
        <v>6</v>
      </c>
      <c r="G74" s="141">
        <v>460.65</v>
      </c>
      <c r="H74" s="127">
        <f t="shared" si="120"/>
        <v>2503.4004156446999</v>
      </c>
      <c r="I74" s="138">
        <f t="shared" si="121"/>
        <v>260.49958435530004</v>
      </c>
      <c r="J74" s="133">
        <f t="shared" si="122"/>
        <v>2763.9</v>
      </c>
      <c r="K74" s="132">
        <v>0.20349999999999999</v>
      </c>
      <c r="L74" s="127">
        <f t="shared" si="123"/>
        <v>3012.8424002283964</v>
      </c>
      <c r="M74" s="128">
        <f t="shared" si="124"/>
        <v>313.51124977160362</v>
      </c>
      <c r="N74" s="122">
        <f t="shared" si="125"/>
        <v>3326.35365</v>
      </c>
      <c r="O74" s="98"/>
      <c r="P74" s="86">
        <f t="shared" si="126"/>
        <v>417.23340260744999</v>
      </c>
      <c r="Q74" s="86">
        <f t="shared" si="127"/>
        <v>43.416597392550003</v>
      </c>
      <c r="R74" s="80">
        <f t="shared" si="128"/>
        <v>460.65</v>
      </c>
      <c r="T74" s="110" t="str">
        <f t="shared" si="129"/>
        <v>90822</v>
      </c>
      <c r="U74" s="111">
        <f t="shared" si="130"/>
        <v>0.90574927299999997</v>
      </c>
      <c r="V74" s="107">
        <f>0.094250727</f>
        <v>9.4250727000000006E-2</v>
      </c>
    </row>
    <row r="75" spans="1:22" s="7" customFormat="1" ht="15" customHeight="1" thickBot="1" x14ac:dyDescent="0.25">
      <c r="A75" s="130" t="s">
        <v>80</v>
      </c>
      <c r="B75" s="202"/>
      <c r="C75" s="129" t="s">
        <v>81</v>
      </c>
      <c r="D75" s="137"/>
      <c r="E75" s="123"/>
      <c r="F75" s="123"/>
      <c r="G75" s="123"/>
      <c r="H75" s="123"/>
      <c r="I75" s="123"/>
      <c r="J75" s="123"/>
      <c r="K75" s="131"/>
      <c r="L75" s="171">
        <f>L76+L77+L78+L79+L80+L81+L82+L83+L84+L85+L86</f>
        <v>2507.7877341234566</v>
      </c>
      <c r="M75" s="171">
        <f>M76+M77+M78+M79+M80+M81+M82+M83+M84+M85+M86</f>
        <v>519.41192087654349</v>
      </c>
      <c r="N75" s="171">
        <f>N76+N77+N78+N79+N80+N81+N82+N83+N84+N85+N86</f>
        <v>3027.1996549999999</v>
      </c>
      <c r="O75" s="97">
        <f>L75+M75</f>
        <v>3027.1996550000003</v>
      </c>
      <c r="P75" s="85"/>
      <c r="Q75" s="85"/>
      <c r="R75" s="79"/>
      <c r="T75" s="108"/>
      <c r="U75" s="109"/>
      <c r="V75" s="109"/>
    </row>
    <row r="76" spans="1:22" s="7" customFormat="1" ht="34.9" customHeight="1" x14ac:dyDescent="0.2">
      <c r="A76" s="183" t="s">
        <v>183</v>
      </c>
      <c r="B76" s="207" t="s">
        <v>5</v>
      </c>
      <c r="C76" s="210">
        <v>89402</v>
      </c>
      <c r="D76" s="215" t="s">
        <v>172</v>
      </c>
      <c r="E76" s="220" t="s">
        <v>118</v>
      </c>
      <c r="F76" s="222">
        <v>20</v>
      </c>
      <c r="G76" s="181">
        <v>13.37</v>
      </c>
      <c r="H76" s="127">
        <f t="shared" ref="H76" si="131">(U76*G76)*F76</f>
        <v>129.79415718919998</v>
      </c>
      <c r="I76" s="138">
        <f t="shared" ref="I76" si="132">(V76*G76)*F76</f>
        <v>137.6058428108</v>
      </c>
      <c r="J76" s="133">
        <f t="shared" ref="J76" si="133">H76+I76</f>
        <v>267.39999999999998</v>
      </c>
      <c r="K76" s="132">
        <v>0.20349999999999999</v>
      </c>
      <c r="L76" s="127">
        <f t="shared" ref="L76" si="134">H76*1.2035</f>
        <v>156.20726817720217</v>
      </c>
      <c r="M76" s="128">
        <f>I76*1.2035</f>
        <v>165.6086318227978</v>
      </c>
      <c r="N76" s="122">
        <f t="shared" ref="N76" si="135">L76+M76</f>
        <v>321.81589999999994</v>
      </c>
      <c r="O76" s="98"/>
      <c r="P76" s="86">
        <f t="shared" ref="P76" si="136">U76*G76</f>
        <v>6.4897078594599993</v>
      </c>
      <c r="Q76" s="86">
        <f t="shared" ref="Q76" si="137">V76*G76</f>
        <v>6.8802921405399999</v>
      </c>
      <c r="R76" s="80">
        <f t="shared" ref="R76" si="138">P76+Q76</f>
        <v>13.37</v>
      </c>
      <c r="T76" s="110">
        <f t="shared" ref="T76" si="139">C76</f>
        <v>89402</v>
      </c>
      <c r="U76" s="111">
        <f t="shared" ref="U76" si="140">1-V76</f>
        <v>0.48539325799999999</v>
      </c>
      <c r="V76" s="107">
        <f>0.514606742</f>
        <v>0.51460674200000001</v>
      </c>
    </row>
    <row r="77" spans="1:22" s="7" customFormat="1" ht="34.9" customHeight="1" x14ac:dyDescent="0.2">
      <c r="A77" s="167" t="s">
        <v>184</v>
      </c>
      <c r="B77" s="207" t="s">
        <v>5</v>
      </c>
      <c r="C77" s="211">
        <v>90443</v>
      </c>
      <c r="D77" s="215" t="s">
        <v>173</v>
      </c>
      <c r="E77" s="147" t="s">
        <v>118</v>
      </c>
      <c r="F77" s="222">
        <v>6</v>
      </c>
      <c r="G77" s="140">
        <v>8.2799999999999994</v>
      </c>
      <c r="H77" s="127">
        <f t="shared" ref="H77:H86" si="141">(U77*G77)*F77</f>
        <v>8.411108368319999</v>
      </c>
      <c r="I77" s="138">
        <f t="shared" ref="I77:I86" si="142">(V77*G77)*F77</f>
        <v>41.268891631679999</v>
      </c>
      <c r="J77" s="133">
        <f t="shared" ref="J77:J86" si="143">H77+I77</f>
        <v>49.68</v>
      </c>
      <c r="K77" s="132">
        <v>0.20349999999999999</v>
      </c>
      <c r="L77" s="127">
        <f t="shared" ref="L77:L86" si="144">H77*1.2035</f>
        <v>10.122768921273119</v>
      </c>
      <c r="M77" s="128">
        <f t="shared" ref="M77:M86" si="145">I77*1.2035</f>
        <v>49.667111078726876</v>
      </c>
      <c r="N77" s="122">
        <f t="shared" ref="N77:N86" si="146">L77+M77</f>
        <v>59.789879999999997</v>
      </c>
      <c r="O77" s="98"/>
      <c r="P77" s="86">
        <f t="shared" ref="P77:P86" si="147">U77*G77</f>
        <v>1.4018513947199998</v>
      </c>
      <c r="Q77" s="86">
        <f t="shared" ref="Q77:Q86" si="148">V77*G77</f>
        <v>6.8781486052799998</v>
      </c>
      <c r="R77" s="80">
        <f t="shared" ref="R77:R86" si="149">P77+Q77</f>
        <v>8.2799999999999994</v>
      </c>
      <c r="T77" s="110">
        <f t="shared" ref="T77:T86" si="150">C77</f>
        <v>90443</v>
      </c>
      <c r="U77" s="111">
        <f t="shared" ref="U77:U86" si="151">1-V77</f>
        <v>0.16930572399999999</v>
      </c>
      <c r="V77" s="107">
        <f>0.830694276</f>
        <v>0.83069427600000001</v>
      </c>
    </row>
    <row r="78" spans="1:22" s="7" customFormat="1" ht="34.9" customHeight="1" x14ac:dyDescent="0.2">
      <c r="A78" s="183" t="s">
        <v>185</v>
      </c>
      <c r="B78" s="208" t="s">
        <v>5</v>
      </c>
      <c r="C78" s="212">
        <v>90466</v>
      </c>
      <c r="D78" s="216" t="s">
        <v>174</v>
      </c>
      <c r="E78" s="149" t="s">
        <v>118</v>
      </c>
      <c r="F78" s="223">
        <v>6</v>
      </c>
      <c r="G78" s="140">
        <v>15.8</v>
      </c>
      <c r="H78" s="127">
        <f t="shared" si="141"/>
        <v>16.016598597600002</v>
      </c>
      <c r="I78" s="138">
        <f t="shared" si="142"/>
        <v>78.783401402400003</v>
      </c>
      <c r="J78" s="133">
        <f t="shared" si="143"/>
        <v>94.800000000000011</v>
      </c>
      <c r="K78" s="132">
        <v>0.20349999999999999</v>
      </c>
      <c r="L78" s="127">
        <f t="shared" si="144"/>
        <v>19.275976412211602</v>
      </c>
      <c r="M78" s="128">
        <f t="shared" si="145"/>
        <v>94.815823587788401</v>
      </c>
      <c r="N78" s="122">
        <f t="shared" si="146"/>
        <v>114.09180000000001</v>
      </c>
      <c r="O78" s="98"/>
      <c r="P78" s="86">
        <f t="shared" si="147"/>
        <v>2.6694330996</v>
      </c>
      <c r="Q78" s="86">
        <f t="shared" si="148"/>
        <v>13.1305669004</v>
      </c>
      <c r="R78" s="80">
        <f t="shared" si="149"/>
        <v>15.8</v>
      </c>
      <c r="T78" s="110">
        <f t="shared" si="150"/>
        <v>90466</v>
      </c>
      <c r="U78" s="111">
        <f t="shared" si="151"/>
        <v>0.168951462</v>
      </c>
      <c r="V78" s="107">
        <v>0.831048538</v>
      </c>
    </row>
    <row r="79" spans="1:22" s="7" customFormat="1" ht="34.9" customHeight="1" x14ac:dyDescent="0.2">
      <c r="A79" s="167" t="s">
        <v>186</v>
      </c>
      <c r="B79" s="207" t="s">
        <v>5</v>
      </c>
      <c r="C79" s="211">
        <v>89362</v>
      </c>
      <c r="D79" s="215" t="s">
        <v>175</v>
      </c>
      <c r="E79" s="147" t="s">
        <v>85</v>
      </c>
      <c r="F79" s="222">
        <v>5</v>
      </c>
      <c r="G79" s="140">
        <v>10.130000000000001</v>
      </c>
      <c r="H79" s="127">
        <f t="shared" si="141"/>
        <v>17.553972188300001</v>
      </c>
      <c r="I79" s="138">
        <f t="shared" si="142"/>
        <v>33.096027811700004</v>
      </c>
      <c r="J79" s="133">
        <f t="shared" si="143"/>
        <v>50.650000000000006</v>
      </c>
      <c r="K79" s="132">
        <v>0.20349999999999999</v>
      </c>
      <c r="L79" s="127">
        <f t="shared" si="144"/>
        <v>21.126205528619053</v>
      </c>
      <c r="M79" s="128">
        <f t="shared" si="145"/>
        <v>39.831069471380957</v>
      </c>
      <c r="N79" s="122">
        <f t="shared" si="146"/>
        <v>60.95727500000001</v>
      </c>
      <c r="O79" s="98"/>
      <c r="P79" s="86">
        <f t="shared" si="147"/>
        <v>3.5107944376600004</v>
      </c>
      <c r="Q79" s="86">
        <f t="shared" si="148"/>
        <v>6.6192055623400003</v>
      </c>
      <c r="R79" s="80">
        <f t="shared" si="149"/>
        <v>10.130000000000001</v>
      </c>
      <c r="T79" s="110">
        <f t="shared" si="150"/>
        <v>89362</v>
      </c>
      <c r="U79" s="111">
        <f t="shared" si="151"/>
        <v>0.346573982</v>
      </c>
      <c r="V79" s="107">
        <f>0.653426018</f>
        <v>0.653426018</v>
      </c>
    </row>
    <row r="80" spans="1:22" s="7" customFormat="1" ht="34.9" customHeight="1" x14ac:dyDescent="0.2">
      <c r="A80" s="183" t="s">
        <v>187</v>
      </c>
      <c r="B80" s="207" t="s">
        <v>5</v>
      </c>
      <c r="C80" s="211">
        <v>89395</v>
      </c>
      <c r="D80" s="217" t="s">
        <v>176</v>
      </c>
      <c r="E80" s="147" t="s">
        <v>85</v>
      </c>
      <c r="F80" s="222">
        <v>1</v>
      </c>
      <c r="G80" s="140">
        <v>13.99</v>
      </c>
      <c r="H80" s="127">
        <f t="shared" si="141"/>
        <v>5.1658476932699999</v>
      </c>
      <c r="I80" s="138">
        <f t="shared" si="142"/>
        <v>8.8241523067300012</v>
      </c>
      <c r="J80" s="133">
        <f t="shared" si="143"/>
        <v>13.990000000000002</v>
      </c>
      <c r="K80" s="132">
        <v>0.20349999999999999</v>
      </c>
      <c r="L80" s="127">
        <f t="shared" si="144"/>
        <v>6.2170976988504449</v>
      </c>
      <c r="M80" s="128">
        <f t="shared" si="145"/>
        <v>10.619867301149556</v>
      </c>
      <c r="N80" s="122">
        <f t="shared" si="146"/>
        <v>16.836964999999999</v>
      </c>
      <c r="O80" s="98"/>
      <c r="P80" s="86">
        <f t="shared" si="147"/>
        <v>5.1658476932699999</v>
      </c>
      <c r="Q80" s="86">
        <f t="shared" si="148"/>
        <v>8.8241523067300012</v>
      </c>
      <c r="R80" s="80">
        <f t="shared" si="149"/>
        <v>13.990000000000002</v>
      </c>
      <c r="T80" s="110">
        <f t="shared" si="150"/>
        <v>89395</v>
      </c>
      <c r="U80" s="111">
        <f t="shared" si="151"/>
        <v>0.36925287299999998</v>
      </c>
      <c r="V80" s="107">
        <f>0.630747127</f>
        <v>0.63074712700000002</v>
      </c>
    </row>
    <row r="81" spans="1:22" s="7" customFormat="1" ht="34.9" customHeight="1" x14ac:dyDescent="0.2">
      <c r="A81" s="167" t="s">
        <v>188</v>
      </c>
      <c r="B81" s="209" t="s">
        <v>177</v>
      </c>
      <c r="C81" s="156">
        <v>89351</v>
      </c>
      <c r="D81" s="219" t="s">
        <v>178</v>
      </c>
      <c r="E81" s="146" t="s">
        <v>85</v>
      </c>
      <c r="F81" s="224">
        <v>1</v>
      </c>
      <c r="G81" s="140">
        <v>38.450000000000003</v>
      </c>
      <c r="H81" s="127">
        <f t="shared" si="141"/>
        <v>33.680075599049999</v>
      </c>
      <c r="I81" s="138">
        <f t="shared" si="142"/>
        <v>4.7699244009500008</v>
      </c>
      <c r="J81" s="133">
        <f t="shared" si="143"/>
        <v>38.450000000000003</v>
      </c>
      <c r="K81" s="132">
        <v>0.20349999999999999</v>
      </c>
      <c r="L81" s="127">
        <f t="shared" si="144"/>
        <v>40.533970983456676</v>
      </c>
      <c r="M81" s="128">
        <f t="shared" si="145"/>
        <v>5.7406040165433261</v>
      </c>
      <c r="N81" s="122">
        <f t="shared" si="146"/>
        <v>46.274574999999999</v>
      </c>
      <c r="O81" s="98"/>
      <c r="P81" s="86">
        <f t="shared" si="147"/>
        <v>33.680075599049999</v>
      </c>
      <c r="Q81" s="86">
        <f t="shared" si="148"/>
        <v>4.7699244009500008</v>
      </c>
      <c r="R81" s="80">
        <f t="shared" si="149"/>
        <v>38.450000000000003</v>
      </c>
      <c r="T81" s="110">
        <f t="shared" si="150"/>
        <v>89351</v>
      </c>
      <c r="U81" s="111">
        <f t="shared" si="151"/>
        <v>0.87594474899999997</v>
      </c>
      <c r="V81" s="107">
        <f>0.124055251</f>
        <v>0.12405525100000001</v>
      </c>
    </row>
    <row r="82" spans="1:22" s="7" customFormat="1" ht="34.9" customHeight="1" x14ac:dyDescent="0.2">
      <c r="A82" s="183" t="s">
        <v>189</v>
      </c>
      <c r="B82" s="207" t="s">
        <v>5</v>
      </c>
      <c r="C82" s="228">
        <v>86911</v>
      </c>
      <c r="D82" s="153" t="s">
        <v>228</v>
      </c>
      <c r="E82" s="148" t="s">
        <v>85</v>
      </c>
      <c r="F82" s="222">
        <v>2</v>
      </c>
      <c r="G82" s="140">
        <v>135.47</v>
      </c>
      <c r="H82" s="127">
        <f t="shared" ref="H82" si="152">(U82*G82)*F82</f>
        <v>264.27655691176</v>
      </c>
      <c r="I82" s="138">
        <f t="shared" ref="I82" si="153">(V82*G82)*F82</f>
        <v>6.6634430882400002</v>
      </c>
      <c r="J82" s="133">
        <f t="shared" ref="J82" si="154">H82+I82</f>
        <v>270.94</v>
      </c>
      <c r="K82" s="132">
        <v>0.20349999999999999</v>
      </c>
      <c r="L82" s="127">
        <f t="shared" ref="L82" si="155">H82*1.2035</f>
        <v>318.05683624330317</v>
      </c>
      <c r="M82" s="128">
        <f t="shared" ref="M82" si="156">I82*1.2035</f>
        <v>8.0194537566968407</v>
      </c>
      <c r="N82" s="122">
        <f t="shared" ref="N82" si="157">L82+M82</f>
        <v>326.07629000000003</v>
      </c>
      <c r="O82" s="98"/>
      <c r="P82" s="86">
        <f t="shared" ref="P82" si="158">U82*G82</f>
        <v>132.13827845588</v>
      </c>
      <c r="Q82" s="86">
        <f t="shared" ref="Q82" si="159">V82*G82</f>
        <v>3.3317215441200001</v>
      </c>
      <c r="R82" s="80">
        <f t="shared" ref="R82" si="160">P82+Q82</f>
        <v>135.47</v>
      </c>
      <c r="T82" s="110">
        <f t="shared" ref="T82" si="161">C82</f>
        <v>86911</v>
      </c>
      <c r="U82" s="111">
        <f t="shared" ref="U82" si="162">1-V82</f>
        <v>0.975406204</v>
      </c>
      <c r="V82" s="107">
        <v>2.4593796000000001E-2</v>
      </c>
    </row>
    <row r="83" spans="1:22" s="7" customFormat="1" ht="34.9" customHeight="1" x14ac:dyDescent="0.2">
      <c r="A83" s="167" t="s">
        <v>190</v>
      </c>
      <c r="B83" s="207" t="s">
        <v>5</v>
      </c>
      <c r="C83" s="213">
        <v>95471</v>
      </c>
      <c r="D83" s="206" t="s">
        <v>226</v>
      </c>
      <c r="E83" s="147" t="s">
        <v>85</v>
      </c>
      <c r="F83" s="222">
        <v>1</v>
      </c>
      <c r="G83" s="140">
        <v>756.43</v>
      </c>
      <c r="H83" s="127">
        <f t="shared" si="141"/>
        <v>720.05615346470995</v>
      </c>
      <c r="I83" s="138">
        <f t="shared" si="142"/>
        <v>36.373846535289999</v>
      </c>
      <c r="J83" s="133">
        <f t="shared" si="143"/>
        <v>756.43</v>
      </c>
      <c r="K83" s="132">
        <v>0.20349999999999999</v>
      </c>
      <c r="L83" s="127">
        <f t="shared" si="144"/>
        <v>866.58758069477847</v>
      </c>
      <c r="M83" s="128">
        <f t="shared" si="145"/>
        <v>43.775924305221515</v>
      </c>
      <c r="N83" s="122">
        <f t="shared" si="146"/>
        <v>910.36350500000003</v>
      </c>
      <c r="O83" s="98"/>
      <c r="P83" s="86">
        <f t="shared" si="147"/>
        <v>720.05615346470995</v>
      </c>
      <c r="Q83" s="86">
        <f t="shared" si="148"/>
        <v>36.373846535289999</v>
      </c>
      <c r="R83" s="80">
        <f t="shared" si="149"/>
        <v>756.43</v>
      </c>
      <c r="T83" s="110">
        <f t="shared" si="150"/>
        <v>95471</v>
      </c>
      <c r="U83" s="111">
        <f t="shared" si="151"/>
        <v>0.95191379700000001</v>
      </c>
      <c r="V83" s="107">
        <v>4.8086203000000001E-2</v>
      </c>
    </row>
    <row r="84" spans="1:22" s="7" customFormat="1" ht="34.9" customHeight="1" x14ac:dyDescent="0.2">
      <c r="A84" s="183" t="s">
        <v>191</v>
      </c>
      <c r="B84" s="207" t="s">
        <v>5</v>
      </c>
      <c r="C84" s="213">
        <v>100849</v>
      </c>
      <c r="D84" s="215" t="s">
        <v>179</v>
      </c>
      <c r="E84" s="147" t="s">
        <v>85</v>
      </c>
      <c r="F84" s="222">
        <v>1</v>
      </c>
      <c r="G84" s="140">
        <v>42.6</v>
      </c>
      <c r="H84" s="127">
        <f t="shared" si="141"/>
        <v>38.2017403794</v>
      </c>
      <c r="I84" s="138">
        <f t="shared" si="142"/>
        <v>4.3982596206000002</v>
      </c>
      <c r="J84" s="133">
        <f t="shared" si="143"/>
        <v>42.6</v>
      </c>
      <c r="K84" s="132">
        <v>0.20349999999999999</v>
      </c>
      <c r="L84" s="127">
        <f t="shared" si="144"/>
        <v>45.975794546607901</v>
      </c>
      <c r="M84" s="128">
        <f t="shared" si="145"/>
        <v>5.2933054533921</v>
      </c>
      <c r="N84" s="122">
        <f t="shared" si="146"/>
        <v>51.269100000000002</v>
      </c>
      <c r="O84" s="98"/>
      <c r="P84" s="86">
        <f t="shared" si="147"/>
        <v>38.2017403794</v>
      </c>
      <c r="Q84" s="86">
        <f t="shared" si="148"/>
        <v>4.3982596206000002</v>
      </c>
      <c r="R84" s="80">
        <f t="shared" si="149"/>
        <v>42.6</v>
      </c>
      <c r="T84" s="110">
        <f t="shared" si="150"/>
        <v>100849</v>
      </c>
      <c r="U84" s="111">
        <f t="shared" si="151"/>
        <v>0.896754469</v>
      </c>
      <c r="V84" s="107">
        <f>0.103245531</f>
        <v>0.103245531</v>
      </c>
    </row>
    <row r="85" spans="1:22" s="7" customFormat="1" ht="34.9" customHeight="1" x14ac:dyDescent="0.2">
      <c r="A85" s="167" t="s">
        <v>192</v>
      </c>
      <c r="B85" s="207" t="s">
        <v>5</v>
      </c>
      <c r="C85" s="228">
        <v>100870</v>
      </c>
      <c r="D85" s="229" t="s">
        <v>227</v>
      </c>
      <c r="E85" s="147" t="s">
        <v>85</v>
      </c>
      <c r="F85" s="222">
        <v>2</v>
      </c>
      <c r="G85" s="140">
        <v>314.99</v>
      </c>
      <c r="H85" s="127">
        <f t="shared" ref="H85" si="163">(U85*G85)*F85</f>
        <v>575.46961722328001</v>
      </c>
      <c r="I85" s="138">
        <f t="shared" ref="I85" si="164">(V85*G85)*F85</f>
        <v>54.510382776720007</v>
      </c>
      <c r="J85" s="133">
        <f t="shared" ref="J85" si="165">H85+I85</f>
        <v>629.98</v>
      </c>
      <c r="K85" s="132">
        <v>0.20349999999999999</v>
      </c>
      <c r="L85" s="127">
        <f t="shared" ref="L85" si="166">H85*1.2035</f>
        <v>692.57768432821752</v>
      </c>
      <c r="M85" s="128">
        <f t="shared" ref="M85" si="167">I85*1.2035</f>
        <v>65.603245671782531</v>
      </c>
      <c r="N85" s="122">
        <f t="shared" ref="N85" si="168">L85+M85</f>
        <v>758.18092999999999</v>
      </c>
      <c r="O85" s="98"/>
      <c r="P85" s="86">
        <f t="shared" ref="P85" si="169">U85*G85</f>
        <v>287.73480861164001</v>
      </c>
      <c r="Q85" s="86">
        <f t="shared" ref="Q85" si="170">V85*G85</f>
        <v>27.255191388360004</v>
      </c>
      <c r="R85" s="80">
        <f t="shared" ref="R85" si="171">P85+Q85</f>
        <v>314.99</v>
      </c>
      <c r="T85" s="110">
        <f t="shared" ref="T85" si="172">C85</f>
        <v>100870</v>
      </c>
      <c r="U85" s="111">
        <f t="shared" ref="U85" si="173">1-V85</f>
        <v>0.91347283599999995</v>
      </c>
      <c r="V85" s="107">
        <v>8.6527164000000004E-2</v>
      </c>
    </row>
    <row r="86" spans="1:22" s="7" customFormat="1" ht="45" customHeight="1" thickBot="1" x14ac:dyDescent="0.25">
      <c r="A86" s="183" t="s">
        <v>229</v>
      </c>
      <c r="B86" s="207" t="s">
        <v>5</v>
      </c>
      <c r="C86" s="214">
        <v>86943</v>
      </c>
      <c r="D86" s="206" t="s">
        <v>180</v>
      </c>
      <c r="E86" s="221" t="s">
        <v>85</v>
      </c>
      <c r="F86" s="222">
        <v>1</v>
      </c>
      <c r="G86" s="140">
        <v>300.41000000000003</v>
      </c>
      <c r="H86" s="127">
        <f t="shared" si="141"/>
        <v>275.11969305271003</v>
      </c>
      <c r="I86" s="138">
        <f t="shared" si="142"/>
        <v>25.290306947290002</v>
      </c>
      <c r="J86" s="133">
        <f t="shared" si="143"/>
        <v>300.41000000000003</v>
      </c>
      <c r="K86" s="132">
        <v>0.20349999999999999</v>
      </c>
      <c r="L86" s="127">
        <f t="shared" si="144"/>
        <v>331.10655058893656</v>
      </c>
      <c r="M86" s="128">
        <f t="shared" si="145"/>
        <v>30.436884411063517</v>
      </c>
      <c r="N86" s="122">
        <f t="shared" si="146"/>
        <v>361.54343500000004</v>
      </c>
      <c r="O86" s="98"/>
      <c r="P86" s="86">
        <f t="shared" si="147"/>
        <v>275.11969305271003</v>
      </c>
      <c r="Q86" s="86">
        <f t="shared" si="148"/>
        <v>25.290306947290002</v>
      </c>
      <c r="R86" s="80">
        <f t="shared" si="149"/>
        <v>300.41000000000003</v>
      </c>
      <c r="T86" s="110">
        <f t="shared" si="150"/>
        <v>86943</v>
      </c>
      <c r="U86" s="111">
        <f t="shared" si="151"/>
        <v>0.91581403100000003</v>
      </c>
      <c r="V86" s="107">
        <f>0.084185969</f>
        <v>8.4185968999999999E-2</v>
      </c>
    </row>
    <row r="87" spans="1:22" s="7" customFormat="1" ht="15" customHeight="1" thickBot="1" x14ac:dyDescent="0.25">
      <c r="A87" s="130" t="s">
        <v>181</v>
      </c>
      <c r="B87" s="202"/>
      <c r="C87" s="74" t="s">
        <v>182</v>
      </c>
      <c r="D87" s="137"/>
      <c r="E87" s="123"/>
      <c r="F87" s="123"/>
      <c r="G87" s="123"/>
      <c r="H87" s="123"/>
      <c r="I87" s="123"/>
      <c r="J87" s="123"/>
      <c r="K87" s="131"/>
      <c r="L87" s="171">
        <f>L88+L89+L90+L91+L92</f>
        <v>916.9168779391191</v>
      </c>
      <c r="M87" s="171">
        <f>M88+M89+M90+M91+M92</f>
        <v>572.33012706088084</v>
      </c>
      <c r="N87" s="171">
        <f>N88+N89+N90+N91+N92</f>
        <v>1489.2470049999999</v>
      </c>
      <c r="O87" s="97">
        <f>L87+M87</f>
        <v>1489.2470049999999</v>
      </c>
      <c r="P87" s="85"/>
      <c r="Q87" s="85"/>
      <c r="R87" s="79"/>
      <c r="T87" s="108"/>
      <c r="U87" s="109"/>
      <c r="V87" s="109"/>
    </row>
    <row r="88" spans="1:22" s="7" customFormat="1" ht="34.9" customHeight="1" x14ac:dyDescent="0.2">
      <c r="A88" s="167" t="s">
        <v>208</v>
      </c>
      <c r="B88" s="220" t="s">
        <v>5</v>
      </c>
      <c r="C88" s="210">
        <v>89714</v>
      </c>
      <c r="D88" s="218" t="s">
        <v>193</v>
      </c>
      <c r="E88" s="220" t="s">
        <v>118</v>
      </c>
      <c r="F88" s="143">
        <v>12</v>
      </c>
      <c r="G88" s="140">
        <v>41.65</v>
      </c>
      <c r="H88" s="127">
        <f t="shared" ref="H88" si="174">(U88*G88)*F88</f>
        <v>268.17070729260001</v>
      </c>
      <c r="I88" s="138">
        <f t="shared" ref="I88" si="175">(V88*G88)*F88</f>
        <v>231.6292927074</v>
      </c>
      <c r="J88" s="133">
        <f t="shared" ref="J88" si="176">H88+I88</f>
        <v>499.8</v>
      </c>
      <c r="K88" s="132">
        <v>0.20349999999999999</v>
      </c>
      <c r="L88" s="127">
        <f t="shared" ref="L88" si="177">H88*1.2035</f>
        <v>322.7434462266441</v>
      </c>
      <c r="M88" s="128">
        <f>I88*1.2035</f>
        <v>278.7658537733559</v>
      </c>
      <c r="N88" s="122">
        <f t="shared" ref="N88" si="178">L88+M88</f>
        <v>601.50929999999994</v>
      </c>
      <c r="O88" s="98"/>
      <c r="P88" s="86">
        <f t="shared" ref="P88" si="179">U88*G88</f>
        <v>22.34755894105</v>
      </c>
      <c r="Q88" s="86">
        <f t="shared" ref="Q88" si="180">V88*G88</f>
        <v>19.302441058949999</v>
      </c>
      <c r="R88" s="80">
        <f t="shared" ref="R88" si="181">P88+Q88</f>
        <v>41.65</v>
      </c>
      <c r="T88" s="110">
        <f t="shared" ref="T88" si="182">C88</f>
        <v>89714</v>
      </c>
      <c r="U88" s="111">
        <f t="shared" ref="U88" si="183">1-V88</f>
        <v>0.53655603699999999</v>
      </c>
      <c r="V88" s="107">
        <f>0.463443963</f>
        <v>0.46344396300000001</v>
      </c>
    </row>
    <row r="89" spans="1:22" s="7" customFormat="1" ht="34.9" customHeight="1" x14ac:dyDescent="0.2">
      <c r="A89" s="167" t="s">
        <v>209</v>
      </c>
      <c r="B89" s="147" t="s">
        <v>5</v>
      </c>
      <c r="C89" s="211">
        <v>89713</v>
      </c>
      <c r="D89" s="153" t="s">
        <v>230</v>
      </c>
      <c r="E89" s="147" t="s">
        <v>118</v>
      </c>
      <c r="F89" s="143">
        <v>6</v>
      </c>
      <c r="G89" s="140">
        <v>29.93</v>
      </c>
      <c r="H89" s="127">
        <f t="shared" ref="H89:H92" si="184">(U89*G89)*F89</f>
        <v>99.905826341340003</v>
      </c>
      <c r="I89" s="138">
        <f t="shared" ref="I89:I92" si="185">(V89*G89)*F89</f>
        <v>79.674173658659996</v>
      </c>
      <c r="J89" s="133">
        <f t="shared" ref="J89:J92" si="186">H89+I89</f>
        <v>179.57999999999998</v>
      </c>
      <c r="K89" s="132">
        <v>0.20349999999999999</v>
      </c>
      <c r="L89" s="127">
        <f t="shared" ref="L89:L92" si="187">H89*1.2035</f>
        <v>120.2366620018027</v>
      </c>
      <c r="M89" s="128">
        <f t="shared" ref="M89:M92" si="188">I89*1.2035</f>
        <v>95.887867998197308</v>
      </c>
      <c r="N89" s="122">
        <f t="shared" ref="N89:N92" si="189">L89+M89</f>
        <v>216.12452999999999</v>
      </c>
      <c r="O89" s="98"/>
      <c r="P89" s="86">
        <f t="shared" ref="P89:P92" si="190">U89*G89</f>
        <v>16.65097105689</v>
      </c>
      <c r="Q89" s="86">
        <f t="shared" ref="Q89:Q92" si="191">V89*G89</f>
        <v>13.279028943109999</v>
      </c>
      <c r="R89" s="80">
        <f t="shared" ref="R89:R92" si="192">P89+Q89</f>
        <v>29.93</v>
      </c>
      <c r="T89" s="110">
        <f t="shared" ref="T89:T92" si="193">C89</f>
        <v>89713</v>
      </c>
      <c r="U89" s="111">
        <f t="shared" ref="U89:U92" si="194">1-V89</f>
        <v>0.55633047300000005</v>
      </c>
      <c r="V89" s="107">
        <v>0.44366952700000001</v>
      </c>
    </row>
    <row r="90" spans="1:22" s="7" customFormat="1" ht="34.9" customHeight="1" x14ac:dyDescent="0.2">
      <c r="A90" s="167" t="s">
        <v>210</v>
      </c>
      <c r="B90" s="147" t="s">
        <v>5</v>
      </c>
      <c r="C90" s="211">
        <v>89737</v>
      </c>
      <c r="D90" s="153" t="s">
        <v>231</v>
      </c>
      <c r="E90" s="147" t="s">
        <v>85</v>
      </c>
      <c r="F90" s="143">
        <v>4</v>
      </c>
      <c r="G90" s="140">
        <v>24.61</v>
      </c>
      <c r="H90" s="127">
        <f t="shared" si="184"/>
        <v>69.758423160000007</v>
      </c>
      <c r="I90" s="138">
        <f t="shared" si="185"/>
        <v>28.681576839999998</v>
      </c>
      <c r="J90" s="133">
        <f t="shared" si="186"/>
        <v>98.44</v>
      </c>
      <c r="K90" s="132">
        <v>0.20349999999999999</v>
      </c>
      <c r="L90" s="127">
        <f t="shared" si="187"/>
        <v>83.95426227306001</v>
      </c>
      <c r="M90" s="128">
        <f t="shared" si="188"/>
        <v>34.518277726939999</v>
      </c>
      <c r="N90" s="122">
        <f t="shared" si="189"/>
        <v>118.47254000000001</v>
      </c>
      <c r="O90" s="98"/>
      <c r="P90" s="86">
        <f t="shared" si="190"/>
        <v>17.439605790000002</v>
      </c>
      <c r="Q90" s="86">
        <f t="shared" si="191"/>
        <v>7.1703942099999995</v>
      </c>
      <c r="R90" s="80">
        <f t="shared" si="192"/>
        <v>24.61</v>
      </c>
      <c r="T90" s="110">
        <f t="shared" si="193"/>
        <v>89737</v>
      </c>
      <c r="U90" s="111">
        <f t="shared" si="194"/>
        <v>0.70863900000000002</v>
      </c>
      <c r="V90" s="107">
        <f>0.291361</f>
        <v>0.29136099999999998</v>
      </c>
    </row>
    <row r="91" spans="1:22" s="7" customFormat="1" ht="34.9" customHeight="1" x14ac:dyDescent="0.2">
      <c r="A91" s="167" t="s">
        <v>211</v>
      </c>
      <c r="B91" s="147" t="s">
        <v>5</v>
      </c>
      <c r="C91" s="211">
        <v>97901</v>
      </c>
      <c r="D91" s="219" t="s">
        <v>194</v>
      </c>
      <c r="E91" s="147" t="s">
        <v>85</v>
      </c>
      <c r="F91" s="143">
        <v>1</v>
      </c>
      <c r="G91" s="140">
        <v>287.68</v>
      </c>
      <c r="H91" s="127">
        <f t="shared" si="184"/>
        <v>156.81687513120002</v>
      </c>
      <c r="I91" s="138">
        <f t="shared" si="185"/>
        <v>130.86312486879999</v>
      </c>
      <c r="J91" s="133">
        <f t="shared" si="186"/>
        <v>287.68</v>
      </c>
      <c r="K91" s="132">
        <v>0.20349999999999999</v>
      </c>
      <c r="L91" s="127">
        <f t="shared" si="187"/>
        <v>188.72910922039924</v>
      </c>
      <c r="M91" s="128">
        <f t="shared" si="188"/>
        <v>157.49377077960079</v>
      </c>
      <c r="N91" s="122">
        <f t="shared" si="189"/>
        <v>346.22288000000003</v>
      </c>
      <c r="O91" s="98"/>
      <c r="P91" s="86">
        <f t="shared" si="190"/>
        <v>156.81687513120002</v>
      </c>
      <c r="Q91" s="86">
        <f t="shared" si="191"/>
        <v>130.86312486879999</v>
      </c>
      <c r="R91" s="80">
        <f t="shared" si="192"/>
        <v>287.68</v>
      </c>
      <c r="T91" s="110">
        <f t="shared" si="193"/>
        <v>97901</v>
      </c>
      <c r="U91" s="111">
        <f t="shared" si="194"/>
        <v>0.54510871500000002</v>
      </c>
      <c r="V91" s="107">
        <f>0.454891285</f>
        <v>0.45489128499999998</v>
      </c>
    </row>
    <row r="92" spans="1:22" s="7" customFormat="1" ht="34.9" customHeight="1" thickBot="1" x14ac:dyDescent="0.25">
      <c r="A92" s="167" t="s">
        <v>212</v>
      </c>
      <c r="B92" s="147" t="s">
        <v>5</v>
      </c>
      <c r="C92" s="211">
        <v>98102</v>
      </c>
      <c r="D92" s="219" t="s">
        <v>195</v>
      </c>
      <c r="E92" s="147" t="s">
        <v>85</v>
      </c>
      <c r="F92" s="143">
        <v>1</v>
      </c>
      <c r="G92" s="140">
        <v>171.93</v>
      </c>
      <c r="H92" s="127">
        <f t="shared" si="184"/>
        <v>167.22343017633</v>
      </c>
      <c r="I92" s="138">
        <f t="shared" si="185"/>
        <v>4.7065698236700007</v>
      </c>
      <c r="J92" s="133">
        <f t="shared" si="186"/>
        <v>171.93</v>
      </c>
      <c r="K92" s="132">
        <v>0.20349999999999999</v>
      </c>
      <c r="L92" s="127">
        <f t="shared" si="187"/>
        <v>201.25339821721315</v>
      </c>
      <c r="M92" s="128">
        <f t="shared" si="188"/>
        <v>5.6643567827868457</v>
      </c>
      <c r="N92" s="122">
        <f t="shared" si="189"/>
        <v>206.917755</v>
      </c>
      <c r="O92" s="98"/>
      <c r="P92" s="86">
        <f t="shared" si="190"/>
        <v>167.22343017633</v>
      </c>
      <c r="Q92" s="86">
        <f t="shared" si="191"/>
        <v>4.7065698236700007</v>
      </c>
      <c r="R92" s="80">
        <f t="shared" si="192"/>
        <v>171.93</v>
      </c>
      <c r="T92" s="110">
        <f t="shared" si="193"/>
        <v>98102</v>
      </c>
      <c r="U92" s="111">
        <f t="shared" si="194"/>
        <v>0.972625081</v>
      </c>
      <c r="V92" s="107">
        <f>0.027374919</f>
        <v>2.7374919000000001E-2</v>
      </c>
    </row>
    <row r="93" spans="1:22" s="7" customFormat="1" ht="15" customHeight="1" thickBot="1" x14ac:dyDescent="0.25">
      <c r="A93" s="130" t="s">
        <v>196</v>
      </c>
      <c r="B93" s="202"/>
      <c r="C93" s="225" t="s">
        <v>197</v>
      </c>
      <c r="D93" s="137"/>
      <c r="E93" s="123"/>
      <c r="F93" s="123"/>
      <c r="G93" s="123"/>
      <c r="H93" s="123"/>
      <c r="I93" s="123"/>
      <c r="J93" s="123"/>
      <c r="K93" s="131"/>
      <c r="L93" s="171">
        <f>L94+L95+L96+L97+L98+L99+L100+L101+L102+L103+L104+L106</f>
        <v>5657.5161924595368</v>
      </c>
      <c r="M93" s="171">
        <f>M94+M95+M96+M97+M98+M99+M100+M101+M102+M103+M104+M106</f>
        <v>3723.0321725404638</v>
      </c>
      <c r="N93" s="171">
        <f>N94+N95+N96+N97+N98+N99+N100+N101+N102+N103+N104+N106</f>
        <v>9380.5483650000006</v>
      </c>
      <c r="O93" s="97">
        <f>L93+M93</f>
        <v>9380.5483650000006</v>
      </c>
      <c r="P93" s="85"/>
      <c r="Q93" s="85"/>
      <c r="R93" s="79"/>
      <c r="T93" s="108"/>
      <c r="U93" s="109"/>
      <c r="V93" s="109"/>
    </row>
    <row r="94" spans="1:22" s="7" customFormat="1" ht="34.9" customHeight="1" x14ac:dyDescent="0.2">
      <c r="A94" s="183" t="s">
        <v>213</v>
      </c>
      <c r="B94" s="147" t="s">
        <v>5</v>
      </c>
      <c r="C94" s="211">
        <v>91853</v>
      </c>
      <c r="D94" s="219" t="s">
        <v>198</v>
      </c>
      <c r="E94" s="147" t="s">
        <v>118</v>
      </c>
      <c r="F94" s="143">
        <v>88</v>
      </c>
      <c r="G94" s="140">
        <v>10.61</v>
      </c>
      <c r="H94" s="127">
        <f t="shared" ref="H94:H106" si="195">(U94*G94)*F94</f>
        <v>468.17002902735993</v>
      </c>
      <c r="I94" s="138">
        <f t="shared" ref="I94:I106" si="196">(V94*G94)*F94</f>
        <v>465.50997097264002</v>
      </c>
      <c r="J94" s="133">
        <f t="shared" ref="J94:J106" si="197">H94+I94</f>
        <v>933.68</v>
      </c>
      <c r="K94" s="132">
        <v>0.20349999999999999</v>
      </c>
      <c r="L94" s="127">
        <f t="shared" ref="L94:L106" si="198">H94*1.2035</f>
        <v>563.44262993442771</v>
      </c>
      <c r="M94" s="128">
        <f t="shared" ref="M94:M106" si="199">I94*1.2035</f>
        <v>560.24125006557222</v>
      </c>
      <c r="N94" s="122">
        <f t="shared" ref="N94:N106" si="200">L94+M94</f>
        <v>1123.68388</v>
      </c>
      <c r="O94" s="98"/>
      <c r="P94" s="86">
        <f t="shared" ref="P94:P106" si="201">U94*G94</f>
        <v>5.3201139662199992</v>
      </c>
      <c r="Q94" s="86">
        <f t="shared" ref="Q94:Q106" si="202">V94*G94</f>
        <v>5.2898860337800002</v>
      </c>
      <c r="R94" s="80">
        <f t="shared" ref="R94:R106" si="203">P94+Q94</f>
        <v>10.61</v>
      </c>
      <c r="T94" s="110">
        <f t="shared" ref="T94:T106" si="204">C94</f>
        <v>91853</v>
      </c>
      <c r="U94" s="111">
        <f t="shared" ref="U94:U106" si="205">1-V94</f>
        <v>0.50142450199999999</v>
      </c>
      <c r="V94" s="107">
        <f>0.498575498</f>
        <v>0.49857549800000001</v>
      </c>
    </row>
    <row r="95" spans="1:22" s="7" customFormat="1" ht="34.9" customHeight="1" x14ac:dyDescent="0.2">
      <c r="A95" s="167" t="s">
        <v>214</v>
      </c>
      <c r="B95" s="147" t="s">
        <v>5</v>
      </c>
      <c r="C95" s="211">
        <v>91871</v>
      </c>
      <c r="D95" s="153" t="s">
        <v>232</v>
      </c>
      <c r="E95" s="147" t="s">
        <v>118</v>
      </c>
      <c r="F95" s="143">
        <v>100</v>
      </c>
      <c r="G95" s="140">
        <v>16.18</v>
      </c>
      <c r="H95" s="127">
        <f t="shared" si="195"/>
        <v>866.14126534800016</v>
      </c>
      <c r="I95" s="138">
        <f t="shared" si="196"/>
        <v>751.85873465199995</v>
      </c>
      <c r="J95" s="133">
        <f t="shared" si="197"/>
        <v>1618</v>
      </c>
      <c r="K95" s="132">
        <v>0.20349999999999999</v>
      </c>
      <c r="L95" s="127">
        <f t="shared" si="198"/>
        <v>1042.4010128463183</v>
      </c>
      <c r="M95" s="128">
        <f t="shared" si="199"/>
        <v>904.86198715368198</v>
      </c>
      <c r="N95" s="122">
        <f t="shared" si="200"/>
        <v>1947.2630000000004</v>
      </c>
      <c r="O95" s="98"/>
      <c r="P95" s="86">
        <f t="shared" si="201"/>
        <v>8.6614126534800011</v>
      </c>
      <c r="Q95" s="86">
        <f t="shared" si="202"/>
        <v>7.5185873465199995</v>
      </c>
      <c r="R95" s="80">
        <f t="shared" si="203"/>
        <v>16.18</v>
      </c>
      <c r="T95" s="110">
        <f t="shared" si="204"/>
        <v>91871</v>
      </c>
      <c r="U95" s="111">
        <f t="shared" si="205"/>
        <v>0.53531598600000008</v>
      </c>
      <c r="V95" s="107">
        <f>0.464684014</f>
        <v>0.46468401399999998</v>
      </c>
    </row>
    <row r="96" spans="1:22" s="7" customFormat="1" ht="34.9" customHeight="1" x14ac:dyDescent="0.2">
      <c r="A96" s="183" t="s">
        <v>215</v>
      </c>
      <c r="B96" s="147" t="s">
        <v>5</v>
      </c>
      <c r="C96" s="211">
        <v>91924</v>
      </c>
      <c r="D96" s="153" t="s">
        <v>233</v>
      </c>
      <c r="E96" s="147" t="s">
        <v>118</v>
      </c>
      <c r="F96" s="143">
        <v>75</v>
      </c>
      <c r="G96" s="140">
        <v>2.85</v>
      </c>
      <c r="H96" s="127">
        <f t="shared" si="195"/>
        <v>140.1766305525</v>
      </c>
      <c r="I96" s="138">
        <f t="shared" si="196"/>
        <v>73.573369447499999</v>
      </c>
      <c r="J96" s="133">
        <f t="shared" si="197"/>
        <v>213.75</v>
      </c>
      <c r="K96" s="132">
        <v>0.20349999999999999</v>
      </c>
      <c r="L96" s="127">
        <f t="shared" si="198"/>
        <v>168.70257486993376</v>
      </c>
      <c r="M96" s="128">
        <f t="shared" si="199"/>
        <v>88.545550130066246</v>
      </c>
      <c r="N96" s="122">
        <f t="shared" si="200"/>
        <v>257.24812500000002</v>
      </c>
      <c r="O96" s="98"/>
      <c r="P96" s="86">
        <f t="shared" si="201"/>
        <v>1.8690217407</v>
      </c>
      <c r="Q96" s="86">
        <f t="shared" si="202"/>
        <v>0.98097825929999993</v>
      </c>
      <c r="R96" s="80">
        <f t="shared" si="203"/>
        <v>2.85</v>
      </c>
      <c r="T96" s="110">
        <f t="shared" si="204"/>
        <v>91924</v>
      </c>
      <c r="U96" s="111">
        <f t="shared" si="205"/>
        <v>0.65579710199999997</v>
      </c>
      <c r="V96" s="107">
        <f>0.344202898</f>
        <v>0.34420289799999998</v>
      </c>
    </row>
    <row r="97" spans="1:22" s="7" customFormat="1" ht="34.9" customHeight="1" x14ac:dyDescent="0.2">
      <c r="A97" s="167" t="s">
        <v>216</v>
      </c>
      <c r="B97" s="147"/>
      <c r="C97" s="211">
        <v>91928</v>
      </c>
      <c r="D97" s="219" t="s">
        <v>199</v>
      </c>
      <c r="E97" s="147" t="s">
        <v>118</v>
      </c>
      <c r="F97" s="143">
        <v>90</v>
      </c>
      <c r="G97" s="140">
        <v>6.36</v>
      </c>
      <c r="H97" s="127">
        <f t="shared" si="195"/>
        <v>423.39428589600004</v>
      </c>
      <c r="I97" s="138">
        <f t="shared" si="196"/>
        <v>149.00571410400002</v>
      </c>
      <c r="J97" s="133">
        <f t="shared" si="197"/>
        <v>572.40000000000009</v>
      </c>
      <c r="K97" s="132">
        <v>0.20349999999999999</v>
      </c>
      <c r="L97" s="127">
        <f t="shared" si="198"/>
        <v>509.55502307583606</v>
      </c>
      <c r="M97" s="128">
        <f t="shared" si="199"/>
        <v>179.32837692416402</v>
      </c>
      <c r="N97" s="122">
        <f t="shared" si="200"/>
        <v>688.88340000000005</v>
      </c>
      <c r="O97" s="98"/>
      <c r="P97" s="86">
        <f t="shared" si="201"/>
        <v>4.7043809544000004</v>
      </c>
      <c r="Q97" s="86">
        <f t="shared" si="202"/>
        <v>1.6556190456000002</v>
      </c>
      <c r="R97" s="80">
        <f t="shared" si="203"/>
        <v>6.36</v>
      </c>
      <c r="T97" s="110">
        <f t="shared" si="204"/>
        <v>91928</v>
      </c>
      <c r="U97" s="111">
        <f t="shared" si="205"/>
        <v>0.73968254</v>
      </c>
      <c r="V97" s="107">
        <v>0.26031746</v>
      </c>
    </row>
    <row r="98" spans="1:22" s="7" customFormat="1" ht="34.9" customHeight="1" x14ac:dyDescent="0.2">
      <c r="A98" s="183" t="s">
        <v>217</v>
      </c>
      <c r="B98" s="147" t="s">
        <v>5</v>
      </c>
      <c r="C98" s="211">
        <v>91930</v>
      </c>
      <c r="D98" s="219" t="s">
        <v>200</v>
      </c>
      <c r="E98" s="147" t="s">
        <v>118</v>
      </c>
      <c r="F98" s="143">
        <v>130</v>
      </c>
      <c r="G98" s="140">
        <v>8.86</v>
      </c>
      <c r="H98" s="127">
        <f t="shared" si="195"/>
        <v>871.06514817660002</v>
      </c>
      <c r="I98" s="138">
        <f t="shared" si="196"/>
        <v>280.73485182339999</v>
      </c>
      <c r="J98" s="133">
        <f t="shared" si="197"/>
        <v>1151.8</v>
      </c>
      <c r="K98" s="132">
        <v>0.20349999999999999</v>
      </c>
      <c r="L98" s="127">
        <f t="shared" si="198"/>
        <v>1048.3269058305382</v>
      </c>
      <c r="M98" s="128">
        <f t="shared" si="199"/>
        <v>337.86439416946189</v>
      </c>
      <c r="N98" s="122">
        <f t="shared" si="200"/>
        <v>1386.1913</v>
      </c>
      <c r="O98" s="98"/>
      <c r="P98" s="86">
        <f t="shared" si="201"/>
        <v>6.7005011398200001</v>
      </c>
      <c r="Q98" s="86">
        <f t="shared" si="202"/>
        <v>2.1594988601799998</v>
      </c>
      <c r="R98" s="80">
        <f t="shared" si="203"/>
        <v>8.86</v>
      </c>
      <c r="T98" s="110">
        <f t="shared" si="204"/>
        <v>91930</v>
      </c>
      <c r="U98" s="111">
        <f t="shared" si="205"/>
        <v>0.75626423700000001</v>
      </c>
      <c r="V98" s="107">
        <f>0.243735763</f>
        <v>0.24373576299999999</v>
      </c>
    </row>
    <row r="99" spans="1:22" s="7" customFormat="1" ht="34.9" customHeight="1" x14ac:dyDescent="0.2">
      <c r="A99" s="167" t="s">
        <v>218</v>
      </c>
      <c r="B99" s="147" t="s">
        <v>5</v>
      </c>
      <c r="C99" s="211">
        <v>101876</v>
      </c>
      <c r="D99" s="219" t="s">
        <v>201</v>
      </c>
      <c r="E99" s="147" t="s">
        <v>85</v>
      </c>
      <c r="F99" s="143">
        <v>2</v>
      </c>
      <c r="G99" s="140">
        <v>84.19</v>
      </c>
      <c r="H99" s="127">
        <f t="shared" si="195"/>
        <v>139.07215083521999</v>
      </c>
      <c r="I99" s="138">
        <f t="shared" si="196"/>
        <v>29.307849164779999</v>
      </c>
      <c r="J99" s="133">
        <f t="shared" si="197"/>
        <v>168.38</v>
      </c>
      <c r="K99" s="132">
        <v>0.20349999999999999</v>
      </c>
      <c r="L99" s="127">
        <f t="shared" si="198"/>
        <v>167.37333353018727</v>
      </c>
      <c r="M99" s="128">
        <f t="shared" si="199"/>
        <v>35.271996469812727</v>
      </c>
      <c r="N99" s="122">
        <f t="shared" si="200"/>
        <v>202.64533</v>
      </c>
      <c r="O99" s="98"/>
      <c r="P99" s="86">
        <f t="shared" si="201"/>
        <v>69.536075417609993</v>
      </c>
      <c r="Q99" s="86">
        <f t="shared" si="202"/>
        <v>14.653924582389999</v>
      </c>
      <c r="R99" s="80">
        <f t="shared" si="203"/>
        <v>84.19</v>
      </c>
      <c r="T99" s="110">
        <f t="shared" si="204"/>
        <v>101876</v>
      </c>
      <c r="U99" s="111">
        <f t="shared" si="205"/>
        <v>0.82594221899999998</v>
      </c>
      <c r="V99" s="107">
        <f>0.174057781</f>
        <v>0.17405778099999999</v>
      </c>
    </row>
    <row r="100" spans="1:22" s="7" customFormat="1" ht="34.9" customHeight="1" x14ac:dyDescent="0.2">
      <c r="A100" s="183" t="s">
        <v>219</v>
      </c>
      <c r="B100" s="147" t="s">
        <v>5</v>
      </c>
      <c r="C100" s="211">
        <v>101890</v>
      </c>
      <c r="D100" s="219" t="s">
        <v>202</v>
      </c>
      <c r="E100" s="147" t="s">
        <v>85</v>
      </c>
      <c r="F100" s="143">
        <v>8</v>
      </c>
      <c r="G100" s="140">
        <v>15.54</v>
      </c>
      <c r="H100" s="127">
        <f t="shared" si="195"/>
        <v>101.86998061631999</v>
      </c>
      <c r="I100" s="138">
        <f t="shared" si="196"/>
        <v>22.450019383679997</v>
      </c>
      <c r="J100" s="133">
        <f t="shared" si="197"/>
        <v>124.32</v>
      </c>
      <c r="K100" s="132">
        <v>0.20349999999999999</v>
      </c>
      <c r="L100" s="127">
        <f t="shared" si="198"/>
        <v>122.60052167174111</v>
      </c>
      <c r="M100" s="128">
        <f t="shared" si="199"/>
        <v>27.018598328258879</v>
      </c>
      <c r="N100" s="122">
        <f t="shared" si="200"/>
        <v>149.61911999999998</v>
      </c>
      <c r="O100" s="98"/>
      <c r="P100" s="86">
        <f t="shared" si="201"/>
        <v>12.733747577039999</v>
      </c>
      <c r="Q100" s="86">
        <f t="shared" si="202"/>
        <v>2.8062524229599997</v>
      </c>
      <c r="R100" s="80">
        <f t="shared" si="203"/>
        <v>15.54</v>
      </c>
      <c r="T100" s="110">
        <f t="shared" si="204"/>
        <v>101890</v>
      </c>
      <c r="U100" s="111">
        <f t="shared" si="205"/>
        <v>0.81941747600000003</v>
      </c>
      <c r="V100" s="107">
        <f>0.180582524</f>
        <v>0.18058252399999999</v>
      </c>
    </row>
    <row r="101" spans="1:22" s="7" customFormat="1" ht="34.9" customHeight="1" x14ac:dyDescent="0.2">
      <c r="A101" s="167" t="s">
        <v>220</v>
      </c>
      <c r="B101" s="147" t="s">
        <v>5</v>
      </c>
      <c r="C101" s="211">
        <v>103782</v>
      </c>
      <c r="D101" s="219" t="s">
        <v>203</v>
      </c>
      <c r="E101" s="147" t="s">
        <v>85</v>
      </c>
      <c r="F101" s="143">
        <v>18</v>
      </c>
      <c r="G101" s="140">
        <v>33.340000000000003</v>
      </c>
      <c r="H101" s="127">
        <f t="shared" si="195"/>
        <v>316.83018056544006</v>
      </c>
      <c r="I101" s="138">
        <f t="shared" si="196"/>
        <v>283.28981943456006</v>
      </c>
      <c r="J101" s="133">
        <f t="shared" si="197"/>
        <v>600.12000000000012</v>
      </c>
      <c r="K101" s="132">
        <v>0.20349999999999999</v>
      </c>
      <c r="L101" s="127">
        <f t="shared" si="198"/>
        <v>381.3051223105071</v>
      </c>
      <c r="M101" s="128">
        <f t="shared" si="199"/>
        <v>340.93929768949306</v>
      </c>
      <c r="N101" s="122">
        <f t="shared" si="200"/>
        <v>722.24442000000022</v>
      </c>
      <c r="O101" s="98"/>
      <c r="P101" s="86">
        <f t="shared" si="201"/>
        <v>17.601676698080002</v>
      </c>
      <c r="Q101" s="86">
        <f t="shared" si="202"/>
        <v>15.738323301920003</v>
      </c>
      <c r="R101" s="80">
        <f t="shared" si="203"/>
        <v>33.340000000000003</v>
      </c>
      <c r="T101" s="110">
        <f t="shared" si="204"/>
        <v>103782</v>
      </c>
      <c r="U101" s="111">
        <f t="shared" si="205"/>
        <v>0.52794471200000004</v>
      </c>
      <c r="V101" s="107">
        <f>0.472055288</f>
        <v>0.47205528800000002</v>
      </c>
    </row>
    <row r="102" spans="1:22" s="7" customFormat="1" ht="34.9" customHeight="1" x14ac:dyDescent="0.2">
      <c r="A102" s="183" t="s">
        <v>221</v>
      </c>
      <c r="B102" s="147" t="s">
        <v>83</v>
      </c>
      <c r="C102" s="211">
        <v>1871</v>
      </c>
      <c r="D102" s="218" t="s">
        <v>204</v>
      </c>
      <c r="E102" s="147" t="s">
        <v>85</v>
      </c>
      <c r="F102" s="143">
        <v>18</v>
      </c>
      <c r="G102" s="140">
        <v>4.6900000000000004</v>
      </c>
      <c r="H102" s="127">
        <f t="shared" si="195"/>
        <v>84.42</v>
      </c>
      <c r="I102" s="138">
        <f t="shared" si="196"/>
        <v>0</v>
      </c>
      <c r="J102" s="133">
        <f t="shared" si="197"/>
        <v>84.42</v>
      </c>
      <c r="K102" s="132">
        <v>0.20349999999999999</v>
      </c>
      <c r="L102" s="127">
        <f t="shared" si="198"/>
        <v>101.59947</v>
      </c>
      <c r="M102" s="128">
        <f t="shared" si="199"/>
        <v>0</v>
      </c>
      <c r="N102" s="122">
        <f t="shared" si="200"/>
        <v>101.59947</v>
      </c>
      <c r="O102" s="98"/>
      <c r="P102" s="86">
        <f t="shared" si="201"/>
        <v>4.6900000000000004</v>
      </c>
      <c r="Q102" s="86">
        <f t="shared" si="202"/>
        <v>0</v>
      </c>
      <c r="R102" s="80">
        <f t="shared" si="203"/>
        <v>4.6900000000000004</v>
      </c>
      <c r="T102" s="110">
        <f t="shared" si="204"/>
        <v>1871</v>
      </c>
      <c r="U102" s="111">
        <f t="shared" si="205"/>
        <v>1</v>
      </c>
      <c r="V102" s="107">
        <f>0</f>
        <v>0</v>
      </c>
    </row>
    <row r="103" spans="1:22" s="7" customFormat="1" ht="34.9" customHeight="1" x14ac:dyDescent="0.2">
      <c r="A103" s="167" t="s">
        <v>222</v>
      </c>
      <c r="B103" s="149" t="s">
        <v>5</v>
      </c>
      <c r="C103" s="212">
        <v>91993</v>
      </c>
      <c r="D103" s="218" t="s">
        <v>205</v>
      </c>
      <c r="E103" s="149" t="s">
        <v>85</v>
      </c>
      <c r="F103" s="143">
        <v>6</v>
      </c>
      <c r="G103" s="140">
        <v>52.77</v>
      </c>
      <c r="H103" s="127">
        <f t="shared" si="195"/>
        <v>153.49814570321999</v>
      </c>
      <c r="I103" s="138">
        <f t="shared" si="196"/>
        <v>163.12185429678001</v>
      </c>
      <c r="J103" s="133">
        <f t="shared" si="197"/>
        <v>316.62</v>
      </c>
      <c r="K103" s="132">
        <v>0.20349999999999999</v>
      </c>
      <c r="L103" s="127">
        <f t="shared" si="198"/>
        <v>184.73501835382527</v>
      </c>
      <c r="M103" s="128">
        <f t="shared" si="199"/>
        <v>196.31715164617475</v>
      </c>
      <c r="N103" s="122">
        <f t="shared" si="200"/>
        <v>381.05217000000005</v>
      </c>
      <c r="O103" s="98"/>
      <c r="P103" s="86">
        <f t="shared" si="201"/>
        <v>25.583024283869999</v>
      </c>
      <c r="Q103" s="86">
        <f t="shared" si="202"/>
        <v>27.186975716130004</v>
      </c>
      <c r="R103" s="80">
        <f t="shared" si="203"/>
        <v>52.77</v>
      </c>
      <c r="T103" s="110">
        <f t="shared" si="204"/>
        <v>91993</v>
      </c>
      <c r="U103" s="111">
        <f t="shared" si="205"/>
        <v>0.48480243099999998</v>
      </c>
      <c r="V103" s="107">
        <f>0.515197569</f>
        <v>0.51519756900000002</v>
      </c>
    </row>
    <row r="104" spans="1:22" s="7" customFormat="1" ht="34.9" customHeight="1" x14ac:dyDescent="0.2">
      <c r="A104" s="183" t="s">
        <v>223</v>
      </c>
      <c r="B104" s="147" t="s">
        <v>5</v>
      </c>
      <c r="C104" s="211">
        <v>92005</v>
      </c>
      <c r="D104" s="218" t="s">
        <v>206</v>
      </c>
      <c r="E104" s="147" t="s">
        <v>85</v>
      </c>
      <c r="F104" s="143">
        <v>25</v>
      </c>
      <c r="G104" s="140">
        <v>68.94</v>
      </c>
      <c r="H104" s="127">
        <f t="shared" si="195"/>
        <v>979.42068710999979</v>
      </c>
      <c r="I104" s="138">
        <f t="shared" si="196"/>
        <v>744.07931288999998</v>
      </c>
      <c r="J104" s="133">
        <f t="shared" si="197"/>
        <v>1723.4999999999998</v>
      </c>
      <c r="K104" s="132">
        <v>0.20349999999999999</v>
      </c>
      <c r="L104" s="127">
        <f t="shared" si="198"/>
        <v>1178.7327969368848</v>
      </c>
      <c r="M104" s="128">
        <f t="shared" si="199"/>
        <v>895.49945306311497</v>
      </c>
      <c r="N104" s="122">
        <f t="shared" si="200"/>
        <v>2074.23225</v>
      </c>
      <c r="O104" s="98"/>
      <c r="P104" s="86">
        <f t="shared" si="201"/>
        <v>39.176827484399993</v>
      </c>
      <c r="Q104" s="86">
        <f t="shared" si="202"/>
        <v>29.763172515600001</v>
      </c>
      <c r="R104" s="80">
        <f t="shared" si="203"/>
        <v>68.94</v>
      </c>
      <c r="T104" s="110">
        <f t="shared" si="204"/>
        <v>92005</v>
      </c>
      <c r="U104" s="111">
        <f t="shared" si="205"/>
        <v>0.56827425999999992</v>
      </c>
      <c r="V104" s="107">
        <f>0.43172574</f>
        <v>0.43172574000000002</v>
      </c>
    </row>
    <row r="105" spans="1:22" s="7" customFormat="1" ht="34.9" customHeight="1" x14ac:dyDescent="0.2">
      <c r="A105" s="167" t="s">
        <v>224</v>
      </c>
      <c r="B105" s="148" t="s">
        <v>5</v>
      </c>
      <c r="C105" s="161">
        <v>91957</v>
      </c>
      <c r="D105" s="153" t="s">
        <v>234</v>
      </c>
      <c r="E105" s="148" t="s">
        <v>85</v>
      </c>
      <c r="F105" s="143">
        <v>4</v>
      </c>
      <c r="G105" s="140">
        <v>58.94</v>
      </c>
      <c r="H105" s="127">
        <f t="shared" ref="H105" si="206">(U105*G105)*F105</f>
        <v>131.30733782767999</v>
      </c>
      <c r="I105" s="138">
        <f t="shared" ref="I105" si="207">(V105*G105)*F105</f>
        <v>104.45266217232</v>
      </c>
      <c r="J105" s="133">
        <f t="shared" ref="J105" si="208">H105+I105</f>
        <v>235.76</v>
      </c>
      <c r="K105" s="132">
        <v>1.2035</v>
      </c>
      <c r="L105" s="127">
        <f t="shared" ref="L105" si="209">H105*1.2035</f>
        <v>158.02838107561286</v>
      </c>
      <c r="M105" s="128">
        <f t="shared" ref="M105" si="210">I105*1.2035</f>
        <v>125.70877892438713</v>
      </c>
      <c r="N105" s="122">
        <f t="shared" ref="N105" si="211">L105+M105</f>
        <v>283.73716000000002</v>
      </c>
      <c r="O105" s="98"/>
      <c r="P105" s="86">
        <f t="shared" ref="P105" si="212">U105*G105</f>
        <v>32.826834456919997</v>
      </c>
      <c r="Q105" s="86">
        <f t="shared" ref="Q105" si="213">V105*G105</f>
        <v>26.113165543080001</v>
      </c>
      <c r="R105" s="80">
        <f t="shared" ref="R105" si="214">P105+Q105</f>
        <v>58.94</v>
      </c>
      <c r="T105" s="110">
        <f t="shared" ref="T105" si="215">C105</f>
        <v>91957</v>
      </c>
      <c r="U105" s="111">
        <f t="shared" ref="U105" si="216">1-V105</f>
        <v>0.55695341799999998</v>
      </c>
      <c r="V105" s="107">
        <f>0.443046582</f>
        <v>0.44304658200000002</v>
      </c>
    </row>
    <row r="106" spans="1:22" s="7" customFormat="1" ht="34.9" customHeight="1" thickBot="1" x14ac:dyDescent="0.25">
      <c r="A106" s="183" t="s">
        <v>225</v>
      </c>
      <c r="B106" s="221" t="s">
        <v>5</v>
      </c>
      <c r="C106" s="226">
        <v>92023</v>
      </c>
      <c r="D106" s="219" t="s">
        <v>207</v>
      </c>
      <c r="E106" s="221" t="s">
        <v>85</v>
      </c>
      <c r="F106" s="143">
        <v>5</v>
      </c>
      <c r="G106" s="140">
        <v>57.48</v>
      </c>
      <c r="H106" s="127">
        <f t="shared" si="195"/>
        <v>156.82740598199999</v>
      </c>
      <c r="I106" s="138">
        <f t="shared" si="196"/>
        <v>130.57259401799999</v>
      </c>
      <c r="J106" s="133">
        <f t="shared" si="197"/>
        <v>287.39999999999998</v>
      </c>
      <c r="K106" s="132">
        <v>0.20349999999999999</v>
      </c>
      <c r="L106" s="127">
        <f t="shared" si="198"/>
        <v>188.741783099337</v>
      </c>
      <c r="M106" s="128">
        <f t="shared" si="199"/>
        <v>157.14411690066299</v>
      </c>
      <c r="N106" s="122">
        <f t="shared" si="200"/>
        <v>345.88589999999999</v>
      </c>
      <c r="O106" s="98"/>
      <c r="P106" s="86">
        <f t="shared" si="201"/>
        <v>31.365481196399998</v>
      </c>
      <c r="Q106" s="86">
        <f t="shared" si="202"/>
        <v>26.114518803599999</v>
      </c>
      <c r="R106" s="80">
        <f t="shared" si="203"/>
        <v>57.48</v>
      </c>
      <c r="T106" s="110">
        <f t="shared" si="204"/>
        <v>92023</v>
      </c>
      <c r="U106" s="111">
        <f t="shared" si="205"/>
        <v>0.54567642999999999</v>
      </c>
      <c r="V106" s="107">
        <f>0.45432357</f>
        <v>0.45432357000000001</v>
      </c>
    </row>
    <row r="107" spans="1:22" s="7" customFormat="1" ht="15" customHeight="1" thickBot="1" x14ac:dyDescent="0.25">
      <c r="A107" s="230" t="s">
        <v>257</v>
      </c>
      <c r="B107" s="231"/>
      <c r="C107" s="286" t="s">
        <v>258</v>
      </c>
      <c r="D107" s="232"/>
      <c r="E107" s="233"/>
      <c r="F107" s="233"/>
      <c r="G107" s="233"/>
      <c r="H107" s="233"/>
      <c r="I107" s="233"/>
      <c r="J107" s="233"/>
      <c r="K107" s="234"/>
      <c r="L107" s="287">
        <f>L108</f>
        <v>1819.9999999999998</v>
      </c>
      <c r="M107" s="287">
        <f>M108</f>
        <v>780</v>
      </c>
      <c r="N107" s="287">
        <f>N108</f>
        <v>2600</v>
      </c>
      <c r="O107" s="97">
        <f>L107+M107</f>
        <v>2600</v>
      </c>
      <c r="P107" s="85"/>
      <c r="Q107" s="85"/>
      <c r="R107" s="79"/>
      <c r="T107" s="108"/>
      <c r="U107" s="109"/>
      <c r="V107" s="109"/>
    </row>
    <row r="108" spans="1:22" s="7" customFormat="1" ht="34.9" customHeight="1" thickBot="1" x14ac:dyDescent="0.25">
      <c r="A108" s="289" t="s">
        <v>259</v>
      </c>
      <c r="B108" s="290" t="s">
        <v>260</v>
      </c>
      <c r="C108" s="291">
        <v>1</v>
      </c>
      <c r="D108" s="299" t="s">
        <v>262</v>
      </c>
      <c r="E108" s="290" t="s">
        <v>85</v>
      </c>
      <c r="F108" s="292">
        <v>1</v>
      </c>
      <c r="G108" s="293">
        <v>2600</v>
      </c>
      <c r="H108" s="294">
        <f t="shared" ref="H108" si="217">(U108*G108)*F108</f>
        <v>1819.9999999999998</v>
      </c>
      <c r="I108" s="295">
        <f t="shared" ref="I108" si="218">(V108*G108)*F108</f>
        <v>780</v>
      </c>
      <c r="J108" s="296">
        <f t="shared" ref="J108" si="219">H108+I108</f>
        <v>2600</v>
      </c>
      <c r="K108" s="300" t="s">
        <v>263</v>
      </c>
      <c r="L108" s="294">
        <f>H108</f>
        <v>1819.9999999999998</v>
      </c>
      <c r="M108" s="297">
        <f>I108</f>
        <v>780</v>
      </c>
      <c r="N108" s="185">
        <f t="shared" ref="N108" si="220">L108+M108</f>
        <v>2600</v>
      </c>
      <c r="O108" s="98"/>
      <c r="P108" s="86">
        <f t="shared" ref="P108" si="221">U108*G108</f>
        <v>1819.9999999999998</v>
      </c>
      <c r="Q108" s="86">
        <f t="shared" ref="Q108" si="222">V108*G108</f>
        <v>780</v>
      </c>
      <c r="R108" s="80">
        <f t="shared" ref="R108" si="223">P108+Q108</f>
        <v>2600</v>
      </c>
      <c r="T108" s="110">
        <f t="shared" ref="T108" si="224">C108</f>
        <v>1</v>
      </c>
      <c r="U108" s="111">
        <f t="shared" ref="U108" si="225">1-V108</f>
        <v>0.7</v>
      </c>
      <c r="V108" s="107">
        <f>0.3</f>
        <v>0.3</v>
      </c>
    </row>
    <row r="109" spans="1:22" ht="22.15" customHeight="1" thickBot="1" x14ac:dyDescent="0.25">
      <c r="A109" s="312" t="s">
        <v>55</v>
      </c>
      <c r="B109" s="313"/>
      <c r="C109" s="313"/>
      <c r="D109" s="313"/>
      <c r="E109" s="313"/>
      <c r="F109" s="313"/>
      <c r="G109" s="313"/>
      <c r="H109" s="313"/>
      <c r="I109" s="313"/>
      <c r="J109" s="313"/>
      <c r="K109" s="313"/>
      <c r="L109" s="288">
        <f>L12+L19+L31+L44+L46+L57+L62+L66+L69+L75+L87+L93+L107</f>
        <v>160471.50124097531</v>
      </c>
      <c r="M109" s="288">
        <f>M12+M19+M31+M44+M46+M57+M62+M66+M69+M75+M87+M93+M107</f>
        <v>64528.500516982844</v>
      </c>
      <c r="N109" s="288">
        <f>N12+N19+N31+N44+N46+N57+N62+N66+N69+N75+N87+N93+N107</f>
        <v>225000.00175795818</v>
      </c>
      <c r="O109" s="97">
        <f>L109+M109</f>
        <v>225000.00175795815</v>
      </c>
      <c r="P109" s="81"/>
      <c r="Q109" s="87"/>
      <c r="R109" s="81"/>
      <c r="T109" s="105"/>
    </row>
    <row r="110" spans="1:22" ht="22.15" customHeight="1" x14ac:dyDescent="0.2">
      <c r="A110" s="15"/>
      <c r="B110" s="15"/>
      <c r="C110" s="15"/>
      <c r="D110" s="15"/>
      <c r="E110" s="15"/>
      <c r="F110" s="15"/>
      <c r="G110" s="15"/>
      <c r="H110" s="15"/>
      <c r="I110" s="15"/>
      <c r="J110" s="15"/>
      <c r="K110" s="15"/>
      <c r="L110" s="15"/>
      <c r="M110" s="15"/>
      <c r="N110" s="16"/>
      <c r="O110" s="99"/>
      <c r="P110" s="88"/>
      <c r="Q110" s="88"/>
      <c r="R110" s="16"/>
    </row>
    <row r="111" spans="1:22" s="31" customFormat="1" ht="30" customHeight="1" x14ac:dyDescent="0.2">
      <c r="A111" s="314" t="s">
        <v>36</v>
      </c>
      <c r="B111" s="314"/>
      <c r="C111" s="314"/>
      <c r="D111" s="314"/>
      <c r="E111" s="314"/>
      <c r="F111" s="314"/>
      <c r="G111" s="314"/>
      <c r="H111" s="314"/>
      <c r="I111" s="314"/>
      <c r="J111" s="314"/>
      <c r="K111" s="314"/>
      <c r="L111" s="314"/>
      <c r="M111" s="314"/>
      <c r="N111" s="314"/>
      <c r="O111" s="73"/>
      <c r="P111" s="89"/>
      <c r="Q111" s="89"/>
      <c r="R111" s="73"/>
      <c r="T111" s="106"/>
      <c r="U111" s="104"/>
      <c r="V111" s="104"/>
    </row>
    <row r="113" spans="1:22" s="14" customFormat="1" ht="15" customHeight="1" x14ac:dyDescent="0.2">
      <c r="A113" s="353" t="s">
        <v>246</v>
      </c>
      <c r="B113" s="353"/>
      <c r="C113" s="353"/>
      <c r="D113" s="301"/>
      <c r="E113" s="41"/>
      <c r="F113" s="41"/>
      <c r="G113" s="41"/>
      <c r="H113" s="41"/>
      <c r="I113" s="41"/>
      <c r="J113" s="41"/>
      <c r="K113" s="41"/>
      <c r="L113" s="41"/>
      <c r="M113" s="41"/>
      <c r="N113" s="42"/>
      <c r="O113" s="100"/>
      <c r="P113" s="90"/>
      <c r="Q113" s="90"/>
      <c r="R113" s="42"/>
      <c r="T113" s="103"/>
      <c r="U113" s="104"/>
      <c r="V113" s="104"/>
    </row>
    <row r="114" spans="1:22" ht="15" customHeight="1" x14ac:dyDescent="0.2">
      <c r="A114" s="32"/>
      <c r="B114" s="32"/>
      <c r="C114" s="32"/>
      <c r="D114" s="32"/>
      <c r="E114" s="32"/>
      <c r="F114" s="32"/>
      <c r="G114" s="32"/>
      <c r="H114" s="32"/>
      <c r="I114" s="32"/>
      <c r="J114" s="32"/>
      <c r="K114" s="32"/>
      <c r="L114" s="32"/>
      <c r="M114" s="32"/>
      <c r="N114" s="43"/>
      <c r="O114" s="101"/>
      <c r="P114" s="91"/>
      <c r="Q114" s="91"/>
      <c r="R114" s="43"/>
    </row>
    <row r="115" spans="1:22" s="7" customFormat="1" ht="15" customHeight="1" x14ac:dyDescent="0.2">
      <c r="A115" s="307" t="s">
        <v>21</v>
      </c>
      <c r="B115" s="307"/>
      <c r="C115" s="307"/>
      <c r="D115" s="307"/>
      <c r="E115" s="307"/>
      <c r="F115" s="307"/>
      <c r="G115" s="307"/>
      <c r="H115" s="307"/>
      <c r="I115" s="307"/>
      <c r="J115" s="307"/>
      <c r="K115" s="307"/>
      <c r="L115" s="307"/>
      <c r="M115" s="307"/>
      <c r="N115" s="17"/>
      <c r="O115" s="17"/>
      <c r="P115" s="92"/>
      <c r="Q115" s="92"/>
      <c r="R115" s="17"/>
      <c r="T115" s="76"/>
      <c r="U115" s="77"/>
      <c r="V115" s="77"/>
    </row>
    <row r="116" spans="1:22" s="7" customFormat="1" ht="15" customHeight="1" x14ac:dyDescent="0.2">
      <c r="A116" s="17"/>
      <c r="B116" s="17"/>
      <c r="C116" s="17"/>
      <c r="D116" s="17"/>
      <c r="E116" s="17"/>
      <c r="F116" s="17"/>
      <c r="G116" s="17"/>
      <c r="H116" s="17"/>
      <c r="I116" s="17"/>
      <c r="J116" s="17"/>
      <c r="K116" s="17"/>
      <c r="L116" s="17"/>
      <c r="M116" s="17"/>
      <c r="N116" s="17"/>
      <c r="O116" s="17"/>
      <c r="P116" s="92"/>
      <c r="Q116" s="92"/>
      <c r="R116" s="17"/>
      <c r="T116" s="76"/>
      <c r="U116" s="77"/>
      <c r="V116" s="77"/>
    </row>
    <row r="117" spans="1:22" s="7" customFormat="1" ht="15" customHeight="1" x14ac:dyDescent="0.2">
      <c r="A117" s="17"/>
      <c r="B117" s="17"/>
      <c r="C117" s="17"/>
      <c r="D117" s="17"/>
      <c r="E117" s="17"/>
      <c r="F117" s="17"/>
      <c r="G117" s="17"/>
      <c r="H117" s="17"/>
      <c r="I117" s="17"/>
      <c r="J117" s="17"/>
      <c r="K117" s="17"/>
      <c r="L117" s="17"/>
      <c r="M117" s="17"/>
      <c r="N117" s="17"/>
      <c r="O117" s="17"/>
      <c r="P117" s="92"/>
      <c r="Q117" s="92"/>
      <c r="R117" s="17"/>
      <c r="T117" s="76"/>
      <c r="U117" s="77"/>
      <c r="V117" s="77"/>
    </row>
    <row r="118" spans="1:22" s="7" customFormat="1" ht="15" customHeight="1" x14ac:dyDescent="0.2">
      <c r="A118" s="17"/>
      <c r="B118" s="17"/>
      <c r="C118" s="17"/>
      <c r="D118" s="17"/>
      <c r="E118" s="17"/>
      <c r="F118" s="17"/>
      <c r="G118" s="17"/>
      <c r="H118" s="17"/>
      <c r="I118" s="17"/>
      <c r="J118" s="17"/>
      <c r="K118" s="17"/>
      <c r="L118" s="17"/>
      <c r="M118" s="17"/>
      <c r="N118" s="17"/>
      <c r="O118" s="17"/>
      <c r="P118" s="92"/>
      <c r="Q118" s="92"/>
      <c r="R118" s="17"/>
      <c r="T118" s="76"/>
      <c r="U118" s="77"/>
      <c r="V118" s="77"/>
    </row>
    <row r="119" spans="1:22" s="7" customFormat="1" ht="15" customHeight="1" x14ac:dyDescent="0.2">
      <c r="A119" s="303"/>
      <c r="B119" s="303"/>
      <c r="C119" s="303"/>
      <c r="D119" s="116" t="s">
        <v>66</v>
      </c>
      <c r="E119" s="117"/>
      <c r="F119" s="309" t="s">
        <v>66</v>
      </c>
      <c r="G119" s="309"/>
      <c r="H119" s="309"/>
      <c r="I119" s="309"/>
      <c r="J119" s="309"/>
      <c r="K119" s="34"/>
      <c r="L119" s="34"/>
      <c r="M119" s="17"/>
      <c r="N119" s="17"/>
      <c r="O119" s="17"/>
      <c r="P119" s="92"/>
      <c r="Q119" s="92"/>
      <c r="R119" s="17"/>
      <c r="T119" s="76"/>
      <c r="U119" s="77"/>
      <c r="V119" s="77"/>
    </row>
    <row r="120" spans="1:22" s="7" customFormat="1" ht="15" customHeight="1" x14ac:dyDescent="0.2">
      <c r="A120" s="308"/>
      <c r="B120" s="308"/>
      <c r="C120" s="308"/>
      <c r="D120" s="33" t="s">
        <v>247</v>
      </c>
      <c r="E120" s="118"/>
      <c r="F120" s="302" t="s">
        <v>38</v>
      </c>
      <c r="G120" s="302"/>
      <c r="H120" s="302"/>
      <c r="I120" s="302"/>
      <c r="J120" s="302"/>
      <c r="K120" s="34"/>
      <c r="L120" s="34"/>
      <c r="M120" s="34"/>
      <c r="N120" s="34"/>
      <c r="O120" s="34"/>
      <c r="P120" s="93"/>
      <c r="Q120" s="93"/>
      <c r="R120" s="34"/>
      <c r="T120" s="76"/>
      <c r="U120" s="77"/>
      <c r="V120" s="77"/>
    </row>
    <row r="121" spans="1:22" s="13" customFormat="1" ht="15" customHeight="1" x14ac:dyDescent="0.2">
      <c r="A121" s="304"/>
      <c r="B121" s="304"/>
      <c r="C121" s="304"/>
      <c r="D121" s="35" t="s">
        <v>248</v>
      </c>
      <c r="E121" s="34"/>
      <c r="F121" s="303" t="s">
        <v>39</v>
      </c>
      <c r="G121" s="303"/>
      <c r="H121" s="303"/>
      <c r="I121" s="303"/>
      <c r="J121" s="303"/>
      <c r="K121" s="34"/>
      <c r="L121" s="34"/>
      <c r="M121" s="34"/>
      <c r="N121" s="34"/>
      <c r="O121" s="34"/>
      <c r="P121" s="93"/>
      <c r="Q121" s="93"/>
      <c r="R121" s="34"/>
      <c r="T121" s="76"/>
      <c r="U121" s="77"/>
      <c r="V121" s="77"/>
    </row>
    <row r="122" spans="1:22" s="13" customFormat="1" ht="15" customHeight="1" x14ac:dyDescent="0.2">
      <c r="A122" s="303"/>
      <c r="B122" s="303"/>
      <c r="C122" s="303"/>
      <c r="D122" s="259" t="s">
        <v>249</v>
      </c>
      <c r="E122" s="18"/>
      <c r="F122" s="19"/>
      <c r="G122" s="19"/>
      <c r="H122" s="19"/>
      <c r="I122" s="19"/>
      <c r="J122" s="19"/>
      <c r="K122" s="19"/>
      <c r="L122" s="19"/>
      <c r="M122" s="36"/>
      <c r="N122" s="20"/>
      <c r="O122" s="20"/>
      <c r="P122" s="94"/>
      <c r="Q122" s="94"/>
      <c r="R122" s="20"/>
      <c r="T122" s="76"/>
      <c r="U122" s="77"/>
      <c r="V122" s="77"/>
    </row>
    <row r="123" spans="1:22" x14ac:dyDescent="0.2">
      <c r="A123" s="12"/>
      <c r="B123" s="12"/>
      <c r="C123" s="12"/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95"/>
      <c r="Q123" s="95"/>
      <c r="R123" s="12"/>
    </row>
    <row r="124" spans="1:22" x14ac:dyDescent="0.2">
      <c r="M124" s="44"/>
    </row>
    <row r="125" spans="1:22" x14ac:dyDescent="0.2">
      <c r="M125" s="44"/>
    </row>
    <row r="138" spans="4:4" ht="38.25" x14ac:dyDescent="0.2">
      <c r="D138" s="298" t="s">
        <v>261</v>
      </c>
    </row>
  </sheetData>
  <mergeCells count="30">
    <mergeCell ref="I3:K3"/>
    <mergeCell ref="I4:J4"/>
    <mergeCell ref="I5:J5"/>
    <mergeCell ref="I6:I7"/>
    <mergeCell ref="A7:B7"/>
    <mergeCell ref="C7:D7"/>
    <mergeCell ref="A8:B8"/>
    <mergeCell ref="C8:D8"/>
    <mergeCell ref="A10:A11"/>
    <mergeCell ref="B10:B11"/>
    <mergeCell ref="C10:C11"/>
    <mergeCell ref="D10:D11"/>
    <mergeCell ref="A9:M9"/>
    <mergeCell ref="J10:J11"/>
    <mergeCell ref="L10:M10"/>
    <mergeCell ref="N10:N11"/>
    <mergeCell ref="A109:K109"/>
    <mergeCell ref="A111:N111"/>
    <mergeCell ref="E10:E11"/>
    <mergeCell ref="F10:F11"/>
    <mergeCell ref="G10:G11"/>
    <mergeCell ref="F120:J120"/>
    <mergeCell ref="F121:J121"/>
    <mergeCell ref="A121:C121"/>
    <mergeCell ref="A122:C122"/>
    <mergeCell ref="K10:K11"/>
    <mergeCell ref="A115:M115"/>
    <mergeCell ref="A119:C119"/>
    <mergeCell ref="A120:C120"/>
    <mergeCell ref="F119:J119"/>
  </mergeCells>
  <phoneticPr fontId="31" type="noConversion"/>
  <pageMargins left="0.7" right="0.7" top="0.75" bottom="0.75" header="0.3" footer="0.3"/>
  <pageSetup scale="44" fitToHeight="0" orientation="landscape" horizontalDpi="300" verticalDpi="300" r:id="rId1"/>
  <ignoredErrors>
    <ignoredError sqref="C74" numberStoredAsText="1"/>
    <ignoredError sqref="L19:N19 L44:N44 N46 L62:N62 N69" formula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R13" sqref="R13"/>
    </sheetView>
  </sheetViews>
  <sheetFormatPr defaultRowHeight="12.75" x14ac:dyDescent="0.2"/>
  <sheetData/>
  <pageMargins left="0.511811024" right="0.511811024" top="0.78740157499999996" bottom="0.78740157499999996" header="0.31496062000000002" footer="0.31496062000000002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4:W42"/>
  <sheetViews>
    <sheetView topLeftCell="D1" zoomScale="94" zoomScaleNormal="94" workbookViewId="0">
      <selection activeCell="A3" sqref="A3:U41"/>
    </sheetView>
  </sheetViews>
  <sheetFormatPr defaultRowHeight="12.75" x14ac:dyDescent="0.2"/>
  <cols>
    <col min="2" max="2" width="13.5" customWidth="1"/>
    <col min="3" max="3" width="29.83203125" customWidth="1"/>
    <col min="4" max="5" width="12.83203125" customWidth="1"/>
    <col min="6" max="21" width="10.83203125" customWidth="1"/>
    <col min="23" max="23" width="13.5" bestFit="1" customWidth="1"/>
  </cols>
  <sheetData>
    <row r="4" spans="2:23" x14ac:dyDescent="0.2">
      <c r="E4" s="45"/>
      <c r="F4" s="45"/>
    </row>
    <row r="5" spans="2:23" x14ac:dyDescent="0.2">
      <c r="D5" s="346" t="s">
        <v>40</v>
      </c>
      <c r="E5" s="346"/>
      <c r="F5" s="346"/>
    </row>
    <row r="6" spans="2:23" x14ac:dyDescent="0.2">
      <c r="D6" s="347" t="s">
        <v>41</v>
      </c>
      <c r="E6" s="347"/>
      <c r="F6" s="347"/>
    </row>
    <row r="9" spans="2:23" s="46" customFormat="1" ht="22.15" customHeight="1" x14ac:dyDescent="0.2">
      <c r="B9" s="21" t="s">
        <v>9</v>
      </c>
      <c r="C9" s="307" t="str">
        <f>'Orçamento Oficial'!C7:D7</f>
        <v>Reforma e ampliação do CRAS Carlos Adalberto Rigon Chaves</v>
      </c>
      <c r="D9" s="307"/>
      <c r="E9" s="307"/>
      <c r="F9" s="307"/>
      <c r="G9" s="4"/>
      <c r="H9" s="22"/>
    </row>
    <row r="10" spans="2:23" s="46" customFormat="1" ht="22.15" customHeight="1" x14ac:dyDescent="0.2">
      <c r="B10" s="21" t="s">
        <v>10</v>
      </c>
      <c r="C10" s="34" t="s">
        <v>42</v>
      </c>
      <c r="D10" s="34"/>
      <c r="E10" s="34"/>
      <c r="F10" s="3"/>
      <c r="G10" s="4"/>
      <c r="H10" s="47"/>
    </row>
    <row r="11" spans="2:23" s="46" customFormat="1" ht="13.9" customHeight="1" thickBot="1" x14ac:dyDescent="0.25">
      <c r="B11" s="21"/>
      <c r="C11" s="34"/>
      <c r="D11" s="34"/>
      <c r="E11" s="34"/>
      <c r="F11" s="3"/>
      <c r="G11" s="4"/>
      <c r="H11" s="47"/>
    </row>
    <row r="12" spans="2:23" s="48" customFormat="1" ht="15" customHeight="1" thickBot="1" x14ac:dyDescent="0.25">
      <c r="B12" s="349" t="s">
        <v>43</v>
      </c>
      <c r="C12" s="350"/>
      <c r="D12" s="350"/>
      <c r="E12" s="350"/>
      <c r="F12" s="350"/>
      <c r="G12" s="350"/>
      <c r="H12" s="350"/>
      <c r="I12" s="350"/>
      <c r="J12" s="350"/>
      <c r="K12" s="350"/>
      <c r="L12" s="350"/>
      <c r="M12" s="350"/>
      <c r="N12" s="350"/>
      <c r="O12" s="350"/>
      <c r="P12" s="350"/>
      <c r="Q12" s="350"/>
      <c r="R12" s="350"/>
      <c r="S12" s="350"/>
      <c r="T12" s="350"/>
      <c r="U12" s="351"/>
    </row>
    <row r="13" spans="2:23" s="49" customFormat="1" ht="15" customHeight="1" x14ac:dyDescent="0.2">
      <c r="B13" s="71"/>
      <c r="C13" s="72"/>
      <c r="D13" s="348" t="s">
        <v>44</v>
      </c>
      <c r="E13" s="348"/>
      <c r="F13" s="343" t="s">
        <v>45</v>
      </c>
      <c r="G13" s="343"/>
      <c r="H13" s="343" t="s">
        <v>46</v>
      </c>
      <c r="I13" s="344"/>
      <c r="J13" s="343" t="s">
        <v>250</v>
      </c>
      <c r="K13" s="344"/>
      <c r="L13" s="343" t="s">
        <v>251</v>
      </c>
      <c r="M13" s="344"/>
      <c r="N13" s="343" t="s">
        <v>252</v>
      </c>
      <c r="O13" s="344"/>
      <c r="P13" s="343" t="s">
        <v>253</v>
      </c>
      <c r="Q13" s="344"/>
      <c r="R13" s="343" t="s">
        <v>254</v>
      </c>
      <c r="S13" s="344"/>
      <c r="T13" s="343" t="s">
        <v>255</v>
      </c>
      <c r="U13" s="352"/>
    </row>
    <row r="14" spans="2:23" s="54" customFormat="1" ht="15" customHeight="1" x14ac:dyDescent="0.2">
      <c r="B14" s="50" t="s">
        <v>47</v>
      </c>
      <c r="C14" s="51" t="s">
        <v>48</v>
      </c>
      <c r="D14" s="51" t="s">
        <v>49</v>
      </c>
      <c r="E14" s="51" t="s">
        <v>50</v>
      </c>
      <c r="F14" s="51" t="s">
        <v>49</v>
      </c>
      <c r="G14" s="52" t="s">
        <v>50</v>
      </c>
      <c r="H14" s="51" t="s">
        <v>49</v>
      </c>
      <c r="I14" s="260" t="s">
        <v>50</v>
      </c>
      <c r="J14" s="51" t="s">
        <v>49</v>
      </c>
      <c r="K14" s="260" t="s">
        <v>50</v>
      </c>
      <c r="L14" s="51" t="s">
        <v>49</v>
      </c>
      <c r="M14" s="260" t="s">
        <v>50</v>
      </c>
      <c r="N14" s="51" t="s">
        <v>49</v>
      </c>
      <c r="O14" s="260" t="s">
        <v>50</v>
      </c>
      <c r="P14" s="51" t="s">
        <v>49</v>
      </c>
      <c r="Q14" s="260" t="s">
        <v>50</v>
      </c>
      <c r="R14" s="51" t="s">
        <v>49</v>
      </c>
      <c r="S14" s="260" t="s">
        <v>50</v>
      </c>
      <c r="T14" s="51" t="s">
        <v>49</v>
      </c>
      <c r="U14" s="53" t="s">
        <v>50</v>
      </c>
    </row>
    <row r="15" spans="2:23" s="49" customFormat="1" ht="15" customHeight="1" x14ac:dyDescent="0.2">
      <c r="B15" s="50" t="s">
        <v>22</v>
      </c>
      <c r="C15" s="55" t="str">
        <f>'Orçamento Oficial'!C12</f>
        <v>SERVIÇOS PRELIMINARES</v>
      </c>
      <c r="D15" s="56">
        <f>'Orçamento Oficial'!N12</f>
        <v>3045.78085255</v>
      </c>
      <c r="E15" s="57">
        <f>D15/$D$30*100</f>
        <v>1.3536803683346068</v>
      </c>
      <c r="F15" s="56">
        <f>D15*G15</f>
        <v>3045.78085255</v>
      </c>
      <c r="G15" s="58">
        <v>1</v>
      </c>
      <c r="H15" s="56">
        <f>I15*D15</f>
        <v>0</v>
      </c>
      <c r="I15" s="261"/>
      <c r="J15" s="56">
        <f>K15*D15</f>
        <v>0</v>
      </c>
      <c r="K15" s="263"/>
      <c r="L15" s="56">
        <f>M15*D15</f>
        <v>0</v>
      </c>
      <c r="M15" s="263"/>
      <c r="N15" s="56">
        <f>O15*D15</f>
        <v>0</v>
      </c>
      <c r="O15" s="263"/>
      <c r="P15" s="56">
        <f>Q15*D15</f>
        <v>0</v>
      </c>
      <c r="Q15" s="263"/>
      <c r="R15" s="56">
        <f>S15*D15</f>
        <v>0</v>
      </c>
      <c r="S15" s="263"/>
      <c r="T15" s="56">
        <f>U15*D15</f>
        <v>0</v>
      </c>
      <c r="U15" s="114"/>
      <c r="W15" s="281">
        <f>G15+I15+K15+M15+O15+Q15+S15+U15</f>
        <v>1</v>
      </c>
    </row>
    <row r="16" spans="2:23" s="49" customFormat="1" ht="15" customHeight="1" x14ac:dyDescent="0.2">
      <c r="B16" s="50" t="s">
        <v>25</v>
      </c>
      <c r="C16" s="55" t="str">
        <f>'Orçamento Oficial'!C19</f>
        <v>INFRA-ESTRUTURA</v>
      </c>
      <c r="D16" s="56">
        <f>'Orçamento Oficial'!N19</f>
        <v>30317.702921058124</v>
      </c>
      <c r="E16" s="57">
        <f t="shared" ref="E16:E27" si="0">D16/$D$30*100</f>
        <v>13.474534526302865</v>
      </c>
      <c r="F16" s="56">
        <f t="shared" ref="F16:F27" si="1">D16*G16</f>
        <v>18190.621752634874</v>
      </c>
      <c r="G16" s="58">
        <v>0.6</v>
      </c>
      <c r="H16" s="56">
        <f t="shared" ref="H16:H27" si="2">I16*D16</f>
        <v>12127.08116842325</v>
      </c>
      <c r="I16" s="262">
        <v>0.4</v>
      </c>
      <c r="J16" s="56">
        <f>K16*D16</f>
        <v>0</v>
      </c>
      <c r="K16" s="58"/>
      <c r="L16" s="56">
        <f t="shared" ref="L16:L27" si="3">M16*D16</f>
        <v>0</v>
      </c>
      <c r="M16" s="58"/>
      <c r="N16" s="56">
        <f t="shared" ref="N16:N27" si="4">O16*D16</f>
        <v>0</v>
      </c>
      <c r="O16" s="58"/>
      <c r="P16" s="56">
        <f t="shared" ref="P16:P27" si="5">Q16*D16</f>
        <v>0</v>
      </c>
      <c r="Q16" s="58"/>
      <c r="R16" s="56">
        <f t="shared" ref="R16:R27" si="6">S16*D16</f>
        <v>0</v>
      </c>
      <c r="S16" s="58"/>
      <c r="T16" s="56">
        <f t="shared" ref="T16:T27" si="7">U16*D16</f>
        <v>0</v>
      </c>
      <c r="U16" s="59"/>
      <c r="W16" s="281">
        <f t="shared" ref="W16:W26" si="8">G16+I16+K16+M16+O16+Q16+S16+U16</f>
        <v>1</v>
      </c>
    </row>
    <row r="17" spans="2:23" s="49" customFormat="1" ht="15" customHeight="1" x14ac:dyDescent="0.2">
      <c r="B17" s="50" t="s">
        <v>27</v>
      </c>
      <c r="C17" s="55" t="str">
        <f>'Orçamento Oficial'!C31</f>
        <v>SUPRA-ESTRUTURA</v>
      </c>
      <c r="D17" s="56">
        <f>'Orçamento Oficial'!N31</f>
        <v>26935.221071400003</v>
      </c>
      <c r="E17" s="57">
        <f t="shared" si="0"/>
        <v>11.971209271533844</v>
      </c>
      <c r="F17" s="56">
        <f t="shared" si="1"/>
        <v>6733.8052678500007</v>
      </c>
      <c r="G17" s="58">
        <v>0.25</v>
      </c>
      <c r="H17" s="56">
        <f t="shared" si="2"/>
        <v>9427.32737499</v>
      </c>
      <c r="I17" s="262">
        <v>0.35</v>
      </c>
      <c r="J17" s="56">
        <f t="shared" ref="J17:J27" si="9">K17*D17</f>
        <v>10774.088428560002</v>
      </c>
      <c r="K17" s="58">
        <v>0.4</v>
      </c>
      <c r="L17" s="56">
        <f t="shared" si="3"/>
        <v>0</v>
      </c>
      <c r="M17" s="58"/>
      <c r="N17" s="56">
        <f t="shared" si="4"/>
        <v>0</v>
      </c>
      <c r="O17" s="58"/>
      <c r="P17" s="56">
        <f t="shared" si="5"/>
        <v>0</v>
      </c>
      <c r="Q17" s="58"/>
      <c r="R17" s="56">
        <f t="shared" si="6"/>
        <v>0</v>
      </c>
      <c r="S17" s="58"/>
      <c r="T17" s="56">
        <f t="shared" si="7"/>
        <v>0</v>
      </c>
      <c r="U17" s="59"/>
      <c r="W17" s="281">
        <f t="shared" si="8"/>
        <v>1</v>
      </c>
    </row>
    <row r="18" spans="2:23" s="49" customFormat="1" ht="15" customHeight="1" x14ac:dyDescent="0.2">
      <c r="B18" s="50" t="s">
        <v>31</v>
      </c>
      <c r="C18" s="60" t="str">
        <f>'Orçamento Oficial'!C44</f>
        <v>PAREDES</v>
      </c>
      <c r="D18" s="56">
        <f>'Orçamento Oficial'!N44</f>
        <v>30838.928091499998</v>
      </c>
      <c r="E18" s="57">
        <f t="shared" si="0"/>
        <v>13.706190155800405</v>
      </c>
      <c r="F18" s="56">
        <f t="shared" si="1"/>
        <v>0</v>
      </c>
      <c r="G18" s="58"/>
      <c r="H18" s="56">
        <f t="shared" si="2"/>
        <v>6167.7856183000004</v>
      </c>
      <c r="I18" s="262">
        <v>0.2</v>
      </c>
      <c r="J18" s="56">
        <f t="shared" si="9"/>
        <v>9251.6784274499987</v>
      </c>
      <c r="K18" s="58">
        <v>0.3</v>
      </c>
      <c r="L18" s="56">
        <f t="shared" si="3"/>
        <v>15419.464045749999</v>
      </c>
      <c r="M18" s="58">
        <v>0.5</v>
      </c>
      <c r="N18" s="56">
        <f t="shared" si="4"/>
        <v>0</v>
      </c>
      <c r="O18" s="58"/>
      <c r="P18" s="56">
        <f t="shared" si="5"/>
        <v>0</v>
      </c>
      <c r="Q18" s="58"/>
      <c r="R18" s="56">
        <f t="shared" si="6"/>
        <v>0</v>
      </c>
      <c r="S18" s="58"/>
      <c r="T18" s="56">
        <f t="shared" si="7"/>
        <v>0</v>
      </c>
      <c r="U18" s="59"/>
      <c r="W18" s="281">
        <f t="shared" si="8"/>
        <v>1</v>
      </c>
    </row>
    <row r="19" spans="2:23" s="49" customFormat="1" ht="15" customHeight="1" x14ac:dyDescent="0.2">
      <c r="B19" s="50" t="str">
        <f>'Orçamento Oficial'!A46</f>
        <v>5.0</v>
      </c>
      <c r="C19" s="60" t="str">
        <f>'Orçamento Oficial'!C46</f>
        <v>COBERTURA</v>
      </c>
      <c r="D19" s="56">
        <f>'Orçamento Oficial'!N46</f>
        <v>49159.884412000014</v>
      </c>
      <c r="E19" s="57">
        <f t="shared" si="0"/>
        <v>21.848837345736264</v>
      </c>
      <c r="F19" s="56">
        <f t="shared" si="1"/>
        <v>0</v>
      </c>
      <c r="G19" s="58"/>
      <c r="H19" s="56">
        <f t="shared" si="2"/>
        <v>0</v>
      </c>
      <c r="I19" s="262"/>
      <c r="J19" s="56">
        <f t="shared" si="9"/>
        <v>0</v>
      </c>
      <c r="K19" s="58"/>
      <c r="L19" s="56">
        <f t="shared" si="3"/>
        <v>0</v>
      </c>
      <c r="M19" s="58"/>
      <c r="N19" s="56">
        <f t="shared" si="4"/>
        <v>14747.965323600003</v>
      </c>
      <c r="O19" s="58">
        <v>0.3</v>
      </c>
      <c r="P19" s="56">
        <f t="shared" si="5"/>
        <v>14747.965323600003</v>
      </c>
      <c r="Q19" s="58">
        <v>0.3</v>
      </c>
      <c r="R19" s="56">
        <f t="shared" si="6"/>
        <v>14747.965323600003</v>
      </c>
      <c r="S19" s="58">
        <v>0.3</v>
      </c>
      <c r="T19" s="56">
        <f t="shared" si="7"/>
        <v>4915.9884412000019</v>
      </c>
      <c r="U19" s="59">
        <v>0.1</v>
      </c>
      <c r="W19" s="281">
        <f t="shared" si="8"/>
        <v>0.99999999999999989</v>
      </c>
    </row>
    <row r="20" spans="2:23" s="49" customFormat="1" ht="15" customHeight="1" x14ac:dyDescent="0.2">
      <c r="B20" s="50" t="str">
        <f>'Orçamento Oficial'!A57</f>
        <v>6.0</v>
      </c>
      <c r="C20" s="60" t="str">
        <f>'Orçamento Oficial'!C57</f>
        <v>PAVIMENTAÇÃO - CONTRAPISO E PISO</v>
      </c>
      <c r="D20" s="56">
        <f>'Orçamento Oficial'!N57</f>
        <v>19771.730920650003</v>
      </c>
      <c r="E20" s="57">
        <f t="shared" si="0"/>
        <v>8.7874358960758023</v>
      </c>
      <c r="F20" s="56">
        <f t="shared" si="1"/>
        <v>0</v>
      </c>
      <c r="G20" s="58"/>
      <c r="H20" s="56">
        <f t="shared" si="2"/>
        <v>3954.3461841300009</v>
      </c>
      <c r="I20" s="262">
        <v>0.2</v>
      </c>
      <c r="J20" s="56">
        <f t="shared" si="9"/>
        <v>7908.6923682600018</v>
      </c>
      <c r="K20" s="58">
        <v>0.4</v>
      </c>
      <c r="L20" s="56">
        <f t="shared" si="3"/>
        <v>7908.6923682600018</v>
      </c>
      <c r="M20" s="58">
        <v>0.4</v>
      </c>
      <c r="N20" s="56">
        <f t="shared" si="4"/>
        <v>0</v>
      </c>
      <c r="O20" s="58"/>
      <c r="P20" s="56">
        <f t="shared" si="5"/>
        <v>0</v>
      </c>
      <c r="Q20" s="58"/>
      <c r="R20" s="56">
        <f t="shared" si="6"/>
        <v>0</v>
      </c>
      <c r="S20" s="58"/>
      <c r="T20" s="56">
        <f t="shared" si="7"/>
        <v>0</v>
      </c>
      <c r="U20" s="59"/>
      <c r="W20" s="281">
        <f t="shared" si="8"/>
        <v>1</v>
      </c>
    </row>
    <row r="21" spans="2:23" s="49" customFormat="1" ht="15" customHeight="1" x14ac:dyDescent="0.2">
      <c r="B21" s="50" t="str">
        <f>'Orçamento Oficial'!A62</f>
        <v>7.0</v>
      </c>
      <c r="C21" s="60" t="str">
        <f>'Orçamento Oficial'!C62</f>
        <v>REVESTIMENTOS</v>
      </c>
      <c r="D21" s="56">
        <f>'Orçamento Oficial'!N62</f>
        <v>7894.8215975000003</v>
      </c>
      <c r="E21" s="57">
        <f t="shared" si="0"/>
        <v>3.5088095714740426</v>
      </c>
      <c r="F21" s="56">
        <f t="shared" si="1"/>
        <v>0</v>
      </c>
      <c r="G21" s="58"/>
      <c r="H21" s="56">
        <f t="shared" si="2"/>
        <v>0</v>
      </c>
      <c r="I21" s="262"/>
      <c r="J21" s="56">
        <f t="shared" si="9"/>
        <v>0</v>
      </c>
      <c r="K21" s="58"/>
      <c r="L21" s="56">
        <f t="shared" si="3"/>
        <v>2368.4464792499998</v>
      </c>
      <c r="M21" s="58">
        <v>0.3</v>
      </c>
      <c r="N21" s="56">
        <f t="shared" si="4"/>
        <v>3947.4107987500001</v>
      </c>
      <c r="O21" s="58">
        <v>0.5</v>
      </c>
      <c r="P21" s="56">
        <f t="shared" si="5"/>
        <v>1578.9643195000001</v>
      </c>
      <c r="Q21" s="58">
        <v>0.2</v>
      </c>
      <c r="R21" s="56">
        <f t="shared" si="6"/>
        <v>0</v>
      </c>
      <c r="S21" s="58"/>
      <c r="T21" s="56">
        <f t="shared" si="7"/>
        <v>0</v>
      </c>
      <c r="U21" s="59"/>
      <c r="W21" s="281">
        <f t="shared" si="8"/>
        <v>1</v>
      </c>
    </row>
    <row r="22" spans="2:23" s="49" customFormat="1" ht="15" customHeight="1" x14ac:dyDescent="0.2">
      <c r="B22" s="50" t="str">
        <f>'Orçamento Oficial'!A66</f>
        <v xml:space="preserve">8.0 </v>
      </c>
      <c r="C22" s="60" t="str">
        <f>'Orçamento Oficial'!C66</f>
        <v>PINTURA DE ALVENARIAS</v>
      </c>
      <c r="D22" s="56">
        <f>'Orçamento Oficial'!N66</f>
        <v>12951.411092500002</v>
      </c>
      <c r="E22" s="57">
        <f t="shared" si="0"/>
        <v>5.7561826628038748</v>
      </c>
      <c r="F22" s="56">
        <f t="shared" si="1"/>
        <v>0</v>
      </c>
      <c r="G22" s="58"/>
      <c r="H22" s="56">
        <f t="shared" si="2"/>
        <v>0</v>
      </c>
      <c r="I22" s="262"/>
      <c r="J22" s="56">
        <f t="shared" si="9"/>
        <v>0</v>
      </c>
      <c r="K22" s="58"/>
      <c r="L22" s="56">
        <f t="shared" si="3"/>
        <v>0</v>
      </c>
      <c r="M22" s="58"/>
      <c r="N22" s="56">
        <f t="shared" si="4"/>
        <v>0</v>
      </c>
      <c r="O22" s="58"/>
      <c r="P22" s="56">
        <f t="shared" si="5"/>
        <v>1295.1411092500002</v>
      </c>
      <c r="Q22" s="58">
        <v>0.1</v>
      </c>
      <c r="R22" s="56">
        <f t="shared" si="6"/>
        <v>1295.1411092500002</v>
      </c>
      <c r="S22" s="58">
        <v>0.1</v>
      </c>
      <c r="T22" s="56">
        <f t="shared" si="7"/>
        <v>10361.128874000002</v>
      </c>
      <c r="U22" s="59">
        <v>0.8</v>
      </c>
      <c r="W22" s="281">
        <f t="shared" si="8"/>
        <v>1</v>
      </c>
    </row>
    <row r="23" spans="2:23" s="49" customFormat="1" ht="15" customHeight="1" x14ac:dyDescent="0.2">
      <c r="B23" s="50" t="str">
        <f>'Orçamento Oficial'!A69</f>
        <v>9.0</v>
      </c>
      <c r="C23" s="60" t="str">
        <f>'Orçamento Oficial'!C69</f>
        <v>ESQUADRIAS</v>
      </c>
      <c r="D23" s="56">
        <f>'Orçamento Oficial'!N69</f>
        <v>27587.5257738</v>
      </c>
      <c r="E23" s="57">
        <f t="shared" si="0"/>
        <v>12.261122470335376</v>
      </c>
      <c r="F23" s="56">
        <f t="shared" si="1"/>
        <v>0</v>
      </c>
      <c r="G23" s="58"/>
      <c r="H23" s="56">
        <f t="shared" si="2"/>
        <v>0</v>
      </c>
      <c r="I23" s="262"/>
      <c r="J23" s="56">
        <f t="shared" si="9"/>
        <v>0</v>
      </c>
      <c r="K23" s="58"/>
      <c r="L23" s="56">
        <f t="shared" si="3"/>
        <v>0</v>
      </c>
      <c r="M23" s="58"/>
      <c r="N23" s="56">
        <f t="shared" si="4"/>
        <v>8276.2577321400004</v>
      </c>
      <c r="O23" s="58">
        <v>0.3</v>
      </c>
      <c r="P23" s="56">
        <f t="shared" si="5"/>
        <v>8276.2577321400004</v>
      </c>
      <c r="Q23" s="58">
        <v>0.3</v>
      </c>
      <c r="R23" s="56">
        <f t="shared" si="6"/>
        <v>11035.010309520001</v>
      </c>
      <c r="S23" s="58">
        <v>0.4</v>
      </c>
      <c r="T23" s="56">
        <f t="shared" si="7"/>
        <v>0</v>
      </c>
      <c r="U23" s="59"/>
      <c r="W23" s="281">
        <f t="shared" si="8"/>
        <v>1</v>
      </c>
    </row>
    <row r="24" spans="2:23" s="49" customFormat="1" ht="15" customHeight="1" x14ac:dyDescent="0.2">
      <c r="B24" s="50" t="str">
        <f>'Orçamento Oficial'!A75</f>
        <v>10.0</v>
      </c>
      <c r="C24" s="60" t="str">
        <f>'Orçamento Oficial'!C75</f>
        <v>INSTALAÇÕES HIDRÁULICAS (ÁGUA FRIA)</v>
      </c>
      <c r="D24" s="56">
        <f>'Orçamento Oficial'!N75</f>
        <v>3027.1996549999999</v>
      </c>
      <c r="E24" s="57">
        <f t="shared" si="0"/>
        <v>1.3454220583769079</v>
      </c>
      <c r="F24" s="56">
        <f t="shared" si="1"/>
        <v>0</v>
      </c>
      <c r="G24" s="58"/>
      <c r="H24" s="56">
        <f t="shared" si="2"/>
        <v>0</v>
      </c>
      <c r="I24" s="262"/>
      <c r="J24" s="56">
        <f t="shared" si="9"/>
        <v>0</v>
      </c>
      <c r="K24" s="58"/>
      <c r="L24" s="56">
        <f t="shared" si="3"/>
        <v>0</v>
      </c>
      <c r="M24" s="58"/>
      <c r="N24" s="56">
        <f t="shared" si="4"/>
        <v>0</v>
      </c>
      <c r="O24" s="58"/>
      <c r="P24" s="56">
        <f t="shared" si="5"/>
        <v>0</v>
      </c>
      <c r="Q24" s="58"/>
      <c r="R24" s="56">
        <f t="shared" si="6"/>
        <v>3027.1996549999999</v>
      </c>
      <c r="S24" s="58">
        <v>1</v>
      </c>
      <c r="T24" s="56">
        <f t="shared" si="7"/>
        <v>0</v>
      </c>
      <c r="U24" s="59"/>
      <c r="W24" s="281">
        <f t="shared" si="8"/>
        <v>1</v>
      </c>
    </row>
    <row r="25" spans="2:23" s="49" customFormat="1" ht="15" customHeight="1" x14ac:dyDescent="0.2">
      <c r="B25" s="50" t="str">
        <f>'Orçamento Oficial'!A87</f>
        <v>11.0</v>
      </c>
      <c r="C25" s="60" t="str">
        <f>'Orçamento Oficial'!C87</f>
        <v>INSTALAÇÕES SANITÁRIAS (ESGOTO)</v>
      </c>
      <c r="D25" s="56">
        <f>'Orçamento Oficial'!N87</f>
        <v>1489.2470049999999</v>
      </c>
      <c r="E25" s="57">
        <f t="shared" si="0"/>
        <v>0.66188755260635268</v>
      </c>
      <c r="F25" s="56">
        <f t="shared" si="1"/>
        <v>0</v>
      </c>
      <c r="G25" s="58"/>
      <c r="H25" s="56">
        <f t="shared" si="2"/>
        <v>0</v>
      </c>
      <c r="I25" s="262"/>
      <c r="J25" s="56">
        <f t="shared" si="9"/>
        <v>0</v>
      </c>
      <c r="K25" s="58"/>
      <c r="L25" s="56">
        <f t="shared" si="3"/>
        <v>0</v>
      </c>
      <c r="M25" s="58"/>
      <c r="N25" s="56">
        <f t="shared" si="4"/>
        <v>0</v>
      </c>
      <c r="O25" s="58"/>
      <c r="P25" s="56">
        <f t="shared" si="5"/>
        <v>0</v>
      </c>
      <c r="Q25" s="58"/>
      <c r="R25" s="56">
        <f t="shared" si="6"/>
        <v>1489.2470049999999</v>
      </c>
      <c r="S25" s="58">
        <v>1</v>
      </c>
      <c r="T25" s="56">
        <f t="shared" si="7"/>
        <v>0</v>
      </c>
      <c r="U25" s="59"/>
      <c r="W25" s="281">
        <f t="shared" si="8"/>
        <v>1</v>
      </c>
    </row>
    <row r="26" spans="2:23" s="49" customFormat="1" ht="15" customHeight="1" x14ac:dyDescent="0.2">
      <c r="B26" s="50" t="str">
        <f>'Orçamento Oficial'!A93</f>
        <v>12.0</v>
      </c>
      <c r="C26" s="60" t="str">
        <f>'Orçamento Oficial'!C93</f>
        <v>INSTALAÇÕES ELÉTRICAS</v>
      </c>
      <c r="D26" s="56">
        <f>'Orçamento Oficial'!N93</f>
        <v>9380.5483650000006</v>
      </c>
      <c r="E26" s="57">
        <f t="shared" si="0"/>
        <v>4.1691325740926199</v>
      </c>
      <c r="F26" s="56">
        <f t="shared" si="1"/>
        <v>0</v>
      </c>
      <c r="G26" s="58"/>
      <c r="H26" s="56">
        <f t="shared" si="2"/>
        <v>0</v>
      </c>
      <c r="I26" s="262"/>
      <c r="J26" s="56">
        <f t="shared" si="9"/>
        <v>0</v>
      </c>
      <c r="K26" s="58"/>
      <c r="L26" s="56">
        <f t="shared" si="3"/>
        <v>0</v>
      </c>
      <c r="M26" s="58"/>
      <c r="N26" s="56">
        <f t="shared" si="4"/>
        <v>0</v>
      </c>
      <c r="O26" s="58"/>
      <c r="P26" s="56">
        <f t="shared" si="5"/>
        <v>0</v>
      </c>
      <c r="Q26" s="58"/>
      <c r="R26" s="56">
        <f t="shared" si="6"/>
        <v>938.05483650000008</v>
      </c>
      <c r="S26" s="58">
        <v>0.1</v>
      </c>
      <c r="T26" s="56">
        <f t="shared" si="7"/>
        <v>8442.493528500001</v>
      </c>
      <c r="U26" s="59">
        <v>0.9</v>
      </c>
      <c r="W26" s="281">
        <f t="shared" si="8"/>
        <v>1</v>
      </c>
    </row>
    <row r="27" spans="2:23" s="49" customFormat="1" ht="15" customHeight="1" x14ac:dyDescent="0.2">
      <c r="B27" s="50" t="str">
        <f>'Orçamento Oficial'!A107</f>
        <v xml:space="preserve">13.0 </v>
      </c>
      <c r="C27" s="60" t="str">
        <f>'Orçamento Oficial'!C107</f>
        <v xml:space="preserve">SERVIÇOS FINAIS </v>
      </c>
      <c r="D27" s="56">
        <f>'Orçamento Oficial'!N107</f>
        <v>2600</v>
      </c>
      <c r="E27" s="57">
        <f t="shared" si="0"/>
        <v>1.1555555465270297</v>
      </c>
      <c r="F27" s="56">
        <f t="shared" si="1"/>
        <v>0</v>
      </c>
      <c r="G27" s="58"/>
      <c r="H27" s="56">
        <f t="shared" si="2"/>
        <v>0</v>
      </c>
      <c r="I27" s="262"/>
      <c r="J27" s="56">
        <f t="shared" si="9"/>
        <v>0</v>
      </c>
      <c r="K27" s="58"/>
      <c r="L27" s="56">
        <f t="shared" si="3"/>
        <v>0</v>
      </c>
      <c r="M27" s="58"/>
      <c r="N27" s="56">
        <f t="shared" si="4"/>
        <v>0</v>
      </c>
      <c r="O27" s="58"/>
      <c r="P27" s="56">
        <f t="shared" si="5"/>
        <v>0</v>
      </c>
      <c r="Q27" s="58"/>
      <c r="R27" s="56">
        <f t="shared" si="6"/>
        <v>0</v>
      </c>
      <c r="S27" s="58"/>
      <c r="T27" s="56">
        <f t="shared" si="7"/>
        <v>2600</v>
      </c>
      <c r="U27" s="59">
        <v>1</v>
      </c>
    </row>
    <row r="28" spans="2:23" s="49" customFormat="1" ht="15" customHeight="1" x14ac:dyDescent="0.2">
      <c r="B28" s="50"/>
      <c r="C28" s="60"/>
      <c r="D28" s="56"/>
      <c r="E28" s="57"/>
      <c r="F28" s="56"/>
      <c r="G28" s="58"/>
      <c r="H28" s="56"/>
      <c r="I28" s="262"/>
      <c r="J28" s="264"/>
      <c r="K28" s="58"/>
      <c r="L28" s="264"/>
      <c r="M28" s="58"/>
      <c r="N28" s="264"/>
      <c r="O28" s="58"/>
      <c r="P28" s="264"/>
      <c r="Q28" s="58"/>
      <c r="R28" s="264"/>
      <c r="S28" s="58"/>
      <c r="T28" s="264"/>
      <c r="U28" s="59"/>
    </row>
    <row r="29" spans="2:23" s="49" customFormat="1" ht="15" customHeight="1" thickBot="1" x14ac:dyDescent="0.25">
      <c r="B29" s="265"/>
      <c r="C29" s="266"/>
      <c r="D29" s="267"/>
      <c r="E29" s="268"/>
      <c r="F29" s="267"/>
      <c r="G29" s="269"/>
      <c r="H29" s="267"/>
      <c r="I29" s="270"/>
      <c r="J29" s="271"/>
      <c r="K29" s="269"/>
      <c r="L29" s="271"/>
      <c r="M29" s="269"/>
      <c r="N29" s="271"/>
      <c r="O29" s="269"/>
      <c r="P29" s="271"/>
      <c r="Q29" s="269"/>
      <c r="R29" s="271"/>
      <c r="S29" s="269"/>
      <c r="T29" s="271"/>
      <c r="U29" s="272"/>
    </row>
    <row r="30" spans="2:23" s="49" customFormat="1" ht="15" customHeight="1" thickBot="1" x14ac:dyDescent="0.25">
      <c r="B30" s="273"/>
      <c r="C30" s="274" t="s">
        <v>55</v>
      </c>
      <c r="D30" s="275">
        <f>SUM(D15:D29)</f>
        <v>225000.00175795818</v>
      </c>
      <c r="E30" s="276">
        <f>SUM(E15:E29)</f>
        <v>100</v>
      </c>
      <c r="F30" s="277">
        <f>SUM(F15:F29)</f>
        <v>27970.207873034873</v>
      </c>
      <c r="G30" s="278">
        <f>F30/D30*100</f>
        <v>12.431203401999785</v>
      </c>
      <c r="H30" s="277">
        <f>SUM(H15:H29)</f>
        <v>31676.540345843252</v>
      </c>
      <c r="I30" s="279">
        <f>H30/D30*100</f>
        <v>14.078462265933233</v>
      </c>
      <c r="J30" s="277">
        <f>SUM(J15:J29)</f>
        <v>27934.459224270002</v>
      </c>
      <c r="K30" s="278">
        <f>J30/D30*100</f>
        <v>12.415315113783979</v>
      </c>
      <c r="L30" s="277">
        <f>SUM(L15:L29)</f>
        <v>25696.602893260002</v>
      </c>
      <c r="M30" s="278">
        <f>L30/D30*100</f>
        <v>11.420712307772735</v>
      </c>
      <c r="N30" s="277">
        <f>SUM(N15:N29)</f>
        <v>26971.633854490006</v>
      </c>
      <c r="O30" s="278">
        <f>N30/D30*100</f>
        <v>11.987392730558513</v>
      </c>
      <c r="P30" s="277">
        <f>SUM(P15:P29)</f>
        <v>25898.328484490004</v>
      </c>
      <c r="Q30" s="278">
        <f>P30/D30*100</f>
        <v>11.510368125396688</v>
      </c>
      <c r="R30" s="277">
        <f>SUM(R15:R29)</f>
        <v>32532.618238870004</v>
      </c>
      <c r="S30" s="278">
        <f>R30/D30*100</f>
        <v>14.458941326527938</v>
      </c>
      <c r="T30" s="277">
        <f>SUM(T15:T29)</f>
        <v>26319.610843700008</v>
      </c>
      <c r="U30" s="280">
        <f>T30/D30*100</f>
        <v>11.697604728027116</v>
      </c>
      <c r="W30" s="61">
        <f>F30+H30+J30+L30+N30+P30+R30+T30</f>
        <v>225000.00175795815</v>
      </c>
    </row>
    <row r="31" spans="2:23" s="49" customFormat="1" x14ac:dyDescent="0.2">
      <c r="B31" s="62"/>
      <c r="C31" s="63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</row>
    <row r="32" spans="2:23" s="49" customFormat="1" x14ac:dyDescent="0.2">
      <c r="B32" s="62"/>
      <c r="C32" s="63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  <c r="W32" s="282">
        <f>G30+I30+K30+M30+O30+Q30+S30+U30</f>
        <v>99.999999999999986</v>
      </c>
    </row>
    <row r="33" spans="2:21" s="14" customFormat="1" ht="15" customHeight="1" x14ac:dyDescent="0.2">
      <c r="B33" s="341" t="s">
        <v>246</v>
      </c>
      <c r="C33" s="341"/>
      <c r="D33" s="341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</row>
    <row r="34" spans="2:21" ht="15" customHeight="1" x14ac:dyDescent="0.2">
      <c r="B34" s="11"/>
      <c r="C34" s="11"/>
      <c r="D34" s="11"/>
      <c r="E34" s="27"/>
      <c r="F34" s="11"/>
      <c r="G34" s="11"/>
      <c r="H34" s="11"/>
      <c r="I34" s="65"/>
      <c r="J34" s="65"/>
      <c r="K34" s="65"/>
      <c r="L34" s="65"/>
      <c r="M34" s="65"/>
      <c r="N34" s="65"/>
      <c r="O34" s="65"/>
      <c r="P34" s="65"/>
      <c r="Q34" s="65"/>
      <c r="R34" s="65"/>
      <c r="S34" s="65"/>
      <c r="T34" s="65"/>
      <c r="U34" s="65"/>
    </row>
    <row r="35" spans="2:21" s="7" customFormat="1" ht="15" customHeight="1" x14ac:dyDescent="0.2">
      <c r="B35" s="342" t="s">
        <v>51</v>
      </c>
      <c r="C35" s="342"/>
      <c r="D35" s="342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</row>
    <row r="36" spans="2:21" x14ac:dyDescent="0.2">
      <c r="E36" s="345"/>
      <c r="F36" s="345"/>
      <c r="G36" s="345"/>
    </row>
    <row r="37" spans="2:21" x14ac:dyDescent="0.2">
      <c r="E37" s="1"/>
      <c r="F37" s="1"/>
      <c r="G37" s="1"/>
    </row>
    <row r="38" spans="2:21" x14ac:dyDescent="0.2">
      <c r="E38" s="345"/>
      <c r="F38" s="345"/>
      <c r="G38" s="345"/>
    </row>
    <row r="39" spans="2:21" x14ac:dyDescent="0.2">
      <c r="C39" s="339" t="s">
        <v>256</v>
      </c>
      <c r="D39" s="339"/>
      <c r="E39" s="339"/>
      <c r="F39" s="284"/>
      <c r="G39" s="309" t="s">
        <v>66</v>
      </c>
      <c r="H39" s="309"/>
      <c r="I39" s="309"/>
      <c r="J39" s="309"/>
      <c r="K39" s="309"/>
    </row>
    <row r="40" spans="2:21" x14ac:dyDescent="0.2">
      <c r="C40" s="340" t="s">
        <v>247</v>
      </c>
      <c r="D40" s="340"/>
      <c r="E40" s="340"/>
      <c r="F40" s="285"/>
      <c r="G40" s="302" t="s">
        <v>38</v>
      </c>
      <c r="H40" s="302"/>
      <c r="I40" s="302"/>
      <c r="J40" s="302"/>
      <c r="K40" s="302"/>
    </row>
    <row r="41" spans="2:21" x14ac:dyDescent="0.2">
      <c r="C41" s="338" t="s">
        <v>248</v>
      </c>
      <c r="D41" s="338"/>
      <c r="E41" s="338"/>
      <c r="F41" s="283"/>
      <c r="G41" s="303" t="s">
        <v>39</v>
      </c>
      <c r="H41" s="303"/>
      <c r="I41" s="303"/>
      <c r="J41" s="303"/>
      <c r="K41" s="303"/>
    </row>
    <row r="42" spans="2:21" x14ac:dyDescent="0.2">
      <c r="C42" s="338" t="s">
        <v>249</v>
      </c>
      <c r="D42" s="338"/>
      <c r="E42" s="338"/>
    </row>
  </sheetData>
  <mergeCells count="24">
    <mergeCell ref="N13:O13"/>
    <mergeCell ref="P13:Q13"/>
    <mergeCell ref="R13:S13"/>
    <mergeCell ref="D5:F5"/>
    <mergeCell ref="D6:F6"/>
    <mergeCell ref="D13:E13"/>
    <mergeCell ref="F13:G13"/>
    <mergeCell ref="H13:I13"/>
    <mergeCell ref="B12:U12"/>
    <mergeCell ref="T13:U13"/>
    <mergeCell ref="G39:K39"/>
    <mergeCell ref="G40:K40"/>
    <mergeCell ref="G41:K41"/>
    <mergeCell ref="J13:K13"/>
    <mergeCell ref="L13:M13"/>
    <mergeCell ref="E36:G36"/>
    <mergeCell ref="E38:G38"/>
    <mergeCell ref="C42:E42"/>
    <mergeCell ref="C9:F9"/>
    <mergeCell ref="C39:E39"/>
    <mergeCell ref="C40:E40"/>
    <mergeCell ref="C41:E41"/>
    <mergeCell ref="B33:D33"/>
    <mergeCell ref="B35:D35"/>
  </mergeCells>
  <printOptions horizontalCentered="1"/>
  <pageMargins left="0.23622047244094491" right="0.23622047244094491" top="0.74803149606299213" bottom="0.74803149606299213" header="0.31496062992125984" footer="0.31496062992125984"/>
  <pageSetup scale="59" fitToHeight="0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Orçamento Oficial</vt:lpstr>
      <vt:lpstr>Composição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2023-11-08T11:51:02Z</cp:lastPrinted>
  <dcterms:created xsi:type="dcterms:W3CDTF">2023-05-21T13:27:03Z</dcterms:created>
  <dcterms:modified xsi:type="dcterms:W3CDTF">2024-04-16T15:16:04Z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2022-04-18T00:00:00Z</vt:filetime>
  </property>
  <property fmtid="{D5CDD505-2E9C-101B-9397-08002B2CF9AE}" pid="3" name="Creator">
    <vt:lpwstr>Microsoft® Excel® 2016</vt:lpwstr>
  </property>
  <property fmtid="{D5CDD505-2E9C-101B-9397-08002B2CF9AE}" pid="4" name="LastSaved">
    <vt:filetime>2023-05-21T00:00:00Z</vt:filetime>
  </property>
  <property fmtid="{D5CDD505-2E9C-101B-9397-08002B2CF9AE}" pid="5" name="Producer">
    <vt:lpwstr>Microsoft® Excel® 2016</vt:lpwstr>
  </property>
</Properties>
</file>