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 firstSheet="4" activeTab="6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  <sheet name="CUSTO CONTRATO" sheetId="9" r:id="rId8"/>
  </sheets>
  <calcPr calcId="162913"/>
</workbook>
</file>

<file path=xl/calcChain.xml><?xml version="1.0" encoding="utf-8"?>
<calcChain xmlns="http://schemas.openxmlformats.org/spreadsheetml/2006/main">
  <c r="B14" i="9" l="1"/>
  <c r="B13" i="9"/>
  <c r="B12" i="9"/>
  <c r="B11" i="9"/>
  <c r="B10" i="9"/>
  <c r="B8" i="9"/>
  <c r="B7" i="9"/>
  <c r="B6" i="9"/>
  <c r="B5" i="9"/>
  <c r="B4" i="9"/>
  <c r="B3" i="9" s="1"/>
  <c r="C32" i="7" l="1"/>
  <c r="C45" i="5"/>
  <c r="D12" i="6" l="1"/>
  <c r="C4" i="6"/>
  <c r="E17" i="5" l="1"/>
  <c r="C13" i="6" l="1"/>
  <c r="C16" i="6" s="1"/>
  <c r="E12" i="6"/>
  <c r="D15" i="6" l="1"/>
  <c r="E15" i="6" s="1"/>
  <c r="D16" i="6" s="1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C20" i="7"/>
  <c r="E20" i="7" s="1"/>
  <c r="C24" i="7"/>
  <c r="E24" i="7" s="1"/>
  <c r="E32" i="7"/>
  <c r="F33" i="7" s="1"/>
  <c r="B14" i="2" s="1"/>
  <c r="E18" i="7"/>
  <c r="C22" i="7"/>
  <c r="E22" i="7" s="1"/>
  <c r="B15" i="2" l="1"/>
  <c r="B15" i="9"/>
  <c r="F28" i="7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B9" i="9" l="1"/>
  <c r="F44" i="7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5" i="2"/>
  <c r="B3" i="2" s="1"/>
  <c r="B16" i="2" l="1"/>
  <c r="B17" i="2" s="1"/>
  <c r="B16" i="9"/>
  <c r="B17" i="9" l="1"/>
  <c r="C5" i="2"/>
  <c r="C22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4" i="9" l="1"/>
  <c r="C12" i="9"/>
  <c r="C10" i="9"/>
  <c r="C8" i="9"/>
  <c r="C21" i="9"/>
  <c r="C7" i="9"/>
  <c r="C3" i="9"/>
  <c r="C5" i="9"/>
  <c r="C13" i="9"/>
  <c r="C6" i="9"/>
  <c r="C11" i="9"/>
  <c r="C14" i="9"/>
  <c r="C15" i="9"/>
  <c r="C9" i="9"/>
  <c r="C16" i="9"/>
  <c r="C17" i="2"/>
  <c r="C17" i="9" l="1"/>
</calcChain>
</file>

<file path=xl/comments1.xml><?xml version="1.0" encoding="utf-8"?>
<comments xmlns="http://schemas.openxmlformats.org/spreadsheetml/2006/main">
  <authors>
    <author>Mara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>
  <authors>
    <author>Mara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>
  <authors>
    <author>Mara</author>
    <author>Clauber Bridi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>
  <authors>
    <author>Mara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>
  <authors>
    <author>Mara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>
  <authors>
    <author>Mara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<sst xmlns="http://schemas.openxmlformats.org/spreadsheetml/2006/main" count="390" uniqueCount="229">
  <si>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</si>
  <si>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</si>
  <si>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</si>
  <si>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</si>
  <si>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</si>
  <si>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</si>
  <si>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</si>
  <si>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</si>
  <si>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</si>
  <si>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</si>
  <si>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</si>
  <si>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</si>
  <si>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</si>
  <si>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</si>
  <si>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</si>
  <si>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</si>
  <si>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</si>
  <si>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</si>
  <si>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</si>
  <si>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</si>
  <si>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</si>
  <si>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</si>
  <si>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</si>
  <si>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</si>
  <si>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</si>
  <si>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</si>
  <si>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</si>
  <si>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</si>
  <si>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</si>
  <si>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</si>
  <si>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</si>
  <si>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</si>
  <si>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</si>
  <si>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</si>
  <si>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</si>
  <si>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</si>
  <si>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</si>
  <si>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</si>
  <si>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</si>
  <si>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</si>
  <si>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</si>
  <si>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</si>
  <si>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</si>
  <si>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</si>
  <si>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</si>
  <si>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</si>
  <si>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</si>
  <si>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</si>
  <si>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</si>
  <si>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</si>
  <si>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</si>
  <si>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</si>
  <si>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</si>
  <si>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</si>
  <si>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</si>
  <si>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</si>
  <si>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</si>
  <si>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</si>
  <si>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</si>
  <si>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</si>
  <si>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</si>
  <si>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</si>
  <si>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</si>
  <si>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</si>
  <si>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</si>
  <si>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</si>
  <si>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</si>
  <si>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</si>
  <si>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</si>
  <si>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</si>
  <si>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</si>
  <si>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</si>
  <si>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</si>
  <si>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</si>
  <si>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</si>
  <si>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</si>
  <si>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</si>
  <si>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</si>
  <si>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</si>
  <si>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</si>
  <si>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</si>
  <si>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</si>
  <si>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</si>
  <si>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</si>
  <si>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</si>
  <si>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</si>
  <si>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</si>
  <si>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</si>
  <si>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</si>
  <si>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</si>
  <si>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</si>
  <si>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</si>
  <si>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</si>
  <si>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</si>
  <si>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</si>
  <si>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</si>
  <si>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</si>
  <si>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</si>
  <si>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</si>
  <si>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</si>
  <si>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</si>
  <si>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</si>
  <si>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</si>
  <si>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</si>
  <si>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</si>
  <si>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</si>
  <si>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</si>
  <si>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</si>
  <si>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</si>
  <si>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</si>
  <si>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</si>
  <si>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</si>
  <si>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</si>
  <si>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</si>
  <si>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</si>
  <si>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</si>
  <si>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</si>
  <si>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</si>
  <si>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</si>
  <si>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</si>
  <si>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</si>
  <si>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</si>
  <si>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</si>
  <si>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</si>
  <si>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</si>
  <si>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</si>
  <si>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</si>
  <si>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</si>
  <si>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</si>
  <si>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</si>
  <si>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</si>
  <si>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</si>
  <si>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</si>
  <si>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</si>
  <si>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</si>
  <si>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</si>
  <si>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</si>
  <si>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</si>
  <si>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</si>
  <si>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</si>
  <si>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</si>
  <si>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</si>
  <si>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</si>
  <si>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</si>
  <si>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</si>
  <si>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</si>
  <si>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</si>
  <si>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</si>
  <si>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</si>
  <si>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</si>
  <si>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</si>
  <si>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</si>
  <si>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</si>
  <si>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</si>
  <si>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</si>
  <si>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</si>
  <si>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</si>
  <si>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</si>
  <si>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</si>
  <si>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</si>
  <si>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</si>
  <si>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</si>
  <si>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</si>
  <si>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</si>
  <si>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</si>
  <si>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</si>
  <si>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</si>
  <si>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</si>
  <si>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</si>
  <si>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</si>
  <si>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</si>
  <si>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</si>
  <si>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</si>
  <si>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</si>
  <si>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</si>
  <si>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</si>
  <si>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</si>
  <si>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</si>
  <si>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</si>
  <si>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</si>
  <si>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</si>
  <si>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</si>
  <si>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</si>
  <si>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</si>
  <si>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</si>
  <si>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</si>
  <si>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</si>
  <si>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</si>
  <si>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</si>
  <si>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</si>
  <si>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</si>
  <si>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</si>
  <si>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</si>
  <si>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</si>
  <si>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</si>
  <si>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</si>
  <si>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</si>
  <si>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</si>
  <si>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</si>
  <si>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</si>
  <si>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</si>
  <si>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</si>
  <si>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</si>
  <si>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</si>
  <si>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</si>
  <si>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</si>
  <si>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</si>
  <si>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</si>
  <si>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</si>
  <si>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</si>
  <si>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</si>
  <si>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</si>
  <si>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</si>
  <si>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</si>
  <si>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</si>
  <si>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</si>
  <si>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</si>
  <si>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</si>
  <si>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</si>
  <si>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</si>
  <si>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</si>
  <si>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</si>
  <si>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275/80 R22.5</t>
  </si>
  <si>
    <t xml:space="preserve">1.1. Motorista </t>
  </si>
  <si>
    <t>Quilometragem total Mensal</t>
  </si>
  <si>
    <t>Quilometragem total do CONTRATO</t>
  </si>
  <si>
    <t>(11 Meses)</t>
  </si>
  <si>
    <t>PREÇO TOTAL CONTRATO (11 MESES)</t>
  </si>
  <si>
    <t>ITACURUBI-RS, 30 DE JANEIRO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</si>
</sst>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17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44" fontId="0" fillId="0" borderId="0" xfId="6" applyFont="1"/>
    <xf numFmtId="43" fontId="2" fillId="0" borderId="0" xfId="1" applyFont="1" applyAlignment="1">
      <alignment horizontal="center"/>
    </xf>
    <xf numFmtId="43" fontId="2" fillId="9" borderId="0" xfId="1" applyFont="1" applyFill="1" applyAlignment="1">
      <alignment horizontal="center"/>
    </xf>
    <xf numFmtId="0" fontId="2" fillId="0" borderId="30" xfId="0" applyFont="1" applyBorder="1"/>
    <xf numFmtId="164" fontId="2" fillId="0" borderId="0" xfId="1" applyNumberFormat="1" applyFont="1"/>
    <xf numFmtId="43" fontId="2" fillId="0" borderId="30" xfId="1" applyFont="1" applyBorder="1" applyAlignment="1">
      <alignment horizontal="center"/>
    </xf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</cellXfs>
  <cellStyles count="7">
    <cellStyle name="Hiperlink" xfId="5" builtinId="8"/>
    <cellStyle name="Moeda" xfId="6" builtinId="4"/>
    <cellStyle name="Normal" xfId="0" builtinId="0"/>
    <cellStyle name="Normal 2" xfId="2"/>
    <cellStyle name="Porcentagem 2" xfId="3"/>
    <cellStyle name="Vírgula" xfId="1" builtin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29"/>
  <sheetViews>
    <sheetView topLeftCell="A16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9" t="s">
        <v>201</v>
      </c>
      <c r="C1" s="200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workbookViewId="0">
      <selection activeCell="B21" sqref="B2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201" t="s">
        <v>31</v>
      </c>
      <c r="B1" s="202"/>
      <c r="C1" s="203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9"/>
  <sheetViews>
    <sheetView topLeftCell="A43" workbookViewId="0">
      <selection activeCell="D50" sqref="D50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204" t="s">
        <v>202</v>
      </c>
      <c r="B3" s="205"/>
      <c r="C3" s="205"/>
      <c r="D3" s="205"/>
      <c r="E3" s="205"/>
      <c r="F3" s="206"/>
    </row>
    <row r="4" spans="1:6" ht="15.75" thickBot="1" x14ac:dyDescent="0.3">
      <c r="A4" s="47" t="s">
        <v>203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3443.48</v>
      </c>
      <c r="E6" s="42">
        <f>C6*D6</f>
        <v>3443.48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1412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31.304363636363636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23.478272727272728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3443.48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3443.48</v>
      </c>
      <c r="E14" s="46">
        <f>D14*C14/100</f>
        <v>1641.8512640000004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5085.3312640000004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5085.3312640000004</v>
      </c>
      <c r="E16" s="46">
        <f>C16*D16</f>
        <v>5085.3312640000004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5085.3312640000004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219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1497.51</v>
      </c>
      <c r="E21" s="42">
        <f>C21*D21</f>
        <v>1497.51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1412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1.3613727272727274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13.613727272727273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16.336472727272728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10.210295454545454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12.252354545454544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1497.51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1497.51</v>
      </c>
      <c r="E35" s="46">
        <f>D35*C35/100</f>
        <v>714.01276800000005</v>
      </c>
      <c r="F35" s="43"/>
    </row>
    <row r="36" spans="1:6" x14ac:dyDescent="0.25">
      <c r="A36" s="49" t="s">
        <v>112</v>
      </c>
      <c r="B36" s="50"/>
      <c r="C36" s="50"/>
      <c r="D36" s="51"/>
      <c r="E36" s="52">
        <f>E34+E35</f>
        <v>2211.5227679999998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1</v>
      </c>
      <c r="D37" s="46">
        <f>E36</f>
        <v>2211.5227679999998</v>
      </c>
      <c r="E37" s="46">
        <f>C37*D37</f>
        <v>2211.5227679999998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2211.5227679999998</v>
      </c>
    </row>
    <row r="41" spans="1:6" ht="15.75" thickBot="1" x14ac:dyDescent="0.3">
      <c r="A41" s="47" t="s">
        <v>204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205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22</v>
      </c>
      <c r="D50" s="137">
        <v>23.7</v>
      </c>
      <c r="E50" s="55">
        <f>C50*D50</f>
        <v>521.4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521.4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206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v>1</v>
      </c>
      <c r="D55" s="137"/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7818.2540320000007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topLeftCell="A22" workbookViewId="0">
      <selection activeCell="D28" sqref="D28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130802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98101.5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204" t="s">
        <v>214</v>
      </c>
      <c r="B9" s="205"/>
      <c r="C9" s="205"/>
      <c r="D9" s="205"/>
      <c r="E9" s="205"/>
      <c r="F9" s="206"/>
    </row>
    <row r="10" spans="1:6" ht="15.75" thickBot="1" x14ac:dyDescent="0.3">
      <c r="A10" s="190" t="s">
        <v>215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130802</v>
      </c>
      <c r="E12" s="42">
        <f>C12*D12</f>
        <v>130802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v>9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130802</v>
      </c>
      <c r="E15" s="46">
        <f>C15*(D15-C5)/100</f>
        <v>130802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130802</v>
      </c>
      <c r="E16" s="77">
        <f>IFERROR(D16/C16,0)</f>
        <v>545.00833333333333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545.00833333333333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545.00833333333333</v>
      </c>
      <c r="E18" s="52">
        <f>C18*D18</f>
        <v>545.00833333333333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545.00833333333333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216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>
        <v>0</v>
      </c>
      <c r="E25" s="46">
        <v>0</v>
      </c>
    </row>
    <row r="26" spans="1:6" x14ac:dyDescent="0.25">
      <c r="A26" s="44" t="s">
        <v>120</v>
      </c>
      <c r="B26" s="45" t="s">
        <v>98</v>
      </c>
      <c r="C26" s="123">
        <v>11.75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>
        <v>58861.08</v>
      </c>
      <c r="D27" s="46"/>
      <c r="E27" s="46"/>
    </row>
    <row r="28" spans="1:6" x14ac:dyDescent="0.25">
      <c r="A28" s="44" t="s">
        <v>132</v>
      </c>
      <c r="B28" s="45" t="s">
        <v>1</v>
      </c>
      <c r="C28" s="48">
        <v>71940.92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704.42150833333335</v>
      </c>
      <c r="E29" s="77">
        <f>D29</f>
        <v>704.42150833333335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704.42150833333335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704.42150833333335</v>
      </c>
      <c r="E31" s="52">
        <f>C31*D31</f>
        <v>704.42150833333335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704.42150833333335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/>
    <hyperlink ref="A10" location="AbaDeprec" display="3.1.1. Depreciação"/>
  </hyperlink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topLeftCell="A25" workbookViewId="0">
      <selection activeCell="E37" sqref="E37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9.85546875" bestFit="1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7" t="s">
        <v>207</v>
      </c>
      <c r="B3" s="208"/>
      <c r="C3" s="208"/>
      <c r="D3" s="208"/>
      <c r="E3" s="208"/>
      <c r="F3" s="209"/>
    </row>
    <row r="4" spans="1:6" ht="15.75" thickBot="1" x14ac:dyDescent="0.3">
      <c r="A4" s="47" t="s">
        <v>208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3924.06</v>
      </c>
      <c r="E6" s="42">
        <f>C6*D6</f>
        <v>3924.06</v>
      </c>
      <c r="F6" s="43">
        <f>E6*E10</f>
        <v>3924.06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99.65</v>
      </c>
      <c r="E7" s="46">
        <f>C7*D7</f>
        <v>99.65</v>
      </c>
      <c r="F7" s="43">
        <f>E7*E10</f>
        <v>99.65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4146.5600000000004</v>
      </c>
      <c r="E9" s="58">
        <f>D9/C9</f>
        <v>345.54666666666668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345.54666666666668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209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3071.2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3</v>
      </c>
      <c r="D17" s="141">
        <v>7.19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3071.2</v>
      </c>
      <c r="D18" s="86">
        <f>IFERROR(+D17/C17,"-")</f>
        <v>2.3966666666666669</v>
      </c>
      <c r="E18" s="46">
        <f>IFERROR(C18*D18,"-")</f>
        <v>7360.6426666666675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25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3071.2</v>
      </c>
      <c r="D20" s="87">
        <f>+C19*D19/1000</f>
        <v>1.2500000000000001E-2</v>
      </c>
      <c r="E20" s="46">
        <f>C20*D20</f>
        <v>38.39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3071.2</v>
      </c>
      <c r="D22" s="87">
        <f>+C21*D21/1000</f>
        <v>6.0000000000000001E-3</v>
      </c>
      <c r="E22" s="46">
        <f>C22*D22</f>
        <v>18.427199999999999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3071.2</v>
      </c>
      <c r="D24" s="87">
        <f>+C23*D23/1000</f>
        <v>2.0000000000000002E-5</v>
      </c>
      <c r="E24" s="46">
        <f>C24*D24</f>
        <v>6.1423999999999999E-2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3071.2</v>
      </c>
      <c r="D26" s="87">
        <f>+C25*D25/1000</f>
        <v>1.2E-2</v>
      </c>
      <c r="E26" s="46">
        <f>C26*D26</f>
        <v>36.854399999999998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2.427186666666667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7454.3756906666686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220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3071.2</v>
      </c>
      <c r="D32" s="132">
        <v>7.0000000000000007E-2</v>
      </c>
      <c r="E32" s="42">
        <f>C32*D32</f>
        <v>214.98400000000001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214.98400000000001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210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222</v>
      </c>
      <c r="B37" s="41" t="s">
        <v>0</v>
      </c>
      <c r="C37" s="143">
        <v>6</v>
      </c>
      <c r="D37" s="132">
        <v>1397.32</v>
      </c>
      <c r="E37" s="42">
        <f>C37*D37</f>
        <v>8383.92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35000</v>
      </c>
      <c r="D40" s="46">
        <f>E37+E39</f>
        <v>8383.92</v>
      </c>
      <c r="E40" s="46">
        <f>IFERROR(D40/C40,"-")</f>
        <v>0.23954057142857144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3071.2</v>
      </c>
      <c r="D41" s="46">
        <f>E40</f>
        <v>0.23954057142857144</v>
      </c>
      <c r="E41" s="46">
        <f>IFERROR(C41*D41,0)</f>
        <v>735.67700297142858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735.67700297142858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8750.5833603047649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topLeftCell="A4" workbookViewId="0">
      <selection activeCell="E7" sqref="E7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10" t="s">
        <v>211</v>
      </c>
      <c r="B2" s="211"/>
      <c r="C2" s="211"/>
      <c r="D2" s="211"/>
      <c r="E2" s="211"/>
      <c r="F2" s="212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4.4182256535474362E-3</v>
      </c>
      <c r="D6" s="93" t="s">
        <v>167</v>
      </c>
      <c r="E6" s="148">
        <v>0.11749999999999999</v>
      </c>
      <c r="F6" s="99"/>
    </row>
    <row r="7" spans="1:6" x14ac:dyDescent="0.25">
      <c r="A7" s="96" t="s">
        <v>168</v>
      </c>
      <c r="B7" s="213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14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0.37040000000000001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16568.837392304766</v>
      </c>
    </row>
    <row r="17" spans="1:6" ht="15.75" thickBot="1" x14ac:dyDescent="0.3">
      <c r="A17" s="125" t="s">
        <v>212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37.04</v>
      </c>
      <c r="D19" s="42">
        <f>+F15</f>
        <v>16568.837392304766</v>
      </c>
      <c r="E19" s="42">
        <f>C19*D19/100</f>
        <v>6137.0973701096846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6137.0973701096846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6137.0973701096846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0" workbookViewId="0">
      <selection activeCell="C28" sqref="C28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204" t="s">
        <v>213</v>
      </c>
      <c r="B1" s="215"/>
      <c r="C1" s="216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7818.2540319999998</v>
      </c>
      <c r="C3" s="179">
        <f t="shared" ref="C3:C16" si="0">IFERROR(B3/$B$17,0)</f>
        <v>0.32636756572964271</v>
      </c>
    </row>
    <row r="4" spans="1:3" x14ac:dyDescent="0.25">
      <c r="A4" s="180" t="s">
        <v>223</v>
      </c>
      <c r="B4" s="154">
        <f>'Mão de obra'!F17</f>
        <v>5085.3312640000004</v>
      </c>
      <c r="C4" s="181">
        <f t="shared" si="0"/>
        <v>0.21228360945646582</v>
      </c>
    </row>
    <row r="5" spans="1:3" x14ac:dyDescent="0.25">
      <c r="A5" s="180" t="s">
        <v>221</v>
      </c>
      <c r="B5" s="154">
        <f>'Mão de obra'!F38</f>
        <v>2211.5227679999998</v>
      </c>
      <c r="C5" s="181">
        <f t="shared" si="0"/>
        <v>9.231847665650797E-2</v>
      </c>
    </row>
    <row r="6" spans="1:3" x14ac:dyDescent="0.25">
      <c r="A6" s="180" t="s">
        <v>189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190</v>
      </c>
      <c r="B7" s="154">
        <f>'Mão de obra'!F51</f>
        <v>521.4</v>
      </c>
      <c r="C7" s="181">
        <f t="shared" si="0"/>
        <v>2.1765479616668935E-2</v>
      </c>
    </row>
    <row r="8" spans="1:3" x14ac:dyDescent="0.25">
      <c r="A8" s="180" t="s">
        <v>191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192</v>
      </c>
      <c r="B9" s="153">
        <f>SUM(B10:B15)</f>
        <v>10000.013201971429</v>
      </c>
      <c r="C9" s="182">
        <f t="shared" si="0"/>
        <v>0.41744358172982238</v>
      </c>
    </row>
    <row r="10" spans="1:3" x14ac:dyDescent="0.25">
      <c r="A10" s="180" t="s">
        <v>193</v>
      </c>
      <c r="B10" s="154">
        <f>'Remuneração de capital'!F19</f>
        <v>545.00833333333333</v>
      </c>
      <c r="C10" s="181">
        <f t="shared" si="0"/>
        <v>2.2750993038130753E-2</v>
      </c>
    </row>
    <row r="11" spans="1:3" x14ac:dyDescent="0.25">
      <c r="A11" s="180" t="s">
        <v>194</v>
      </c>
      <c r="B11" s="154">
        <f>'Remuneração de capital'!F32</f>
        <v>704.42150833333335</v>
      </c>
      <c r="C11" s="183">
        <f t="shared" si="0"/>
        <v>2.9405584927449855E-2</v>
      </c>
    </row>
    <row r="12" spans="1:3" x14ac:dyDescent="0.25">
      <c r="A12" s="180" t="s">
        <v>195</v>
      </c>
      <c r="B12" s="154">
        <f>'Impostos e manutenção'!F10</f>
        <v>345.54666666666668</v>
      </c>
      <c r="C12" s="183">
        <f t="shared" si="0"/>
        <v>1.4424604775491425E-2</v>
      </c>
    </row>
    <row r="13" spans="1:3" x14ac:dyDescent="0.25">
      <c r="A13" s="180" t="s">
        <v>196</v>
      </c>
      <c r="B13" s="154">
        <f>'Impostos e manutenção'!F28</f>
        <v>7454.3756906666686</v>
      </c>
      <c r="C13" s="183">
        <f t="shared" si="0"/>
        <v>0.31117771797122706</v>
      </c>
    </row>
    <row r="14" spans="1:3" x14ac:dyDescent="0.25">
      <c r="A14" s="180" t="s">
        <v>197</v>
      </c>
      <c r="B14" s="154">
        <f>'Impostos e manutenção'!F33</f>
        <v>214.98400000000001</v>
      </c>
      <c r="C14" s="183">
        <f t="shared" si="0"/>
        <v>8.9743572495396134E-3</v>
      </c>
    </row>
    <row r="15" spans="1:3" x14ac:dyDescent="0.25">
      <c r="A15" s="180" t="s">
        <v>198</v>
      </c>
      <c r="B15" s="154">
        <f>'Impostos e manutenção'!F42</f>
        <v>735.67700297142858</v>
      </c>
      <c r="C15" s="183">
        <f t="shared" si="0"/>
        <v>3.0710323767983737E-2</v>
      </c>
    </row>
    <row r="16" spans="1:3" x14ac:dyDescent="0.25">
      <c r="A16" s="178" t="s">
        <v>199</v>
      </c>
      <c r="B16" s="153">
        <f>BDI!F22</f>
        <v>6137.0973701096846</v>
      </c>
      <c r="C16" s="179">
        <f t="shared" si="0"/>
        <v>0.25618885254053486</v>
      </c>
    </row>
    <row r="17" spans="1:3" ht="15.75" thickBot="1" x14ac:dyDescent="0.3">
      <c r="A17" s="184" t="s">
        <v>200</v>
      </c>
      <c r="B17" s="185">
        <f>SUM(B3+B9+B16)</f>
        <v>23955.364604081115</v>
      </c>
      <c r="C17" s="186">
        <f>C3+C9+C16</f>
        <v>1</v>
      </c>
    </row>
    <row r="18" spans="1:3" ht="15.75" thickBot="1" x14ac:dyDescent="0.3">
      <c r="A18" s="196" t="s">
        <v>227</v>
      </c>
      <c r="B18" s="198">
        <v>263508.96000000002</v>
      </c>
    </row>
    <row r="20" spans="1:3" x14ac:dyDescent="0.25">
      <c r="A20" s="191" t="s">
        <v>225</v>
      </c>
      <c r="B20" s="194">
        <v>33783.199999999997</v>
      </c>
      <c r="C20" s="197" t="s">
        <v>226</v>
      </c>
    </row>
    <row r="21" spans="1:3" x14ac:dyDescent="0.25">
      <c r="A21" s="191" t="s">
        <v>224</v>
      </c>
      <c r="B21" s="195">
        <v>3071.2</v>
      </c>
    </row>
    <row r="22" spans="1:3" x14ac:dyDescent="0.25">
      <c r="A22" s="191" t="s">
        <v>217</v>
      </c>
      <c r="C22" s="193">
        <f>B17/B21</f>
        <v>7.8000014991147157</v>
      </c>
    </row>
    <row r="28" spans="1:3" x14ac:dyDescent="0.25">
      <c r="B28" s="130" t="s">
        <v>228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7" workbookViewId="0">
      <selection activeCell="E13" sqref="E13"/>
    </sheetView>
  </sheetViews>
  <sheetFormatPr defaultRowHeight="15" x14ac:dyDescent="0.25"/>
  <cols>
    <col min="1" max="1" width="23.7109375" customWidth="1"/>
    <col min="2" max="2" width="24" customWidth="1"/>
    <col min="3" max="3" width="42.5703125" customWidth="1"/>
  </cols>
  <sheetData>
    <row r="1" spans="1:3" ht="18.75" thickBot="1" x14ac:dyDescent="0.3">
      <c r="A1" s="204" t="s">
        <v>213</v>
      </c>
      <c r="B1" s="215"/>
      <c r="C1" s="216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7818.2540319999998</v>
      </c>
      <c r="C3" s="179">
        <f t="shared" ref="C3:C16" si="0">IFERROR(B3/$B$17,0)</f>
        <v>0.32636756572964271</v>
      </c>
    </row>
    <row r="4" spans="1:3" x14ac:dyDescent="0.25">
      <c r="A4" s="180" t="s">
        <v>223</v>
      </c>
      <c r="B4" s="154">
        <f>'Mão de obra'!F17</f>
        <v>5085.3312640000004</v>
      </c>
      <c r="C4" s="181">
        <f t="shared" si="0"/>
        <v>0.21228360945646582</v>
      </c>
    </row>
    <row r="5" spans="1:3" x14ac:dyDescent="0.25">
      <c r="A5" s="180" t="s">
        <v>221</v>
      </c>
      <c r="B5" s="154">
        <f>'Mão de obra'!F38</f>
        <v>2211.5227679999998</v>
      </c>
      <c r="C5" s="181">
        <f t="shared" si="0"/>
        <v>9.231847665650797E-2</v>
      </c>
    </row>
    <row r="6" spans="1:3" x14ac:dyDescent="0.25">
      <c r="A6" s="180" t="s">
        <v>189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190</v>
      </c>
      <c r="B7" s="154">
        <f>'Mão de obra'!F51</f>
        <v>521.4</v>
      </c>
      <c r="C7" s="181">
        <f t="shared" si="0"/>
        <v>2.1765479616668935E-2</v>
      </c>
    </row>
    <row r="8" spans="1:3" x14ac:dyDescent="0.25">
      <c r="A8" s="180" t="s">
        <v>191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192</v>
      </c>
      <c r="B9" s="153">
        <f>SUM(B10:B15)</f>
        <v>10000.013201971429</v>
      </c>
      <c r="C9" s="182">
        <f t="shared" si="0"/>
        <v>0.41744358172982238</v>
      </c>
    </row>
    <row r="10" spans="1:3" x14ac:dyDescent="0.25">
      <c r="A10" s="180" t="s">
        <v>193</v>
      </c>
      <c r="B10" s="154">
        <f>'Remuneração de capital'!F19</f>
        <v>545.00833333333333</v>
      </c>
      <c r="C10" s="181">
        <f t="shared" si="0"/>
        <v>2.2750993038130753E-2</v>
      </c>
    </row>
    <row r="11" spans="1:3" x14ac:dyDescent="0.25">
      <c r="A11" s="180" t="s">
        <v>194</v>
      </c>
      <c r="B11" s="154">
        <f>'Remuneração de capital'!F32</f>
        <v>704.42150833333335</v>
      </c>
      <c r="C11" s="183">
        <f t="shared" si="0"/>
        <v>2.9405584927449855E-2</v>
      </c>
    </row>
    <row r="12" spans="1:3" x14ac:dyDescent="0.25">
      <c r="A12" s="180" t="s">
        <v>195</v>
      </c>
      <c r="B12" s="154">
        <f>'Impostos e manutenção'!F10</f>
        <v>345.54666666666668</v>
      </c>
      <c r="C12" s="183">
        <f t="shared" si="0"/>
        <v>1.4424604775491425E-2</v>
      </c>
    </row>
    <row r="13" spans="1:3" x14ac:dyDescent="0.25">
      <c r="A13" s="180" t="s">
        <v>196</v>
      </c>
      <c r="B13" s="154">
        <f>'Impostos e manutenção'!F28</f>
        <v>7454.3756906666686</v>
      </c>
      <c r="C13" s="183">
        <f t="shared" si="0"/>
        <v>0.31117771797122706</v>
      </c>
    </row>
    <row r="14" spans="1:3" x14ac:dyDescent="0.25">
      <c r="A14" s="180" t="s">
        <v>197</v>
      </c>
      <c r="B14" s="154">
        <f>'Impostos e manutenção'!F33</f>
        <v>214.98400000000001</v>
      </c>
      <c r="C14" s="183">
        <f t="shared" si="0"/>
        <v>8.9743572495396134E-3</v>
      </c>
    </row>
    <row r="15" spans="1:3" x14ac:dyDescent="0.25">
      <c r="A15" s="180" t="s">
        <v>198</v>
      </c>
      <c r="B15" s="154">
        <f>'Impostos e manutenção'!F42</f>
        <v>735.67700297142858</v>
      </c>
      <c r="C15" s="183">
        <f t="shared" si="0"/>
        <v>3.0710323767983737E-2</v>
      </c>
    </row>
    <row r="16" spans="1:3" x14ac:dyDescent="0.25">
      <c r="A16" s="178" t="s">
        <v>199</v>
      </c>
      <c r="B16" s="153">
        <f>BDI!F22</f>
        <v>6137.0973701096846</v>
      </c>
      <c r="C16" s="179">
        <f t="shared" si="0"/>
        <v>0.25618885254053486</v>
      </c>
    </row>
    <row r="17" spans="1:3" ht="15.75" thickBot="1" x14ac:dyDescent="0.3">
      <c r="A17" s="184" t="s">
        <v>200</v>
      </c>
      <c r="B17" s="185">
        <f>SUM(B3+B9+B16)</f>
        <v>23955.364604081115</v>
      </c>
      <c r="C17" s="186">
        <f>C3+C9+C16</f>
        <v>1</v>
      </c>
    </row>
    <row r="18" spans="1:3" x14ac:dyDescent="0.25">
      <c r="B18" s="130"/>
      <c r="C18" s="3"/>
    </row>
    <row r="19" spans="1:3" x14ac:dyDescent="0.25">
      <c r="B19" s="130"/>
      <c r="C19" s="3"/>
    </row>
    <row r="20" spans="1:3" x14ac:dyDescent="0.25">
      <c r="A20" s="191" t="s">
        <v>218</v>
      </c>
      <c r="B20" s="192">
        <v>3071.2</v>
      </c>
      <c r="C20" s="3"/>
    </row>
    <row r="21" spans="1:3" x14ac:dyDescent="0.25">
      <c r="A21" s="191" t="s">
        <v>217</v>
      </c>
      <c r="B21" s="130"/>
      <c r="C21" s="193">
        <f>B17/B20</f>
        <v>7.8000014991147157</v>
      </c>
    </row>
    <row r="22" spans="1:3" x14ac:dyDescent="0.25">
      <c r="B22" s="130"/>
      <c r="C22" s="3"/>
    </row>
    <row r="23" spans="1:3" x14ac:dyDescent="0.25">
      <c r="B23" s="130"/>
      <c r="C23" s="3"/>
    </row>
    <row r="24" spans="1:3" x14ac:dyDescent="0.25">
      <c r="B24" s="130"/>
      <c r="C24" s="3"/>
    </row>
    <row r="25" spans="1:3" x14ac:dyDescent="0.25">
      <c r="B25" s="130"/>
      <c r="C25" s="3"/>
    </row>
    <row r="26" spans="1:3" x14ac:dyDescent="0.25">
      <c r="B26" s="130"/>
      <c r="C26" s="3"/>
    </row>
    <row r="27" spans="1:3" x14ac:dyDescent="0.25">
      <c r="B27" s="130" t="s">
        <v>228</v>
      </c>
      <c r="C27" s="3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  <vt:lpstr>CUSTO CONTRATO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Usuario</cp:lastModifiedBy>
  <cp:lastPrinted>2024-01-30T13:25:42Z</cp:lastPrinted>
  <dcterms:created xsi:type="dcterms:W3CDTF">2020-01-13T18:06:35Z</dcterms:created>
  <dcterms:modified xsi:type="dcterms:W3CDTF">2024-01-30T13:28:54Z</dcterms:modified>
</cp:coreProperties>
</file>