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a\Desktop\FINISA 02\"/>
    </mc:Choice>
  </mc:AlternateContent>
  <xr:revisionPtr revIDLastSave="0" documentId="8_{5E961C32-3C38-4749-BB3C-901E7AFABC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çamento elaborado" sheetId="12" r:id="rId1"/>
    <sheet name="Cronograma" sheetId="3" r:id="rId2"/>
    <sheet name="Composição" sheetId="13" r:id="rId3"/>
  </sheets>
  <calcPr calcId="191029"/>
</workbook>
</file>

<file path=xl/calcChain.xml><?xml version="1.0" encoding="utf-8"?>
<calcChain xmlns="http://schemas.openxmlformats.org/spreadsheetml/2006/main">
  <c r="L19" i="12" l="1"/>
  <c r="L15" i="12"/>
  <c r="M15" i="12"/>
  <c r="N15" i="12"/>
  <c r="Q23" i="12" l="1"/>
  <c r="T23" i="12"/>
  <c r="U23" i="12"/>
  <c r="P23" i="12" s="1"/>
  <c r="R23" i="12" s="1"/>
  <c r="I23" i="12"/>
  <c r="M23" i="12" s="1"/>
  <c r="H23" i="12" l="1"/>
  <c r="J23" i="12" s="1"/>
  <c r="L23" i="12" l="1"/>
  <c r="N23" i="12" s="1"/>
  <c r="F30" i="12" l="1"/>
  <c r="F31" i="12"/>
  <c r="F27" i="12"/>
  <c r="F28" i="12"/>
  <c r="Q32" i="12" l="1"/>
  <c r="T32" i="12"/>
  <c r="U32" i="12"/>
  <c r="P32" i="12" s="1"/>
  <c r="I32" i="12"/>
  <c r="M32" i="12" s="1"/>
  <c r="F33" i="12"/>
  <c r="R32" i="12" l="1"/>
  <c r="H32" i="12"/>
  <c r="J32" i="12" l="1"/>
  <c r="L32" i="12"/>
  <c r="N32" i="12" s="1"/>
  <c r="Q20" i="12" l="1"/>
  <c r="T20" i="12"/>
  <c r="U20" i="12"/>
  <c r="P20" i="12" s="1"/>
  <c r="I20" i="12"/>
  <c r="M20" i="12" s="1"/>
  <c r="T17" i="12"/>
  <c r="Q17" i="12"/>
  <c r="I17" i="12"/>
  <c r="M17" i="12" s="1"/>
  <c r="F29" i="12"/>
  <c r="V33" i="12"/>
  <c r="U33" i="12" s="1"/>
  <c r="P33" i="12" s="1"/>
  <c r="V30" i="12"/>
  <c r="U30" i="12" s="1"/>
  <c r="P30" i="12" s="1"/>
  <c r="Q22" i="12"/>
  <c r="F13" i="12"/>
  <c r="T29" i="12"/>
  <c r="U29" i="12"/>
  <c r="P29" i="12" s="1"/>
  <c r="T30" i="12"/>
  <c r="T31" i="12"/>
  <c r="U31" i="12"/>
  <c r="P31" i="12" s="1"/>
  <c r="T33" i="12"/>
  <c r="Q29" i="12"/>
  <c r="Q31" i="12"/>
  <c r="Q33" i="12"/>
  <c r="Q14" i="12"/>
  <c r="Q21" i="12"/>
  <c r="T21" i="12"/>
  <c r="U21" i="12"/>
  <c r="P21" i="12" s="1"/>
  <c r="T22" i="12"/>
  <c r="H20" i="12" l="1"/>
  <c r="R20" i="12"/>
  <c r="U17" i="12"/>
  <c r="R29" i="12"/>
  <c r="U22" i="12"/>
  <c r="P22" i="12" s="1"/>
  <c r="R22" i="12" s="1"/>
  <c r="R21" i="12"/>
  <c r="R31" i="12"/>
  <c r="Q30" i="12"/>
  <c r="R30" i="12" s="1"/>
  <c r="R33" i="12"/>
  <c r="H29" i="12"/>
  <c r="L29" i="12" s="1"/>
  <c r="I29" i="12"/>
  <c r="M29" i="12" s="1"/>
  <c r="H30" i="12"/>
  <c r="L30" i="12" s="1"/>
  <c r="I30" i="12"/>
  <c r="M30" i="12" s="1"/>
  <c r="H31" i="12"/>
  <c r="L31" i="12" s="1"/>
  <c r="I31" i="12"/>
  <c r="M31" i="12" s="1"/>
  <c r="H33" i="12"/>
  <c r="L33" i="12" s="1"/>
  <c r="I33" i="12"/>
  <c r="M33" i="12" s="1"/>
  <c r="H21" i="12"/>
  <c r="L21" i="12" s="1"/>
  <c r="I21" i="12"/>
  <c r="M21" i="12" s="1"/>
  <c r="J20" i="12" l="1"/>
  <c r="L20" i="12"/>
  <c r="N20" i="12"/>
  <c r="P17" i="12"/>
  <c r="R17" i="12" s="1"/>
  <c r="H17" i="12"/>
  <c r="L17" i="12" s="1"/>
  <c r="J30" i="12"/>
  <c r="J21" i="12"/>
  <c r="N33" i="12"/>
  <c r="J33" i="12"/>
  <c r="J29" i="12"/>
  <c r="J31" i="12"/>
  <c r="N31" i="12"/>
  <c r="N30" i="12"/>
  <c r="N29" i="12"/>
  <c r="N21" i="12"/>
  <c r="I18" i="12"/>
  <c r="M18" i="12" s="1"/>
  <c r="I19" i="12"/>
  <c r="M19" i="12" s="1"/>
  <c r="H22" i="12"/>
  <c r="L22" i="12" s="1"/>
  <c r="I22" i="12"/>
  <c r="M22" i="12" s="1"/>
  <c r="T14" i="12"/>
  <c r="U14" i="12"/>
  <c r="I14" i="12"/>
  <c r="M14" i="12" s="1"/>
  <c r="C9" i="3"/>
  <c r="C17" i="3"/>
  <c r="C16" i="3"/>
  <c r="C15" i="3"/>
  <c r="J17" i="12" l="1"/>
  <c r="H14" i="12"/>
  <c r="P14" i="12"/>
  <c r="R14" i="12" s="1"/>
  <c r="J22" i="12"/>
  <c r="N22" i="12"/>
  <c r="U13" i="12"/>
  <c r="H13" i="12" s="1"/>
  <c r="L13" i="12" s="1"/>
  <c r="T13" i="12"/>
  <c r="Q13" i="12"/>
  <c r="I13" i="12"/>
  <c r="J14" i="12" l="1"/>
  <c r="L14" i="12"/>
  <c r="M13" i="12"/>
  <c r="M12" i="12" s="1"/>
  <c r="N17" i="12"/>
  <c r="P13" i="12"/>
  <c r="R13" i="12" s="1"/>
  <c r="J13" i="12"/>
  <c r="I28" i="12"/>
  <c r="M28" i="12" s="1"/>
  <c r="I25" i="12"/>
  <c r="M25" i="12" s="1"/>
  <c r="T26" i="12"/>
  <c r="U26" i="12"/>
  <c r="H26" i="12" s="1"/>
  <c r="L26" i="12" s="1"/>
  <c r="T27" i="12"/>
  <c r="U27" i="12"/>
  <c r="P27" i="12" s="1"/>
  <c r="T28" i="12"/>
  <c r="Q26" i="12"/>
  <c r="Q27" i="12"/>
  <c r="Q28" i="12"/>
  <c r="I26" i="12"/>
  <c r="M26" i="12" s="1"/>
  <c r="I27" i="12"/>
  <c r="M27" i="12" s="1"/>
  <c r="U25" i="12"/>
  <c r="P25" i="12" s="1"/>
  <c r="T25" i="12"/>
  <c r="Q25" i="12"/>
  <c r="U19" i="12"/>
  <c r="T19" i="12"/>
  <c r="Q19" i="12"/>
  <c r="U18" i="12"/>
  <c r="H18" i="12" s="1"/>
  <c r="L18" i="12" s="1"/>
  <c r="T18" i="12"/>
  <c r="Q18" i="12"/>
  <c r="U16" i="12"/>
  <c r="T16" i="12"/>
  <c r="Q16" i="12"/>
  <c r="L12" i="12" l="1"/>
  <c r="M24" i="12"/>
  <c r="N14" i="12"/>
  <c r="N18" i="12"/>
  <c r="J18" i="12"/>
  <c r="P19" i="12"/>
  <c r="R19" i="12" s="1"/>
  <c r="H19" i="12"/>
  <c r="U28" i="12"/>
  <c r="P28" i="12" s="1"/>
  <c r="R28" i="12" s="1"/>
  <c r="N13" i="12"/>
  <c r="R27" i="12"/>
  <c r="H27" i="12"/>
  <c r="J26" i="12"/>
  <c r="P26" i="12"/>
  <c r="R26" i="12" s="1"/>
  <c r="N26" i="12"/>
  <c r="R25" i="12"/>
  <c r="I16" i="12"/>
  <c r="H16" i="12"/>
  <c r="L16" i="12" s="1"/>
  <c r="P18" i="12"/>
  <c r="R18" i="12" s="1"/>
  <c r="P16" i="12"/>
  <c r="R16" i="12" s="1"/>
  <c r="H25" i="12"/>
  <c r="L25" i="12" s="1"/>
  <c r="M16" i="12" l="1"/>
  <c r="L27" i="12"/>
  <c r="N27" i="12" s="1"/>
  <c r="N12" i="12"/>
  <c r="D15" i="3" s="1"/>
  <c r="J15" i="3" s="1"/>
  <c r="J19" i="12"/>
  <c r="N19" i="12"/>
  <c r="H28" i="12"/>
  <c r="L28" i="12" s="1"/>
  <c r="J27" i="12"/>
  <c r="J16" i="12"/>
  <c r="J25" i="12"/>
  <c r="M34" i="12" l="1"/>
  <c r="N16" i="12"/>
  <c r="D16" i="3" s="1"/>
  <c r="J16" i="3" s="1"/>
  <c r="J28" i="12"/>
  <c r="N25" i="12"/>
  <c r="L24" i="12" l="1"/>
  <c r="N28" i="12"/>
  <c r="N24" i="12" s="1"/>
  <c r="L34" i="12" l="1"/>
  <c r="N34" i="12"/>
  <c r="D17" i="3" l="1"/>
  <c r="J17" i="3" s="1"/>
  <c r="J19" i="3" s="1"/>
  <c r="F15" i="3"/>
  <c r="H15" i="3"/>
  <c r="H17" i="3" l="1"/>
  <c r="F17" i="3"/>
  <c r="H16" i="3"/>
  <c r="F16" i="3"/>
  <c r="D19" i="3" l="1"/>
  <c r="K19" i="3" s="1"/>
  <c r="E17" i="3" l="1"/>
  <c r="E16" i="3"/>
  <c r="H19" i="3"/>
  <c r="I19" i="3" s="1"/>
  <c r="E15" i="3"/>
  <c r="F19" i="3"/>
  <c r="E19" i="3" l="1"/>
  <c r="G19" i="3"/>
</calcChain>
</file>

<file path=xl/sharedStrings.xml><?xml version="1.0" encoding="utf-8"?>
<sst xmlns="http://schemas.openxmlformats.org/spreadsheetml/2006/main" count="146" uniqueCount="97">
  <si>
    <t>Município de Itacurubi - RS</t>
  </si>
  <si>
    <t>Horista</t>
  </si>
  <si>
    <t>Mensalista</t>
  </si>
  <si>
    <t>M2</t>
  </si>
  <si>
    <t>M3</t>
  </si>
  <si>
    <t>SINAPI</t>
  </si>
  <si>
    <t>DADOS DO ORÇAMENTO</t>
  </si>
  <si>
    <t>Data-Referência (SINAPI Porto Alegre)</t>
  </si>
  <si>
    <t>Encargos sociais</t>
  </si>
  <si>
    <t>Obra:</t>
  </si>
  <si>
    <t>Proponente:</t>
  </si>
  <si>
    <t>ITEM</t>
  </si>
  <si>
    <t>FONTE</t>
  </si>
  <si>
    <t>CÓDIGO</t>
  </si>
  <si>
    <t>DESCRIÇÃO</t>
  </si>
  <si>
    <t>UNID</t>
  </si>
  <si>
    <t>QUANT</t>
  </si>
  <si>
    <t>CUSTO UNITÁRIO (SEM BDI) (R$)</t>
  </si>
  <si>
    <t>BDI (%)</t>
  </si>
  <si>
    <t>PREÇO TOTAL (R$)</t>
  </si>
  <si>
    <t>Responsável Técnico pela Elaboração do Orçamento:</t>
  </si>
  <si>
    <t>1.0</t>
  </si>
  <si>
    <t>1.1</t>
  </si>
  <si>
    <t>1.2</t>
  </si>
  <si>
    <t>2.0</t>
  </si>
  <si>
    <t>2.1</t>
  </si>
  <si>
    <t>3.0</t>
  </si>
  <si>
    <t>3.1</t>
  </si>
  <si>
    <t>Declaro que os custos unitários adotados atendem ao regime de contribuição previdenciária, e NÃO DESONERADO sendo esta a alternativa mais adequada para a Administração Pública, e que o detalhamento de encargos sociais atendem ao estabelecido no SINAPI para o estado do RS, desta unidade da federação, para mão-de-obra horista e mensalista.</t>
  </si>
  <si>
    <t>BDI NÃO DESONERADO</t>
  </si>
  <si>
    <t>Município de Itacurubi</t>
  </si>
  <si>
    <t>CRONOGRAMA FÍSICO FINANCEIRO</t>
  </si>
  <si>
    <t>Total dos itens</t>
  </si>
  <si>
    <t>MÊS  1</t>
  </si>
  <si>
    <t>MÊS 2</t>
  </si>
  <si>
    <t>Itens</t>
  </si>
  <si>
    <t xml:space="preserve">Serviços </t>
  </si>
  <si>
    <t>Valor</t>
  </si>
  <si>
    <t>%</t>
  </si>
  <si>
    <t>Responsável Técnico pela Elaboração do Cronograma Físico-Financeiro:</t>
  </si>
  <si>
    <t>Material</t>
  </si>
  <si>
    <t>Mão de obra</t>
  </si>
  <si>
    <t>TOTAL</t>
  </si>
  <si>
    <t>CUSTO UNITÁRIO TOTAL (SEM BDI) (R$)</t>
  </si>
  <si>
    <t xml:space="preserve">Mão de obra </t>
  </si>
  <si>
    <t>Código</t>
  </si>
  <si>
    <t xml:space="preserve">PLANILHA ORÇAMENTÁRIA </t>
  </si>
  <si>
    <t>CUSTO TOTAL (SEM BDI) (R$)</t>
  </si>
  <si>
    <t>PREÇO TOTAL (COM BDI) (R$)</t>
  </si>
  <si>
    <t>Custo unitário total</t>
  </si>
  <si>
    <t>___________________________________________</t>
  </si>
  <si>
    <t>SERVIÇOS PRELIMINARES</t>
  </si>
  <si>
    <t>UN</t>
  </si>
  <si>
    <t>2.2</t>
  </si>
  <si>
    <t>2.3</t>
  </si>
  <si>
    <t>3.2</t>
  </si>
  <si>
    <t>3.3</t>
  </si>
  <si>
    <t>3.4</t>
  </si>
  <si>
    <t>SINAPI-I</t>
  </si>
  <si>
    <t>________________________________________</t>
  </si>
  <si>
    <t>M</t>
  </si>
  <si>
    <t>LOCAÇÃO DE PAVIMENTAÇÃO. AF_10/2018</t>
  </si>
  <si>
    <t>DRENAGEM</t>
  </si>
  <si>
    <t>2.4</t>
  </si>
  <si>
    <t>2.5</t>
  </si>
  <si>
    <t>2.6</t>
  </si>
  <si>
    <t>ESCAVAÇÃO MECANIZADA DE VALA COM PROF. ATÉ 1,5 M (MÉDIA MONTANTE E JUSANTE/UMA COMPOSIÇÃO POR TRECHO), ESCAVADEIRA (0,8 M3), LARG. DE 1,5 M A 2,5 M, EM SOLO DE 1A CATEGORIA, EM LOCAIS COM ALTO NÍVEL DE INTERFERÊNCIA. AF_02/2021</t>
  </si>
  <si>
    <t>PAVIMENTAÇÃO COM BLOCO INTERTRAVADO</t>
  </si>
  <si>
    <t>3.5</t>
  </si>
  <si>
    <t>3.6</t>
  </si>
  <si>
    <t>3.7</t>
  </si>
  <si>
    <t>3.8</t>
  </si>
  <si>
    <t>REGULARIZAÇÃO E COMPACTAÇÃO DE SUBLEITO DE SOLO  PREDOMINANTEMENTE ARGILOSO. AF_11/2019</t>
  </si>
  <si>
    <t xml:space="preserve">PO DE PEDRA (POSTO PEDREIRA/FORNECEDOR, SEM FRETE)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</si>
  <si>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M3XKM</t>
  </si>
  <si>
    <r>
      <t xml:space="preserve">TRANSPORTE COM CAMINHÃO BASCULANTE DE 18 M³, EM VIA URBANA PAVIMENTADA, ADICIONAL PARA DMT EXCEDENTE A 30 KM (UNIDADE: M3XKM). AF_07/2020 - </t>
    </r>
    <r>
      <rPr>
        <b/>
        <sz val="8"/>
        <rFont val="Calibri"/>
        <family val="2"/>
      </rPr>
      <t>PÓ DE PEDRA</t>
    </r>
  </si>
  <si>
    <r>
      <t xml:space="preserve">TRANSPORTE COM CAMINHÃO BASCULANTE DE 18 M³, EM VIA URBANA PAVIMENTADA, DMT ATÉ 30 KM (UNIDADE: M3XKM). AF_07/2020 - </t>
    </r>
    <r>
      <rPr>
        <b/>
        <sz val="8"/>
        <rFont val="Calibri"/>
        <family val="2"/>
      </rPr>
      <t>PÓ DE PEDRA</t>
    </r>
  </si>
  <si>
    <t>EXECUÇÃO DE PAVIMENTO EM PISO INTERTRAVADO, COM BLOCO 16 FACES DE 22 X 11 CM, ESPESSURA 8 CM. AF_10/2022</t>
  </si>
  <si>
    <t>TXKM</t>
  </si>
  <si>
    <r>
      <t xml:space="preserve">TRANSPORTE COM CAMINHÃO CARROCERIA 9T, EM VIA URBANA PAVIMENTADA, ADICIONAL PARA DMT EXCEDENTE A 30 KM (UNIDADE: TXKM). AF_07/2020 - </t>
    </r>
    <r>
      <rPr>
        <b/>
        <sz val="8"/>
        <rFont val="Calibri"/>
        <family val="2"/>
      </rPr>
      <t>INTERTRAVADO 8CM</t>
    </r>
  </si>
  <si>
    <t>TRANSPORTE COM CAMINHÃO CARROCERIA 9T, EM VIA URBANA PAVIMENTADA, DMT ATÉ 30KM (UNIDADE: TXKM). AF_07/2020</t>
  </si>
  <si>
    <t>ASSENTAMENTO DE GUIA (MEIO-FIO) EM TRECHO RETO, CONFECCIONADA EM CONCRETO PRÉ-FABRICADO, DIMENSÕES 100X15X13X30 CM (COMPRIMENTO X BASE INFERIOR X BASE SUPERIOR X ALTURA), PARA VIAS URBANAS (USO VIÁRIO). AF_06/2016</t>
  </si>
  <si>
    <t xml:space="preserve">PLACA DE OBRA (PARA CONSTRUCAO CIVIL) EM CHAPA GALVANIZADA *N. 22*, ADESIVADA, DE *2,4 X 1,2* M (SEM POSTES PARA FIXACAO)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</si>
  <si>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REATERRO MECANIZADO DE VALA COM ESCAVADEIRA HIDRÁULICA (CAPACIDADE DA CAÇAMBA: 0,8 M³/POTÊNCIA: 111 HP), LARGURA DE 1,5 A 2,5 M, PROFUNDIDADE ATÉ 1,5 M, COM SOLO (SEM SUBSTITUIÇÃO) DE 1ª CATEGORIA, COM PLACA VIBRATÓRIA. AF_08/2023</t>
  </si>
  <si>
    <r>
      <t xml:space="preserve">ASSENTAMENTO DE TUBO DE CONCRETO PARA REDES COLETORAS DE ÁGUAS PLUVIAIS, </t>
    </r>
    <r>
      <rPr>
        <b/>
        <sz val="8"/>
        <rFont val="Calibri"/>
        <family val="2"/>
      </rPr>
      <t>DIÂMETRO DE 800 MM</t>
    </r>
    <r>
      <rPr>
        <sz val="8"/>
        <rFont val="Calibri"/>
        <family val="2"/>
      </rPr>
      <t>, JUNTA RÍGIDA, INSTALADO EM LOCAL COM BAIXO NÍVEL DE INTERFERÊNCIAS (NÃO INCLUI FORNECIMENTO). AF_12/2015</t>
    </r>
  </si>
  <si>
    <r>
      <t xml:space="preserve">ASSENTAMENTO DE TUBO DE CONCRETO PARA REDES COLETORAS DE ÁGUAS PLUVIAIS, </t>
    </r>
    <r>
      <rPr>
        <b/>
        <sz val="8"/>
        <rFont val="Calibri"/>
        <family val="2"/>
      </rPr>
      <t>DIÂMETRO DE 600 MM</t>
    </r>
    <r>
      <rPr>
        <sz val="8"/>
        <rFont val="Calibri"/>
        <family val="2"/>
      </rPr>
      <t>, JUNTA RÍGIDA, INSTALADO EM LOCAL COM BAIXO NÍVEL DE INTERFERÊNCIAS (NÃO INCLUI FORNECIMENTO). AF_12/2015</t>
    </r>
  </si>
  <si>
    <r>
      <t xml:space="preserve">TUBO DE CONCRETO ARMADO PARA AGUAS PLUVIAIS, CLASSE PA-1, COM ENCAIXE PONTA E BOLSA, </t>
    </r>
    <r>
      <rPr>
        <b/>
        <sz val="8"/>
        <rFont val="Calibri"/>
        <family val="2"/>
      </rPr>
      <t xml:space="preserve">DIAMETRO NOMINAL DE 600 MM                                                                             </t>
    </r>
    <r>
      <rPr>
        <sz val="8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</si>
  <si>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TUBO DE CONCRETO ARMADO PARA AGUAS PLUVIAIS, CLASSE PA-1, COM ENCAIXE PONTA E BOLSA, </t>
    </r>
    <r>
      <rPr>
        <b/>
        <sz val="8"/>
        <rFont val="Calibri"/>
        <family val="2"/>
      </rPr>
      <t xml:space="preserve">DIAMETRO NOMINAL DE 800 MM                      </t>
    </r>
    <r>
      <rPr>
        <sz val="8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</si>
  <si>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EXECUÇÃO DE SARJETA DE CONCRETO USINADO, MOLDADA  IN LOCO  EM TRECHO CURVO, 30 CM BASE X 10 CM ALTURA. AF_06/2016</t>
  </si>
  <si>
    <t>3.9</t>
  </si>
  <si>
    <t>2.7</t>
  </si>
  <si>
    <t>COMPOSIÇÃO</t>
  </si>
  <si>
    <t>2.8</t>
  </si>
  <si>
    <t>BOCA PARA BUEIRO SIMPLES TUBULAR D = 80 CM EM CONCRETO, ALAS COM ESCONSIDADE DE 30°, INCLUINDO FÔRMAS E MATERIAIS. AF_07/2021</t>
  </si>
  <si>
    <t>CAIXA PARA BOCA DE LOBO COMBINADA COM TAMPA EM CONCRETO ARMADO RETANGULAR, EM ALVENARIA COM BLOCOS DE CONCRETO, DIMENSÕES INTERNAS: 1,3X1,0X1,2 M</t>
  </si>
  <si>
    <t>Itacurubi, 03 de janeiro de 2024.</t>
  </si>
  <si>
    <t>MÊS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</si>
</sst>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dd/mm/yyyy;@"/>
    <numFmt numFmtId="166" formatCode="_(* #,##0_);_(* \(#,##0\);_(* &quot;-&quot;??_);_(@_)"/>
    <numFmt numFmtId="167" formatCode="0.000000000"/>
    <numFmt numFmtId="168" formatCode="000"/>
  </numFmts>
  <fonts count="33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name val="Calibri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b/>
      <sz val="11"/>
      <name val="Calibri"/>
      <family val="2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Times New Roman"/>
      <family val="1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indexed="12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0" fillId="0" borderId="0" applyFont="0" applyFill="0" applyBorder="0" applyAlignment="0" applyProtection="0"/>
    <xf numFmtId="0" fontId="18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1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4" fontId="12" fillId="0" borderId="0" xfId="1" applyFont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9" fillId="0" borderId="0" xfId="2" applyFont="1" applyAlignment="1">
      <alignment horizontal="center" vertical="justify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center" wrapText="1"/>
    </xf>
    <xf numFmtId="44" fontId="21" fillId="0" borderId="0" xfId="1" applyFont="1" applyBorder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2" fontId="10" fillId="0" borderId="0" xfId="0" applyNumberFormat="1" applyFont="1" applyAlignment="1">
      <alignment horizontal="left" vertical="center" wrapText="1"/>
    </xf>
    <xf numFmtId="165" fontId="12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 wrapText="1"/>
    </xf>
    <xf numFmtId="44" fontId="12" fillId="0" borderId="0" xfId="1" applyFont="1" applyAlignment="1">
      <alignment horizontal="left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0" fillId="0" borderId="0" xfId="2" applyFont="1" applyAlignment="1">
      <alignment horizontal="left" vertical="justify"/>
    </xf>
    <xf numFmtId="0" fontId="1" fillId="0" borderId="0" xfId="0" applyFont="1" applyAlignment="1">
      <alignment vertical="top" wrapText="1"/>
    </xf>
    <xf numFmtId="0" fontId="10" fillId="0" borderId="0" xfId="0" applyFont="1" applyAlignment="1">
      <alignment horizontal="left" vertical="top" indent="1"/>
    </xf>
    <xf numFmtId="0" fontId="19" fillId="0" borderId="0" xfId="2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4" fontId="10" fillId="0" borderId="0" xfId="1" applyFont="1" applyFill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20" fillId="0" borderId="0" xfId="2" applyFont="1" applyAlignment="1">
      <alignment horizontal="left" vertical="center"/>
    </xf>
    <xf numFmtId="44" fontId="10" fillId="0" borderId="0" xfId="1" applyFont="1" applyBorder="1" applyAlignment="1">
      <alignment horizontal="left" vertical="center" wrapText="1"/>
    </xf>
    <xf numFmtId="44" fontId="0" fillId="0" borderId="0" xfId="1" applyFont="1" applyBorder="1" applyAlignment="1">
      <alignment horizontal="left" vertical="center" wrapText="1"/>
    </xf>
    <xf numFmtId="44" fontId="0" fillId="0" borderId="0" xfId="1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24" fillId="0" borderId="0" xfId="0" applyFont="1"/>
    <xf numFmtId="44" fontId="12" fillId="0" borderId="0" xfId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44" fontId="11" fillId="0" borderId="1" xfId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44" fontId="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3" fontId="29" fillId="0" borderId="0" xfId="3" applyFont="1" applyBorder="1" applyAlignment="1">
      <alignment vertical="center"/>
    </xf>
    <xf numFmtId="10" fontId="19" fillId="0" borderId="0" xfId="4" applyNumberFormat="1" applyFont="1" applyAlignment="1">
      <alignment horizontal="center" vertical="justify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 vertical="center" wrapText="1"/>
    </xf>
    <xf numFmtId="44" fontId="17" fillId="0" borderId="0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0" fillId="0" borderId="0" xfId="2" applyFont="1" applyAlignment="1">
      <alignment horizontal="left" vertical="center" wrapText="1"/>
    </xf>
    <xf numFmtId="2" fontId="12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4" fontId="3" fillId="2" borderId="0" xfId="1" applyFont="1" applyFill="1" applyBorder="1" applyAlignment="1">
      <alignment horizontal="center" vertical="center" wrapText="1"/>
    </xf>
    <xf numFmtId="44" fontId="11" fillId="4" borderId="0" xfId="1" applyFont="1" applyFill="1" applyBorder="1" applyAlignment="1">
      <alignment horizontal="center" vertical="center" wrapText="1"/>
    </xf>
    <xf numFmtId="44" fontId="8" fillId="0" borderId="0" xfId="1" applyFont="1" applyBorder="1" applyAlignment="1">
      <alignment horizontal="right" vertical="center" wrapText="1"/>
    </xf>
    <xf numFmtId="2" fontId="0" fillId="0" borderId="0" xfId="1" applyNumberFormat="1" applyFont="1" applyAlignment="1">
      <alignment horizontal="center" vertical="center"/>
    </xf>
    <xf numFmtId="2" fontId="17" fillId="0" borderId="0" xfId="1" applyNumberFormat="1" applyFont="1" applyAlignment="1">
      <alignment horizontal="center" vertical="center" wrapText="1"/>
    </xf>
    <xf numFmtId="2" fontId="13" fillId="0" borderId="0" xfId="1" applyNumberFormat="1" applyFont="1" applyBorder="1" applyAlignment="1">
      <alignment horizontal="center" vertical="center" wrapText="1"/>
    </xf>
    <xf numFmtId="2" fontId="3" fillId="2" borderId="0" xfId="1" applyNumberFormat="1" applyFont="1" applyFill="1" applyBorder="1" applyAlignment="1">
      <alignment horizontal="center" vertical="center" wrapText="1"/>
    </xf>
    <xf numFmtId="2" fontId="11" fillId="4" borderId="0" xfId="1" applyNumberFormat="1" applyFont="1" applyFill="1" applyBorder="1" applyAlignment="1">
      <alignment horizontal="center" vertical="center" wrapText="1"/>
    </xf>
    <xf numFmtId="2" fontId="8" fillId="0" borderId="0" xfId="1" applyNumberFormat="1" applyFont="1" applyBorder="1" applyAlignment="1">
      <alignment horizontal="right" vertical="center" wrapText="1"/>
    </xf>
    <xf numFmtId="2" fontId="21" fillId="0" borderId="0" xfId="1" applyNumberFormat="1" applyFont="1" applyBorder="1" applyAlignment="1">
      <alignment horizontal="right" vertical="center" wrapText="1"/>
    </xf>
    <xf numFmtId="2" fontId="20" fillId="0" borderId="0" xfId="1" applyNumberFormat="1" applyFont="1" applyAlignment="1">
      <alignment horizontal="left" vertical="center" wrapText="1"/>
    </xf>
    <xf numFmtId="2" fontId="10" fillId="0" borderId="0" xfId="1" applyNumberFormat="1" applyFont="1" applyBorder="1" applyAlignment="1">
      <alignment horizontal="left" vertical="center" wrapText="1"/>
    </xf>
    <xf numFmtId="2" fontId="0" fillId="0" borderId="0" xfId="1" applyNumberFormat="1" applyFont="1" applyBorder="1" applyAlignment="1">
      <alignment horizontal="left" vertical="center" wrapText="1"/>
    </xf>
    <xf numFmtId="2" fontId="22" fillId="0" borderId="0" xfId="1" applyNumberFormat="1" applyFont="1" applyAlignment="1">
      <alignment horizontal="left" vertical="center" wrapText="1"/>
    </xf>
    <xf numFmtId="2" fontId="22" fillId="0" borderId="0" xfId="1" applyNumberFormat="1" applyFont="1" applyAlignment="1">
      <alignment vertical="center" wrapText="1"/>
    </xf>
    <xf numFmtId="2" fontId="12" fillId="0" borderId="0" xfId="1" applyNumberFormat="1" applyFont="1" applyAlignment="1">
      <alignment horizontal="center" vertical="center" shrinkToFit="1"/>
    </xf>
    <xf numFmtId="2" fontId="0" fillId="0" borderId="0" xfId="1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11" fillId="0" borderId="0" xfId="1" applyFont="1" applyFill="1" applyBorder="1" applyAlignment="1">
      <alignment horizontal="center" vertical="center" wrapText="1"/>
    </xf>
    <xf numFmtId="44" fontId="21" fillId="0" borderId="0" xfId="1" applyFont="1" applyFill="1" applyBorder="1" applyAlignment="1">
      <alignment horizontal="right" vertical="center" wrapText="1"/>
    </xf>
    <xf numFmtId="44" fontId="10" fillId="0" borderId="0" xfId="1" applyFont="1" applyFill="1" applyBorder="1" applyAlignment="1">
      <alignment horizontal="left" vertical="center" wrapText="1"/>
    </xf>
    <xf numFmtId="44" fontId="0" fillId="0" borderId="0" xfId="1" applyFont="1" applyFill="1" applyBorder="1" applyAlignment="1">
      <alignment horizontal="left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44" fontId="16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 indent="1"/>
    </xf>
    <xf numFmtId="167" fontId="11" fillId="4" borderId="0" xfId="1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30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2" fontId="21" fillId="0" borderId="0" xfId="1" applyNumberFormat="1" applyFont="1" applyFill="1" applyAlignment="1">
      <alignment horizontal="center" vertical="center"/>
    </xf>
    <xf numFmtId="167" fontId="16" fillId="4" borderId="0" xfId="0" applyNumberFormat="1" applyFont="1" applyFill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center" vertical="center" wrapText="1"/>
    </xf>
    <xf numFmtId="44" fontId="5" fillId="4" borderId="23" xfId="1" quotePrefix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164" fontId="17" fillId="0" borderId="23" xfId="0" applyNumberFormat="1" applyFont="1" applyBorder="1" applyAlignment="1">
      <alignment horizontal="center" vertical="center" shrinkToFit="1"/>
    </xf>
    <xf numFmtId="44" fontId="0" fillId="0" borderId="0" xfId="0" applyNumberFormat="1" applyAlignment="1">
      <alignment horizontal="center" vertical="center"/>
    </xf>
    <xf numFmtId="44" fontId="11" fillId="0" borderId="9" xfId="1" applyFont="1" applyBorder="1" applyAlignment="1">
      <alignment horizontal="center" vertical="center" wrapText="1"/>
    </xf>
    <xf numFmtId="44" fontId="11" fillId="0" borderId="10" xfId="1" applyFont="1" applyBorder="1" applyAlignment="1">
      <alignment horizontal="center" vertical="center" wrapText="1"/>
    </xf>
    <xf numFmtId="44" fontId="16" fillId="0" borderId="10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7" fillId="0" borderId="0" xfId="0" applyNumberFormat="1" applyFont="1" applyAlignment="1">
      <alignment vertical="center"/>
    </xf>
    <xf numFmtId="43" fontId="7" fillId="0" borderId="0" xfId="0" applyNumberFormat="1" applyFont="1" applyAlignment="1">
      <alignment vertical="center"/>
    </xf>
    <xf numFmtId="44" fontId="8" fillId="0" borderId="28" xfId="1" applyFont="1" applyBorder="1" applyAlignment="1">
      <alignment horizontal="right" vertical="center" wrapText="1"/>
    </xf>
    <xf numFmtId="0" fontId="31" fillId="0" borderId="0" xfId="0" applyFont="1" applyAlignment="1">
      <alignment horizontal="justify" vertical="center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164" fontId="17" fillId="0" borderId="25" xfId="0" applyNumberFormat="1" applyFont="1" applyBorder="1" applyAlignment="1">
      <alignment horizontal="center" vertical="center" shrinkToFit="1"/>
    </xf>
    <xf numFmtId="168" fontId="6" fillId="0" borderId="23" xfId="0" applyNumberFormat="1" applyFont="1" applyBorder="1" applyAlignment="1">
      <alignment horizontal="center" vertical="center" shrinkToFit="1"/>
    </xf>
    <xf numFmtId="168" fontId="6" fillId="0" borderId="25" xfId="0" applyNumberFormat="1" applyFont="1" applyBorder="1" applyAlignment="1">
      <alignment horizontal="center" vertical="center" shrinkToFit="1"/>
    </xf>
    <xf numFmtId="44" fontId="11" fillId="0" borderId="11" xfId="1" applyFont="1" applyBorder="1" applyAlignment="1">
      <alignment horizontal="center" vertical="center" wrapText="1"/>
    </xf>
    <xf numFmtId="44" fontId="11" fillId="0" borderId="12" xfId="1" applyFont="1" applyBorder="1" applyAlignment="1">
      <alignment horizontal="center" vertical="center" wrapText="1"/>
    </xf>
    <xf numFmtId="44" fontId="16" fillId="0" borderId="12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4" fontId="11" fillId="0" borderId="20" xfId="1" applyFont="1" applyBorder="1" applyAlignment="1">
      <alignment horizontal="center" vertical="center" wrapText="1"/>
    </xf>
    <xf numFmtId="44" fontId="11" fillId="0" borderId="21" xfId="1" applyFont="1" applyBorder="1" applyAlignment="1">
      <alignment horizontal="center" vertical="center" wrapText="1"/>
    </xf>
    <xf numFmtId="44" fontId="16" fillId="0" borderId="21" xfId="1" applyFont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shrinkToFit="1"/>
    </xf>
    <xf numFmtId="164" fontId="17" fillId="0" borderId="24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16" fillId="0" borderId="24" xfId="0" applyNumberFormat="1" applyFont="1" applyBorder="1" applyAlignment="1">
      <alignment horizontal="center" vertical="center" shrinkToFit="1"/>
    </xf>
    <xf numFmtId="44" fontId="11" fillId="4" borderId="24" xfId="1" applyFont="1" applyFill="1" applyBorder="1" applyAlignment="1">
      <alignment horizontal="center" vertical="center" wrapText="1"/>
    </xf>
    <xf numFmtId="44" fontId="5" fillId="4" borderId="23" xfId="1" applyFont="1" applyFill="1" applyBorder="1" applyAlignment="1">
      <alignment horizontal="center" vertical="center" wrapText="1"/>
    </xf>
    <xf numFmtId="44" fontId="5" fillId="4" borderId="25" xfId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5" fillId="0" borderId="30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shrinkToFit="1"/>
    </xf>
    <xf numFmtId="44" fontId="5" fillId="4" borderId="24" xfId="1" quotePrefix="1" applyFont="1" applyFill="1" applyBorder="1" applyAlignment="1">
      <alignment horizontal="center" vertical="center" wrapText="1"/>
    </xf>
    <xf numFmtId="168" fontId="6" fillId="0" borderId="24" xfId="0" applyNumberFormat="1" applyFont="1" applyBorder="1" applyAlignment="1">
      <alignment horizontal="center" vertical="center" shrinkToFit="1"/>
    </xf>
    <xf numFmtId="44" fontId="5" fillId="4" borderId="24" xfId="1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37" xfId="0" applyFont="1" applyFill="1" applyBorder="1" applyAlignment="1">
      <alignment vertical="center"/>
    </xf>
    <xf numFmtId="44" fontId="30" fillId="2" borderId="35" xfId="0" applyNumberFormat="1" applyFont="1" applyFill="1" applyBorder="1" applyAlignment="1">
      <alignment horizontal="left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1" fontId="6" fillId="0" borderId="38" xfId="0" applyNumberFormat="1" applyFont="1" applyBorder="1" applyAlignment="1">
      <alignment horizontal="center" vertical="center" shrinkToFit="1"/>
    </xf>
    <xf numFmtId="44" fontId="5" fillId="4" borderId="38" xfId="1" quotePrefix="1" applyFont="1" applyFill="1" applyBorder="1" applyAlignment="1">
      <alignment horizontal="center" vertical="center" wrapText="1"/>
    </xf>
    <xf numFmtId="164" fontId="17" fillId="0" borderId="39" xfId="0" applyNumberFormat="1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wrapText="1"/>
    </xf>
    <xf numFmtId="168" fontId="6" fillId="0" borderId="39" xfId="0" applyNumberFormat="1" applyFont="1" applyBorder="1" applyAlignment="1">
      <alignment horizontal="center" vertical="center" shrinkToFit="1"/>
    </xf>
    <xf numFmtId="0" fontId="5" fillId="0" borderId="39" xfId="0" applyFont="1" applyBorder="1" applyAlignment="1">
      <alignment vertical="center" wrapText="1"/>
    </xf>
    <xf numFmtId="44" fontId="5" fillId="4" borderId="39" xfId="1" applyFont="1" applyFill="1" applyBorder="1" applyAlignment="1">
      <alignment horizontal="center" vertical="center" wrapText="1"/>
    </xf>
    <xf numFmtId="44" fontId="11" fillId="0" borderId="18" xfId="1" applyFont="1" applyBorder="1" applyAlignment="1">
      <alignment horizontal="center" vertical="center" wrapText="1"/>
    </xf>
    <xf numFmtId="44" fontId="11" fillId="0" borderId="30" xfId="1" applyFont="1" applyBorder="1" applyAlignment="1">
      <alignment horizontal="center" vertical="center" wrapText="1"/>
    </xf>
    <xf numFmtId="44" fontId="11" fillId="4" borderId="39" xfId="1" applyFont="1" applyFill="1" applyBorder="1" applyAlignment="1">
      <alignment horizontal="center" vertical="center" wrapText="1"/>
    </xf>
    <xf numFmtId="164" fontId="16" fillId="0" borderId="39" xfId="0" applyNumberFormat="1" applyFont="1" applyBorder="1" applyAlignment="1">
      <alignment horizontal="center" vertical="center" shrinkToFit="1"/>
    </xf>
    <xf numFmtId="0" fontId="16" fillId="0" borderId="39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44" fontId="30" fillId="2" borderId="40" xfId="0" applyNumberFormat="1" applyFont="1" applyFill="1" applyBorder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left" vertical="top"/>
    </xf>
    <xf numFmtId="4" fontId="17" fillId="0" borderId="0" xfId="0" applyNumberFormat="1" applyFont="1" applyAlignment="1">
      <alignment horizontal="center" vertical="center" wrapText="1"/>
    </xf>
    <xf numFmtId="4" fontId="3" fillId="3" borderId="37" xfId="0" applyNumberFormat="1" applyFont="1" applyFill="1" applyBorder="1" applyAlignment="1">
      <alignment vertical="center"/>
    </xf>
    <xf numFmtId="4" fontId="26" fillId="0" borderId="24" xfId="0" applyNumberFormat="1" applyFont="1" applyBorder="1" applyAlignment="1">
      <alignment horizontal="center" vertical="center" wrapText="1"/>
    </xf>
    <xf numFmtId="4" fontId="26" fillId="0" borderId="39" xfId="0" applyNumberFormat="1" applyFont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vertical="center"/>
    </xf>
    <xf numFmtId="4" fontId="9" fillId="0" borderId="24" xfId="0" applyNumberFormat="1" applyFont="1" applyBorder="1" applyAlignment="1">
      <alignment horizontal="center" vertical="center" wrapText="1"/>
    </xf>
    <xf numFmtId="4" fontId="9" fillId="0" borderId="23" xfId="0" applyNumberFormat="1" applyFont="1" applyBorder="1" applyAlignment="1">
      <alignment horizontal="center" vertical="center" wrapText="1"/>
    </xf>
    <xf numFmtId="4" fontId="9" fillId="0" borderId="25" xfId="0" applyNumberFormat="1" applyFont="1" applyBorder="1" applyAlignment="1">
      <alignment horizontal="center" vertical="center" wrapText="1"/>
    </xf>
    <xf numFmtId="4" fontId="9" fillId="0" borderId="39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4" fontId="20" fillId="0" borderId="0" xfId="2" applyNumberFormat="1" applyFont="1" applyAlignment="1">
      <alignment horizontal="left" vertical="center"/>
    </xf>
    <xf numFmtId="4" fontId="19" fillId="0" borderId="0" xfId="2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 wrapText="1"/>
    </xf>
    <xf numFmtId="4" fontId="10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26" fillId="0" borderId="45" xfId="0" applyFont="1" applyBorder="1" applyAlignment="1">
      <alignment vertical="center"/>
    </xf>
    <xf numFmtId="43" fontId="26" fillId="0" borderId="45" xfId="3" applyFont="1" applyFill="1" applyBorder="1" applyAlignment="1">
      <alignment vertical="center"/>
    </xf>
    <xf numFmtId="166" fontId="11" fillId="0" borderId="45" xfId="3" applyNumberFormat="1" applyFont="1" applyFill="1" applyBorder="1" applyAlignment="1">
      <alignment horizontal="center" vertical="center"/>
    </xf>
    <xf numFmtId="43" fontId="11" fillId="0" borderId="45" xfId="3" applyFont="1" applyFill="1" applyBorder="1" applyAlignment="1">
      <alignment horizontal="center" vertical="center"/>
    </xf>
    <xf numFmtId="43" fontId="11" fillId="0" borderId="12" xfId="3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9" fontId="11" fillId="6" borderId="1" xfId="0" applyNumberFormat="1" applyFont="1" applyFill="1" applyBorder="1" applyAlignment="1">
      <alignment horizontal="center" vertical="center"/>
    </xf>
    <xf numFmtId="10" fontId="11" fillId="6" borderId="1" xfId="0" applyNumberFormat="1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10" fontId="11" fillId="6" borderId="10" xfId="0" applyNumberFormat="1" applyFont="1" applyFill="1" applyBorder="1" applyAlignment="1">
      <alignment horizontal="center" vertical="center"/>
    </xf>
    <xf numFmtId="9" fontId="11" fillId="6" borderId="10" xfId="0" applyNumberFormat="1" applyFont="1" applyFill="1" applyBorder="1" applyAlignment="1">
      <alignment horizontal="center" vertical="center"/>
    </xf>
    <xf numFmtId="44" fontId="26" fillId="5" borderId="45" xfId="1" applyFont="1" applyFill="1" applyBorder="1" applyAlignment="1">
      <alignment vertical="center"/>
    </xf>
    <xf numFmtId="44" fontId="3" fillId="2" borderId="40" xfId="1" applyFont="1" applyFill="1" applyBorder="1" applyAlignment="1">
      <alignment horizontal="center" vertical="center" wrapText="1"/>
    </xf>
    <xf numFmtId="44" fontId="11" fillId="0" borderId="36" xfId="1" applyFont="1" applyBorder="1" applyAlignment="1">
      <alignment horizontal="center" vertical="center" wrapText="1"/>
    </xf>
    <xf numFmtId="44" fontId="11" fillId="0" borderId="41" xfId="1" applyFont="1" applyBorder="1" applyAlignment="1">
      <alignment horizontal="center" vertical="center" wrapText="1"/>
    </xf>
    <xf numFmtId="44" fontId="11" fillId="0" borderId="46" xfId="1" applyFont="1" applyBorder="1" applyAlignment="1">
      <alignment horizontal="center" vertical="center" wrapText="1"/>
    </xf>
    <xf numFmtId="44" fontId="11" fillId="0" borderId="47" xfId="1" applyFont="1" applyBorder="1" applyAlignment="1">
      <alignment horizontal="center" vertical="center" wrapText="1"/>
    </xf>
    <xf numFmtId="10" fontId="11" fillId="4" borderId="36" xfId="4" applyNumberFormat="1" applyFont="1" applyFill="1" applyBorder="1" applyAlignment="1">
      <alignment horizontal="center" vertical="center" wrapText="1"/>
    </xf>
    <xf numFmtId="10" fontId="11" fillId="4" borderId="47" xfId="4" applyNumberFormat="1" applyFont="1" applyFill="1" applyBorder="1" applyAlignment="1">
      <alignment horizontal="center" vertical="center" wrapText="1"/>
    </xf>
    <xf numFmtId="10" fontId="11" fillId="4" borderId="46" xfId="4" applyNumberFormat="1" applyFont="1" applyFill="1" applyBorder="1" applyAlignment="1">
      <alignment horizontal="center" vertical="center" wrapText="1"/>
    </xf>
    <xf numFmtId="44" fontId="11" fillId="4" borderId="26" xfId="1" applyFont="1" applyFill="1" applyBorder="1" applyAlignment="1">
      <alignment horizontal="center" vertical="center" wrapText="1"/>
    </xf>
    <xf numFmtId="44" fontId="11" fillId="4" borderId="42" xfId="1" applyFont="1" applyFill="1" applyBorder="1" applyAlignment="1">
      <alignment horizontal="center" vertical="center" wrapText="1"/>
    </xf>
    <xf numFmtId="44" fontId="11" fillId="4" borderId="44" xfId="1" applyFont="1" applyFill="1" applyBorder="1" applyAlignment="1">
      <alignment horizontal="center" vertical="center" wrapText="1"/>
    </xf>
    <xf numFmtId="44" fontId="11" fillId="4" borderId="27" xfId="1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shrinkToFit="1"/>
    </xf>
    <xf numFmtId="164" fontId="5" fillId="0" borderId="39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1" fontId="6" fillId="0" borderId="39" xfId="0" applyNumberFormat="1" applyFont="1" applyBorder="1" applyAlignment="1">
      <alignment horizontal="center" vertical="center" shrinkToFit="1"/>
    </xf>
    <xf numFmtId="10" fontId="3" fillId="3" borderId="1" xfId="0" applyNumberFormat="1" applyFont="1" applyFill="1" applyBorder="1" applyAlignment="1">
      <alignment horizontal="center" vertical="center" wrapText="1"/>
    </xf>
    <xf numFmtId="44" fontId="11" fillId="0" borderId="13" xfId="1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vertical="center" wrapText="1"/>
    </xf>
    <xf numFmtId="10" fontId="11" fillId="4" borderId="49" xfId="4" applyNumberFormat="1" applyFont="1" applyFill="1" applyBorder="1" applyAlignment="1">
      <alignment horizontal="center" vertical="center" wrapText="1"/>
    </xf>
    <xf numFmtId="44" fontId="16" fillId="0" borderId="50" xfId="1" applyFont="1" applyBorder="1" applyAlignment="1">
      <alignment horizontal="center" vertical="center" wrapText="1"/>
    </xf>
    <xf numFmtId="4" fontId="9" fillId="0" borderId="48" xfId="0" applyNumberFormat="1" applyFont="1" applyBorder="1" applyAlignment="1">
      <alignment horizontal="center" vertical="center" wrapText="1"/>
    </xf>
    <xf numFmtId="4" fontId="9" fillId="0" borderId="46" xfId="0" applyNumberFormat="1" applyFont="1" applyBorder="1" applyAlignment="1">
      <alignment horizontal="center" vertical="center" wrapText="1"/>
    </xf>
    <xf numFmtId="4" fontId="9" fillId="0" borderId="41" xfId="0" applyNumberFormat="1" applyFont="1" applyBorder="1" applyAlignment="1">
      <alignment horizontal="center" vertical="center" wrapText="1"/>
    </xf>
    <xf numFmtId="44" fontId="11" fillId="0" borderId="50" xfId="1" applyFont="1" applyBorder="1" applyAlignment="1">
      <alignment horizontal="center" vertical="center" wrapText="1"/>
    </xf>
    <xf numFmtId="44" fontId="11" fillId="0" borderId="4" xfId="1" applyFont="1" applyBorder="1" applyAlignment="1">
      <alignment horizontal="center" vertical="center" wrapText="1"/>
    </xf>
    <xf numFmtId="44" fontId="11" fillId="0" borderId="51" xfId="1" applyFont="1" applyBorder="1" applyAlignment="1">
      <alignment horizontal="center" vertical="center" wrapText="1"/>
    </xf>
    <xf numFmtId="44" fontId="11" fillId="0" borderId="52" xfId="1" applyFont="1" applyBorder="1" applyAlignment="1">
      <alignment horizontal="center" vertical="center" wrapText="1"/>
    </xf>
    <xf numFmtId="44" fontId="11" fillId="0" borderId="3" xfId="1" applyFont="1" applyBorder="1" applyAlignment="1">
      <alignment horizontal="center" vertical="center" wrapText="1"/>
    </xf>
    <xf numFmtId="44" fontId="11" fillId="0" borderId="53" xfId="1" applyFont="1" applyBorder="1" applyAlignment="1">
      <alignment horizontal="center" vertical="center" wrapText="1"/>
    </xf>
    <xf numFmtId="10" fontId="11" fillId="4" borderId="54" xfId="4" applyNumberFormat="1" applyFont="1" applyFill="1" applyBorder="1" applyAlignment="1">
      <alignment horizontal="center" vertical="center" wrapText="1"/>
    </xf>
    <xf numFmtId="10" fontId="11" fillId="4" borderId="55" xfId="4" applyNumberFormat="1" applyFont="1" applyFill="1" applyBorder="1" applyAlignment="1">
      <alignment horizontal="center" vertical="center" wrapText="1"/>
    </xf>
    <xf numFmtId="44" fontId="5" fillId="4" borderId="25" xfId="1" quotePrefix="1" applyFont="1" applyFill="1" applyBorder="1" applyAlignment="1">
      <alignment horizontal="center" vertical="center" wrapText="1"/>
    </xf>
    <xf numFmtId="44" fontId="11" fillId="0" borderId="24" xfId="1" applyFont="1" applyBorder="1" applyAlignment="1">
      <alignment horizontal="center" vertical="center" wrapText="1"/>
    </xf>
    <xf numFmtId="44" fontId="11" fillId="0" borderId="38" xfId="1" applyFont="1" applyBorder="1" applyAlignment="1">
      <alignment horizontal="center" vertical="center" wrapText="1"/>
    </xf>
    <xf numFmtId="44" fontId="11" fillId="0" borderId="23" xfId="1" applyFont="1" applyBorder="1" applyAlignment="1">
      <alignment horizontal="center" vertical="center" wrapText="1"/>
    </xf>
    <xf numFmtId="44" fontId="11" fillId="0" borderId="25" xfId="1" applyFont="1" applyBorder="1" applyAlignment="1">
      <alignment horizontal="center" vertical="center" wrapText="1"/>
    </xf>
    <xf numFmtId="44" fontId="16" fillId="0" borderId="4" xfId="1" applyFont="1" applyBorder="1" applyAlignment="1">
      <alignment horizontal="center" vertical="center" wrapText="1"/>
    </xf>
    <xf numFmtId="44" fontId="16" fillId="0" borderId="51" xfId="1" applyFont="1" applyBorder="1" applyAlignment="1">
      <alignment horizontal="center" vertical="center" wrapText="1"/>
    </xf>
    <xf numFmtId="44" fontId="11" fillId="4" borderId="38" xfId="1" applyFont="1" applyFill="1" applyBorder="1" applyAlignment="1">
      <alignment horizontal="center" vertical="center" wrapText="1"/>
    </xf>
    <xf numFmtId="44" fontId="11" fillId="4" borderId="23" xfId="1" applyFont="1" applyFill="1" applyBorder="1" applyAlignment="1">
      <alignment horizontal="center" vertical="center" wrapText="1"/>
    </xf>
    <xf numFmtId="44" fontId="11" fillId="4" borderId="25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0" fillId="0" borderId="0" xfId="2" applyFont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2" fontId="5" fillId="4" borderId="24" xfId="0" applyNumberFormat="1" applyFont="1" applyFill="1" applyBorder="1" applyAlignment="1">
      <alignment horizontal="center" vertical="center" wrapText="1"/>
    </xf>
    <xf numFmtId="2" fontId="5" fillId="4" borderId="25" xfId="0" applyNumberFormat="1" applyFont="1" applyFill="1" applyBorder="1" applyAlignment="1">
      <alignment horizontal="center"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44" fontId="5" fillId="0" borderId="20" xfId="1" applyFont="1" applyBorder="1" applyAlignment="1">
      <alignment horizontal="center" vertical="center" wrapText="1"/>
    </xf>
    <xf numFmtId="44" fontId="5" fillId="0" borderId="21" xfId="1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0" borderId="0" xfId="2" applyFont="1" applyAlignment="1">
      <alignment horizontal="left" vertical="center"/>
    </xf>
    <xf numFmtId="0" fontId="2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/>
    </xf>
    <xf numFmtId="0" fontId="26" fillId="5" borderId="14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0" fillId="0" borderId="0" xfId="2" applyFont="1" applyAlignment="1">
      <alignment horizontal="left" vertical="justify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</cellXfs>
  <cellStyles count="5">
    <cellStyle name="Moeda" xfId="1" builtinId="4"/>
    <cellStyle name="Normal" xfId="0" builtinId="0"/>
    <cellStyle name="Normal_ORÇAMENTO-HAB" xfId="2" xr:uid="{15CFD3D0-A676-4F01-BB38-1B7EAE329530}"/>
    <cellStyle name="Porcentagem" xfId="4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91440</xdr:rowOff>
    </xdr:from>
    <xdr:to>
      <xdr:col>10</xdr:col>
      <xdr:colOff>472997</xdr:colOff>
      <xdr:row>25</xdr:row>
      <xdr:rowOff>114665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AF454A-08BF-4D1D-C1E9-57499354C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91440"/>
          <a:ext cx="6424217" cy="421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D982-4A39-4D97-BC9E-2CF01BD900D5}">
  <sheetPr>
    <pageSetUpPr fitToPage="1"/>
  </sheetPr>
  <dimension ref="A2:W63"/>
  <sheetViews>
    <sheetView tabSelected="1" zoomScaleNormal="100" workbookViewId="0">
      <selection activeCell="X21" sqref="X21"/>
    </sheetView>
  </sheetViews>
  <sheetFormatPr defaultRowHeight="13.2" x14ac:dyDescent="0.25"/>
  <cols>
    <col min="1" max="1" width="8.77734375" style="37" customWidth="1"/>
    <col min="2" max="2" width="10.77734375" style="2" customWidth="1"/>
    <col min="3" max="3" width="8.77734375" style="2" customWidth="1"/>
    <col min="4" max="4" width="50.77734375" style="13" customWidth="1"/>
    <col min="5" max="5" width="8.77734375" style="13" customWidth="1"/>
    <col min="6" max="6" width="8.77734375" style="202" customWidth="1"/>
    <col min="7" max="7" width="10.77734375" style="38" customWidth="1"/>
    <col min="8" max="10" width="12.77734375" style="38" customWidth="1"/>
    <col min="11" max="11" width="10.77734375" style="38" customWidth="1"/>
    <col min="12" max="12" width="14.77734375" style="38" customWidth="1"/>
    <col min="13" max="13" width="14.77734375" style="39" customWidth="1"/>
    <col min="14" max="14" width="16.77734375" style="2" customWidth="1"/>
    <col min="15" max="15" width="14.77734375" style="2" customWidth="1"/>
    <col min="16" max="16" width="14.77734375" style="75" customWidth="1"/>
    <col min="17" max="17" width="12.77734375" style="75" customWidth="1"/>
    <col min="18" max="18" width="12.77734375" style="2" customWidth="1"/>
    <col min="19" max="19" width="12.77734375" customWidth="1"/>
    <col min="20" max="20" width="12.77734375" style="96" customWidth="1"/>
    <col min="21" max="22" width="12.77734375" style="97" customWidth="1"/>
    <col min="23" max="26" width="10.77734375" customWidth="1"/>
  </cols>
  <sheetData>
    <row r="2" spans="1:22" ht="22.05" customHeight="1" x14ac:dyDescent="0.25">
      <c r="A2" s="9"/>
      <c r="B2" s="1"/>
      <c r="C2" s="21"/>
      <c r="D2" s="4"/>
      <c r="E2" s="68"/>
      <c r="F2" s="185"/>
      <c r="G2" s="4"/>
      <c r="H2" s="4"/>
      <c r="I2" s="4"/>
      <c r="J2" s="4"/>
      <c r="K2" s="4"/>
      <c r="L2" s="4"/>
      <c r="M2" s="8"/>
    </row>
    <row r="3" spans="1:22" ht="22.5" customHeight="1" x14ac:dyDescent="0.25">
      <c r="A3" s="29"/>
      <c r="B3" s="29"/>
      <c r="C3" s="29"/>
      <c r="D3" s="29"/>
      <c r="E3" s="3"/>
      <c r="F3" s="185"/>
      <c r="G3" s="4"/>
      <c r="H3" s="4"/>
      <c r="I3" s="263" t="s">
        <v>6</v>
      </c>
      <c r="J3" s="263"/>
      <c r="K3" s="263"/>
      <c r="M3" s="8"/>
    </row>
    <row r="4" spans="1:22" ht="27.75" customHeight="1" x14ac:dyDescent="0.3">
      <c r="A4" s="29"/>
      <c r="B4" s="29"/>
      <c r="C4" s="29"/>
      <c r="D4" s="36"/>
      <c r="E4" s="3"/>
      <c r="F4" s="185"/>
      <c r="G4" s="4"/>
      <c r="H4" s="4"/>
      <c r="I4" s="264" t="s">
        <v>7</v>
      </c>
      <c r="J4" s="265"/>
      <c r="K4" s="23">
        <v>45231</v>
      </c>
      <c r="M4" s="8"/>
      <c r="N4" s="121"/>
    </row>
    <row r="5" spans="1:22" ht="22.05" customHeight="1" x14ac:dyDescent="0.25">
      <c r="A5" s="29"/>
      <c r="B5" s="29"/>
      <c r="C5" s="29"/>
      <c r="D5" s="27"/>
      <c r="E5" s="3"/>
      <c r="F5" s="185"/>
      <c r="G5" s="4"/>
      <c r="H5" s="4"/>
      <c r="I5" s="264" t="s">
        <v>29</v>
      </c>
      <c r="J5" s="265"/>
      <c r="K5" s="24">
        <v>0.21579999999999999</v>
      </c>
      <c r="M5" s="8"/>
    </row>
    <row r="6" spans="1:22" ht="22.05" customHeight="1" x14ac:dyDescent="0.25">
      <c r="A6" s="29"/>
      <c r="B6" s="29"/>
      <c r="C6" s="29"/>
      <c r="D6" s="29"/>
      <c r="E6" s="3"/>
      <c r="F6" s="185"/>
      <c r="G6" s="4"/>
      <c r="H6" s="4"/>
      <c r="I6" s="266" t="s">
        <v>8</v>
      </c>
      <c r="J6" s="25" t="s">
        <v>1</v>
      </c>
      <c r="K6" s="235">
        <v>1.1276999999999999</v>
      </c>
      <c r="M6" s="8"/>
      <c r="P6" s="110"/>
    </row>
    <row r="7" spans="1:22" s="10" customFormat="1" ht="22.05" customHeight="1" x14ac:dyDescent="0.25">
      <c r="A7" s="268" t="s">
        <v>9</v>
      </c>
      <c r="B7" s="268"/>
      <c r="C7" s="269" t="s">
        <v>67</v>
      </c>
      <c r="D7" s="269"/>
      <c r="F7" s="186"/>
      <c r="H7" s="4"/>
      <c r="I7" s="267"/>
      <c r="J7" s="25" t="s">
        <v>2</v>
      </c>
      <c r="K7" s="24">
        <v>0.69879999999999998</v>
      </c>
      <c r="M7" s="22"/>
      <c r="T7" s="96"/>
      <c r="U7" s="97"/>
      <c r="V7" s="97"/>
    </row>
    <row r="8" spans="1:22" s="10" customFormat="1" ht="22.05" customHeight="1" thickBot="1" x14ac:dyDescent="0.3">
      <c r="A8" s="268" t="s">
        <v>10</v>
      </c>
      <c r="B8" s="268"/>
      <c r="C8" s="269" t="s">
        <v>0</v>
      </c>
      <c r="D8" s="269"/>
      <c r="E8" s="61"/>
      <c r="F8" s="187"/>
      <c r="G8" s="62"/>
      <c r="H8" s="62"/>
      <c r="I8" s="62"/>
      <c r="J8" s="62"/>
      <c r="K8" s="62"/>
      <c r="L8" s="62"/>
      <c r="M8" s="63"/>
      <c r="N8" s="64"/>
      <c r="O8" s="64"/>
      <c r="P8" s="76"/>
      <c r="Q8" s="76"/>
      <c r="R8" s="64"/>
      <c r="T8" s="96"/>
      <c r="U8" s="97"/>
      <c r="V8" s="97"/>
    </row>
    <row r="9" spans="1:22" ht="22.05" customHeight="1" thickBot="1" x14ac:dyDescent="0.3">
      <c r="A9" s="271" t="s">
        <v>46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3"/>
      <c r="N9" s="105"/>
      <c r="O9" s="71"/>
      <c r="P9" s="77"/>
      <c r="Q9" s="77"/>
      <c r="R9" s="71"/>
    </row>
    <row r="10" spans="1:22" s="5" customFormat="1" ht="40.049999999999997" customHeight="1" x14ac:dyDescent="0.25">
      <c r="A10" s="274" t="s">
        <v>11</v>
      </c>
      <c r="B10" s="276" t="s">
        <v>12</v>
      </c>
      <c r="C10" s="278" t="s">
        <v>13</v>
      </c>
      <c r="D10" s="278" t="s">
        <v>14</v>
      </c>
      <c r="E10" s="278" t="s">
        <v>15</v>
      </c>
      <c r="F10" s="280" t="s">
        <v>16</v>
      </c>
      <c r="G10" s="282" t="s">
        <v>43</v>
      </c>
      <c r="H10" s="113" t="s">
        <v>17</v>
      </c>
      <c r="I10" s="114" t="s">
        <v>17</v>
      </c>
      <c r="J10" s="284" t="s">
        <v>47</v>
      </c>
      <c r="K10" s="286" t="s">
        <v>18</v>
      </c>
      <c r="L10" s="288" t="s">
        <v>48</v>
      </c>
      <c r="M10" s="289"/>
      <c r="N10" s="290" t="s">
        <v>19</v>
      </c>
      <c r="O10" s="89"/>
      <c r="P10" s="95"/>
      <c r="Q10" s="95"/>
      <c r="R10" s="89"/>
      <c r="T10" s="96"/>
      <c r="U10" s="97"/>
      <c r="V10" s="97"/>
    </row>
    <row r="11" spans="1:22" s="5" customFormat="1" ht="15" customHeight="1" thickBot="1" x14ac:dyDescent="0.3">
      <c r="A11" s="275"/>
      <c r="B11" s="277"/>
      <c r="C11" s="279"/>
      <c r="D11" s="279"/>
      <c r="E11" s="279"/>
      <c r="F11" s="281"/>
      <c r="G11" s="283"/>
      <c r="H11" s="112" t="s">
        <v>40</v>
      </c>
      <c r="I11" s="115" t="s">
        <v>41</v>
      </c>
      <c r="J11" s="285"/>
      <c r="K11" s="287"/>
      <c r="L11" s="152" t="s">
        <v>40</v>
      </c>
      <c r="M11" s="153" t="s">
        <v>41</v>
      </c>
      <c r="N11" s="291"/>
      <c r="O11" s="89"/>
      <c r="P11" s="95"/>
      <c r="Q11" s="95"/>
      <c r="R11" s="89"/>
      <c r="T11" s="96"/>
      <c r="U11" s="97"/>
      <c r="V11" s="97"/>
    </row>
    <row r="12" spans="1:22" s="7" customFormat="1" ht="15" customHeight="1" thickBot="1" x14ac:dyDescent="0.3">
      <c r="A12" s="142" t="s">
        <v>21</v>
      </c>
      <c r="B12" s="158"/>
      <c r="C12" s="159" t="s">
        <v>51</v>
      </c>
      <c r="D12" s="160"/>
      <c r="E12" s="161"/>
      <c r="F12" s="188"/>
      <c r="G12" s="161"/>
      <c r="H12" s="161"/>
      <c r="I12" s="161"/>
      <c r="J12" s="161"/>
      <c r="K12" s="161"/>
      <c r="L12" s="162">
        <f>L13+L14</f>
        <v>913.67369967829927</v>
      </c>
      <c r="M12" s="162">
        <f>M13+M14</f>
        <v>413.61516032170073</v>
      </c>
      <c r="N12" s="162">
        <f>N13+N14</f>
        <v>1327.2888600000001</v>
      </c>
      <c r="O12" s="90"/>
      <c r="P12" s="78" t="s">
        <v>40</v>
      </c>
      <c r="Q12" s="78" t="s">
        <v>44</v>
      </c>
      <c r="R12" s="78" t="s">
        <v>49</v>
      </c>
      <c r="T12" s="106" t="s">
        <v>45</v>
      </c>
      <c r="U12" s="106" t="s">
        <v>40</v>
      </c>
      <c r="V12" s="106" t="s">
        <v>44</v>
      </c>
    </row>
    <row r="13" spans="1:22" s="7" customFormat="1" ht="34.950000000000003" customHeight="1" x14ac:dyDescent="0.25">
      <c r="A13" s="146" t="s">
        <v>22</v>
      </c>
      <c r="B13" s="151" t="s">
        <v>58</v>
      </c>
      <c r="C13" s="163">
        <v>4813</v>
      </c>
      <c r="D13" s="130" t="s">
        <v>82</v>
      </c>
      <c r="E13" s="164" t="s">
        <v>3</v>
      </c>
      <c r="F13" s="189">
        <f>2.4*1.2</f>
        <v>2.88</v>
      </c>
      <c r="G13" s="147">
        <v>250</v>
      </c>
      <c r="H13" s="139">
        <f>(U13*G13)*F13</f>
        <v>720</v>
      </c>
      <c r="I13" s="140">
        <f>(V13*G13)*F13</f>
        <v>0</v>
      </c>
      <c r="J13" s="219">
        <f>H13+I13</f>
        <v>720</v>
      </c>
      <c r="K13" s="223">
        <v>0.21579999999999999</v>
      </c>
      <c r="L13" s="139">
        <f>H13*1.2158</f>
        <v>875.37599999999998</v>
      </c>
      <c r="M13" s="141">
        <f>I13*1.2158</f>
        <v>0</v>
      </c>
      <c r="N13" s="226">
        <f>L13+M13</f>
        <v>875.37599999999998</v>
      </c>
      <c r="O13" s="91"/>
      <c r="P13" s="79">
        <f>U13*G13</f>
        <v>250</v>
      </c>
      <c r="Q13" s="79">
        <f>V13*G13</f>
        <v>0</v>
      </c>
      <c r="R13" s="73">
        <f>P13+Q13</f>
        <v>250</v>
      </c>
      <c r="T13" s="103">
        <f>C13</f>
        <v>4813</v>
      </c>
      <c r="U13" s="111">
        <f>1-V13</f>
        <v>1</v>
      </c>
      <c r="V13" s="100">
        <v>0</v>
      </c>
    </row>
    <row r="14" spans="1:22" s="7" customFormat="1" ht="25.05" customHeight="1" thickBot="1" x14ac:dyDescent="0.3">
      <c r="A14" s="176" t="s">
        <v>23</v>
      </c>
      <c r="B14" s="177" t="s">
        <v>5</v>
      </c>
      <c r="C14" s="178">
        <v>99064</v>
      </c>
      <c r="D14" s="171" t="s">
        <v>61</v>
      </c>
      <c r="E14" s="179" t="s">
        <v>60</v>
      </c>
      <c r="F14" s="190">
        <v>590</v>
      </c>
      <c r="G14" s="175">
        <v>0.63</v>
      </c>
      <c r="H14" s="173">
        <f t="shared" ref="H14" si="0">(U14*G14)*F14</f>
        <v>31.499999735399982</v>
      </c>
      <c r="I14" s="174">
        <f t="shared" ref="I14" si="1">(V14*G14)*F14</f>
        <v>340.20000026460002</v>
      </c>
      <c r="J14" s="220">
        <f t="shared" ref="J14" si="2">H14+I14</f>
        <v>371.7</v>
      </c>
      <c r="K14" s="224">
        <v>0.21579999999999999</v>
      </c>
      <c r="L14" s="135">
        <f>H14*1.2158</f>
        <v>38.297699678299296</v>
      </c>
      <c r="M14" s="137">
        <f>I14*1.2158</f>
        <v>413.61516032170073</v>
      </c>
      <c r="N14" s="227">
        <f t="shared" ref="N14" si="3">L14+M14</f>
        <v>451.91286000000002</v>
      </c>
      <c r="O14" s="91"/>
      <c r="P14" s="79">
        <f t="shared" ref="P14" si="4">U14*G14</f>
        <v>5.338983005999997E-2</v>
      </c>
      <c r="Q14" s="79">
        <f t="shared" ref="Q14" si="5">V14*G14</f>
        <v>0.57661016994000003</v>
      </c>
      <c r="R14" s="73">
        <f t="shared" ref="R14" si="6">P14+Q14</f>
        <v>0.63</v>
      </c>
      <c r="T14" s="103">
        <f t="shared" ref="T14" si="7">C14</f>
        <v>99064</v>
      </c>
      <c r="U14" s="111">
        <f t="shared" ref="U14" si="8">1-V14</f>
        <v>8.4745761999999947E-2</v>
      </c>
      <c r="V14" s="100">
        <v>0.91525423800000005</v>
      </c>
    </row>
    <row r="15" spans="1:22" s="7" customFormat="1" ht="15" customHeight="1" thickBot="1" x14ac:dyDescent="0.3">
      <c r="A15" s="180" t="s">
        <v>24</v>
      </c>
      <c r="B15" s="181"/>
      <c r="C15" s="182" t="s">
        <v>62</v>
      </c>
      <c r="D15" s="183"/>
      <c r="E15" s="183"/>
      <c r="F15" s="191"/>
      <c r="G15" s="183"/>
      <c r="H15" s="183"/>
      <c r="I15" s="183"/>
      <c r="J15" s="183"/>
      <c r="K15" s="233"/>
      <c r="L15" s="184">
        <f>L16+L17+L18+L19+L20+L21+L22+L23</f>
        <v>196250.32321804448</v>
      </c>
      <c r="M15" s="184">
        <f>M16+M17+M18+M19+M20+M21+M22+M23</f>
        <v>30721.1769861555</v>
      </c>
      <c r="N15" s="184">
        <f>N16+N17+N18+N19+N20+N21+N22+N23</f>
        <v>226971.50020420001</v>
      </c>
      <c r="O15" s="90"/>
      <c r="P15" s="78"/>
      <c r="Q15" s="78"/>
      <c r="R15" s="72"/>
      <c r="T15" s="101"/>
      <c r="U15" s="102"/>
      <c r="V15" s="102"/>
    </row>
    <row r="16" spans="1:22" s="6" customFormat="1" ht="55.05" customHeight="1" x14ac:dyDescent="0.25">
      <c r="A16" s="237" t="s">
        <v>25</v>
      </c>
      <c r="B16" s="203" t="s">
        <v>5</v>
      </c>
      <c r="C16" s="166">
        <v>90082</v>
      </c>
      <c r="D16" s="238" t="s">
        <v>66</v>
      </c>
      <c r="E16" s="165" t="s">
        <v>4</v>
      </c>
      <c r="F16" s="241">
        <v>564.85</v>
      </c>
      <c r="G16" s="155">
        <v>12.39</v>
      </c>
      <c r="H16" s="247">
        <f>(U16*G16)*F16</f>
        <v>5166.0969131486718</v>
      </c>
      <c r="I16" s="244">
        <f>(V16*G16)*F16</f>
        <v>1832.3945868513288</v>
      </c>
      <c r="J16" s="253">
        <f>H16+I16</f>
        <v>6998.4915000000001</v>
      </c>
      <c r="K16" s="239">
        <v>0.21579999999999999</v>
      </c>
      <c r="L16" s="236">
        <f>H16*1.2158</f>
        <v>6280.9406270061554</v>
      </c>
      <c r="M16" s="240">
        <f>I16*1.2158</f>
        <v>2227.8253386938454</v>
      </c>
      <c r="N16" s="147">
        <f>L16+M16</f>
        <v>8508.7659657000004</v>
      </c>
      <c r="O16" s="91"/>
      <c r="P16" s="79">
        <f>U16*G16</f>
        <v>9.1459624911899997</v>
      </c>
      <c r="Q16" s="79">
        <f t="shared" ref="Q16:Q19" si="9">V16*G16</f>
        <v>3.2440375088100004</v>
      </c>
      <c r="R16" s="73">
        <f t="shared" ref="R16:R19" si="10">P16+Q16</f>
        <v>12.39</v>
      </c>
      <c r="T16" s="103">
        <f>C16</f>
        <v>90082</v>
      </c>
      <c r="U16" s="104">
        <f>1-V16</f>
        <v>0.73817292099999998</v>
      </c>
      <c r="V16" s="100">
        <v>0.26182707900000002</v>
      </c>
    </row>
    <row r="17" spans="1:23" s="6" customFormat="1" ht="55.05" customHeight="1" x14ac:dyDescent="0.25">
      <c r="A17" s="119" t="s">
        <v>53</v>
      </c>
      <c r="B17" s="203" t="s">
        <v>5</v>
      </c>
      <c r="C17" s="166">
        <v>92813</v>
      </c>
      <c r="D17" s="118" t="s">
        <v>84</v>
      </c>
      <c r="E17" s="165" t="s">
        <v>60</v>
      </c>
      <c r="F17" s="241">
        <v>160</v>
      </c>
      <c r="G17" s="167">
        <v>109.27</v>
      </c>
      <c r="H17" s="247">
        <f>(U17*G17)*F17</f>
        <v>10027.9544306032</v>
      </c>
      <c r="I17" s="244">
        <f>(V17*G17)*F17</f>
        <v>7455.2455693967986</v>
      </c>
      <c r="J17" s="254">
        <f>H17+I17</f>
        <v>17483.199999999997</v>
      </c>
      <c r="K17" s="250">
        <v>0.21579999999999999</v>
      </c>
      <c r="L17" s="122">
        <f t="shared" ref="L17:L22" si="11">H17*1.2158</f>
        <v>12191.986996727372</v>
      </c>
      <c r="M17" s="257">
        <f t="shared" ref="M17:M22" si="12">I17*1.2158</f>
        <v>9064.0875632726274</v>
      </c>
      <c r="N17" s="259">
        <f>L17+M17</f>
        <v>21256.074560000001</v>
      </c>
      <c r="O17" s="91"/>
      <c r="P17" s="79">
        <f>U17*G17</f>
        <v>62.674715191270003</v>
      </c>
      <c r="Q17" s="79">
        <f t="shared" ref="Q17" si="13">V17*G17</f>
        <v>46.595284808729993</v>
      </c>
      <c r="R17" s="73">
        <f t="shared" ref="R17" si="14">P17+Q17</f>
        <v>109.27</v>
      </c>
      <c r="T17" s="103">
        <f>C17</f>
        <v>92813</v>
      </c>
      <c r="U17" s="104">
        <f>1-V17</f>
        <v>0.57357660100000007</v>
      </c>
      <c r="V17" s="100">
        <v>0.42642339899999998</v>
      </c>
    </row>
    <row r="18" spans="1:23" s="6" customFormat="1" ht="45" customHeight="1" x14ac:dyDescent="0.25">
      <c r="A18" s="119" t="s">
        <v>54</v>
      </c>
      <c r="B18" s="204" t="s">
        <v>5</v>
      </c>
      <c r="C18" s="154">
        <v>92811</v>
      </c>
      <c r="D18" s="118" t="s">
        <v>85</v>
      </c>
      <c r="E18" s="117" t="s">
        <v>60</v>
      </c>
      <c r="F18" s="242">
        <v>235</v>
      </c>
      <c r="G18" s="116">
        <v>81.38</v>
      </c>
      <c r="H18" s="248">
        <f t="shared" ref="H18:H22" si="15">(U18*G18)*F18</f>
        <v>10832.9419302767</v>
      </c>
      <c r="I18" s="245">
        <f t="shared" ref="I18:I22" si="16">(V18*G18)*F18</f>
        <v>8291.3580697232992</v>
      </c>
      <c r="J18" s="255">
        <f t="shared" ref="J18:J22" si="17">H18+I18</f>
        <v>19124.3</v>
      </c>
      <c r="K18" s="250">
        <v>0.21579999999999999</v>
      </c>
      <c r="L18" s="122">
        <f t="shared" si="11"/>
        <v>13170.690798830412</v>
      </c>
      <c r="M18" s="257">
        <f t="shared" si="12"/>
        <v>10080.633141169586</v>
      </c>
      <c r="N18" s="260">
        <f t="shared" ref="N18:N22" si="18">L18+M18</f>
        <v>23251.323939999998</v>
      </c>
      <c r="O18" s="91"/>
      <c r="P18" s="79">
        <f t="shared" ref="P18:P19" si="19">U18*G18</f>
        <v>46.097625235220001</v>
      </c>
      <c r="Q18" s="79">
        <f t="shared" si="9"/>
        <v>35.282374764779995</v>
      </c>
      <c r="R18" s="73">
        <f t="shared" si="10"/>
        <v>81.38</v>
      </c>
      <c r="T18" s="103">
        <f t="shared" ref="T18:T19" si="20">C18</f>
        <v>92811</v>
      </c>
      <c r="U18" s="104">
        <f t="shared" ref="U18:U19" si="21">1-V18</f>
        <v>0.56644906900000003</v>
      </c>
      <c r="V18" s="100">
        <v>0.43355093099999997</v>
      </c>
    </row>
    <row r="19" spans="1:23" s="6" customFormat="1" ht="34.950000000000003" customHeight="1" x14ac:dyDescent="0.25">
      <c r="A19" s="119" t="s">
        <v>63</v>
      </c>
      <c r="B19" s="204" t="s">
        <v>58</v>
      </c>
      <c r="C19" s="154">
        <v>7750</v>
      </c>
      <c r="D19" s="118" t="s">
        <v>87</v>
      </c>
      <c r="E19" s="117" t="s">
        <v>60</v>
      </c>
      <c r="F19" s="242">
        <v>160</v>
      </c>
      <c r="G19" s="116">
        <v>376.03</v>
      </c>
      <c r="H19" s="248">
        <f t="shared" si="15"/>
        <v>60164.799999999996</v>
      </c>
      <c r="I19" s="245">
        <f t="shared" si="16"/>
        <v>0</v>
      </c>
      <c r="J19" s="255">
        <f t="shared" si="17"/>
        <v>60164.799999999996</v>
      </c>
      <c r="K19" s="250">
        <v>0.21579999999999999</v>
      </c>
      <c r="L19" s="122">
        <f>H19*1.2158</f>
        <v>73148.363839999991</v>
      </c>
      <c r="M19" s="257">
        <f t="shared" si="12"/>
        <v>0</v>
      </c>
      <c r="N19" s="260">
        <f t="shared" si="18"/>
        <v>73148.363839999991</v>
      </c>
      <c r="O19" s="91"/>
      <c r="P19" s="79">
        <f t="shared" si="19"/>
        <v>376.03</v>
      </c>
      <c r="Q19" s="79">
        <f t="shared" si="9"/>
        <v>0</v>
      </c>
      <c r="R19" s="73">
        <f t="shared" si="10"/>
        <v>376.03</v>
      </c>
      <c r="T19" s="103">
        <f t="shared" si="20"/>
        <v>7750</v>
      </c>
      <c r="U19" s="104">
        <f t="shared" si="21"/>
        <v>1</v>
      </c>
      <c r="V19" s="100">
        <v>0</v>
      </c>
    </row>
    <row r="20" spans="1:23" s="6" customFormat="1" ht="34.950000000000003" customHeight="1" x14ac:dyDescent="0.25">
      <c r="A20" s="119" t="s">
        <v>64</v>
      </c>
      <c r="B20" s="204" t="s">
        <v>58</v>
      </c>
      <c r="C20" s="154">
        <v>7725</v>
      </c>
      <c r="D20" s="118" t="s">
        <v>86</v>
      </c>
      <c r="E20" s="117" t="s">
        <v>60</v>
      </c>
      <c r="F20" s="242">
        <v>235</v>
      </c>
      <c r="G20" s="116">
        <v>226</v>
      </c>
      <c r="H20" s="248">
        <f t="shared" ref="H20" si="22">(U20*G20)*F20</f>
        <v>53110</v>
      </c>
      <c r="I20" s="245">
        <f t="shared" ref="I20" si="23">(V20*G20)*F20</f>
        <v>0</v>
      </c>
      <c r="J20" s="255">
        <f t="shared" ref="J20" si="24">H20+I20</f>
        <v>53110</v>
      </c>
      <c r="K20" s="250">
        <v>0.21579999999999999</v>
      </c>
      <c r="L20" s="122">
        <f t="shared" si="11"/>
        <v>64571.137999999999</v>
      </c>
      <c r="M20" s="257">
        <f t="shared" si="12"/>
        <v>0</v>
      </c>
      <c r="N20" s="260">
        <f t="shared" ref="N20" si="25">L20+M20</f>
        <v>64571.137999999999</v>
      </c>
      <c r="O20" s="91"/>
      <c r="P20" s="79">
        <f t="shared" ref="P20" si="26">U20*G20</f>
        <v>226</v>
      </c>
      <c r="Q20" s="79">
        <f t="shared" ref="Q20" si="27">V20*G20</f>
        <v>0</v>
      </c>
      <c r="R20" s="73">
        <f t="shared" ref="R20" si="28">P20+Q20</f>
        <v>226</v>
      </c>
      <c r="T20" s="103">
        <f t="shared" ref="T20" si="29">C20</f>
        <v>7725</v>
      </c>
      <c r="U20" s="104">
        <f t="shared" ref="U20" si="30">1-V20</f>
        <v>1</v>
      </c>
      <c r="V20" s="100">
        <v>0</v>
      </c>
    </row>
    <row r="21" spans="1:23" s="6" customFormat="1" ht="55.05" customHeight="1" x14ac:dyDescent="0.25">
      <c r="A21" s="119" t="s">
        <v>65</v>
      </c>
      <c r="B21" s="204" t="s">
        <v>5</v>
      </c>
      <c r="C21" s="154">
        <v>104728</v>
      </c>
      <c r="D21" s="262" t="s">
        <v>83</v>
      </c>
      <c r="E21" s="117" t="s">
        <v>4</v>
      </c>
      <c r="F21" s="242">
        <v>419.05</v>
      </c>
      <c r="G21" s="116">
        <v>20.75</v>
      </c>
      <c r="H21" s="248">
        <f t="shared" ref="H21" si="31">(U21*G21)*F21</f>
        <v>6560.6431297505751</v>
      </c>
      <c r="I21" s="245">
        <f t="shared" ref="I21" si="32">(V21*G21)*F21</f>
        <v>2134.6443702494253</v>
      </c>
      <c r="J21" s="255">
        <f t="shared" ref="J21" si="33">H21+I21</f>
        <v>8695.2875000000004</v>
      </c>
      <c r="K21" s="250">
        <v>0.21579999999999999</v>
      </c>
      <c r="L21" s="122">
        <f t="shared" si="11"/>
        <v>7976.4299171507491</v>
      </c>
      <c r="M21" s="257">
        <f t="shared" si="12"/>
        <v>2595.3006253492513</v>
      </c>
      <c r="N21" s="260">
        <f t="shared" ref="N21" si="34">L21+M21</f>
        <v>10571.730542500001</v>
      </c>
      <c r="O21" s="91"/>
      <c r="P21" s="79">
        <f t="shared" ref="P21:P22" si="35">U21*G21</f>
        <v>15.655991241500001</v>
      </c>
      <c r="Q21" s="79">
        <f t="shared" ref="Q21:Q22" si="36">V21*G21</f>
        <v>5.0940087585000002</v>
      </c>
      <c r="R21" s="73">
        <f t="shared" ref="R21:R22" si="37">P21+Q21</f>
        <v>20.75</v>
      </c>
      <c r="T21" s="103">
        <f t="shared" ref="T21:T22" si="38">C21</f>
        <v>104728</v>
      </c>
      <c r="U21" s="104">
        <f t="shared" ref="U21:U22" si="39">1-V21</f>
        <v>0.75450560200000005</v>
      </c>
      <c r="V21" s="100">
        <v>0.245494398</v>
      </c>
      <c r="W21" s="6">
        <v>0.50903761700000005</v>
      </c>
    </row>
    <row r="22" spans="1:23" s="6" customFormat="1" ht="34.950000000000003" customHeight="1" x14ac:dyDescent="0.25">
      <c r="A22" s="119" t="s">
        <v>90</v>
      </c>
      <c r="B22" s="204" t="s">
        <v>91</v>
      </c>
      <c r="C22" s="230">
        <v>1</v>
      </c>
      <c r="D22" s="118" t="s">
        <v>94</v>
      </c>
      <c r="E22" s="117" t="s">
        <v>52</v>
      </c>
      <c r="F22" s="242">
        <v>7</v>
      </c>
      <c r="G22" s="116">
        <v>2337.73</v>
      </c>
      <c r="H22" s="248">
        <f t="shared" si="15"/>
        <v>11752.693999898111</v>
      </c>
      <c r="I22" s="245">
        <f t="shared" si="16"/>
        <v>4611.4160001018899</v>
      </c>
      <c r="J22" s="255">
        <f t="shared" si="17"/>
        <v>16364.11</v>
      </c>
      <c r="K22" s="250">
        <v>0.21579999999999999</v>
      </c>
      <c r="L22" s="122">
        <f t="shared" si="11"/>
        <v>14288.925365076122</v>
      </c>
      <c r="M22" s="257">
        <f t="shared" si="12"/>
        <v>5606.5595729238776</v>
      </c>
      <c r="N22" s="260">
        <f t="shared" si="18"/>
        <v>19895.484938000001</v>
      </c>
      <c r="O22" s="91"/>
      <c r="P22" s="79">
        <f t="shared" si="35"/>
        <v>1678.95628569973</v>
      </c>
      <c r="Q22" s="79">
        <f t="shared" si="36"/>
        <v>658.77371430026994</v>
      </c>
      <c r="R22" s="73">
        <f t="shared" si="37"/>
        <v>2337.73</v>
      </c>
      <c r="T22" s="103">
        <f t="shared" si="38"/>
        <v>1</v>
      </c>
      <c r="U22" s="104">
        <f t="shared" si="39"/>
        <v>0.71819940100000002</v>
      </c>
      <c r="V22" s="100">
        <v>0.28180059899999998</v>
      </c>
    </row>
    <row r="23" spans="1:23" s="6" customFormat="1" ht="34.950000000000003" customHeight="1" thickBot="1" x14ac:dyDescent="0.3">
      <c r="A23" s="231" t="s">
        <v>92</v>
      </c>
      <c r="B23" s="232" t="s">
        <v>5</v>
      </c>
      <c r="C23" s="234">
        <v>102751</v>
      </c>
      <c r="D23" s="262" t="s">
        <v>93</v>
      </c>
      <c r="E23" s="169" t="s">
        <v>52</v>
      </c>
      <c r="F23" s="243">
        <v>1</v>
      </c>
      <c r="G23" s="252">
        <v>4744.71</v>
      </c>
      <c r="H23" s="249">
        <f t="shared" ref="H23" si="40">(U23*G23)*F23</f>
        <v>3801.4868179418399</v>
      </c>
      <c r="I23" s="246">
        <f t="shared" ref="I23" si="41">(V23*G23)*F23</f>
        <v>943.22318205815998</v>
      </c>
      <c r="J23" s="256">
        <f t="shared" ref="J23" si="42">H23+I23</f>
        <v>4744.71</v>
      </c>
      <c r="K23" s="251">
        <v>0.21579999999999999</v>
      </c>
      <c r="L23" s="173">
        <f t="shared" ref="L23" si="43">H23*1.2158</f>
        <v>4621.8476732536892</v>
      </c>
      <c r="M23" s="258">
        <f t="shared" ref="M23" si="44">I23*1.2158</f>
        <v>1146.7707447463108</v>
      </c>
      <c r="N23" s="261">
        <f t="shared" ref="N23" si="45">L23+M23</f>
        <v>5768.618418</v>
      </c>
      <c r="O23" s="91"/>
      <c r="P23" s="79">
        <f t="shared" ref="P23" si="46">U23*G23</f>
        <v>3801.4868179418399</v>
      </c>
      <c r="Q23" s="79">
        <f t="shared" ref="Q23" si="47">V23*G23</f>
        <v>943.22318205815998</v>
      </c>
      <c r="R23" s="73">
        <f t="shared" ref="R23" si="48">P23+Q23</f>
        <v>4744.71</v>
      </c>
      <c r="T23" s="103">
        <f t="shared" ref="T23" si="49">C23</f>
        <v>102751</v>
      </c>
      <c r="U23" s="104">
        <f t="shared" ref="U23" si="50">1-V23</f>
        <v>0.80120530400000001</v>
      </c>
      <c r="V23" s="100">
        <v>0.19879469599999999</v>
      </c>
    </row>
    <row r="24" spans="1:23" s="7" customFormat="1" ht="15" customHeight="1" thickBot="1" x14ac:dyDescent="0.3">
      <c r="A24" s="180" t="s">
        <v>26</v>
      </c>
      <c r="B24" s="181"/>
      <c r="C24" s="182" t="s">
        <v>67</v>
      </c>
      <c r="D24" s="183"/>
      <c r="E24" s="183"/>
      <c r="F24" s="191"/>
      <c r="G24" s="183"/>
      <c r="H24" s="183"/>
      <c r="I24" s="183"/>
      <c r="J24" s="183"/>
      <c r="K24" s="233"/>
      <c r="L24" s="218">
        <f>L25+L26+L27+L28+L29+L30+L31+L32+L33</f>
        <v>735505.93301968346</v>
      </c>
      <c r="M24" s="218">
        <f>M25+M26+M27+M28+M29+M30+M31+M32+M33</f>
        <v>108565.94876133655</v>
      </c>
      <c r="N24" s="218">
        <f>N25+N26+N27+N28+N29+N30+N31+N32+N33</f>
        <v>844071.88178101985</v>
      </c>
      <c r="O24" s="90"/>
      <c r="P24" s="78"/>
      <c r="Q24" s="78"/>
      <c r="R24" s="72"/>
      <c r="T24" s="101"/>
      <c r="U24" s="102"/>
      <c r="V24" s="102"/>
    </row>
    <row r="25" spans="1:23" s="7" customFormat="1" ht="34.950000000000003" customHeight="1" x14ac:dyDescent="0.25">
      <c r="A25" s="143" t="s">
        <v>27</v>
      </c>
      <c r="B25" s="150" t="s">
        <v>5</v>
      </c>
      <c r="C25" s="156">
        <v>100576</v>
      </c>
      <c r="D25" s="130" t="s">
        <v>72</v>
      </c>
      <c r="E25" s="150" t="s">
        <v>3</v>
      </c>
      <c r="F25" s="192">
        <v>4937.25</v>
      </c>
      <c r="G25" s="157">
        <v>2.68</v>
      </c>
      <c r="H25" s="139">
        <f>(U25*G25)*F25</f>
        <v>8494.5081528854716</v>
      </c>
      <c r="I25" s="140">
        <f>(V25*G25)*F25</f>
        <v>4737.3218471145301</v>
      </c>
      <c r="J25" s="219">
        <f>H25+I25</f>
        <v>13231.830000000002</v>
      </c>
      <c r="K25" s="223">
        <v>0.21579999999999999</v>
      </c>
      <c r="L25" s="139">
        <f t="shared" ref="L25" si="51">H25*1.2158</f>
        <v>10327.623012278156</v>
      </c>
      <c r="M25" s="141">
        <f t="shared" ref="M25" si="52">I25*1.2158</f>
        <v>5759.6359017218456</v>
      </c>
      <c r="N25" s="226">
        <f>L25+M25</f>
        <v>16087.258914000002</v>
      </c>
      <c r="O25" s="91"/>
      <c r="P25" s="79">
        <f>U25*G25</f>
        <v>1.7204938281200002</v>
      </c>
      <c r="Q25" s="79">
        <f t="shared" ref="Q25" si="53">V25*G25</f>
        <v>0.95950617188000009</v>
      </c>
      <c r="R25" s="73">
        <f t="shared" ref="R25" si="54">P25+Q25</f>
        <v>2.68</v>
      </c>
      <c r="T25" s="103">
        <f>C25</f>
        <v>100576</v>
      </c>
      <c r="U25" s="104">
        <f>1-V25</f>
        <v>0.64197530899999999</v>
      </c>
      <c r="V25" s="100">
        <v>0.35802469100000001</v>
      </c>
    </row>
    <row r="26" spans="1:23" s="7" customFormat="1" ht="25.05" customHeight="1" x14ac:dyDescent="0.25">
      <c r="A26" s="120" t="s">
        <v>55</v>
      </c>
      <c r="B26" s="117" t="s">
        <v>58</v>
      </c>
      <c r="C26" s="133">
        <v>4741</v>
      </c>
      <c r="D26" s="118" t="s">
        <v>73</v>
      </c>
      <c r="E26" s="117" t="s">
        <v>4</v>
      </c>
      <c r="F26" s="193">
        <v>641.85</v>
      </c>
      <c r="G26" s="148">
        <v>68.13</v>
      </c>
      <c r="H26" s="122">
        <f t="shared" ref="H26:H28" si="55">(U26*G26)*F26</f>
        <v>43729.2405</v>
      </c>
      <c r="I26" s="123">
        <f t="shared" ref="I26:I28" si="56">(V26*G26)*F26</f>
        <v>0</v>
      </c>
      <c r="J26" s="221">
        <f t="shared" ref="J26:J28" si="57">H26+I26</f>
        <v>43729.2405</v>
      </c>
      <c r="K26" s="225">
        <v>0.21579999999999999</v>
      </c>
      <c r="L26" s="122">
        <f t="shared" ref="L26:L33" si="58">H26*1.2158</f>
        <v>53166.010599900001</v>
      </c>
      <c r="M26" s="124">
        <f t="shared" ref="M26:M33" si="59">I26*1.2158</f>
        <v>0</v>
      </c>
      <c r="N26" s="228">
        <f t="shared" ref="N26:N28" si="60">L26+M26</f>
        <v>53166.010599900001</v>
      </c>
      <c r="O26" s="91"/>
      <c r="P26" s="79">
        <f t="shared" ref="P26:P28" si="61">U26*G26</f>
        <v>68.13</v>
      </c>
      <c r="Q26" s="79">
        <f t="shared" ref="Q26:Q28" si="62">V26*G26</f>
        <v>0</v>
      </c>
      <c r="R26" s="73">
        <f t="shared" ref="R26:R28" si="63">P26+Q26</f>
        <v>68.13</v>
      </c>
      <c r="T26" s="103">
        <f t="shared" ref="T26:T28" si="64">C26</f>
        <v>4741</v>
      </c>
      <c r="U26" s="104">
        <f t="shared" ref="U26:U28" si="65">1-V26</f>
        <v>1</v>
      </c>
      <c r="V26" s="100">
        <v>0</v>
      </c>
    </row>
    <row r="27" spans="1:23" s="7" customFormat="1" ht="45" customHeight="1" x14ac:dyDescent="0.25">
      <c r="A27" s="120" t="s">
        <v>56</v>
      </c>
      <c r="B27" s="117" t="s">
        <v>5</v>
      </c>
      <c r="C27" s="133">
        <v>95427</v>
      </c>
      <c r="D27" s="118" t="s">
        <v>75</v>
      </c>
      <c r="E27" s="117" t="s">
        <v>74</v>
      </c>
      <c r="F27" s="193">
        <f>F26*37</f>
        <v>23748.45</v>
      </c>
      <c r="G27" s="148">
        <v>0.79</v>
      </c>
      <c r="H27" s="122">
        <f t="shared" si="55"/>
        <v>17458.409229216781</v>
      </c>
      <c r="I27" s="123">
        <f t="shared" si="56"/>
        <v>1302.86627078322</v>
      </c>
      <c r="J27" s="221">
        <f t="shared" si="57"/>
        <v>18761.2755</v>
      </c>
      <c r="K27" s="225">
        <v>0.21579999999999999</v>
      </c>
      <c r="L27" s="122">
        <f t="shared" si="58"/>
        <v>21225.933940881761</v>
      </c>
      <c r="M27" s="124">
        <f t="shared" si="59"/>
        <v>1584.0248120182389</v>
      </c>
      <c r="N27" s="228">
        <f t="shared" si="60"/>
        <v>22809.958752900002</v>
      </c>
      <c r="O27" s="91"/>
      <c r="P27" s="79">
        <f t="shared" si="61"/>
        <v>0.73513889239999997</v>
      </c>
      <c r="Q27" s="79">
        <f t="shared" si="62"/>
        <v>5.48611076E-2</v>
      </c>
      <c r="R27" s="73">
        <f t="shared" si="63"/>
        <v>0.78999999999999992</v>
      </c>
      <c r="T27" s="103">
        <f t="shared" si="64"/>
        <v>95427</v>
      </c>
      <c r="U27" s="104">
        <f t="shared" si="65"/>
        <v>0.93055555999999995</v>
      </c>
      <c r="V27" s="100">
        <v>6.9444439999999996E-2</v>
      </c>
      <c r="W27" s="7">
        <v>0.39436619699999997</v>
      </c>
    </row>
    <row r="28" spans="1:23" s="7" customFormat="1" ht="34.950000000000003" customHeight="1" x14ac:dyDescent="0.25">
      <c r="A28" s="120" t="s">
        <v>57</v>
      </c>
      <c r="B28" s="117" t="s">
        <v>5</v>
      </c>
      <c r="C28" s="133">
        <v>95877</v>
      </c>
      <c r="D28" s="118" t="s">
        <v>76</v>
      </c>
      <c r="E28" s="117" t="s">
        <v>74</v>
      </c>
      <c r="F28" s="193">
        <f>F26*30</f>
        <v>19255.5</v>
      </c>
      <c r="G28" s="148">
        <v>1.95</v>
      </c>
      <c r="H28" s="122">
        <f t="shared" si="55"/>
        <v>34880.864767845524</v>
      </c>
      <c r="I28" s="123">
        <f t="shared" si="56"/>
        <v>2667.3602321544749</v>
      </c>
      <c r="J28" s="221">
        <f t="shared" si="57"/>
        <v>37548.224999999999</v>
      </c>
      <c r="K28" s="225">
        <v>0.21579999999999999</v>
      </c>
      <c r="L28" s="122">
        <f t="shared" si="58"/>
        <v>42408.155384746584</v>
      </c>
      <c r="M28" s="124">
        <f t="shared" si="59"/>
        <v>3242.9765702534105</v>
      </c>
      <c r="N28" s="228">
        <f t="shared" si="60"/>
        <v>45651.131954999997</v>
      </c>
      <c r="O28" s="91"/>
      <c r="P28" s="79">
        <f t="shared" si="61"/>
        <v>1.8114754105499999</v>
      </c>
      <c r="Q28" s="79">
        <f t="shared" si="62"/>
        <v>0.13852458944999999</v>
      </c>
      <c r="R28" s="73">
        <f t="shared" si="63"/>
        <v>1.95</v>
      </c>
      <c r="T28" s="103">
        <f t="shared" si="64"/>
        <v>95877</v>
      </c>
      <c r="U28" s="104">
        <f t="shared" si="65"/>
        <v>0.92896174899999995</v>
      </c>
      <c r="V28" s="100">
        <v>7.1038250999999997E-2</v>
      </c>
      <c r="W28" s="7">
        <v>0.41988950200000003</v>
      </c>
    </row>
    <row r="29" spans="1:23" s="7" customFormat="1" ht="34.950000000000003" customHeight="1" x14ac:dyDescent="0.25">
      <c r="A29" s="120" t="s">
        <v>68</v>
      </c>
      <c r="B29" s="117" t="s">
        <v>5</v>
      </c>
      <c r="C29" s="133">
        <v>92404</v>
      </c>
      <c r="D29" s="118" t="s">
        <v>77</v>
      </c>
      <c r="E29" s="117" t="s">
        <v>3</v>
      </c>
      <c r="F29" s="193">
        <f>F25</f>
        <v>4937.25</v>
      </c>
      <c r="G29" s="148">
        <v>76.27</v>
      </c>
      <c r="H29" s="122">
        <f t="shared" ref="H29:H33" si="66">(U29*G29)*F29</f>
        <v>340331.25970065984</v>
      </c>
      <c r="I29" s="123">
        <f t="shared" ref="I29:I33" si="67">(V29*G29)*F29</f>
        <v>36232.7977993401</v>
      </c>
      <c r="J29" s="221">
        <f t="shared" ref="J29:J33" si="68">H29+I29</f>
        <v>376564.05749999994</v>
      </c>
      <c r="K29" s="225">
        <v>0.21579999999999999</v>
      </c>
      <c r="L29" s="122">
        <f t="shared" si="58"/>
        <v>413774.74554406223</v>
      </c>
      <c r="M29" s="124">
        <f t="shared" si="59"/>
        <v>44051.835564437693</v>
      </c>
      <c r="N29" s="228">
        <f t="shared" ref="N29:N33" si="69">L29+M29</f>
        <v>457826.5811084999</v>
      </c>
      <c r="O29" s="91"/>
      <c r="P29" s="79">
        <f t="shared" ref="P29:P33" si="70">U29*G29</f>
        <v>68.931340260399992</v>
      </c>
      <c r="Q29" s="79">
        <f t="shared" ref="Q29:Q33" si="71">V29*G29</f>
        <v>7.3386597395999997</v>
      </c>
      <c r="R29" s="73">
        <f t="shared" ref="R29:R33" si="72">P29+Q29</f>
        <v>76.27</v>
      </c>
      <c r="T29" s="103">
        <f t="shared" ref="T29:T33" si="73">C29</f>
        <v>92404</v>
      </c>
      <c r="U29" s="104">
        <f t="shared" ref="U29:U33" si="74">1-V29</f>
        <v>0.90378051999999998</v>
      </c>
      <c r="V29" s="100">
        <v>9.6219479999999996E-2</v>
      </c>
    </row>
    <row r="30" spans="1:23" s="7" customFormat="1" ht="45" customHeight="1" x14ac:dyDescent="0.25">
      <c r="A30" s="120" t="s">
        <v>69</v>
      </c>
      <c r="B30" s="117" t="s">
        <v>5</v>
      </c>
      <c r="C30" s="133">
        <v>100948</v>
      </c>
      <c r="D30" s="118" t="s">
        <v>79</v>
      </c>
      <c r="E30" s="117" t="s">
        <v>78</v>
      </c>
      <c r="F30" s="193">
        <f>1110.88*37</f>
        <v>41102.560000000005</v>
      </c>
      <c r="G30" s="148">
        <v>0.89</v>
      </c>
      <c r="H30" s="122">
        <f t="shared" si="66"/>
        <v>32065.07119463967</v>
      </c>
      <c r="I30" s="123">
        <f t="shared" si="67"/>
        <v>4516.207205360337</v>
      </c>
      <c r="J30" s="221">
        <f t="shared" si="68"/>
        <v>36581.27840000001</v>
      </c>
      <c r="K30" s="225">
        <v>0.21579999999999999</v>
      </c>
      <c r="L30" s="122">
        <f t="shared" si="58"/>
        <v>38984.713558442912</v>
      </c>
      <c r="M30" s="124">
        <f t="shared" si="59"/>
        <v>5490.8047202770977</v>
      </c>
      <c r="N30" s="228">
        <f t="shared" si="69"/>
        <v>44475.51827872001</v>
      </c>
      <c r="O30" s="91"/>
      <c r="P30" s="79">
        <f t="shared" si="70"/>
        <v>0.78012345690000007</v>
      </c>
      <c r="Q30" s="79">
        <f t="shared" si="71"/>
        <v>0.1098765431</v>
      </c>
      <c r="R30" s="73">
        <f t="shared" si="72"/>
        <v>0.89000000000000012</v>
      </c>
      <c r="T30" s="103">
        <f t="shared" si="73"/>
        <v>100948</v>
      </c>
      <c r="U30" s="104">
        <f t="shared" si="74"/>
        <v>0.87654321000000002</v>
      </c>
      <c r="V30" s="100">
        <f>0.12345679</f>
        <v>0.12345679</v>
      </c>
    </row>
    <row r="31" spans="1:23" s="7" customFormat="1" ht="34.950000000000003" customHeight="1" x14ac:dyDescent="0.25">
      <c r="A31" s="120" t="s">
        <v>70</v>
      </c>
      <c r="B31" s="117" t="s">
        <v>5</v>
      </c>
      <c r="C31" s="133">
        <v>100947</v>
      </c>
      <c r="D31" s="118" t="s">
        <v>80</v>
      </c>
      <c r="E31" s="117" t="s">
        <v>78</v>
      </c>
      <c r="F31" s="193">
        <f>1110.88*30</f>
        <v>33326.400000000001</v>
      </c>
      <c r="G31" s="148">
        <v>2.25</v>
      </c>
      <c r="H31" s="122">
        <f t="shared" si="66"/>
        <v>65958.500027771996</v>
      </c>
      <c r="I31" s="123">
        <f t="shared" si="67"/>
        <v>9025.8999722280005</v>
      </c>
      <c r="J31" s="221">
        <f t="shared" si="68"/>
        <v>74984.399999999994</v>
      </c>
      <c r="K31" s="225">
        <v>0.21579999999999999</v>
      </c>
      <c r="L31" s="122">
        <f t="shared" si="58"/>
        <v>80192.344333765199</v>
      </c>
      <c r="M31" s="124">
        <f t="shared" si="59"/>
        <v>10973.689186234802</v>
      </c>
      <c r="N31" s="228">
        <f t="shared" si="69"/>
        <v>91166.033519999997</v>
      </c>
      <c r="O31" s="91"/>
      <c r="P31" s="79">
        <f t="shared" si="70"/>
        <v>1.9791666674999999</v>
      </c>
      <c r="Q31" s="79">
        <f t="shared" si="71"/>
        <v>0.27083333250000002</v>
      </c>
      <c r="R31" s="73">
        <f t="shared" si="72"/>
        <v>2.25</v>
      </c>
      <c r="T31" s="103">
        <f t="shared" si="73"/>
        <v>100947</v>
      </c>
      <c r="U31" s="104">
        <f t="shared" si="74"/>
        <v>0.87962962999999994</v>
      </c>
      <c r="V31" s="100">
        <v>0.12037037</v>
      </c>
    </row>
    <row r="32" spans="1:23" s="7" customFormat="1" ht="34.950000000000003" customHeight="1" x14ac:dyDescent="0.25">
      <c r="A32" s="168" t="s">
        <v>71</v>
      </c>
      <c r="B32" s="169" t="s">
        <v>5</v>
      </c>
      <c r="C32" s="170">
        <v>94288</v>
      </c>
      <c r="D32" s="262" t="s">
        <v>88</v>
      </c>
      <c r="E32" s="169" t="s">
        <v>60</v>
      </c>
      <c r="F32" s="195">
        <v>484</v>
      </c>
      <c r="G32" s="172">
        <v>53.99</v>
      </c>
      <c r="H32" s="122">
        <f t="shared" ref="H32" si="75">(U32*G32)*F32</f>
        <v>13484.861282432757</v>
      </c>
      <c r="I32" s="123">
        <f t="shared" ref="I32" si="76">(V32*G32)*F32</f>
        <v>12646.298717567241</v>
      </c>
      <c r="J32" s="221">
        <f t="shared" ref="J32" si="77">H32+I32</f>
        <v>26131.159999999996</v>
      </c>
      <c r="K32" s="225">
        <v>0.21579999999999999</v>
      </c>
      <c r="L32" s="122">
        <f t="shared" si="58"/>
        <v>16394.894347181747</v>
      </c>
      <c r="M32" s="124">
        <f t="shared" si="59"/>
        <v>15375.369980818252</v>
      </c>
      <c r="N32" s="228">
        <f t="shared" ref="N32" si="78">L32+M32</f>
        <v>31770.264327999997</v>
      </c>
      <c r="O32" s="91"/>
      <c r="P32" s="79">
        <f t="shared" ref="P32" si="79">U32*G32</f>
        <v>27.861283641389996</v>
      </c>
      <c r="Q32" s="79">
        <f t="shared" ref="Q32" si="80">V32*G32</f>
        <v>26.128716358610003</v>
      </c>
      <c r="R32" s="73">
        <f t="shared" ref="R32" si="81">P32+Q32</f>
        <v>53.989999999999995</v>
      </c>
      <c r="T32" s="103">
        <f t="shared" ref="T32" si="82">C32</f>
        <v>94288</v>
      </c>
      <c r="U32" s="104">
        <f t="shared" ref="U32" si="83">1-V32</f>
        <v>0.51604526099999992</v>
      </c>
      <c r="V32" s="100">
        <v>0.48395473900000002</v>
      </c>
    </row>
    <row r="33" spans="1:22" s="7" customFormat="1" ht="55.05" customHeight="1" thickBot="1" x14ac:dyDescent="0.3">
      <c r="A33" s="132" t="s">
        <v>89</v>
      </c>
      <c r="B33" s="138" t="s">
        <v>5</v>
      </c>
      <c r="C33" s="134">
        <v>94273</v>
      </c>
      <c r="D33" s="131" t="s">
        <v>81</v>
      </c>
      <c r="E33" s="138" t="s">
        <v>60</v>
      </c>
      <c r="F33" s="194">
        <f>733+464</f>
        <v>1197</v>
      </c>
      <c r="G33" s="149">
        <v>55.74</v>
      </c>
      <c r="H33" s="135">
        <f t="shared" si="66"/>
        <v>48553.637356822503</v>
      </c>
      <c r="I33" s="136">
        <f t="shared" si="67"/>
        <v>18167.1426431775</v>
      </c>
      <c r="J33" s="222">
        <f t="shared" si="68"/>
        <v>66720.78</v>
      </c>
      <c r="K33" s="224">
        <v>0.21579999999999999</v>
      </c>
      <c r="L33" s="135">
        <f t="shared" si="58"/>
        <v>59031.512298424801</v>
      </c>
      <c r="M33" s="137">
        <f t="shared" si="59"/>
        <v>22087.612025575203</v>
      </c>
      <c r="N33" s="229">
        <f t="shared" si="69"/>
        <v>81119.124324000004</v>
      </c>
      <c r="O33" s="91"/>
      <c r="P33" s="79">
        <f t="shared" si="70"/>
        <v>40.562771392500004</v>
      </c>
      <c r="Q33" s="79">
        <f t="shared" si="71"/>
        <v>15.1772286075</v>
      </c>
      <c r="R33" s="73">
        <f t="shared" si="72"/>
        <v>55.74</v>
      </c>
      <c r="T33" s="103">
        <f t="shared" si="73"/>
        <v>94273</v>
      </c>
      <c r="U33" s="104">
        <f t="shared" si="74"/>
        <v>0.72771387500000007</v>
      </c>
      <c r="V33" s="100">
        <f>0.272286125</f>
        <v>0.27228612499999999</v>
      </c>
    </row>
    <row r="34" spans="1:22" ht="22.05" customHeight="1" thickBot="1" x14ac:dyDescent="0.3">
      <c r="A34" s="292" t="s">
        <v>42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128">
        <f>L12+L15+L24</f>
        <v>932669.92993740621</v>
      </c>
      <c r="M34" s="128">
        <f>M12+M15+M24</f>
        <v>139700.74090781374</v>
      </c>
      <c r="N34" s="128">
        <f>N12+N15+N24</f>
        <v>1072370.6708452199</v>
      </c>
      <c r="O34" s="90"/>
      <c r="P34" s="74"/>
      <c r="Q34" s="80"/>
      <c r="R34" s="74"/>
      <c r="T34" s="98"/>
    </row>
    <row r="35" spans="1:22" ht="22.05" customHeight="1" x14ac:dyDescent="0.25">
      <c r="A35" s="15"/>
      <c r="B35" s="15"/>
      <c r="C35" s="15"/>
      <c r="D35" s="15"/>
      <c r="E35" s="15"/>
      <c r="F35" s="196"/>
      <c r="G35" s="15"/>
      <c r="H35" s="15"/>
      <c r="I35" s="15"/>
      <c r="J35" s="15"/>
      <c r="K35" s="15"/>
      <c r="L35" s="15"/>
      <c r="M35" s="15"/>
      <c r="N35" s="16"/>
      <c r="O35" s="92"/>
      <c r="P35" s="81"/>
      <c r="Q35" s="81"/>
      <c r="R35" s="16"/>
    </row>
    <row r="36" spans="1:22" s="30" customFormat="1" ht="30" customHeight="1" x14ac:dyDescent="0.25">
      <c r="A36" s="270" t="s">
        <v>28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67"/>
      <c r="P36" s="82"/>
      <c r="Q36" s="82"/>
      <c r="R36" s="67"/>
      <c r="T36" s="99"/>
      <c r="U36" s="97"/>
      <c r="V36" s="97"/>
    </row>
    <row r="38" spans="1:22" s="14" customFormat="1" ht="15" customHeight="1" x14ac:dyDescent="0.25">
      <c r="A38" s="296" t="s">
        <v>95</v>
      </c>
      <c r="B38" s="296"/>
      <c r="C38" s="296"/>
      <c r="D38" s="40"/>
      <c r="E38" s="40"/>
      <c r="F38" s="197"/>
      <c r="G38" s="40"/>
      <c r="H38" s="40"/>
      <c r="I38" s="40"/>
      <c r="J38" s="40"/>
      <c r="K38" s="40"/>
      <c r="L38" s="40"/>
      <c r="M38" s="40"/>
      <c r="N38" s="41"/>
      <c r="O38" s="93"/>
      <c r="P38" s="83"/>
      <c r="Q38" s="83"/>
      <c r="R38" s="41"/>
      <c r="T38" s="96"/>
      <c r="U38" s="97"/>
      <c r="V38" s="97"/>
    </row>
    <row r="39" spans="1:22" ht="15" customHeight="1" x14ac:dyDescent="0.25">
      <c r="A39" s="31"/>
      <c r="B39" s="31"/>
      <c r="C39" s="31"/>
      <c r="D39" s="31"/>
      <c r="E39" s="31"/>
      <c r="F39" s="198"/>
      <c r="G39" s="31"/>
      <c r="H39" s="31"/>
      <c r="I39" s="31"/>
      <c r="J39" s="31"/>
      <c r="K39" s="31"/>
      <c r="L39" s="31"/>
      <c r="M39" s="31"/>
      <c r="N39" s="42"/>
      <c r="O39" s="94"/>
      <c r="P39" s="84"/>
      <c r="Q39" s="84"/>
      <c r="R39" s="42"/>
    </row>
    <row r="40" spans="1:22" s="7" customFormat="1" ht="15" customHeight="1" x14ac:dyDescent="0.25">
      <c r="A40" s="269" t="s">
        <v>20</v>
      </c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17"/>
      <c r="O40" s="17"/>
      <c r="P40" s="85"/>
      <c r="Q40" s="85"/>
      <c r="R40" s="17"/>
      <c r="T40" s="69"/>
      <c r="U40" s="70"/>
      <c r="V40" s="70"/>
    </row>
    <row r="41" spans="1:22" s="7" customFormat="1" ht="15" customHeight="1" x14ac:dyDescent="0.25">
      <c r="A41" s="17"/>
      <c r="B41" s="17"/>
      <c r="C41" s="17"/>
      <c r="D41" s="17"/>
      <c r="E41" s="17"/>
      <c r="F41" s="199"/>
      <c r="G41" s="17"/>
      <c r="H41" s="17"/>
      <c r="I41" s="17"/>
      <c r="J41" s="17"/>
      <c r="K41" s="17"/>
      <c r="L41" s="17"/>
      <c r="M41" s="17"/>
      <c r="N41" s="17"/>
      <c r="O41" s="17"/>
      <c r="P41" s="85"/>
      <c r="Q41" s="85"/>
      <c r="R41" s="17"/>
      <c r="T41" s="69"/>
      <c r="U41" s="70"/>
      <c r="V41" s="70"/>
    </row>
    <row r="42" spans="1:22" s="7" customFormat="1" ht="15" customHeight="1" x14ac:dyDescent="0.25">
      <c r="A42" s="17"/>
      <c r="B42" s="17"/>
      <c r="C42" s="17"/>
      <c r="D42" s="17"/>
      <c r="E42" s="17"/>
      <c r="F42" s="199"/>
      <c r="G42" s="17"/>
      <c r="H42" s="17"/>
      <c r="I42" s="17"/>
      <c r="J42" s="17"/>
      <c r="K42" s="17"/>
      <c r="L42" s="17"/>
      <c r="M42" s="17"/>
      <c r="N42" s="17"/>
      <c r="O42" s="17"/>
      <c r="P42" s="85"/>
      <c r="Q42" s="85"/>
      <c r="R42" s="17"/>
      <c r="T42" s="69"/>
      <c r="U42" s="70"/>
      <c r="V42" s="70"/>
    </row>
    <row r="43" spans="1:22" s="7" customFormat="1" ht="15" customHeight="1" x14ac:dyDescent="0.25">
      <c r="A43" s="17"/>
      <c r="B43" s="17"/>
      <c r="C43" s="17"/>
      <c r="D43" s="17"/>
      <c r="E43" s="17"/>
      <c r="F43" s="199"/>
      <c r="G43" s="17"/>
      <c r="H43" s="17"/>
      <c r="I43" s="17"/>
      <c r="J43" s="17"/>
      <c r="K43" s="17"/>
      <c r="L43" s="17"/>
      <c r="M43" s="17"/>
      <c r="N43" s="17"/>
      <c r="O43" s="17"/>
      <c r="P43" s="85"/>
      <c r="Q43" s="85"/>
      <c r="R43" s="17"/>
      <c r="T43" s="69"/>
      <c r="U43" s="70"/>
      <c r="V43" s="70"/>
    </row>
    <row r="44" spans="1:22" s="7" customFormat="1" ht="15" customHeight="1" x14ac:dyDescent="0.3">
      <c r="A44" s="295"/>
      <c r="B44" s="295"/>
      <c r="C44" s="295"/>
      <c r="D44" s="107" t="s">
        <v>50</v>
      </c>
      <c r="E44" s="108"/>
      <c r="F44" s="297"/>
      <c r="G44" s="297"/>
      <c r="H44" s="297"/>
      <c r="I44" s="297"/>
      <c r="J44" s="297"/>
      <c r="K44" s="33"/>
      <c r="L44" s="33"/>
      <c r="M44" s="17"/>
      <c r="N44" s="17"/>
      <c r="O44" s="17"/>
      <c r="P44" s="85"/>
      <c r="Q44" s="85"/>
      <c r="R44" s="17"/>
      <c r="T44" s="69"/>
      <c r="U44" s="70"/>
      <c r="V44" s="70"/>
    </row>
    <row r="45" spans="1:22" s="7" customFormat="1" ht="15" customHeight="1" x14ac:dyDescent="0.25">
      <c r="A45" s="298"/>
      <c r="B45" s="298"/>
      <c r="C45" s="298"/>
      <c r="D45" s="32"/>
      <c r="E45" s="109"/>
      <c r="F45" s="299"/>
      <c r="G45" s="299"/>
      <c r="H45" s="299"/>
      <c r="I45" s="299"/>
      <c r="J45" s="299"/>
      <c r="K45" s="33"/>
      <c r="L45" s="33"/>
      <c r="M45" s="33"/>
      <c r="N45" s="33"/>
      <c r="O45" s="33"/>
      <c r="P45" s="86"/>
      <c r="Q45" s="86"/>
      <c r="R45" s="33"/>
      <c r="T45" s="69"/>
      <c r="U45" s="70"/>
      <c r="V45" s="70"/>
    </row>
    <row r="46" spans="1:22" s="13" customFormat="1" ht="15" customHeight="1" x14ac:dyDescent="0.25">
      <c r="A46" s="294"/>
      <c r="B46" s="294"/>
      <c r="C46" s="294"/>
      <c r="D46" s="34"/>
      <c r="E46" s="33"/>
      <c r="F46" s="295"/>
      <c r="G46" s="295"/>
      <c r="H46" s="295"/>
      <c r="I46" s="295"/>
      <c r="J46" s="295"/>
      <c r="K46" s="33"/>
      <c r="L46" s="33"/>
      <c r="M46" s="33"/>
      <c r="N46" s="33"/>
      <c r="O46" s="33"/>
      <c r="P46" s="86"/>
      <c r="Q46" s="86"/>
      <c r="R46" s="33"/>
      <c r="T46" s="69"/>
      <c r="U46" s="70"/>
      <c r="V46" s="70"/>
    </row>
    <row r="47" spans="1:22" s="13" customFormat="1" ht="15" customHeight="1" x14ac:dyDescent="0.25">
      <c r="A47" s="295"/>
      <c r="B47" s="295"/>
      <c r="C47" s="295"/>
      <c r="D47" s="125"/>
      <c r="E47" s="18"/>
      <c r="F47" s="200"/>
      <c r="G47" s="19"/>
      <c r="H47" s="19"/>
      <c r="I47" s="19"/>
      <c r="J47" s="19"/>
      <c r="K47" s="19"/>
      <c r="L47" s="19"/>
      <c r="M47" s="35"/>
      <c r="N47" s="20"/>
      <c r="O47" s="20"/>
      <c r="P47" s="87"/>
      <c r="Q47" s="87"/>
      <c r="R47" s="20"/>
      <c r="T47" s="69"/>
      <c r="U47" s="70"/>
      <c r="V47" s="70"/>
    </row>
    <row r="48" spans="1:22" x14ac:dyDescent="0.25">
      <c r="A48" s="12"/>
      <c r="B48" s="12"/>
      <c r="C48" s="12"/>
      <c r="D48" s="12"/>
      <c r="E48" s="12"/>
      <c r="F48" s="201"/>
      <c r="G48" s="12"/>
      <c r="H48" s="12"/>
      <c r="I48" s="12"/>
      <c r="J48" s="12"/>
      <c r="K48" s="12"/>
      <c r="L48" s="12"/>
      <c r="M48" s="12"/>
      <c r="N48" s="12"/>
      <c r="O48" s="12"/>
      <c r="P48" s="88"/>
      <c r="Q48" s="88"/>
      <c r="R48" s="12"/>
    </row>
    <row r="49" spans="1:22" x14ac:dyDescent="0.25">
      <c r="M49" s="43"/>
    </row>
    <row r="50" spans="1:22" x14ac:dyDescent="0.25">
      <c r="M50" s="43"/>
    </row>
    <row r="63" spans="1:22" s="13" customFormat="1" x14ac:dyDescent="0.25">
      <c r="A63" s="37"/>
      <c r="B63" s="2"/>
      <c r="C63" s="2"/>
      <c r="D63" s="129"/>
      <c r="F63" s="202"/>
      <c r="G63" s="38"/>
      <c r="H63" s="38"/>
      <c r="I63" s="38"/>
      <c r="J63" s="38"/>
      <c r="K63" s="38"/>
      <c r="L63" s="38"/>
      <c r="M63" s="39"/>
      <c r="N63" s="2"/>
      <c r="O63" s="2"/>
      <c r="P63" s="75"/>
      <c r="Q63" s="75"/>
      <c r="R63" s="2"/>
      <c r="S63"/>
      <c r="T63" s="96"/>
      <c r="U63" s="97"/>
      <c r="V63" s="97"/>
    </row>
  </sheetData>
  <mergeCells count="31">
    <mergeCell ref="A46:C46"/>
    <mergeCell ref="F46:J46"/>
    <mergeCell ref="A47:C47"/>
    <mergeCell ref="A38:C38"/>
    <mergeCell ref="A40:M40"/>
    <mergeCell ref="A44:C44"/>
    <mergeCell ref="F44:J44"/>
    <mergeCell ref="A45:C45"/>
    <mergeCell ref="F45:J45"/>
    <mergeCell ref="A36:N36"/>
    <mergeCell ref="A8:B8"/>
    <mergeCell ref="C8:D8"/>
    <mergeCell ref="A9:M9"/>
    <mergeCell ref="A10:A11"/>
    <mergeCell ref="B10:B11"/>
    <mergeCell ref="C10:C11"/>
    <mergeCell ref="D10:D11"/>
    <mergeCell ref="E10:E11"/>
    <mergeCell ref="F10:F11"/>
    <mergeCell ref="G10:G11"/>
    <mergeCell ref="J10:J11"/>
    <mergeCell ref="K10:K11"/>
    <mergeCell ref="L10:M10"/>
    <mergeCell ref="N10:N11"/>
    <mergeCell ref="A34:K34"/>
    <mergeCell ref="I3:K3"/>
    <mergeCell ref="I4:J4"/>
    <mergeCell ref="I5:J5"/>
    <mergeCell ref="I6:I7"/>
    <mergeCell ref="A7:B7"/>
    <mergeCell ref="C7:D7"/>
  </mergeCells>
  <phoneticPr fontId="32" type="noConversion"/>
  <printOptions horizontalCentered="1"/>
  <pageMargins left="0.7" right="0.7" top="0.75" bottom="0.75" header="0.3" footer="0.3"/>
  <pageSetup scale="4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D98D-9E79-48BE-8622-2FCBFC62F299}">
  <sheetPr>
    <pageSetUpPr fitToPage="1"/>
  </sheetPr>
  <dimension ref="B4:M31"/>
  <sheetViews>
    <sheetView topLeftCell="B1" zoomScale="94" zoomScaleNormal="94" workbookViewId="0">
      <selection activeCell="P13" sqref="P13"/>
    </sheetView>
  </sheetViews>
  <sheetFormatPr defaultRowHeight="13.2" x14ac:dyDescent="0.25"/>
  <cols>
    <col min="2" max="2" width="13.5546875" customWidth="1"/>
    <col min="3" max="3" width="31.44140625" customWidth="1"/>
    <col min="4" max="11" width="12.77734375" customWidth="1"/>
    <col min="13" max="13" width="19.44140625" customWidth="1"/>
  </cols>
  <sheetData>
    <row r="4" spans="2:13" ht="13.8" x14ac:dyDescent="0.3">
      <c r="E4" s="44"/>
      <c r="F4" s="44"/>
    </row>
    <row r="5" spans="2:13" ht="13.8" x14ac:dyDescent="0.3">
      <c r="D5" s="300"/>
      <c r="E5" s="300"/>
      <c r="F5" s="300"/>
    </row>
    <row r="6" spans="2:13" ht="13.8" x14ac:dyDescent="0.25">
      <c r="D6" s="301"/>
      <c r="E6" s="301"/>
      <c r="F6" s="301"/>
    </row>
    <row r="9" spans="2:13" s="45" customFormat="1" ht="22.05" customHeight="1" x14ac:dyDescent="0.25">
      <c r="B9" s="21" t="s">
        <v>9</v>
      </c>
      <c r="C9" s="269" t="str">
        <f>'Orçamento elaborado'!C7:D7</f>
        <v>PAVIMENTAÇÃO COM BLOCO INTERTRAVADO</v>
      </c>
      <c r="D9" s="269"/>
      <c r="E9" s="269"/>
      <c r="F9" s="269"/>
      <c r="G9" s="4"/>
      <c r="H9" s="22"/>
    </row>
    <row r="10" spans="2:13" s="45" customFormat="1" ht="22.05" customHeight="1" x14ac:dyDescent="0.25">
      <c r="B10" s="21" t="s">
        <v>10</v>
      </c>
      <c r="C10" s="33" t="s">
        <v>30</v>
      </c>
      <c r="D10" s="33"/>
      <c r="E10" s="33"/>
      <c r="F10" s="3"/>
      <c r="G10" s="4"/>
      <c r="H10" s="46"/>
    </row>
    <row r="11" spans="2:13" s="45" customFormat="1" ht="13.8" customHeight="1" thickBot="1" x14ac:dyDescent="0.3">
      <c r="B11" s="21"/>
      <c r="C11" s="33"/>
      <c r="D11" s="33"/>
      <c r="E11" s="33"/>
      <c r="F11" s="3"/>
      <c r="G11" s="4"/>
      <c r="H11" s="46"/>
    </row>
    <row r="12" spans="2:13" s="47" customFormat="1" ht="15" customHeight="1" thickBot="1" x14ac:dyDescent="0.35">
      <c r="B12" s="305" t="s">
        <v>31</v>
      </c>
      <c r="C12" s="306"/>
      <c r="D12" s="306"/>
      <c r="E12" s="306"/>
      <c r="F12" s="306"/>
      <c r="G12" s="306"/>
      <c r="H12" s="306"/>
      <c r="I12" s="306"/>
      <c r="J12" s="306"/>
      <c r="K12" s="307"/>
    </row>
    <row r="13" spans="2:13" s="48" customFormat="1" ht="15" customHeight="1" x14ac:dyDescent="0.25">
      <c r="B13" s="65"/>
      <c r="C13" s="66"/>
      <c r="D13" s="302" t="s">
        <v>32</v>
      </c>
      <c r="E13" s="302"/>
      <c r="F13" s="303" t="s">
        <v>33</v>
      </c>
      <c r="G13" s="303"/>
      <c r="H13" s="303" t="s">
        <v>34</v>
      </c>
      <c r="I13" s="303"/>
      <c r="J13" s="303" t="s">
        <v>96</v>
      </c>
      <c r="K13" s="304"/>
    </row>
    <row r="14" spans="2:13" s="51" customFormat="1" ht="15" customHeight="1" x14ac:dyDescent="0.25">
      <c r="B14" s="49" t="s">
        <v>35</v>
      </c>
      <c r="C14" s="50" t="s">
        <v>36</v>
      </c>
      <c r="D14" s="50" t="s">
        <v>37</v>
      </c>
      <c r="E14" s="50" t="s">
        <v>38</v>
      </c>
      <c r="F14" s="50" t="s">
        <v>37</v>
      </c>
      <c r="G14" s="211" t="s">
        <v>38</v>
      </c>
      <c r="H14" s="50" t="s">
        <v>37</v>
      </c>
      <c r="I14" s="211" t="s">
        <v>38</v>
      </c>
      <c r="J14" s="50" t="s">
        <v>37</v>
      </c>
      <c r="K14" s="214" t="s">
        <v>38</v>
      </c>
    </row>
    <row r="15" spans="2:13" s="48" customFormat="1" ht="15" customHeight="1" x14ac:dyDescent="0.25">
      <c r="B15" s="49" t="s">
        <v>21</v>
      </c>
      <c r="C15" s="52" t="str">
        <f>'Orçamento elaborado'!C12</f>
        <v>SERVIÇOS PRELIMINARES</v>
      </c>
      <c r="D15" s="53">
        <f>'Orçamento elaborado'!N12</f>
        <v>1327.2888600000001</v>
      </c>
      <c r="E15" s="54">
        <f>D15/$D$19*100</f>
        <v>0.12377146224577917</v>
      </c>
      <c r="F15" s="53">
        <f>D15*G15</f>
        <v>1327.2888600000001</v>
      </c>
      <c r="G15" s="212">
        <v>1</v>
      </c>
      <c r="H15" s="53">
        <f>I15*D15</f>
        <v>0</v>
      </c>
      <c r="I15" s="213"/>
      <c r="J15" s="53">
        <f>K15*D15</f>
        <v>0</v>
      </c>
      <c r="K15" s="215"/>
      <c r="M15" s="126"/>
    </row>
    <row r="16" spans="2:13" s="48" customFormat="1" ht="15" customHeight="1" x14ac:dyDescent="0.25">
      <c r="B16" s="49" t="s">
        <v>24</v>
      </c>
      <c r="C16" s="52" t="str">
        <f>'Orçamento elaborado'!C15</f>
        <v>DRENAGEM</v>
      </c>
      <c r="D16" s="53">
        <f>'Orçamento elaborado'!N15</f>
        <v>226971.50020420001</v>
      </c>
      <c r="E16" s="54">
        <f>D16/$D$19*100</f>
        <v>21.165396105556102</v>
      </c>
      <c r="F16" s="53">
        <f t="shared" ref="F16:F17" si="0">D16*G16</f>
        <v>113485.75010210001</v>
      </c>
      <c r="G16" s="212">
        <v>0.5</v>
      </c>
      <c r="H16" s="53">
        <f t="shared" ref="H16:H17" si="1">I16*D16</f>
        <v>113485.75010210001</v>
      </c>
      <c r="I16" s="212">
        <v>0.5</v>
      </c>
      <c r="J16" s="53">
        <f t="shared" ref="J16:J17" si="2">K16*D16</f>
        <v>0</v>
      </c>
      <c r="K16" s="216"/>
      <c r="M16" s="126"/>
    </row>
    <row r="17" spans="2:13" s="48" customFormat="1" ht="15" customHeight="1" x14ac:dyDescent="0.25">
      <c r="B17" s="49" t="s">
        <v>26</v>
      </c>
      <c r="C17" s="52" t="str">
        <f>'Orçamento elaborado'!C24</f>
        <v>PAVIMENTAÇÃO COM BLOCO INTERTRAVADO</v>
      </c>
      <c r="D17" s="53">
        <f>'Orçamento elaborado'!N24</f>
        <v>844071.88178101985</v>
      </c>
      <c r="E17" s="54">
        <f>D17/$D$19*100</f>
        <v>78.710832432198117</v>
      </c>
      <c r="F17" s="53">
        <f t="shared" si="0"/>
        <v>168814.37635620398</v>
      </c>
      <c r="G17" s="212">
        <v>0.2</v>
      </c>
      <c r="H17" s="53">
        <f t="shared" si="1"/>
        <v>337628.75271240796</v>
      </c>
      <c r="I17" s="212">
        <v>0.4</v>
      </c>
      <c r="J17" s="53">
        <f t="shared" si="2"/>
        <v>337628.75271240796</v>
      </c>
      <c r="K17" s="216">
        <v>0.4</v>
      </c>
      <c r="M17" s="126"/>
    </row>
    <row r="18" spans="2:13" s="48" customFormat="1" ht="15" customHeight="1" x14ac:dyDescent="0.25">
      <c r="B18" s="49"/>
      <c r="C18" s="52"/>
      <c r="D18" s="53"/>
      <c r="E18" s="54"/>
      <c r="F18" s="53"/>
      <c r="G18" s="212"/>
      <c r="H18" s="53"/>
      <c r="I18" s="212"/>
      <c r="J18" s="53"/>
      <c r="K18" s="216"/>
    </row>
    <row r="19" spans="2:13" s="48" customFormat="1" ht="15" customHeight="1" thickBot="1" x14ac:dyDescent="0.3">
      <c r="B19" s="205"/>
      <c r="C19" s="206" t="s">
        <v>42</v>
      </c>
      <c r="D19" s="207">
        <f>SUM(D15:D18)</f>
        <v>1072370.6708452199</v>
      </c>
      <c r="E19" s="208">
        <f>SUM(E15:E18)</f>
        <v>100</v>
      </c>
      <c r="F19" s="217">
        <f>SUM(F15:F18)</f>
        <v>283627.41531830397</v>
      </c>
      <c r="G19" s="209">
        <f>F19/D19*100</f>
        <v>26.448636001463456</v>
      </c>
      <c r="H19" s="217">
        <f>SUM(H15:H18)</f>
        <v>451114.50281450799</v>
      </c>
      <c r="I19" s="209">
        <f>H19/D19*100</f>
        <v>42.0670310256573</v>
      </c>
      <c r="J19" s="217">
        <f>SUM(J15:J18)</f>
        <v>337628.75271240796</v>
      </c>
      <c r="K19" s="210">
        <f>J19/D19*100</f>
        <v>31.484332972879248</v>
      </c>
      <c r="M19" s="55"/>
    </row>
    <row r="20" spans="2:13" s="48" customFormat="1" ht="13.8" x14ac:dyDescent="0.25">
      <c r="B20" s="56"/>
      <c r="C20" s="57"/>
      <c r="D20" s="58"/>
      <c r="E20" s="58"/>
      <c r="F20" s="58"/>
      <c r="G20" s="58"/>
      <c r="H20" s="58"/>
      <c r="I20" s="58"/>
      <c r="J20" s="58"/>
      <c r="K20" s="58"/>
    </row>
    <row r="21" spans="2:13" s="48" customFormat="1" ht="13.8" x14ac:dyDescent="0.25">
      <c r="B21" s="56"/>
      <c r="C21" s="57"/>
      <c r="D21" s="58"/>
      <c r="E21" s="58"/>
      <c r="F21" s="58"/>
      <c r="G21" s="58"/>
      <c r="H21" s="58"/>
      <c r="I21" s="58"/>
      <c r="J21" s="58"/>
      <c r="K21" s="58"/>
      <c r="M21" s="127"/>
    </row>
    <row r="22" spans="2:13" s="14" customFormat="1" ht="15" customHeight="1" x14ac:dyDescent="0.25">
      <c r="B22" s="309" t="s">
        <v>95</v>
      </c>
      <c r="C22" s="309"/>
      <c r="D22" s="309"/>
      <c r="E22" s="28"/>
      <c r="F22" s="28"/>
      <c r="G22" s="28"/>
      <c r="H22" s="28"/>
      <c r="I22" s="28"/>
      <c r="J22" s="28"/>
      <c r="K22" s="28"/>
    </row>
    <row r="23" spans="2:13" ht="15" customHeight="1" x14ac:dyDescent="0.25">
      <c r="B23" s="11"/>
      <c r="C23" s="11"/>
      <c r="D23" s="11"/>
      <c r="E23" s="26"/>
      <c r="F23" s="11"/>
      <c r="G23" s="11"/>
      <c r="H23" s="11"/>
      <c r="I23" s="59"/>
      <c r="J23" s="59"/>
      <c r="K23" s="59"/>
    </row>
    <row r="24" spans="2:13" s="7" customFormat="1" ht="15" customHeight="1" x14ac:dyDescent="0.25">
      <c r="B24" s="310" t="s">
        <v>39</v>
      </c>
      <c r="C24" s="310"/>
      <c r="D24" s="310"/>
      <c r="E24" s="60"/>
      <c r="F24" s="60"/>
      <c r="G24" s="60"/>
      <c r="H24" s="60"/>
      <c r="I24" s="60"/>
      <c r="J24" s="60"/>
      <c r="K24" s="60"/>
    </row>
    <row r="25" spans="2:13" x14ac:dyDescent="0.25">
      <c r="E25" s="313"/>
      <c r="F25" s="313"/>
      <c r="G25" s="313"/>
    </row>
    <row r="26" spans="2:13" x14ac:dyDescent="0.25">
      <c r="E26" s="1"/>
      <c r="F26" s="1"/>
      <c r="G26" s="1"/>
    </row>
    <row r="27" spans="2:13" x14ac:dyDescent="0.25">
      <c r="E27" s="313"/>
      <c r="F27" s="313"/>
      <c r="G27" s="313"/>
    </row>
    <row r="28" spans="2:13" ht="13.8" customHeight="1" x14ac:dyDescent="0.3">
      <c r="C28" s="311" t="s">
        <v>59</v>
      </c>
      <c r="D28" s="311"/>
      <c r="E28" s="144"/>
      <c r="F28" s="297"/>
      <c r="G28" s="297"/>
      <c r="H28" s="297"/>
      <c r="I28" s="297"/>
      <c r="J28" s="107"/>
      <c r="K28" s="107"/>
    </row>
    <row r="29" spans="2:13" ht="13.8" customHeight="1" x14ac:dyDescent="0.25">
      <c r="C29" s="312"/>
      <c r="D29" s="312"/>
      <c r="E29" s="145"/>
      <c r="F29" s="299"/>
      <c r="G29" s="299"/>
      <c r="H29" s="299"/>
      <c r="I29" s="299"/>
      <c r="J29" s="32"/>
      <c r="K29" s="32"/>
    </row>
    <row r="30" spans="2:13" ht="13.8" customHeight="1" x14ac:dyDescent="0.25">
      <c r="C30" s="308"/>
      <c r="D30" s="308"/>
      <c r="E30" s="48"/>
      <c r="F30" s="295"/>
      <c r="G30" s="295"/>
      <c r="H30" s="295"/>
      <c r="I30" s="295"/>
      <c r="J30" s="34"/>
      <c r="K30" s="34"/>
    </row>
    <row r="31" spans="2:13" ht="13.8" x14ac:dyDescent="0.25">
      <c r="C31" s="308"/>
      <c r="D31" s="308"/>
      <c r="E31" s="48"/>
    </row>
  </sheetData>
  <mergeCells count="19">
    <mergeCell ref="J13:K13"/>
    <mergeCell ref="B12:K12"/>
    <mergeCell ref="C31:D31"/>
    <mergeCell ref="B22:D22"/>
    <mergeCell ref="B24:D24"/>
    <mergeCell ref="C28:D28"/>
    <mergeCell ref="C29:D29"/>
    <mergeCell ref="C30:D30"/>
    <mergeCell ref="E25:G25"/>
    <mergeCell ref="E27:G27"/>
    <mergeCell ref="F28:I28"/>
    <mergeCell ref="F29:I29"/>
    <mergeCell ref="F30:I30"/>
    <mergeCell ref="D5:F5"/>
    <mergeCell ref="D6:F6"/>
    <mergeCell ref="D13:E13"/>
    <mergeCell ref="F13:G13"/>
    <mergeCell ref="H13:I13"/>
    <mergeCell ref="C9:F9"/>
  </mergeCells>
  <printOptions horizontalCentered="1"/>
  <pageMargins left="0.7" right="0.7" top="0.75" bottom="0.75" header="0.3" footer="0.3"/>
  <pageSetup scale="74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7465-1CE8-4EA2-B824-63D4BD605FE6}">
  <dimension ref="A1"/>
  <sheetViews>
    <sheetView workbookViewId="0">
      <selection activeCell="N13" sqref="N13"/>
    </sheetView>
  </sheetViews>
  <sheetFormatPr defaultRowHeight="13.2" x14ac:dyDescent="0.25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Orçamento elaborado</vt:lpstr>
      <vt:lpstr>Cronograma</vt:lpstr>
      <vt:lpstr>Composição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Carolina Franco Budel</cp:lastModifiedBy>
  <cp:lastPrinted>2024-01-10T12:41:33Z</cp:lastPrinted>
  <dcterms:created xsi:type="dcterms:W3CDTF">2023-05-21T13:27:03Z</dcterms:created>
  <dcterms:modified xsi:type="dcterms:W3CDTF">2024-01-18T12:06:02Z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2022-04-18T00:00:00Z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2023-05-21T00:00:00Z</vt:filetime>
  </property>
  <property fmtid="{D5CDD505-2E9C-101B-9397-08002B2CF9AE}" pid="5" name="Producer">
    <vt:lpwstr>Microsoft® Excel® 2016</vt:lpwstr>
  </property>
</Properties>
</file>