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ps\Desktop\FAPS 2024\2024\02) BALANCETES E APLICAÇÃO 2024\"/>
    </mc:Choice>
  </mc:AlternateContent>
  <bookViews>
    <workbookView xWindow="0" yWindow="0" windowWidth="1950" windowHeight="12450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6" i="1"/>
  <c r="C7" i="1"/>
  <c r="C16" i="1"/>
  <c r="C17" i="1"/>
  <c r="C8" i="1"/>
  <c r="C13" i="1"/>
  <c r="C14" i="1"/>
  <c r="O20" i="1" l="1"/>
  <c r="M20" i="1"/>
  <c r="N20" i="1"/>
  <c r="L20" i="1" l="1"/>
  <c r="C11" i="1" l="1"/>
  <c r="C9" i="1"/>
  <c r="K20" i="1" l="1"/>
  <c r="P19" i="1"/>
  <c r="Q19" i="1"/>
  <c r="C5" i="1"/>
  <c r="K18" i="1"/>
  <c r="J18" i="1" l="1"/>
  <c r="C32" i="1" l="1"/>
  <c r="I18" i="1" l="1"/>
  <c r="C12" i="1"/>
  <c r="F25" i="1" l="1"/>
  <c r="P18" i="1" l="1"/>
  <c r="Q34" i="1" l="1"/>
  <c r="C33" i="1" l="1"/>
  <c r="O33" i="1" l="1"/>
  <c r="N33" i="1"/>
  <c r="N38" i="1" s="1"/>
  <c r="M33" i="1"/>
  <c r="L33" i="1"/>
  <c r="K33" i="1"/>
  <c r="J33" i="1"/>
  <c r="I33" i="1"/>
  <c r="H33" i="1"/>
  <c r="G33" i="1"/>
  <c r="F33" i="1"/>
  <c r="E33" i="1"/>
  <c r="D33" i="1"/>
  <c r="B33" i="1"/>
  <c r="P32" i="1"/>
  <c r="Q32" i="1" s="1"/>
  <c r="P31" i="1"/>
  <c r="Q31" i="1" s="1"/>
  <c r="Q21" i="1"/>
  <c r="O38" i="1"/>
  <c r="J20" i="1"/>
  <c r="I20" i="1"/>
  <c r="H20" i="1"/>
  <c r="H38" i="1" s="1"/>
  <c r="G20" i="1"/>
  <c r="F20" i="1"/>
  <c r="E20" i="1"/>
  <c r="D20" i="1"/>
  <c r="B20" i="1"/>
  <c r="B22" i="1" s="1"/>
  <c r="B38" i="1" s="1"/>
  <c r="Q18" i="1"/>
  <c r="P17" i="1"/>
  <c r="Q17" i="1" s="1"/>
  <c r="P16" i="1"/>
  <c r="P15" i="1"/>
  <c r="C15" i="1"/>
  <c r="P14" i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P3" i="1"/>
  <c r="Q3" i="1" s="1"/>
  <c r="P2" i="1"/>
  <c r="Q14" i="1" l="1"/>
  <c r="P20" i="1"/>
  <c r="E38" i="1"/>
  <c r="K38" i="1"/>
  <c r="M38" i="1"/>
  <c r="G38" i="1"/>
  <c r="J38" i="1"/>
  <c r="Q15" i="1"/>
  <c r="C20" i="1"/>
  <c r="C38" i="1" s="1"/>
  <c r="D38" i="1"/>
  <c r="Q16" i="1"/>
  <c r="I38" i="1"/>
  <c r="L38" i="1"/>
  <c r="F38" i="1"/>
  <c r="P33" i="1"/>
  <c r="Q33" i="1"/>
  <c r="Q2" i="1"/>
  <c r="Q20" i="1" l="1"/>
  <c r="Q22" i="1" s="1"/>
  <c r="P38" i="1"/>
  <c r="Q35" i="1"/>
  <c r="Q38" i="1" l="1"/>
  <c r="R20" i="1" s="1"/>
  <c r="R22" i="1" l="1"/>
  <c r="R19" i="1"/>
  <c r="R21" i="1"/>
  <c r="R3" i="1"/>
  <c r="R15" i="1"/>
  <c r="R6" i="1"/>
  <c r="R11" i="1"/>
  <c r="R17" i="1"/>
  <c r="R18" i="1"/>
  <c r="R34" i="1"/>
  <c r="R14" i="1"/>
  <c r="R32" i="1"/>
  <c r="R7" i="1"/>
  <c r="R8" i="1"/>
  <c r="R5" i="1"/>
  <c r="R10" i="1"/>
  <c r="R16" i="1"/>
  <c r="R31" i="1"/>
  <c r="R9" i="1"/>
  <c r="R13" i="1"/>
  <c r="R4" i="1"/>
  <c r="R12" i="1"/>
  <c r="R2" i="1"/>
  <c r="R33" i="1"/>
  <c r="R35" i="1"/>
</calcChain>
</file>

<file path=xl/sharedStrings.xml><?xml version="1.0" encoding="utf-8"?>
<sst xmlns="http://schemas.openxmlformats.org/spreadsheetml/2006/main" count="45" uniqueCount="31">
  <si>
    <t>Aplicação</t>
  </si>
  <si>
    <t>Saldo 31/12/23</t>
  </si>
  <si>
    <t>Resgate/Aplicação</t>
  </si>
  <si>
    <t>Total rendimento ano</t>
  </si>
  <si>
    <t>SALDO CONTA</t>
  </si>
  <si>
    <t>% ALOCAÇÃO</t>
  </si>
  <si>
    <t>Caixa IRFM - 1</t>
  </si>
  <si>
    <t>Caixa FI TP RF</t>
  </si>
  <si>
    <t>Caixa FI IMA- B TP</t>
  </si>
  <si>
    <t>FI BRASIL 2024 X TP RF</t>
  </si>
  <si>
    <t>BB IDKA 2</t>
  </si>
  <si>
    <t>BBPerfil</t>
  </si>
  <si>
    <t>BB IRFM</t>
  </si>
  <si>
    <t>Banrisul IMA GERAL</t>
  </si>
  <si>
    <t>Caixa IPCA XVI</t>
  </si>
  <si>
    <t>Ban Foco IDKA IPCA</t>
  </si>
  <si>
    <t xml:space="preserve">Ban. Foco IRFM I </t>
  </si>
  <si>
    <t>BB IMA B 5</t>
  </si>
  <si>
    <t>Banrisul Absoluto</t>
  </si>
  <si>
    <t>Banrisul Foco IRF-M</t>
  </si>
  <si>
    <t>BB Prev IRF-M1</t>
  </si>
  <si>
    <t>BB LP TESOURO SELIC</t>
  </si>
  <si>
    <t>BOVA 11</t>
  </si>
  <si>
    <t>Total</t>
  </si>
  <si>
    <t>BB</t>
  </si>
  <si>
    <t>BANRISUL</t>
  </si>
  <si>
    <t>Banrisul IMAB- TX ADM</t>
  </si>
  <si>
    <t>Conta Corrente</t>
  </si>
  <si>
    <t>TOTAL FUNDO</t>
  </si>
  <si>
    <t>CAIXA</t>
  </si>
  <si>
    <t>CAIXA VERTICE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</si>
</sst>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_-* #,##0.00_-;\-* #,##0.00_-;_-* &quot;-&quot;??_-;_-@"/>
    <numFmt numFmtId="166" formatCode="&quot;R$&quot;\ #,##0.00"/>
    <numFmt numFmtId="167" formatCode="0.000%"/>
  </numFmts>
  <fonts count="11">
    <font>
      <sz val="11"/>
      <name val="Calibri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Helvetica Neue"/>
    </font>
    <font>
      <sz val="8"/>
      <color rgb="FF00B05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rgb="FF00B050"/>
      <name val="Arial"/>
      <family val="2"/>
    </font>
    <font>
      <sz val="8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0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165" fontId="2" fillId="0" borderId="0" xfId="0" applyNumberFormat="1" applyFont="1"/>
    <xf numFmtId="164" fontId="2" fillId="0" borderId="0" xfId="0" applyNumberFormat="1" applyFont="1"/>
    <xf numFmtId="165" fontId="2" fillId="0" borderId="1" xfId="0" applyNumberFormat="1" applyFont="1" applyBorder="1"/>
    <xf numFmtId="4" fontId="1" fillId="0" borderId="0" xfId="0" applyNumberFormat="1" applyFont="1"/>
    <xf numFmtId="9" fontId="2" fillId="0" borderId="0" xfId="0" applyNumberFormat="1" applyFont="1"/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1" fillId="0" borderId="0" xfId="0" applyFont="1"/>
    <xf numFmtId="17" fontId="2" fillId="0" borderId="0" xfId="0" applyNumberFormat="1" applyFont="1"/>
    <xf numFmtId="166" fontId="4" fillId="0" borderId="0" xfId="0" applyNumberFormat="1" applyFont="1"/>
    <xf numFmtId="10" fontId="2" fillId="0" borderId="0" xfId="0" applyNumberFormat="1" applyFont="1"/>
    <xf numFmtId="166" fontId="2" fillId="0" borderId="0" xfId="0" applyNumberFormat="1" applyFont="1"/>
    <xf numFmtId="167" fontId="2" fillId="0" borderId="1" xfId="0" applyNumberFormat="1" applyFont="1" applyBorder="1"/>
    <xf numFmtId="0" fontId="5" fillId="0" borderId="4" xfId="0" applyFont="1" applyBorder="1"/>
    <xf numFmtId="164" fontId="5" fillId="0" borderId="0" xfId="0" applyNumberFormat="1" applyFont="1"/>
    <xf numFmtId="0" fontId="1" fillId="2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 wrapText="1"/>
    </xf>
    <xf numFmtId="17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6" xfId="0" applyFont="1" applyBorder="1"/>
    <xf numFmtId="4" fontId="2" fillId="0" borderId="6" xfId="0" applyNumberFormat="1" applyFont="1" applyBorder="1"/>
    <xf numFmtId="9" fontId="2" fillId="0" borderId="6" xfId="0" applyNumberFormat="1" applyFont="1" applyBorder="1"/>
    <xf numFmtId="0" fontId="2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7" fontId="1" fillId="2" borderId="5" xfId="0" applyNumberFormat="1" applyFont="1" applyFill="1" applyBorder="1" applyAlignment="1">
      <alignment horizontal="center" vertical="center" wrapText="1"/>
    </xf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 wrapText="1"/>
    </xf>
    <xf numFmtId="0" fontId="2" fillId="2" borderId="1" xfId="0" applyFont="1" applyFill="1" applyBorder="1"/>
    <xf numFmtId="164" fontId="2" fillId="2" borderId="1" xfId="0" applyNumberFormat="1" applyFont="1" applyFill="1" applyBorder="1"/>
    <xf numFmtId="164" fontId="2" fillId="2" borderId="2" xfId="0" applyNumberFormat="1" applyFont="1" applyFill="1" applyBorder="1"/>
    <xf numFmtId="10" fontId="2" fillId="2" borderId="1" xfId="0" applyNumberFormat="1" applyFont="1" applyFill="1" applyBorder="1"/>
    <xf numFmtId="164" fontId="6" fillId="2" borderId="2" xfId="0" applyNumberFormat="1" applyFont="1" applyFill="1" applyBorder="1"/>
    <xf numFmtId="164" fontId="2" fillId="3" borderId="1" xfId="0" applyNumberFormat="1" applyFont="1" applyFill="1" applyBorder="1"/>
    <xf numFmtId="164" fontId="2" fillId="3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/>
    <xf numFmtId="164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/>
    <xf numFmtId="164" fontId="3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/>
    <xf numFmtId="164" fontId="6" fillId="2" borderId="1" xfId="0" applyNumberFormat="1" applyFont="1" applyFill="1" applyBorder="1"/>
    <xf numFmtId="164" fontId="7" fillId="2" borderId="1" xfId="0" applyNumberFormat="1" applyFont="1" applyFill="1" applyBorder="1"/>
    <xf numFmtId="164" fontId="8" fillId="2" borderId="1" xfId="0" applyNumberFormat="1" applyFont="1" applyFill="1" applyBorder="1"/>
    <xf numFmtId="0" fontId="6" fillId="3" borderId="1" xfId="0" applyFont="1" applyFill="1" applyBorder="1"/>
    <xf numFmtId="10" fontId="2" fillId="3" borderId="1" xfId="0" applyNumberFormat="1" applyFont="1" applyFill="1" applyBorder="1"/>
    <xf numFmtId="164" fontId="7" fillId="4" borderId="1" xfId="0" applyNumberFormat="1" applyFont="1" applyFill="1" applyBorder="1"/>
    <xf numFmtId="164" fontId="7" fillId="3" borderId="1" xfId="0" applyNumberFormat="1" applyFont="1" applyFill="1" applyBorder="1"/>
    <xf numFmtId="0" fontId="6" fillId="5" borderId="1" xfId="0" applyFont="1" applyFill="1" applyBorder="1"/>
    <xf numFmtId="164" fontId="2" fillId="5" borderId="1" xfId="0" applyNumberFormat="1" applyFont="1" applyFill="1" applyBorder="1"/>
    <xf numFmtId="164" fontId="2" fillId="5" borderId="1" xfId="0" applyNumberFormat="1" applyFont="1" applyFill="1" applyBorder="1" applyAlignment="1">
      <alignment horizontal="right"/>
    </xf>
    <xf numFmtId="167" fontId="2" fillId="5" borderId="1" xfId="0" applyNumberFormat="1" applyFont="1" applyFill="1" applyBorder="1"/>
    <xf numFmtId="0" fontId="6" fillId="6" borderId="1" xfId="0" applyFont="1" applyFill="1" applyBorder="1"/>
    <xf numFmtId="164" fontId="2" fillId="6" borderId="1" xfId="0" applyNumberFormat="1" applyFont="1" applyFill="1" applyBorder="1"/>
    <xf numFmtId="164" fontId="2" fillId="6" borderId="1" xfId="0" applyNumberFormat="1" applyFont="1" applyFill="1" applyBorder="1" applyAlignment="1">
      <alignment horizontal="right"/>
    </xf>
    <xf numFmtId="167" fontId="2" fillId="6" borderId="1" xfId="0" applyNumberFormat="1" applyFont="1" applyFill="1" applyBorder="1"/>
    <xf numFmtId="4" fontId="2" fillId="2" borderId="1" xfId="0" applyNumberFormat="1" applyFont="1" applyFill="1" applyBorder="1"/>
    <xf numFmtId="164" fontId="2" fillId="2" borderId="3" xfId="0" applyNumberFormat="1" applyFont="1" applyFill="1" applyBorder="1"/>
    <xf numFmtId="167" fontId="2" fillId="2" borderId="1" xfId="0" applyNumberFormat="1" applyFont="1" applyFill="1" applyBorder="1"/>
    <xf numFmtId="164" fontId="2" fillId="2" borderId="6" xfId="0" applyNumberFormat="1" applyFont="1" applyFill="1" applyBorder="1"/>
    <xf numFmtId="164" fontId="7" fillId="5" borderId="1" xfId="0" applyNumberFormat="1" applyFont="1" applyFill="1" applyBorder="1"/>
    <xf numFmtId="164" fontId="7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/>
    <xf numFmtId="164" fontId="7" fillId="0" borderId="6" xfId="0" applyNumberFormat="1" applyFont="1" applyBorder="1"/>
    <xf numFmtId="164" fontId="5" fillId="2" borderId="7" xfId="0" applyNumberFormat="1" applyFont="1" applyFill="1" applyBorder="1"/>
    <xf numFmtId="164" fontId="9" fillId="6" borderId="1" xfId="0" applyNumberFormat="1" applyFont="1" applyFill="1" applyBorder="1"/>
    <xf numFmtId="164" fontId="9" fillId="3" borderId="1" xfId="0" applyNumberFormat="1" applyFont="1" applyFill="1" applyBorder="1" applyAlignment="1">
      <alignment horizontal="center"/>
    </xf>
    <xf numFmtId="0" fontId="2" fillId="0" borderId="2" xfId="0" applyFont="1" applyBorder="1"/>
    <xf numFmtId="164" fontId="2" fillId="0" borderId="11" xfId="0" applyNumberFormat="1" applyFont="1" applyBorder="1"/>
    <xf numFmtId="164" fontId="2" fillId="0" borderId="10" xfId="0" applyNumberFormat="1" applyFont="1" applyBorder="1"/>
    <xf numFmtId="4" fontId="2" fillId="0" borderId="10" xfId="0" applyNumberFormat="1" applyFont="1" applyBorder="1" applyAlignment="1">
      <alignment horizontal="right"/>
    </xf>
    <xf numFmtId="164" fontId="9" fillId="4" borderId="1" xfId="0" applyNumberFormat="1" applyFont="1" applyFill="1" applyBorder="1"/>
    <xf numFmtId="164" fontId="2" fillId="7" borderId="0" xfId="0" applyNumberFormat="1" applyFont="1" applyFill="1"/>
    <xf numFmtId="4" fontId="10" fillId="0" borderId="0" xfId="0" applyNumberFormat="1" applyFont="1"/>
    <xf numFmtId="0" fontId="1" fillId="3" borderId="1" xfId="0" applyFont="1" applyFill="1" applyBorder="1"/>
    <xf numFmtId="164" fontId="9" fillId="3" borderId="1" xfId="0" applyNumberFormat="1" applyFont="1" applyFill="1" applyBorder="1"/>
    <xf numFmtId="4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9"/>
  <sheetViews>
    <sheetView tabSelected="1" zoomScaleNormal="100" workbookViewId="0">
      <selection activeCell="N19" sqref="N19"/>
    </sheetView>
  </sheetViews>
  <sheetFormatPr defaultColWidth="12.5703125" defaultRowHeight="15" customHeight="1"/>
  <cols>
    <col min="1" max="1" width="18.5703125" bestFit="1" customWidth="1"/>
    <col min="2" max="2" width="18.7109375" bestFit="1" customWidth="1"/>
    <col min="3" max="3" width="15.42578125" bestFit="1" customWidth="1"/>
    <col min="4" max="4" width="12.7109375" bestFit="1" customWidth="1"/>
    <col min="5" max="5" width="12.42578125" customWidth="1"/>
    <col min="6" max="14" width="12.140625" bestFit="1" customWidth="1"/>
    <col min="15" max="15" width="9.85546875" customWidth="1"/>
    <col min="16" max="16" width="18.140625" bestFit="1" customWidth="1"/>
    <col min="17" max="17" width="18.7109375" bestFit="1" customWidth="1"/>
    <col min="18" max="18" width="11.42578125" bestFit="1" customWidth="1"/>
    <col min="19" max="19" width="4.85546875" customWidth="1"/>
    <col min="20" max="20" width="15.28515625" customWidth="1"/>
    <col min="21" max="21" width="4" customWidth="1"/>
    <col min="22" max="22" width="6.28515625" customWidth="1"/>
    <col min="23" max="23" width="6.140625" customWidth="1"/>
    <col min="24" max="24" width="11.7109375" customWidth="1"/>
    <col min="25" max="25" width="8" customWidth="1"/>
    <col min="26" max="26" width="7.5703125" customWidth="1"/>
  </cols>
  <sheetData>
    <row r="1" spans="1:26">
      <c r="A1" s="22" t="s">
        <v>0</v>
      </c>
      <c r="B1" s="22" t="s">
        <v>1</v>
      </c>
      <c r="C1" s="23" t="s">
        <v>2</v>
      </c>
      <c r="D1" s="24">
        <v>45292</v>
      </c>
      <c r="E1" s="24">
        <v>45323</v>
      </c>
      <c r="F1" s="24">
        <v>45352</v>
      </c>
      <c r="G1" s="24">
        <v>45383</v>
      </c>
      <c r="H1" s="24">
        <v>45413</v>
      </c>
      <c r="I1" s="24">
        <v>45444</v>
      </c>
      <c r="J1" s="24">
        <v>45474</v>
      </c>
      <c r="K1" s="24">
        <v>45505</v>
      </c>
      <c r="L1" s="24">
        <v>45536</v>
      </c>
      <c r="M1" s="24">
        <v>45566</v>
      </c>
      <c r="N1" s="24">
        <v>45597</v>
      </c>
      <c r="O1" s="24">
        <v>45627</v>
      </c>
      <c r="P1" s="25" t="s">
        <v>3</v>
      </c>
      <c r="Q1" s="26" t="s">
        <v>4</v>
      </c>
      <c r="R1" s="27" t="s">
        <v>5</v>
      </c>
      <c r="S1" s="1"/>
      <c r="T1" s="1"/>
      <c r="U1" s="1"/>
      <c r="V1" s="1"/>
      <c r="W1" s="1"/>
      <c r="X1" s="1"/>
      <c r="Y1" s="1"/>
      <c r="Z1" s="1"/>
    </row>
    <row r="2" spans="1:26">
      <c r="A2" s="48" t="s">
        <v>6</v>
      </c>
      <c r="B2" s="49">
        <v>2480574.5900000003</v>
      </c>
      <c r="C2" s="44">
        <v>19680.849999999999</v>
      </c>
      <c r="D2" s="45">
        <v>22619.9</v>
      </c>
      <c r="E2" s="45">
        <v>18630.64</v>
      </c>
      <c r="F2" s="44">
        <v>20240.12</v>
      </c>
      <c r="G2" s="38">
        <v>14973.91</v>
      </c>
      <c r="H2" s="38">
        <v>19587.330000000002</v>
      </c>
      <c r="I2" s="38">
        <v>15796.41</v>
      </c>
      <c r="J2" s="38">
        <v>24258.99</v>
      </c>
      <c r="K2" s="38">
        <v>19731.14</v>
      </c>
      <c r="L2" s="38">
        <v>21425.57</v>
      </c>
      <c r="M2" s="44">
        <v>22101.99</v>
      </c>
      <c r="N2" s="44">
        <v>14870.67</v>
      </c>
      <c r="O2" s="44"/>
      <c r="P2" s="44">
        <f t="shared" ref="P2:P19" si="0">SUM(D2:O2)</f>
        <v>214236.67</v>
      </c>
      <c r="Q2" s="41">
        <f t="shared" ref="Q2:Q19" si="1">B2+C2+P2</f>
        <v>2714492.1100000003</v>
      </c>
      <c r="R2" s="46">
        <f t="shared" ref="R2:R22" si="2">Q2/Q$38</f>
        <v>9.4162926489554696E-2</v>
      </c>
      <c r="S2" s="1"/>
      <c r="T2" s="5"/>
      <c r="U2" s="1"/>
      <c r="V2" s="1"/>
      <c r="W2" s="1"/>
      <c r="X2" s="5"/>
      <c r="Y2" s="1"/>
      <c r="Z2" s="1"/>
    </row>
    <row r="3" spans="1:26">
      <c r="A3" s="52" t="s">
        <v>7</v>
      </c>
      <c r="B3" s="49">
        <v>1743139.81</v>
      </c>
      <c r="C3" s="42">
        <v>0</v>
      </c>
      <c r="D3" s="42">
        <v>16567.46</v>
      </c>
      <c r="E3" s="42">
        <v>13840.1</v>
      </c>
      <c r="F3" s="42">
        <v>14083.99</v>
      </c>
      <c r="G3" s="38">
        <v>14274.63</v>
      </c>
      <c r="H3" s="38">
        <v>14295.08</v>
      </c>
      <c r="I3" s="38">
        <v>14080.1</v>
      </c>
      <c r="J3" s="38">
        <v>16743.16</v>
      </c>
      <c r="K3" s="38">
        <v>15972.48</v>
      </c>
      <c r="L3" s="38">
        <v>15516.85</v>
      </c>
      <c r="M3" s="42">
        <v>17896.060000000001</v>
      </c>
      <c r="N3" s="42">
        <v>15341.47</v>
      </c>
      <c r="O3" s="42"/>
      <c r="P3" s="42">
        <f t="shared" si="0"/>
        <v>168611.38</v>
      </c>
      <c r="Q3" s="41">
        <f t="shared" si="1"/>
        <v>1911751.19</v>
      </c>
      <c r="R3" s="53">
        <f t="shared" si="2"/>
        <v>6.6316673423776756E-2</v>
      </c>
      <c r="S3" s="1"/>
      <c r="T3" s="5"/>
      <c r="U3" s="6"/>
      <c r="V3" s="6"/>
      <c r="W3" s="5"/>
      <c r="X3" s="5"/>
      <c r="Y3" s="1"/>
      <c r="Z3" s="1"/>
    </row>
    <row r="4" spans="1:26">
      <c r="A4" s="48" t="s">
        <v>8</v>
      </c>
      <c r="B4" s="49">
        <v>9729.25</v>
      </c>
      <c r="C4" s="54">
        <v>-9729.5300000000007</v>
      </c>
      <c r="D4" s="54">
        <v>-45.27</v>
      </c>
      <c r="E4" s="44">
        <v>45.55</v>
      </c>
      <c r="F4" s="44">
        <v>0</v>
      </c>
      <c r="G4" s="47">
        <v>0</v>
      </c>
      <c r="H4" s="47">
        <v>0</v>
      </c>
      <c r="I4" s="44">
        <v>0</v>
      </c>
      <c r="J4" s="44">
        <v>0</v>
      </c>
      <c r="K4" s="44">
        <v>0</v>
      </c>
      <c r="L4" s="44">
        <v>0</v>
      </c>
      <c r="M4" s="44">
        <v>0</v>
      </c>
      <c r="N4" s="44">
        <v>0</v>
      </c>
      <c r="O4" s="44">
        <v>0</v>
      </c>
      <c r="P4" s="44">
        <f t="shared" si="0"/>
        <v>0.27999999999999403</v>
      </c>
      <c r="Q4" s="41">
        <f t="shared" si="1"/>
        <v>-6.6080474425689317E-13</v>
      </c>
      <c r="R4" s="46">
        <f t="shared" si="2"/>
        <v>-2.292263378780306E-20</v>
      </c>
      <c r="S4" s="1"/>
      <c r="T4" s="5"/>
      <c r="U4" s="5"/>
      <c r="V4" s="5"/>
      <c r="W4" s="5"/>
      <c r="X4" s="5"/>
      <c r="Y4" s="1"/>
      <c r="Z4" s="1"/>
    </row>
    <row r="5" spans="1:26">
      <c r="A5" s="52" t="s">
        <v>9</v>
      </c>
      <c r="B5" s="49">
        <v>338529.27999999997</v>
      </c>
      <c r="C5" s="55">
        <f>-9951.32-353025.42</f>
        <v>-362976.74</v>
      </c>
      <c r="D5" s="42">
        <v>3775.71</v>
      </c>
      <c r="E5" s="42">
        <v>2512.4499999999998</v>
      </c>
      <c r="F5" s="42">
        <v>3095.64</v>
      </c>
      <c r="G5" s="42">
        <v>2696.9</v>
      </c>
      <c r="H5" s="38">
        <v>3039.79</v>
      </c>
      <c r="I5" s="38">
        <v>4008.42</v>
      </c>
      <c r="J5" s="38">
        <v>3421.39</v>
      </c>
      <c r="K5" s="38">
        <v>1897.16</v>
      </c>
      <c r="L5" s="42">
        <v>0</v>
      </c>
      <c r="M5" s="42">
        <v>0</v>
      </c>
      <c r="N5" s="43">
        <v>0</v>
      </c>
      <c r="O5" s="42">
        <v>0</v>
      </c>
      <c r="P5" s="42">
        <f t="shared" si="0"/>
        <v>24447.459999999995</v>
      </c>
      <c r="Q5" s="41">
        <f t="shared" si="1"/>
        <v>0</v>
      </c>
      <c r="R5" s="53">
        <f t="shared" si="2"/>
        <v>0</v>
      </c>
      <c r="S5" s="1"/>
      <c r="T5" s="5"/>
      <c r="U5" s="5"/>
      <c r="V5" s="5"/>
      <c r="W5" s="5"/>
      <c r="X5" s="5"/>
      <c r="Y5" s="1"/>
      <c r="Z5" s="1"/>
    </row>
    <row r="6" spans="1:26">
      <c r="A6" s="48" t="s">
        <v>10</v>
      </c>
      <c r="B6" s="49">
        <v>2687715.85</v>
      </c>
      <c r="C6" s="54">
        <f>-2751.71+5362.31-2751.71+1006958.14</f>
        <v>1006817.03</v>
      </c>
      <c r="D6" s="44">
        <v>19132.02</v>
      </c>
      <c r="E6" s="44">
        <v>12041.3</v>
      </c>
      <c r="F6" s="44">
        <v>23831.84</v>
      </c>
      <c r="G6" s="54">
        <v>-7111.03</v>
      </c>
      <c r="H6" s="44">
        <v>28712.82</v>
      </c>
      <c r="I6" s="44">
        <v>7072.9</v>
      </c>
      <c r="J6" s="44">
        <v>21148.41</v>
      </c>
      <c r="K6" s="44">
        <v>17728.34</v>
      </c>
      <c r="L6" s="44">
        <v>13426.67</v>
      </c>
      <c r="M6" s="44">
        <v>22834</v>
      </c>
      <c r="N6" s="44">
        <v>8065.87</v>
      </c>
      <c r="O6" s="44"/>
      <c r="P6" s="44">
        <f t="shared" si="0"/>
        <v>166883.14000000001</v>
      </c>
      <c r="Q6" s="41">
        <f t="shared" si="1"/>
        <v>3861416.02</v>
      </c>
      <c r="R6" s="46">
        <f t="shared" si="2"/>
        <v>0.13394853184408365</v>
      </c>
      <c r="S6" s="1"/>
      <c r="T6" s="5"/>
      <c r="U6" s="5"/>
      <c r="V6" s="5"/>
      <c r="W6" s="5"/>
      <c r="X6" s="5"/>
      <c r="Y6" s="1"/>
      <c r="Z6" s="1"/>
    </row>
    <row r="7" spans="1:26">
      <c r="A7" s="52" t="s">
        <v>11</v>
      </c>
      <c r="B7" s="49">
        <v>3580367.71</v>
      </c>
      <c r="C7" s="55">
        <f>7660.67-233395.77+3611.11+3703.15+11622.72+123213.3+518287.32</f>
        <v>434702.5</v>
      </c>
      <c r="D7" s="43">
        <v>34632.519999999997</v>
      </c>
      <c r="E7" s="42">
        <v>29094.28</v>
      </c>
      <c r="F7" s="42">
        <v>29560.240000000002</v>
      </c>
      <c r="G7" s="42">
        <v>30501.599999999999</v>
      </c>
      <c r="H7" s="42">
        <v>29057.439999999999</v>
      </c>
      <c r="I7" s="42">
        <v>27804.49</v>
      </c>
      <c r="J7" s="42">
        <v>34554.71</v>
      </c>
      <c r="K7" s="42">
        <v>32003.5</v>
      </c>
      <c r="L7" s="42">
        <v>30478.15</v>
      </c>
      <c r="M7" s="42">
        <v>34945.660000000003</v>
      </c>
      <c r="N7" s="42">
        <v>33734.92</v>
      </c>
      <c r="O7" s="42"/>
      <c r="P7" s="42">
        <f t="shared" si="0"/>
        <v>346367.50999999995</v>
      </c>
      <c r="Q7" s="41">
        <f t="shared" si="1"/>
        <v>4361437.72</v>
      </c>
      <c r="R7" s="53">
        <f t="shared" si="2"/>
        <v>0.15129376795909383</v>
      </c>
      <c r="S7" s="1"/>
      <c r="T7" s="5"/>
      <c r="U7" s="5"/>
      <c r="V7" s="5"/>
      <c r="W7" s="5"/>
      <c r="X7" s="5"/>
      <c r="Y7" s="1"/>
      <c r="Z7" s="1"/>
    </row>
    <row r="8" spans="1:26">
      <c r="A8" s="48" t="s">
        <v>12</v>
      </c>
      <c r="B8" s="49">
        <v>2090380.42</v>
      </c>
      <c r="C8" s="54">
        <f>-2751.71-2751.71+5362.31-2175419.37</f>
        <v>-2175560.48</v>
      </c>
      <c r="D8" s="44">
        <v>13758.84</v>
      </c>
      <c r="E8" s="44">
        <v>9213.52</v>
      </c>
      <c r="F8" s="44">
        <v>10639.81</v>
      </c>
      <c r="G8" s="54">
        <v>-11790.07</v>
      </c>
      <c r="H8" s="44">
        <v>13442.06</v>
      </c>
      <c r="I8" s="54">
        <v>-6710.82</v>
      </c>
      <c r="J8" s="44">
        <v>27892.79</v>
      </c>
      <c r="K8" s="44">
        <v>13956.86</v>
      </c>
      <c r="L8" s="44">
        <v>6855.14</v>
      </c>
      <c r="M8" s="44">
        <v>4068.24</v>
      </c>
      <c r="N8" s="44">
        <v>3853.69</v>
      </c>
      <c r="O8" s="44"/>
      <c r="P8" s="44">
        <f t="shared" si="0"/>
        <v>85180.06</v>
      </c>
      <c r="Q8" s="41">
        <f t="shared" si="1"/>
        <v>0</v>
      </c>
      <c r="R8" s="46">
        <f t="shared" si="2"/>
        <v>0</v>
      </c>
      <c r="S8" s="1"/>
      <c r="T8" s="5"/>
      <c r="U8" s="5"/>
      <c r="V8" s="5"/>
      <c r="W8" s="5"/>
      <c r="X8" s="5"/>
      <c r="Y8" s="1"/>
      <c r="Z8" s="1"/>
    </row>
    <row r="9" spans="1:26">
      <c r="A9" s="52" t="s">
        <v>13</v>
      </c>
      <c r="B9" s="49">
        <v>1809383.5100000007</v>
      </c>
      <c r="C9" s="55">
        <f>-553572.94+250000-558344.44-48283.37+519849.27-573794.61</f>
        <v>-964146.08999999985</v>
      </c>
      <c r="D9" s="42">
        <v>7667.74</v>
      </c>
      <c r="E9" s="42">
        <v>8482.14</v>
      </c>
      <c r="F9" s="42">
        <v>7769.96</v>
      </c>
      <c r="G9" s="55">
        <v>-2498.29</v>
      </c>
      <c r="H9" s="42">
        <v>8460.15</v>
      </c>
      <c r="I9" s="42">
        <v>52.1</v>
      </c>
      <c r="J9" s="42">
        <v>14331.6</v>
      </c>
      <c r="K9" s="42">
        <v>11183.8</v>
      </c>
      <c r="L9" s="42">
        <v>5118.9399999999996</v>
      </c>
      <c r="M9" s="42">
        <v>3199.64</v>
      </c>
      <c r="N9" s="42">
        <v>2593.5</v>
      </c>
      <c r="O9" s="42"/>
      <c r="P9" s="42">
        <f t="shared" si="0"/>
        <v>66361.279999999999</v>
      </c>
      <c r="Q9" s="41">
        <f t="shared" si="1"/>
        <v>911598.70000000088</v>
      </c>
      <c r="R9" s="53">
        <f t="shared" si="2"/>
        <v>3.162241697437599E-2</v>
      </c>
      <c r="S9" s="1"/>
      <c r="T9" s="5"/>
      <c r="U9" s="5"/>
      <c r="V9" s="5"/>
      <c r="W9" s="5"/>
      <c r="X9" s="5"/>
      <c r="Y9" s="1"/>
      <c r="Z9" s="1"/>
    </row>
    <row r="10" spans="1:26">
      <c r="A10" s="48" t="s">
        <v>14</v>
      </c>
      <c r="B10" s="49">
        <v>1191913.5</v>
      </c>
      <c r="C10" s="44">
        <v>0</v>
      </c>
      <c r="D10" s="44">
        <v>7957</v>
      </c>
      <c r="E10" s="44">
        <v>6764.5</v>
      </c>
      <c r="F10" s="45">
        <v>9272</v>
      </c>
      <c r="G10" s="50">
        <v>-5907.5</v>
      </c>
      <c r="H10" s="38">
        <v>12730.5</v>
      </c>
      <c r="I10" s="38">
        <v>3377.5</v>
      </c>
      <c r="J10" s="38">
        <v>10669</v>
      </c>
      <c r="K10" s="38">
        <v>9194.5</v>
      </c>
      <c r="L10" s="38">
        <v>4914.5</v>
      </c>
      <c r="M10" s="44">
        <v>9194.5</v>
      </c>
      <c r="N10" s="44">
        <v>6307</v>
      </c>
      <c r="O10" s="44"/>
      <c r="P10" s="44">
        <f t="shared" si="0"/>
        <v>74473.5</v>
      </c>
      <c r="Q10" s="41">
        <f t="shared" si="1"/>
        <v>1266387</v>
      </c>
      <c r="R10" s="46">
        <f t="shared" si="2"/>
        <v>4.3929656508866294E-2</v>
      </c>
      <c r="S10" s="1"/>
      <c r="T10" s="5"/>
      <c r="U10" s="5"/>
      <c r="V10" s="5"/>
      <c r="W10" s="5"/>
      <c r="X10" s="5"/>
      <c r="Y10" s="1"/>
      <c r="Z10" s="1"/>
    </row>
    <row r="11" spans="1:26">
      <c r="A11" s="52" t="s">
        <v>15</v>
      </c>
      <c r="B11" s="49">
        <v>1312110.3600000003</v>
      </c>
      <c r="C11" s="55">
        <f>-604575.46-327029.49+506890.55</f>
        <v>-424714.39999999997</v>
      </c>
      <c r="D11" s="42">
        <v>9474.2800000000007</v>
      </c>
      <c r="E11" s="42">
        <v>6701.45</v>
      </c>
      <c r="F11" s="42">
        <v>11049.87</v>
      </c>
      <c r="G11" s="55">
        <v>-3778.23</v>
      </c>
      <c r="H11" s="42">
        <v>7656.83</v>
      </c>
      <c r="I11" s="42">
        <v>551.78</v>
      </c>
      <c r="J11" s="42">
        <v>3214.14</v>
      </c>
      <c r="K11" s="42">
        <v>2642.38</v>
      </c>
      <c r="L11" s="42">
        <v>2051.12</v>
      </c>
      <c r="M11" s="42">
        <v>7005.44</v>
      </c>
      <c r="N11" s="42">
        <v>2472.29</v>
      </c>
      <c r="O11" s="42"/>
      <c r="P11" s="42">
        <f t="shared" si="0"/>
        <v>49041.35</v>
      </c>
      <c r="Q11" s="41">
        <f t="shared" si="1"/>
        <v>936437.31000000041</v>
      </c>
      <c r="R11" s="53">
        <f t="shared" si="2"/>
        <v>3.248404269025721E-2</v>
      </c>
      <c r="S11" s="1"/>
      <c r="T11" s="5"/>
      <c r="U11" s="5"/>
      <c r="V11" s="5"/>
      <c r="W11" s="5"/>
      <c r="X11" s="5"/>
      <c r="Y11" s="1"/>
      <c r="Z11" s="1"/>
    </row>
    <row r="12" spans="1:26">
      <c r="A12" s="48" t="s">
        <v>16</v>
      </c>
      <c r="B12" s="49">
        <v>955316.46000000043</v>
      </c>
      <c r="C12" s="44">
        <f>SUM(399320.39-48283.37-558107.31)</f>
        <v>-207070.29000000004</v>
      </c>
      <c r="D12" s="44">
        <v>7445.08</v>
      </c>
      <c r="E12" s="44">
        <v>8230.9599999999991</v>
      </c>
      <c r="F12" s="44">
        <v>11230.87</v>
      </c>
      <c r="G12" s="44">
        <v>7640.25</v>
      </c>
      <c r="H12" s="44">
        <v>10491.15</v>
      </c>
      <c r="I12" s="44">
        <v>8231.64</v>
      </c>
      <c r="J12" s="44">
        <v>7212.91</v>
      </c>
      <c r="K12" s="44">
        <v>5992.85</v>
      </c>
      <c r="L12" s="44">
        <v>6549.09</v>
      </c>
      <c r="M12" s="44">
        <v>6696.62</v>
      </c>
      <c r="N12" s="44">
        <v>4407.04</v>
      </c>
      <c r="O12" s="44"/>
      <c r="P12" s="44">
        <f t="shared" si="0"/>
        <v>84128.459999999992</v>
      </c>
      <c r="Q12" s="41">
        <f t="shared" si="1"/>
        <v>832374.63000000035</v>
      </c>
      <c r="R12" s="46">
        <f t="shared" si="2"/>
        <v>2.8874215846020755E-2</v>
      </c>
      <c r="S12" s="1"/>
      <c r="T12" s="7"/>
      <c r="U12" s="5"/>
      <c r="V12" s="5"/>
      <c r="W12" s="5"/>
      <c r="X12" s="7"/>
      <c r="Y12" s="1"/>
      <c r="Z12" s="1"/>
    </row>
    <row r="13" spans="1:26">
      <c r="A13" s="52" t="s">
        <v>17</v>
      </c>
      <c r="B13" s="49">
        <v>3220312.7700000005</v>
      </c>
      <c r="C13" s="42">
        <f>7660.67-1000000</f>
        <v>-992339.33</v>
      </c>
      <c r="D13" s="42">
        <v>21261.01</v>
      </c>
      <c r="E13" s="42">
        <v>18690.060000000001</v>
      </c>
      <c r="F13" s="42">
        <v>24558.41</v>
      </c>
      <c r="G13" s="55">
        <v>-7374.1</v>
      </c>
      <c r="H13" s="42">
        <v>33725.51</v>
      </c>
      <c r="I13" s="42">
        <v>12407.65</v>
      </c>
      <c r="J13" s="42">
        <v>29765.71</v>
      </c>
      <c r="K13" s="42">
        <v>17441.5</v>
      </c>
      <c r="L13" s="42">
        <v>12824.94</v>
      </c>
      <c r="M13" s="42">
        <v>24317.45</v>
      </c>
      <c r="N13" s="42">
        <v>10869.48</v>
      </c>
      <c r="O13" s="42"/>
      <c r="P13" s="42">
        <f t="shared" si="0"/>
        <v>198487.62000000002</v>
      </c>
      <c r="Q13" s="41">
        <f t="shared" si="1"/>
        <v>2426461.0600000005</v>
      </c>
      <c r="R13" s="53">
        <f t="shared" si="2"/>
        <v>8.4171426979224848E-2</v>
      </c>
      <c r="S13" s="1"/>
      <c r="T13" s="5"/>
      <c r="U13" s="5"/>
      <c r="V13" s="5"/>
      <c r="W13" s="5"/>
      <c r="X13" s="5"/>
      <c r="Y13" s="1"/>
      <c r="Z13" s="1"/>
    </row>
    <row r="14" spans="1:26">
      <c r="A14" s="48" t="s">
        <v>18</v>
      </c>
      <c r="B14" s="49">
        <v>1002164.0599999998</v>
      </c>
      <c r="C14" s="44">
        <f>406175.86+1818760.75-555867.01+492996.28-48820.87+549618.42+554514.28-556205.63+1054186.81-500000+48810.32-565404.43+604302.49-617230.92+503366.79-629077.35+499172.96-629901.96</f>
        <v>2429396.7899999996</v>
      </c>
      <c r="D14" s="44">
        <v>10396.299999999999</v>
      </c>
      <c r="E14" s="44">
        <v>18435.82</v>
      </c>
      <c r="F14" s="44">
        <v>23760.47</v>
      </c>
      <c r="G14" s="44">
        <v>29537.26</v>
      </c>
      <c r="H14" s="44">
        <v>32330.17</v>
      </c>
      <c r="I14" s="44">
        <v>30812.82</v>
      </c>
      <c r="J14" s="44">
        <v>40285.83</v>
      </c>
      <c r="K14" s="44">
        <v>35773.61</v>
      </c>
      <c r="L14" s="44">
        <v>33501.160000000003</v>
      </c>
      <c r="M14" s="44">
        <v>39205.360000000001</v>
      </c>
      <c r="N14" s="44">
        <v>32044.04</v>
      </c>
      <c r="O14" s="44"/>
      <c r="P14" s="44">
        <f t="shared" si="0"/>
        <v>326082.83999999997</v>
      </c>
      <c r="Q14" s="41">
        <f t="shared" si="1"/>
        <v>3757643.6899999995</v>
      </c>
      <c r="R14" s="46">
        <f t="shared" si="2"/>
        <v>0.1303487769413369</v>
      </c>
      <c r="S14" s="1"/>
      <c r="T14" s="5"/>
      <c r="U14" s="5"/>
      <c r="V14" s="5"/>
      <c r="W14" s="5"/>
      <c r="X14" s="5"/>
      <c r="Y14" s="1"/>
      <c r="Z14" s="1"/>
    </row>
    <row r="15" spans="1:26">
      <c r="A15" s="52" t="s">
        <v>19</v>
      </c>
      <c r="B15" s="49">
        <v>2036371.4600000002</v>
      </c>
      <c r="C15" s="55">
        <f>-48822.7-1999660.93</f>
        <v>-2048483.63</v>
      </c>
      <c r="D15" s="42">
        <v>12159.05</v>
      </c>
      <c r="E15" s="55">
        <v>-46.88</v>
      </c>
      <c r="F15" s="42">
        <v>0</v>
      </c>
      <c r="G15" s="74">
        <v>0</v>
      </c>
      <c r="H15" s="74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f t="shared" si="0"/>
        <v>12112.17</v>
      </c>
      <c r="Q15" s="41">
        <f t="shared" si="1"/>
        <v>3.0740920919924974E-10</v>
      </c>
      <c r="R15" s="53">
        <f t="shared" si="2"/>
        <v>1.0663707830059264E-17</v>
      </c>
      <c r="S15" s="1"/>
      <c r="T15" s="5"/>
      <c r="U15" s="5"/>
      <c r="V15" s="5"/>
      <c r="W15" s="5"/>
      <c r="X15" s="5"/>
      <c r="Y15" s="1"/>
      <c r="Z15" s="1"/>
    </row>
    <row r="16" spans="1:26">
      <c r="A16" s="48" t="s">
        <v>20</v>
      </c>
      <c r="B16" s="49">
        <v>3153670.5799999996</v>
      </c>
      <c r="C16" s="54">
        <f>-1239.52-1239.52-2751.71-2751.71+654380.34</f>
        <v>646397.88</v>
      </c>
      <c r="D16" s="44">
        <v>27257.64</v>
      </c>
      <c r="E16" s="44">
        <v>23551.03</v>
      </c>
      <c r="F16" s="44">
        <v>25723.46</v>
      </c>
      <c r="G16" s="44">
        <v>18183.740000000002</v>
      </c>
      <c r="H16" s="44">
        <v>24165.86</v>
      </c>
      <c r="I16" s="44">
        <v>19798.580000000002</v>
      </c>
      <c r="J16" s="44">
        <v>29803.66</v>
      </c>
      <c r="K16" s="44">
        <v>24648.52</v>
      </c>
      <c r="L16" s="44">
        <v>26703.72</v>
      </c>
      <c r="M16" s="44">
        <v>27491.75</v>
      </c>
      <c r="N16" s="44">
        <v>19049.09</v>
      </c>
      <c r="O16" s="44"/>
      <c r="P16" s="44">
        <f t="shared" si="0"/>
        <v>266377.05</v>
      </c>
      <c r="Q16" s="41">
        <f t="shared" si="1"/>
        <v>4066445.5099999993</v>
      </c>
      <c r="R16" s="46">
        <f t="shared" si="2"/>
        <v>0.14106079300112964</v>
      </c>
      <c r="S16" s="1"/>
      <c r="T16" s="5"/>
      <c r="U16" s="5"/>
      <c r="V16" s="5"/>
      <c r="W16" s="5"/>
      <c r="X16" s="5"/>
      <c r="Y16" s="1"/>
      <c r="Z16" s="1"/>
    </row>
    <row r="17" spans="1:26">
      <c r="A17" s="52" t="s">
        <v>21</v>
      </c>
      <c r="B17" s="49">
        <v>314068.90999999997</v>
      </c>
      <c r="C17" s="42">
        <f>-2751.71+5362.31+1000000</f>
        <v>1002610.6</v>
      </c>
      <c r="D17" s="42">
        <v>2968.71</v>
      </c>
      <c r="E17" s="42">
        <v>2489.91</v>
      </c>
      <c r="F17" s="42">
        <v>2604.79</v>
      </c>
      <c r="G17" s="42">
        <v>2783.3</v>
      </c>
      <c r="H17" s="42">
        <v>2600.5300000000002</v>
      </c>
      <c r="I17" s="42">
        <v>2500.39</v>
      </c>
      <c r="J17" s="42">
        <v>2943.71</v>
      </c>
      <c r="K17" s="42">
        <v>2858.28</v>
      </c>
      <c r="L17" s="42">
        <v>2762.47</v>
      </c>
      <c r="M17" s="42">
        <v>3118.4</v>
      </c>
      <c r="N17" s="42">
        <v>8500.15</v>
      </c>
      <c r="O17" s="42"/>
      <c r="P17" s="42">
        <f t="shared" si="0"/>
        <v>36130.639999999999</v>
      </c>
      <c r="Q17" s="41">
        <f t="shared" si="1"/>
        <v>1352810.15</v>
      </c>
      <c r="R17" s="53">
        <f t="shared" si="2"/>
        <v>4.692758628381994E-2</v>
      </c>
      <c r="S17" s="1"/>
      <c r="T17" s="5"/>
      <c r="U17" s="5"/>
      <c r="V17" s="5"/>
      <c r="W17" s="5"/>
      <c r="X17" s="5"/>
      <c r="Y17" s="1"/>
      <c r="Z17" s="1"/>
    </row>
    <row r="18" spans="1:26">
      <c r="A18" s="48" t="s">
        <v>22</v>
      </c>
      <c r="B18" s="49">
        <v>0</v>
      </c>
      <c r="C18" s="79">
        <f>48673.83-49471.5+48672+48136-48924+48136-48980.03+48136+49656.4-50563.7-48960+48134.63-48924-49491+49108.8</f>
        <v>43339.430000000008</v>
      </c>
      <c r="D18" s="54">
        <v>-33.03</v>
      </c>
      <c r="E18" s="44">
        <v>830.7</v>
      </c>
      <c r="F18" s="54">
        <v>-202.8</v>
      </c>
      <c r="G18" s="44">
        <v>976.83</v>
      </c>
      <c r="H18" s="54">
        <v>-2177</v>
      </c>
      <c r="I18" s="44">
        <f>1343+907.3</f>
        <v>2250.3000000000002</v>
      </c>
      <c r="J18" s="54">
        <f>SUM(824-1352.7)</f>
        <v>-528.70000000000005</v>
      </c>
      <c r="K18" s="44">
        <f>SUM(789.37+819+3044.7)</f>
        <v>4653.07</v>
      </c>
      <c r="L18" s="44">
        <v>0</v>
      </c>
      <c r="M18" s="44">
        <v>0</v>
      </c>
      <c r="N18" s="44">
        <v>-1673.1</v>
      </c>
      <c r="O18" s="44"/>
      <c r="P18" s="44">
        <f>SUM(D18:O18)</f>
        <v>4096.2700000000004</v>
      </c>
      <c r="Q18" s="41">
        <f t="shared" si="1"/>
        <v>47435.700000000012</v>
      </c>
      <c r="R18" s="46">
        <f t="shared" si="2"/>
        <v>1.6454954190603893E-3</v>
      </c>
      <c r="S18" s="1"/>
      <c r="T18" s="5"/>
      <c r="U18" s="5"/>
      <c r="V18" s="5"/>
      <c r="W18" s="5"/>
      <c r="X18" s="5"/>
      <c r="Y18" s="1"/>
      <c r="Z18" s="1"/>
    </row>
    <row r="19" spans="1:26">
      <c r="A19" s="82" t="s">
        <v>30</v>
      </c>
      <c r="B19" s="49">
        <v>0</v>
      </c>
      <c r="C19" s="83">
        <v>353025.42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38">
        <v>347.92</v>
      </c>
      <c r="L19" s="38">
        <v>1766.14</v>
      </c>
      <c r="M19" s="42">
        <v>3161.45</v>
      </c>
      <c r="N19" s="42">
        <v>1455.57</v>
      </c>
      <c r="O19" s="42"/>
      <c r="P19" s="42">
        <f t="shared" si="0"/>
        <v>6731.08</v>
      </c>
      <c r="Q19" s="41">
        <f t="shared" si="1"/>
        <v>359756.5</v>
      </c>
      <c r="R19" s="53">
        <f t="shared" si="2"/>
        <v>1.2479581258992675E-2</v>
      </c>
      <c r="S19" s="1"/>
      <c r="T19" s="5"/>
      <c r="U19" s="5"/>
      <c r="V19" s="5"/>
      <c r="W19" s="5"/>
      <c r="X19" s="5"/>
      <c r="Y19" s="1"/>
      <c r="Z19" s="1"/>
    </row>
    <row r="20" spans="1:26">
      <c r="A20" s="37" t="s">
        <v>23</v>
      </c>
      <c r="B20" s="51">
        <f t="shared" ref="B20:J20" si="3">SUM(B2:B18)</f>
        <v>27925748.52</v>
      </c>
      <c r="C20" s="50">
        <f t="shared" si="3"/>
        <v>-1602075.4100000004</v>
      </c>
      <c r="D20" s="38">
        <f t="shared" si="3"/>
        <v>216994.95999999996</v>
      </c>
      <c r="E20" s="38">
        <f t="shared" si="3"/>
        <v>179507.53</v>
      </c>
      <c r="F20" s="38">
        <f t="shared" si="3"/>
        <v>217218.67</v>
      </c>
      <c r="G20" s="38">
        <f t="shared" si="3"/>
        <v>83109.200000000012</v>
      </c>
      <c r="H20" s="38">
        <f t="shared" si="3"/>
        <v>238118.22</v>
      </c>
      <c r="I20" s="38">
        <f t="shared" si="3"/>
        <v>142034.26</v>
      </c>
      <c r="J20" s="38">
        <f t="shared" si="3"/>
        <v>265717.31</v>
      </c>
      <c r="K20" s="38">
        <f>SUM(K2:K19)</f>
        <v>216025.91</v>
      </c>
      <c r="L20" s="38">
        <f>SUM(L2:L19)</f>
        <v>183894.46000000002</v>
      </c>
      <c r="M20" s="38">
        <f t="shared" ref="M20:N20" si="4">SUM(M2:M19)</f>
        <v>225236.56000000003</v>
      </c>
      <c r="N20" s="38">
        <f t="shared" si="4"/>
        <v>161891.67999999996</v>
      </c>
      <c r="O20" s="38">
        <f t="shared" ref="O20" si="5">SUM(O2:O19)</f>
        <v>0</v>
      </c>
      <c r="P20" s="38">
        <f t="shared" ref="P20" si="6">SUM(P2:P19)</f>
        <v>2129748.7600000002</v>
      </c>
      <c r="Q20" s="38">
        <f t="shared" ref="Q20" si="7">SUM(Q2:Q19)</f>
        <v>28806447.289999995</v>
      </c>
      <c r="R20" s="40">
        <f t="shared" si="2"/>
        <v>0.99926589161959345</v>
      </c>
      <c r="S20" s="1"/>
      <c r="T20" s="5"/>
      <c r="U20" s="5"/>
      <c r="V20" s="5"/>
      <c r="W20" s="5"/>
      <c r="X20" s="5"/>
      <c r="Y20" s="1"/>
      <c r="Z20" s="1"/>
    </row>
    <row r="21" spans="1:26">
      <c r="A21" s="1"/>
      <c r="B21" s="8">
        <v>0</v>
      </c>
      <c r="C21" s="1"/>
      <c r="D21" s="1"/>
      <c r="E21" s="1"/>
      <c r="F21" s="1"/>
      <c r="G21" s="1"/>
      <c r="H21" s="1"/>
      <c r="I21" s="1"/>
      <c r="J21" s="5"/>
      <c r="K21" s="1"/>
      <c r="L21" s="1"/>
      <c r="M21" s="1"/>
      <c r="N21" s="1"/>
      <c r="O21" s="1"/>
      <c r="P21" s="1"/>
      <c r="Q21" s="9">
        <f>F23</f>
        <v>0</v>
      </c>
      <c r="R21" s="4">
        <f t="shared" si="2"/>
        <v>0</v>
      </c>
      <c r="S21" s="1"/>
      <c r="T21" s="10"/>
      <c r="U21" s="1"/>
      <c r="V21" s="1"/>
      <c r="W21" s="1"/>
      <c r="X21" s="1"/>
      <c r="Y21" s="1"/>
      <c r="Z21" s="1"/>
    </row>
    <row r="22" spans="1:26" ht="14.25" customHeight="1">
      <c r="A22" s="1"/>
      <c r="B22" s="7">
        <f>B20+B21</f>
        <v>27925748.52</v>
      </c>
      <c r="C22" s="1"/>
      <c r="D22" s="1"/>
      <c r="E22" s="2" t="s">
        <v>24</v>
      </c>
      <c r="F22" s="3">
        <v>0</v>
      </c>
      <c r="G22" s="8"/>
      <c r="H22" s="1"/>
      <c r="I22" s="8"/>
      <c r="J22" s="80"/>
      <c r="K22" s="8"/>
      <c r="L22" s="1"/>
      <c r="M22" s="1"/>
      <c r="N22" s="1"/>
      <c r="O22" s="1"/>
      <c r="P22" s="1"/>
      <c r="Q22" s="9">
        <f>Q20+Q21</f>
        <v>28806447.289999995</v>
      </c>
      <c r="R22" s="4">
        <f t="shared" si="2"/>
        <v>0.99926589161959345</v>
      </c>
      <c r="S22" s="1"/>
      <c r="T22" s="1"/>
      <c r="U22" s="1"/>
      <c r="V22" s="1"/>
      <c r="W22" s="1"/>
      <c r="X22" s="1"/>
      <c r="Y22" s="1"/>
      <c r="Z22" s="1"/>
    </row>
    <row r="23" spans="1:26" ht="9.75" customHeight="1">
      <c r="A23" s="1"/>
      <c r="B23" s="1"/>
      <c r="C23" s="1"/>
      <c r="D23" s="1"/>
      <c r="E23" s="2" t="s">
        <v>25</v>
      </c>
      <c r="F23" s="76">
        <v>0</v>
      </c>
      <c r="G23" s="8"/>
      <c r="H23" s="1"/>
      <c r="I23" s="1"/>
      <c r="J23" s="8"/>
      <c r="K23" s="8"/>
      <c r="L23" s="1"/>
      <c r="M23" s="1"/>
      <c r="N23" s="1"/>
      <c r="O23" s="1"/>
      <c r="P23" s="1"/>
      <c r="Q23" s="1"/>
      <c r="R23" s="11"/>
      <c r="S23" s="1"/>
      <c r="T23" s="1"/>
      <c r="U23" s="1"/>
      <c r="V23" s="1"/>
      <c r="W23" s="1"/>
      <c r="X23" s="1"/>
      <c r="Y23" s="1"/>
      <c r="Z23" s="1"/>
    </row>
    <row r="24" spans="1:26" ht="9.75" customHeight="1">
      <c r="A24" s="12"/>
      <c r="B24" s="13"/>
      <c r="C24" s="81"/>
      <c r="D24" s="14"/>
      <c r="E24" s="75" t="s">
        <v>29</v>
      </c>
      <c r="F24" s="77">
        <v>0</v>
      </c>
      <c r="G24" s="8"/>
      <c r="H24" s="15"/>
      <c r="I24" s="1"/>
      <c r="J24" s="8"/>
      <c r="K24" s="8"/>
      <c r="L24" s="15"/>
      <c r="M24" s="8"/>
      <c r="N24" s="8"/>
      <c r="O24" s="1"/>
      <c r="P24" s="15"/>
      <c r="Q24" s="1"/>
      <c r="R24" s="11"/>
      <c r="S24" s="1"/>
      <c r="T24" s="15"/>
      <c r="U24" s="1"/>
      <c r="V24" s="15"/>
      <c r="W24" s="1"/>
      <c r="X24" s="1"/>
      <c r="Y24" s="1"/>
      <c r="Z24" s="1"/>
    </row>
    <row r="25" spans="1:26" ht="9.75" customHeight="1">
      <c r="A25" s="1"/>
      <c r="B25" s="16"/>
      <c r="C25" s="16"/>
      <c r="D25" s="6"/>
      <c r="E25" s="17"/>
      <c r="F25" s="78">
        <f>SUM(F22,F23,F24)</f>
        <v>0</v>
      </c>
      <c r="G25" s="8"/>
      <c r="H25" s="5"/>
      <c r="I25" s="17"/>
      <c r="J25" s="5"/>
      <c r="K25" s="8"/>
      <c r="L25" s="5"/>
      <c r="M25" s="1"/>
      <c r="N25" s="5"/>
      <c r="O25" s="17"/>
      <c r="P25" s="5"/>
      <c r="Q25" s="17"/>
      <c r="R25" s="11"/>
      <c r="S25" s="17"/>
      <c r="T25" s="5"/>
      <c r="U25" s="17"/>
      <c r="V25" s="5"/>
      <c r="W25" s="17"/>
      <c r="X25" s="1"/>
      <c r="Y25" s="1"/>
      <c r="Z25" s="1"/>
    </row>
    <row r="26" spans="1:26" ht="9.75" customHeight="1">
      <c r="A26" s="1"/>
      <c r="B26" s="16"/>
      <c r="C26" s="16"/>
      <c r="D26" s="5"/>
      <c r="E26" s="17"/>
      <c r="F26" s="5"/>
      <c r="G26" s="17"/>
      <c r="H26" s="5"/>
      <c r="I26" s="17"/>
      <c r="J26" s="5"/>
      <c r="K26" s="17"/>
      <c r="L26" s="5"/>
      <c r="M26" s="7"/>
      <c r="N26" s="5"/>
      <c r="O26" s="17"/>
      <c r="P26" s="5"/>
      <c r="Q26" s="17"/>
      <c r="R26" s="11"/>
      <c r="S26" s="17"/>
      <c r="T26" s="5"/>
      <c r="U26" s="17"/>
      <c r="V26" s="5"/>
      <c r="W26" s="17"/>
      <c r="X26" s="1"/>
      <c r="Y26" s="1"/>
      <c r="Z26" s="1"/>
    </row>
    <row r="27" spans="1:26" ht="9.75" customHeight="1">
      <c r="A27" s="1"/>
      <c r="B27" s="16"/>
      <c r="C27" s="16"/>
      <c r="D27" s="5"/>
      <c r="E27" s="8"/>
      <c r="F27" s="5"/>
      <c r="G27" s="17"/>
      <c r="H27" s="5"/>
      <c r="I27" s="17"/>
      <c r="J27" s="5"/>
      <c r="K27" s="8"/>
      <c r="L27" s="5"/>
      <c r="M27" s="17"/>
      <c r="N27" s="1"/>
      <c r="O27" s="17"/>
      <c r="P27" s="5"/>
      <c r="Q27" s="17"/>
      <c r="R27" s="11"/>
      <c r="S27" s="17"/>
      <c r="T27" s="5"/>
      <c r="U27" s="17"/>
      <c r="V27" s="1"/>
      <c r="W27" s="17"/>
      <c r="X27" s="1"/>
      <c r="Y27" s="1"/>
      <c r="Z27" s="1"/>
    </row>
    <row r="28" spans="1:26" ht="9.75" customHeight="1">
      <c r="A28" s="1"/>
      <c r="B28" s="18"/>
      <c r="C28" s="18"/>
      <c r="D28" s="5"/>
      <c r="E28" s="1"/>
      <c r="F28" s="5"/>
      <c r="G28" s="1"/>
      <c r="H28" s="1"/>
      <c r="I28" s="1"/>
      <c r="J28" s="1"/>
      <c r="K28" s="1"/>
      <c r="L28" s="84"/>
      <c r="M28" s="1"/>
      <c r="N28" s="1"/>
      <c r="O28" s="1"/>
      <c r="P28" s="5"/>
      <c r="Q28" s="1"/>
      <c r="R28" s="11"/>
      <c r="S28" s="1"/>
      <c r="T28" s="1"/>
      <c r="U28" s="1"/>
      <c r="V28" s="1"/>
      <c r="W28" s="1"/>
      <c r="X28" s="1"/>
      <c r="Y28" s="1"/>
      <c r="Z28" s="1"/>
    </row>
    <row r="29" spans="1:26" ht="9.75" customHeight="1">
      <c r="A29" s="1"/>
      <c r="B29" s="16"/>
      <c r="C29" s="16"/>
      <c r="D29" s="5"/>
      <c r="E29" s="17"/>
      <c r="F29" s="5"/>
      <c r="G29" s="7"/>
      <c r="H29" s="5"/>
      <c r="I29" s="17"/>
      <c r="J29" s="5"/>
      <c r="K29" s="17"/>
      <c r="L29" s="5"/>
      <c r="M29" s="1"/>
      <c r="N29" s="5"/>
      <c r="O29" s="17"/>
      <c r="P29" s="5"/>
      <c r="Q29" s="17"/>
      <c r="R29" s="11"/>
      <c r="S29" s="17"/>
      <c r="T29" s="5"/>
      <c r="U29" s="17"/>
      <c r="V29" s="5"/>
      <c r="W29" s="17"/>
      <c r="X29" s="5"/>
      <c r="Y29" s="17"/>
      <c r="Z29" s="1"/>
    </row>
    <row r="30" spans="1:26" ht="15.75" customHeight="1">
      <c r="A30" s="22" t="s">
        <v>0</v>
      </c>
      <c r="B30" s="22" t="s">
        <v>1</v>
      </c>
      <c r="C30" s="23" t="s">
        <v>2</v>
      </c>
      <c r="D30" s="24">
        <v>45292</v>
      </c>
      <c r="E30" s="24">
        <v>45323</v>
      </c>
      <c r="F30" s="24">
        <v>45352</v>
      </c>
      <c r="G30" s="24">
        <v>45383</v>
      </c>
      <c r="H30" s="24">
        <v>45413</v>
      </c>
      <c r="I30" s="24">
        <v>45444</v>
      </c>
      <c r="J30" s="24">
        <v>45474</v>
      </c>
      <c r="K30" s="24">
        <v>45505</v>
      </c>
      <c r="L30" s="24">
        <v>45536</v>
      </c>
      <c r="M30" s="24">
        <v>45566</v>
      </c>
      <c r="N30" s="24">
        <v>45597</v>
      </c>
      <c r="O30" s="24">
        <v>45627</v>
      </c>
      <c r="P30" s="25" t="s">
        <v>3</v>
      </c>
      <c r="Q30" s="26" t="s">
        <v>4</v>
      </c>
      <c r="R30" s="27" t="s">
        <v>5</v>
      </c>
      <c r="S30" s="17"/>
      <c r="T30" s="5"/>
      <c r="U30" s="17"/>
      <c r="V30" s="5"/>
      <c r="W30" s="17"/>
      <c r="X30" s="1"/>
      <c r="Y30" s="17"/>
      <c r="Z30" s="1"/>
    </row>
    <row r="31" spans="1:26" ht="15.75" customHeight="1">
      <c r="A31" s="56" t="s">
        <v>26</v>
      </c>
      <c r="B31" s="49">
        <v>12161.529999999999</v>
      </c>
      <c r="C31" s="68">
        <v>-12059.89</v>
      </c>
      <c r="D31" s="69">
        <v>-101.64</v>
      </c>
      <c r="E31" s="58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>
        <f t="shared" ref="P31:P32" si="8">SUM(D31:O31)</f>
        <v>-101.64</v>
      </c>
      <c r="Q31" s="39">
        <f t="shared" ref="Q31:Q32" si="9">B31+C31+P31</f>
        <v>-5.8264504332328215E-13</v>
      </c>
      <c r="R31" s="59">
        <f t="shared" ref="R31:R35" si="10">Q31/Q$38</f>
        <v>-2.0211354522579043E-20</v>
      </c>
      <c r="S31" s="17"/>
      <c r="T31" s="1"/>
      <c r="U31" s="17"/>
      <c r="V31" s="1"/>
      <c r="W31" s="17"/>
      <c r="X31" s="1"/>
      <c r="Y31" s="17"/>
      <c r="Z31" s="1"/>
    </row>
    <row r="32" spans="1:26" ht="15.75" customHeight="1">
      <c r="A32" s="60" t="s">
        <v>18</v>
      </c>
      <c r="B32" s="49">
        <v>0</v>
      </c>
      <c r="C32" s="73">
        <f>SUM(19199.3+2194.23+2522.33+512310.34-524774.95+3086.95)</f>
        <v>14538.200000000117</v>
      </c>
      <c r="D32" s="62"/>
      <c r="E32" s="62">
        <v>118.92</v>
      </c>
      <c r="F32" s="61">
        <v>152.57</v>
      </c>
      <c r="G32" s="61">
        <v>178.66</v>
      </c>
      <c r="H32" s="61">
        <v>186.23</v>
      </c>
      <c r="I32" s="61">
        <v>282.17</v>
      </c>
      <c r="J32" s="61">
        <v>123.6</v>
      </c>
      <c r="K32" s="61">
        <v>136.61000000000001</v>
      </c>
      <c r="L32" s="61">
        <v>134.68</v>
      </c>
      <c r="M32" s="61">
        <v>151.03</v>
      </c>
      <c r="N32" s="61">
        <v>129.25</v>
      </c>
      <c r="O32" s="61"/>
      <c r="P32" s="61">
        <f t="shared" si="8"/>
        <v>1593.7199999999998</v>
      </c>
      <c r="Q32" s="39">
        <f t="shared" si="9"/>
        <v>16131.920000000116</v>
      </c>
      <c r="R32" s="63">
        <f t="shared" si="10"/>
        <v>5.5959963615270487E-4</v>
      </c>
      <c r="S32" s="17"/>
      <c r="T32" s="1"/>
      <c r="U32" s="17"/>
      <c r="V32" s="1"/>
      <c r="W32" s="17"/>
      <c r="X32" s="1"/>
      <c r="Y32" s="17"/>
      <c r="Z32" s="1"/>
    </row>
    <row r="33" spans="1:26" ht="15.75" customHeight="1">
      <c r="A33" s="37" t="s">
        <v>23</v>
      </c>
      <c r="B33" s="49">
        <f>SUM(B31:B32)</f>
        <v>12161.529999999999</v>
      </c>
      <c r="C33" s="50">
        <f>SUM(C31)</f>
        <v>-12059.89</v>
      </c>
      <c r="D33" s="70">
        <f>SUM(D31+D32)</f>
        <v>-101.64</v>
      </c>
      <c r="E33" s="64">
        <f>E31+E32</f>
        <v>118.92</v>
      </c>
      <c r="F33" s="64">
        <f t="shared" ref="F33:L33" si="11">SUM(F31+F32)</f>
        <v>152.57</v>
      </c>
      <c r="G33" s="64">
        <f t="shared" si="11"/>
        <v>178.66</v>
      </c>
      <c r="H33" s="64">
        <f t="shared" si="11"/>
        <v>186.23</v>
      </c>
      <c r="I33" s="64">
        <f t="shared" si="11"/>
        <v>282.17</v>
      </c>
      <c r="J33" s="64">
        <f t="shared" si="11"/>
        <v>123.6</v>
      </c>
      <c r="K33" s="64">
        <f t="shared" si="11"/>
        <v>136.61000000000001</v>
      </c>
      <c r="L33" s="64">
        <f t="shared" si="11"/>
        <v>134.68</v>
      </c>
      <c r="M33" s="64">
        <f>SUM(M32+M31)</f>
        <v>151.03</v>
      </c>
      <c r="N33" s="64">
        <f t="shared" ref="N33:O33" si="12">SUM(N31+N32)</f>
        <v>129.25</v>
      </c>
      <c r="O33" s="64">
        <f t="shared" si="12"/>
        <v>0</v>
      </c>
      <c r="P33" s="64">
        <f>SUM(P31:P32)</f>
        <v>1492.0799999999997</v>
      </c>
      <c r="Q33" s="65">
        <f>SUM(Q31+Q32)</f>
        <v>16131.920000000116</v>
      </c>
      <c r="R33" s="66">
        <f t="shared" si="10"/>
        <v>5.5959963615270487E-4</v>
      </c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38">
        <f>E35</f>
        <v>5030.67</v>
      </c>
      <c r="R34" s="19">
        <f t="shared" si="10"/>
        <v>1.7450874425389585E-4</v>
      </c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2" t="s">
        <v>27</v>
      </c>
      <c r="E35" s="9">
        <v>5030.67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38">
        <f>Q33+Q34</f>
        <v>21162.590000000117</v>
      </c>
      <c r="R35" s="19">
        <f t="shared" si="10"/>
        <v>7.3410838040660067E-4</v>
      </c>
      <c r="S35" s="1"/>
      <c r="T35" s="1"/>
      <c r="U35" s="1"/>
      <c r="V35" s="1"/>
      <c r="W35" s="1"/>
      <c r="X35" s="1"/>
      <c r="Y35" s="1"/>
      <c r="Z35" s="1"/>
    </row>
    <row r="36" spans="1:26" ht="9.75" customHeight="1" thickBo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thickBot="1">
      <c r="A37" s="32" t="s">
        <v>0</v>
      </c>
      <c r="B37" s="33" t="s">
        <v>1</v>
      </c>
      <c r="C37" s="34" t="s">
        <v>2</v>
      </c>
      <c r="D37" s="35">
        <v>45292</v>
      </c>
      <c r="E37" s="35">
        <v>45323</v>
      </c>
      <c r="F37" s="35">
        <v>45352</v>
      </c>
      <c r="G37" s="35">
        <v>45383</v>
      </c>
      <c r="H37" s="35">
        <v>45413</v>
      </c>
      <c r="I37" s="35">
        <v>45444</v>
      </c>
      <c r="J37" s="35">
        <v>45474</v>
      </c>
      <c r="K37" s="35">
        <v>45505</v>
      </c>
      <c r="L37" s="35">
        <v>45536</v>
      </c>
      <c r="M37" s="35">
        <v>45566</v>
      </c>
      <c r="N37" s="35">
        <v>45597</v>
      </c>
      <c r="O37" s="35">
        <v>45627</v>
      </c>
      <c r="P37" s="36" t="s">
        <v>3</v>
      </c>
      <c r="Q37" s="33" t="s">
        <v>4</v>
      </c>
      <c r="R37" s="31" t="s">
        <v>5</v>
      </c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28" t="s">
        <v>28</v>
      </c>
      <c r="B38" s="67">
        <f>B22+B33</f>
        <v>27937910.050000001</v>
      </c>
      <c r="C38" s="71">
        <f t="shared" ref="C38:P38" si="13">C20+C33</f>
        <v>-1614135.3000000003</v>
      </c>
      <c r="D38" s="29">
        <f t="shared" si="13"/>
        <v>216893.31999999995</v>
      </c>
      <c r="E38" s="29">
        <f t="shared" si="13"/>
        <v>179626.45</v>
      </c>
      <c r="F38" s="29">
        <f t="shared" si="13"/>
        <v>217371.24000000002</v>
      </c>
      <c r="G38" s="29">
        <f t="shared" si="13"/>
        <v>83287.860000000015</v>
      </c>
      <c r="H38" s="29">
        <f t="shared" si="13"/>
        <v>238304.45</v>
      </c>
      <c r="I38" s="29">
        <f t="shared" si="13"/>
        <v>142316.43000000002</v>
      </c>
      <c r="J38" s="29">
        <f t="shared" si="13"/>
        <v>265840.90999999997</v>
      </c>
      <c r="K38" s="29">
        <f t="shared" si="13"/>
        <v>216162.52</v>
      </c>
      <c r="L38" s="29">
        <f t="shared" si="13"/>
        <v>184029.14</v>
      </c>
      <c r="M38" s="29">
        <f t="shared" si="13"/>
        <v>225387.59000000003</v>
      </c>
      <c r="N38" s="29">
        <f t="shared" si="13"/>
        <v>162020.92999999996</v>
      </c>
      <c r="O38" s="29">
        <f t="shared" si="13"/>
        <v>0</v>
      </c>
      <c r="P38" s="29">
        <f t="shared" si="13"/>
        <v>2131240.8400000003</v>
      </c>
      <c r="Q38" s="72">
        <f>Q22+Q35</f>
        <v>28827609.879999995</v>
      </c>
      <c r="R38" s="30">
        <v>1</v>
      </c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20"/>
      <c r="R39" s="1"/>
      <c r="S39" s="1"/>
      <c r="T39" s="1"/>
      <c r="U39" s="1"/>
      <c r="V39" s="1"/>
      <c r="W39" s="1"/>
      <c r="X39" s="1"/>
      <c r="Y39" s="1"/>
      <c r="Z39" s="1"/>
    </row>
    <row r="40" spans="1:26" ht="9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1"/>
      <c r="R40" s="1"/>
      <c r="S40" s="1"/>
      <c r="T40" s="1"/>
      <c r="U40" s="1"/>
      <c r="V40" s="1"/>
      <c r="W40" s="1"/>
      <c r="X40" s="1"/>
      <c r="Y40" s="1"/>
      <c r="Z40" s="1"/>
    </row>
    <row r="41" spans="1:26" ht="9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9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9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9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9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9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9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9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9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9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9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9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9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9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9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9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9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9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9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9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9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9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9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9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9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9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9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9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9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9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9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9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9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9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9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9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9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9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9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9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9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9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9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9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9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9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9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9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9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9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9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9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9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9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9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9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9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9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9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9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9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9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9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9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9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9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9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9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9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9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9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9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9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9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9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9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9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9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9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9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9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9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9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9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9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9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9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9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9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9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9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9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9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9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9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9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9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9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9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9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9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9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9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9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9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9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9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9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9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9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9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9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9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9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9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9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9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9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9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9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9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9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9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9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9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9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9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9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9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9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9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9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9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9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9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9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9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9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9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9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9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9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9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9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9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9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9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9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9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9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9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9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9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9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9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9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9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9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9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9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9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9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9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9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9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9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9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9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9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9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9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9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9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9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9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9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9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9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9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9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9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9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9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9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9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9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9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9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9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9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9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9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9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9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9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9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</sheetData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M. Krahemer</dc:creator>
  <cp:lastModifiedBy>FAPS</cp:lastModifiedBy>
  <cp:lastPrinted>2024-11-08T16:04:44Z</cp:lastPrinted>
  <dcterms:created xsi:type="dcterms:W3CDTF">2021-02-17T17:06:54Z</dcterms:created>
  <dcterms:modified xsi:type="dcterms:W3CDTF">2024-12-12T18:44:03Z</dcterms:modified>
</cp:coreProperties>
</file>