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AQUEL\Orçamento\Orçamento 2026\ANEXOS\ANEXOS PÓS EMENDAS\"/>
    </mc:Choice>
  </mc:AlternateContent>
  <bookViews>
    <workbookView xWindow="0" yWindow="0" windowWidth="28800" windowHeight="11610" activeTab="3"/>
  </bookViews>
  <sheets>
    <sheet name="EVOLUÇÃO DA RECEITA" sheetId="4" r:id="rId1"/>
    <sheet name="METODOLOGIA DE CÁLCULO" sheetId="5" r:id="rId2"/>
    <sheet name="DEM EST E COMPENS DA RENÚNCIA" sheetId="1" r:id="rId3"/>
    <sheet name="RECEITA E DESPESA POR GRUPO" sheetId="6" r:id="rId4"/>
    <sheet name="RECEITA E DESPESA FUNDO" sheetId="8" r:id="rId5"/>
    <sheet name="METAS FISCAIS" sheetId="3" r:id="rId6"/>
    <sheet name="PESSOAL RCL" sheetId="9" r:id="rId7"/>
    <sheet name="MARGEM DE EXPANSÃO" sheetId="2" r:id="rId8"/>
    <sheet name="MDE + FUNDEB" sheetId="14" r:id="rId9"/>
    <sheet name="ASPS" sheetId="12" r:id="rId10"/>
    <sheet name="OP CRÉDITO" sheetId="13" r:id="rId11"/>
    <sheet name="29-A RREA LEGISLATIVO" sheetId="16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6" l="1"/>
  <c r="D36" i="6"/>
  <c r="D22" i="14" l="1"/>
  <c r="F9" i="14"/>
  <c r="D17" i="14" l="1"/>
  <c r="C17" i="14"/>
  <c r="G24" i="14"/>
  <c r="G9" i="14"/>
  <c r="F24" i="14"/>
  <c r="C20" i="14"/>
  <c r="C24" i="14" s="1"/>
  <c r="D15" i="14"/>
  <c r="D14" i="14"/>
  <c r="D13" i="14"/>
  <c r="D20" i="14"/>
  <c r="D9" i="14"/>
  <c r="D6" i="14"/>
  <c r="D24" i="14" l="1"/>
  <c r="C7" i="14" l="1"/>
  <c r="D16" i="14"/>
  <c r="D12" i="14"/>
  <c r="D11" i="14"/>
  <c r="D10" i="14"/>
  <c r="D8" i="14"/>
  <c r="D7" i="14" l="1"/>
  <c r="D5" i="14" l="1"/>
  <c r="D5" i="1" l="1"/>
  <c r="D13" i="12" l="1"/>
  <c r="D9" i="12"/>
  <c r="D8" i="12"/>
  <c r="D7" i="12"/>
  <c r="D6" i="12"/>
  <c r="D5" i="12"/>
  <c r="D4" i="12"/>
  <c r="D3" i="12"/>
  <c r="H26" i="4" l="1"/>
  <c r="I26" i="4" s="1"/>
  <c r="H25" i="4"/>
  <c r="I25" i="4" s="1"/>
  <c r="H24" i="4"/>
  <c r="I24" i="4" s="1"/>
  <c r="I23" i="4"/>
  <c r="H23" i="4"/>
  <c r="H21" i="4"/>
  <c r="I21" i="4" s="1"/>
  <c r="H20" i="4"/>
  <c r="I20" i="4" s="1"/>
  <c r="I19" i="4"/>
  <c r="H19" i="4"/>
  <c r="H17" i="4"/>
  <c r="I17" i="4" s="1"/>
  <c r="H16" i="4"/>
  <c r="I16" i="4" s="1"/>
  <c r="H15" i="4"/>
  <c r="I15" i="4" s="1"/>
  <c r="H14" i="4"/>
  <c r="I14" i="4"/>
  <c r="I13" i="4"/>
  <c r="H13" i="4"/>
  <c r="H11" i="4"/>
  <c r="I11" i="4" s="1"/>
  <c r="H10" i="4"/>
  <c r="I10" i="4" s="1"/>
  <c r="H9" i="4"/>
  <c r="I9" i="4" s="1"/>
  <c r="H8" i="4"/>
  <c r="I8" i="4"/>
  <c r="I7" i="4"/>
  <c r="H7" i="4"/>
  <c r="I6" i="4"/>
  <c r="H6" i="4"/>
  <c r="I5" i="4"/>
  <c r="H5" i="4"/>
  <c r="I4" i="4"/>
  <c r="H4" i="4"/>
  <c r="F4" i="4"/>
  <c r="C42" i="6" l="1"/>
  <c r="C27" i="6"/>
  <c r="C12" i="6"/>
  <c r="C11" i="6"/>
  <c r="C7" i="6"/>
  <c r="C6" i="6"/>
  <c r="C5" i="6"/>
  <c r="D7" i="6"/>
  <c r="D11" i="6"/>
  <c r="D41" i="6" l="1"/>
  <c r="C40" i="6"/>
  <c r="C38" i="6"/>
  <c r="C37" i="6" s="1"/>
  <c r="C35" i="6"/>
  <c r="C36" i="6"/>
  <c r="C34" i="6"/>
  <c r="D34" i="6"/>
  <c r="C19" i="16"/>
  <c r="B23" i="3" l="1"/>
  <c r="B22" i="3"/>
  <c r="B21" i="3"/>
  <c r="B20" i="3"/>
  <c r="C7" i="3"/>
  <c r="C21" i="3"/>
  <c r="C13" i="3"/>
  <c r="C23" i="3"/>
  <c r="C5" i="3"/>
  <c r="C33" i="9"/>
  <c r="F3" i="4" l="1"/>
  <c r="C24" i="16"/>
  <c r="C27" i="16" s="1"/>
  <c r="C28" i="16" s="1"/>
  <c r="E10" i="13"/>
  <c r="C10" i="13"/>
  <c r="F13" i="12"/>
  <c r="C13" i="12"/>
  <c r="C14" i="9"/>
  <c r="C16" i="9" s="1"/>
  <c r="C18" i="9" s="1"/>
  <c r="M26" i="16" s="1"/>
  <c r="C24" i="3"/>
  <c r="B24" i="3"/>
  <c r="C16" i="3"/>
  <c r="B16" i="3"/>
  <c r="C8" i="3"/>
  <c r="B8" i="3"/>
  <c r="F28" i="8"/>
  <c r="F13" i="8"/>
  <c r="F4" i="8"/>
  <c r="C29" i="8"/>
  <c r="C23" i="8"/>
  <c r="C19" i="8"/>
  <c r="C13" i="8"/>
  <c r="C4" i="8"/>
  <c r="E39" i="6"/>
  <c r="D37" i="6"/>
  <c r="D33" i="6"/>
  <c r="E25" i="6"/>
  <c r="E26" i="6"/>
  <c r="E24" i="6"/>
  <c r="D23" i="6"/>
  <c r="C23" i="6"/>
  <c r="E21" i="6"/>
  <c r="E22" i="6"/>
  <c r="D19" i="6"/>
  <c r="E15" i="6"/>
  <c r="E16" i="6"/>
  <c r="E17" i="6"/>
  <c r="E18" i="6"/>
  <c r="E14" i="6"/>
  <c r="D13" i="6"/>
  <c r="C13" i="6"/>
  <c r="D4" i="6"/>
  <c r="D22" i="4"/>
  <c r="E22" i="4"/>
  <c r="F22" i="4"/>
  <c r="G22" i="4"/>
  <c r="H22" i="4"/>
  <c r="I22" i="4"/>
  <c r="C22" i="4"/>
  <c r="D18" i="4"/>
  <c r="E18" i="4"/>
  <c r="F18" i="4"/>
  <c r="G18" i="4"/>
  <c r="H18" i="4"/>
  <c r="I18" i="4"/>
  <c r="C18" i="4"/>
  <c r="D12" i="4"/>
  <c r="E12" i="4"/>
  <c r="F12" i="4"/>
  <c r="G12" i="4"/>
  <c r="H12" i="4"/>
  <c r="I12" i="4"/>
  <c r="C12" i="4"/>
  <c r="G3" i="4"/>
  <c r="H3" i="4"/>
  <c r="I3" i="4"/>
  <c r="E3" i="4"/>
  <c r="D3" i="4"/>
  <c r="C3" i="4"/>
  <c r="C22" i="14"/>
  <c r="C5" i="14"/>
  <c r="B10" i="2"/>
  <c r="B7" i="2"/>
  <c r="B3" i="2"/>
  <c r="I27" i="4" l="1"/>
  <c r="H27" i="4"/>
  <c r="G27" i="4"/>
  <c r="F27" i="4"/>
  <c r="E27" i="4"/>
  <c r="D27" i="4"/>
  <c r="C27" i="4"/>
  <c r="D28" i="6"/>
  <c r="D43" i="6"/>
  <c r="M25" i="16"/>
  <c r="M24" i="16"/>
  <c r="D35" i="9"/>
  <c r="C35" i="9"/>
  <c r="E37" i="6"/>
  <c r="E33" i="6"/>
  <c r="E43" i="6" s="1"/>
  <c r="E23" i="6"/>
  <c r="E13" i="6"/>
  <c r="E9" i="6"/>
  <c r="E4" i="6" s="1"/>
  <c r="E8" i="6"/>
  <c r="C33" i="6" l="1"/>
  <c r="C43" i="6" s="1"/>
  <c r="C4" i="6"/>
  <c r="E20" i="6"/>
  <c r="E19" i="6" s="1"/>
  <c r="E28" i="6" s="1"/>
  <c r="C19" i="6"/>
  <c r="C28" i="6" s="1"/>
</calcChain>
</file>

<file path=xl/comments1.xml><?xml version="1.0" encoding="utf-8"?>
<comments xmlns="http://schemas.openxmlformats.org/spreadsheetml/2006/main">
  <authors>
    <author>Rose</author>
  </authors>
  <commentList>
    <comment ref="C5" authorId="0" shapeId="0">
      <text>
        <r>
          <rPr>
            <b/>
            <sz val="9"/>
            <color indexed="81"/>
            <rFont val="Segoe UI"/>
          </rPr>
          <t>Rose:</t>
        </r>
        <r>
          <rPr>
            <sz val="9"/>
            <color indexed="81"/>
            <rFont val="Segoe UI"/>
          </rPr>
          <t xml:space="preserve">
Deduz aplicações financeiras, op. Crédito e alienação de ativos
</t>
        </r>
      </text>
    </comment>
    <comment ref="C7" authorId="0" shapeId="0">
      <text>
        <r>
          <rPr>
            <b/>
            <sz val="9"/>
            <color indexed="81"/>
            <rFont val="Segoe UI"/>
          </rPr>
          <t>Rose:</t>
        </r>
        <r>
          <rPr>
            <sz val="9"/>
            <color indexed="81"/>
            <rFont val="Segoe UI"/>
          </rPr>
          <t xml:space="preserve">
Deduzir as ND 32 juros e 46 amortização da dívida
</t>
        </r>
      </text>
    </comment>
  </commentList>
</comments>
</file>

<file path=xl/sharedStrings.xml><?xml version="1.0" encoding="utf-8"?>
<sst xmlns="http://schemas.openxmlformats.org/spreadsheetml/2006/main" count="468" uniqueCount="317">
  <si>
    <t>Código da Receita</t>
  </si>
  <si>
    <t>Especificação</t>
  </si>
  <si>
    <t>Arrecadada 2022</t>
  </si>
  <si>
    <t>Arrecadada 2023</t>
  </si>
  <si>
    <t>Arrecadada 2024</t>
  </si>
  <si>
    <t>Estimada 2025</t>
  </si>
  <si>
    <t>Projetado 2026</t>
  </si>
  <si>
    <t>Projetado 2027</t>
  </si>
  <si>
    <t>Projetado 2028</t>
  </si>
  <si>
    <t>RECEITAS CORRENTES (A)</t>
  </si>
  <si>
    <t>1.1.0.0.0.00.0.0.00</t>
  </si>
  <si>
    <r>
      <rPr>
        <sz val="12"/>
        <rFont val="Calibri"/>
        <family val="2"/>
        <scheme val="minor"/>
      </rPr>
      <t>Impostos,     Taxas     e
Contr.de Melhoria</t>
    </r>
  </si>
  <si>
    <t>1.2.0.0.0.00.0.0.00</t>
  </si>
  <si>
    <t>Rec. Contribuições</t>
  </si>
  <si>
    <t>1.3.0.0.0.00.0.0.00</t>
  </si>
  <si>
    <t>Rec. Patrimonial</t>
  </si>
  <si>
    <t>1.4.0.0.0.00.0.0.00</t>
  </si>
  <si>
    <t>Rec. Agropecuária</t>
  </si>
  <si>
    <t>1.5.0.0.0.00.0.0.00</t>
  </si>
  <si>
    <t>Rec. Industriais</t>
  </si>
  <si>
    <t>1.6.0.0.0.00.0.0.00</t>
  </si>
  <si>
    <t>Rec. Serviços</t>
  </si>
  <si>
    <t>1.7.0.0.0.00.0.0.00</t>
  </si>
  <si>
    <t>Transf. Correntes</t>
  </si>
  <si>
    <t>1.9.0.0.0.00.0.0.00</t>
  </si>
  <si>
    <t>Outras Rec. Corr.</t>
  </si>
  <si>
    <t>RECEITAS DE CAPITAL (B)</t>
  </si>
  <si>
    <t>2.1.0.0.00.0.0.00</t>
  </si>
  <si>
    <t>Oper. De Crédito</t>
  </si>
  <si>
    <t>2.2.0.0.00.0.0.00</t>
  </si>
  <si>
    <t>Alienação de Bens</t>
  </si>
  <si>
    <t>2.3.0.0.00.0.0.00</t>
  </si>
  <si>
    <t>Amort. De Empréstimos</t>
  </si>
  <si>
    <t>2.4.0.0.00.0.0.00</t>
  </si>
  <si>
    <t>Transf. De Capital</t>
  </si>
  <si>
    <t>2.9.0.0.00.0.0.00</t>
  </si>
  <si>
    <t>Outras Rec Capital</t>
  </si>
  <si>
    <t>RECEITAS CORRENTES INTRA ORÇAMENTÁRIAS (C)</t>
  </si>
  <si>
    <t>7.2.0.0.0.00.0.0.00</t>
  </si>
  <si>
    <t>7.3.0.0.0.00.0.0.00</t>
  </si>
  <si>
    <t>7.9.0.0.0.00.0.0.00</t>
  </si>
  <si>
    <t>RECEITAS DE CAPITAL INTRA (D)
ORÇAMENTÁRIAS</t>
  </si>
  <si>
    <t>8.2.0.0.00.0.0.00</t>
  </si>
  <si>
    <t>8.3.0.0.00.0.0.00</t>
  </si>
  <si>
    <t>8.9.0.0.00.0.0.00</t>
  </si>
  <si>
    <t>(-)       Deduções da Receita (E)</t>
  </si>
  <si>
    <t>T O T A L = A+B+C+D-E</t>
  </si>
  <si>
    <t>MEMÓRIA E METODOLOGIA DE CÁLCULO DA RECEITA</t>
  </si>
  <si>
    <r>
      <rPr>
        <b/>
        <sz val="11"/>
        <color rgb="FFFF0000"/>
        <rFont val="Calibri"/>
        <family val="2"/>
        <scheme val="minor"/>
      </rPr>
      <t>EDITAR /  ADAPTAR O TEXTO</t>
    </r>
  </si>
  <si>
    <r>
      <rPr>
        <b/>
        <sz val="11"/>
        <rFont val="Calibri"/>
        <family val="2"/>
        <scheme val="minor"/>
      </rPr>
      <t xml:space="preserve">A) </t>
    </r>
    <r>
      <rPr>
        <sz val="11"/>
        <rFont val="Calibri"/>
        <family val="2"/>
        <scheme val="minor"/>
      </rPr>
      <t>Os valores referentes aos exercícios de 2022, 2023 e 2024 foram obtidos a partir dos dados constantes nos respectivos balanços anuais.</t>
    </r>
  </si>
  <si>
    <r>
      <rPr>
        <b/>
        <sz val="11"/>
        <rFont val="Calibri"/>
        <family val="2"/>
        <scheme val="minor"/>
      </rPr>
      <t xml:space="preserve">B) </t>
    </r>
    <r>
      <rPr>
        <sz val="11"/>
        <rFont val="Calibri"/>
        <family val="2"/>
        <scheme val="minor"/>
      </rPr>
      <t>Os valores relativos à arrecadação prevista de 2025 foram obtidos a partir da receita arrecadada até o mês de  _______, acrescida da tendência de arrecadação até o final do exercício.</t>
    </r>
  </si>
  <si>
    <r>
      <rPr>
        <b/>
        <sz val="11"/>
        <rFont val="Calibri"/>
        <family val="2"/>
        <scheme val="minor"/>
      </rPr>
      <t xml:space="preserve">C) </t>
    </r>
    <r>
      <rPr>
        <sz val="11"/>
        <rFont val="Calibri"/>
        <family val="2"/>
        <scheme val="minor"/>
      </rPr>
      <t xml:space="preserve">Em linhas gerais, nas projeções para os exercícios de 2026, 2027 e 2028, o cenário projetado sinaliza para um crescimento global das receitas em torno de uma taxa média de cerca de </t>
    </r>
    <r>
      <rPr>
        <u/>
        <sz val="11"/>
        <rFont val="Calibri"/>
        <family val="2"/>
        <scheme val="minor"/>
      </rPr>
      <t>             </t>
    </r>
    <r>
      <rPr>
        <sz val="11"/>
        <rFont val="Calibri"/>
        <family val="2"/>
        <scheme val="minor"/>
      </rPr>
      <t>%.</t>
    </r>
  </si>
  <si>
    <r>
      <rPr>
        <b/>
        <sz val="11"/>
        <rFont val="Calibri"/>
        <family val="2"/>
        <scheme val="minor"/>
      </rPr>
      <t xml:space="preserve">D) </t>
    </r>
    <r>
      <rPr>
        <sz val="11"/>
        <rFont val="Calibri"/>
        <family val="2"/>
        <scheme val="minor"/>
      </rPr>
      <t>O pressuposto geral de comportamento da Receita Municipal é o da existência de uma correlação do comportamento dessa receita com o desempenho dos agregados macroeconômicos.  Além disso, pressupõe-se em algumas receitas diretamente arrecadadas pelo  Município,  que  as  taxas  de  crescimento  real  sejam  maiores,  devido  aos  esforços  de melhoria de gestão e diminuição de inadimplência. Os indicadores macroeconômicos básicos utilizados para a reestimativa de 2025 e as estimativas da receita  para 2026, 2027 E 2028 foram:</t>
    </r>
  </si>
  <si>
    <t>ANO</t>
  </si>
  <si>
    <t>VARIAÇÃO DO IPCA</t>
  </si>
  <si>
    <t>VARIAÇÃO IGP-DI</t>
  </si>
  <si>
    <t>CRESCIMENTO DO PIB</t>
  </si>
  <si>
    <t>SALÁRIO MÍNIMO</t>
  </si>
  <si>
    <t>TAXA SELIC (Média)</t>
  </si>
  <si>
    <t>Crescimento Real das Receitas
Tributárias</t>
  </si>
  <si>
    <t>Outros (especificar)</t>
  </si>
  <si>
    <r>
      <rPr>
        <b/>
        <sz val="11"/>
        <rFont val="Calibri"/>
        <family val="2"/>
        <scheme val="minor"/>
      </rPr>
      <t xml:space="preserve">E) </t>
    </r>
    <r>
      <rPr>
        <sz val="11"/>
        <rFont val="Calibri"/>
        <family val="2"/>
        <scheme val="minor"/>
      </rPr>
      <t>Com base nesses agregados,  detalhamos as estimativas de Receitas:</t>
    </r>
  </si>
  <si>
    <r>
      <rPr>
        <sz val="11"/>
        <rFont val="Calibri"/>
        <family val="2"/>
        <scheme val="minor"/>
      </rPr>
      <t xml:space="preserve">-  Receitas  Diretamente  Arrecadadas:  nas  receitas  tributárias,  o  melhor  desempenho
verificado nos anos anteriores ficou com o </t>
    </r>
    <r>
      <rPr>
        <u/>
        <sz val="11"/>
        <rFont val="Calibri"/>
        <family val="2"/>
        <scheme val="minor"/>
      </rPr>
      <t>                        </t>
    </r>
    <r>
      <rPr>
        <sz val="11"/>
        <rFont val="Calibri"/>
        <family val="2"/>
        <scheme val="minor"/>
      </rPr>
      <t xml:space="preserve">, devido a </t>
    </r>
    <r>
      <rPr>
        <u/>
        <sz val="11"/>
        <rFont val="Calibri"/>
        <family val="2"/>
        <scheme val="minor"/>
      </rPr>
      <t>                                            </t>
    </r>
    <r>
      <rPr>
        <sz val="11"/>
        <rFont val="Calibri"/>
        <family val="2"/>
        <scheme val="minor"/>
      </rPr>
      <t>.</t>
    </r>
  </si>
  <si>
    <t>- Para o IPTU em decorrência da atualização da planta de valores e do recadastramento imobiliário realizado em XXXX as projeções apontam para um crescimento anual de             % em  2025.  Essa  atualização  da  planta  de  valores  também  terá  um  reflexo  no  valor  venal  dos imóveis, acarretando, também, um crescimento na receita do ITBI, cuja meta, para 2026,  é de crescimento de  XXXX</t>
  </si>
  <si>
    <r>
      <rPr>
        <sz val="11"/>
        <rFont val="Calibri"/>
        <family val="2"/>
        <scheme val="minor"/>
      </rPr>
      <t xml:space="preserve">-  Nas  outras  receitas  tributárias  (IRRF,  Taxas,  Contribuição  de  Melhoria)  e  receitas patrimoniais,  os  estudos  apontam  para  uma  manutenção  da  variação  média  apontada  nos últimos anos,  que é de </t>
    </r>
    <r>
      <rPr>
        <u/>
        <sz val="11"/>
        <rFont val="Calibri"/>
        <family val="2"/>
        <scheme val="minor"/>
      </rPr>
      <t>         </t>
    </r>
    <r>
      <rPr>
        <sz val="11"/>
        <rFont val="Calibri"/>
        <family val="2"/>
        <scheme val="minor"/>
      </rPr>
      <t>%.</t>
    </r>
  </si>
  <si>
    <r>
      <rPr>
        <sz val="11"/>
        <rFont val="Calibri"/>
        <family val="2"/>
        <scheme val="minor"/>
      </rPr>
      <t xml:space="preserve">-  No  caso  dos  impostos,  taxas  e  contribuição  de  melhorias,  destaca-se,  ainda,  a expectativa de recuperação de créditos inscritos em dívida ativa, cuja meta de crescimento é na média de  </t>
    </r>
    <r>
      <rPr>
        <u/>
        <sz val="11"/>
        <rFont val="Calibri"/>
        <family val="2"/>
        <scheme val="minor"/>
      </rPr>
      <t>       </t>
    </r>
    <r>
      <rPr>
        <sz val="11"/>
        <rFont val="Calibri"/>
        <family val="2"/>
        <scheme val="minor"/>
      </rPr>
      <t>% aa..</t>
    </r>
  </si>
  <si>
    <r>
      <rPr>
        <sz val="11"/>
        <rFont val="Calibri"/>
        <family val="2"/>
        <scheme val="minor"/>
      </rPr>
      <t xml:space="preserve">-  Receitas  de  Transferências:  nas  principais  receitas  que  alimentam  essa  fonte,  as expectativas apontam para um crescimento médio de </t>
    </r>
    <r>
      <rPr>
        <u/>
        <sz val="11"/>
        <rFont val="Calibri"/>
        <family val="2"/>
        <scheme val="minor"/>
      </rPr>
      <t>           </t>
    </r>
    <r>
      <rPr>
        <sz val="11"/>
        <rFont val="Calibri"/>
        <family val="2"/>
        <scheme val="minor"/>
      </rPr>
      <t xml:space="preserve">% ao ano, em decorrência de uma maior  participação  no  índice  de  retorno  do  ICMS,  com  reflexo  direto  na  estimativa  de transferência desse tributo, bem como nas transferências do IPI/Exportação. Com relação ao retorno do FPM, as expectativas, os estudos elaborados pela Secretaria do Tesouro Nacional apontam para uma variação de </t>
    </r>
    <r>
      <rPr>
        <u/>
        <sz val="11"/>
        <rFont val="Calibri"/>
        <family val="2"/>
        <scheme val="minor"/>
      </rPr>
      <t>         </t>
    </r>
    <r>
      <rPr>
        <sz val="11"/>
        <rFont val="Calibri"/>
        <family val="2"/>
        <scheme val="minor"/>
      </rPr>
      <t>%, considerando-se, também, os valores a serem recebidos a título de “Cota-Extra do FPM”.</t>
    </r>
  </si>
  <si>
    <r>
      <rPr>
        <sz val="11"/>
        <rFont val="Calibri"/>
        <family val="2"/>
        <scheme val="minor"/>
      </rPr>
      <t xml:space="preserve">-   Nas transferências do IPVA, a expectativa é de melhoria, em razão do esforço fiscal empreendido pelo Estado, a quem compete fiscalizar e arrecadar o tributo. Aliado a esse fato, a administração municipal pretende aumentar a fiscalização de trânsito com vistas a verificar a regularidade   do licenciamento dos veículos registrados no Município. Em decorrência dessas medidas, é esperado um crescimento de </t>
    </r>
    <r>
      <rPr>
        <u/>
        <sz val="11"/>
        <rFont val="Calibri"/>
        <family val="2"/>
        <scheme val="minor"/>
      </rPr>
      <t>         </t>
    </r>
    <r>
      <rPr>
        <sz val="11"/>
        <rFont val="Calibri"/>
        <family val="2"/>
        <scheme val="minor"/>
      </rPr>
      <t>%.</t>
    </r>
  </si>
  <si>
    <t>- Em relação ao FUNDEB, o desempenho esperado é de                                      , devido ao
                                         do    número    de    alunos    matriculados    bem    como    em    razão    do
                              das receitas formadoras do FUNDEB  (FPM, ITR, ICMS, IPVA, IPI/Exportação, Compensação das Perdas ICMS. Assim,    a    diferença    líquida    entre    a    contribuição    e    retorno    do    Município    tende a                                   . Com base nessas premissas, para 2026 é esperada uma variação de        % em relação a 2025.</t>
  </si>
  <si>
    <t>- Outras transferências importantes são as do SUS, repassadas pelo  Fundo Nacional de Saúde e Fundo Estadual de Saúde, bem como as destinadas à Assistência Social, repassadas pelo Fundo Nacional e Estadual e Assistência Social. As previsões apontam para uma estabilidade, ou seja, o valor a ser repassado no próximo ano tende a manter-se nos mesmos patamares de 2025.</t>
  </si>
  <si>
    <t>- Para as outras transferências legais (CIDE, Fex, FNDE, FNAS e outras), a perspectiva é de  estabilidade,  ou  seja,  prevê-se  uma  variação  em  função  dos  índices  inflacionários  ou acompanhando a variação das receitas da União.</t>
  </si>
  <si>
    <r>
      <rPr>
        <sz val="11"/>
        <rFont val="Calibri"/>
        <family val="2"/>
        <scheme val="minor"/>
      </rPr>
      <t xml:space="preserve">- Nas transferências voluntárias correntes e de capital, realizadas em função de auxílios, convênios e contratos de repasse, a expectativa é que sejam mantidos os níveis hierárquicos recentes,  de cerca de  </t>
    </r>
    <r>
      <rPr>
        <u/>
        <sz val="11"/>
        <rFont val="Calibri"/>
        <family val="2"/>
        <scheme val="minor"/>
      </rPr>
      <t>           </t>
    </r>
    <r>
      <rPr>
        <sz val="11"/>
        <rFont val="Calibri"/>
        <family val="2"/>
        <scheme val="minor"/>
      </rPr>
      <t>% da Receita Total.</t>
    </r>
  </si>
  <si>
    <r>
      <rPr>
        <b/>
        <sz val="11"/>
        <rFont val="Calibri"/>
        <family val="1"/>
      </rPr>
      <t>TRIBUTO</t>
    </r>
  </si>
  <si>
    <r>
      <rPr>
        <b/>
        <sz val="11"/>
        <rFont val="Calibri"/>
        <family val="1"/>
      </rPr>
      <t>MODALIDADE</t>
    </r>
  </si>
  <si>
    <r>
      <rPr>
        <b/>
        <sz val="11"/>
        <rFont val="Calibri"/>
        <family val="1"/>
      </rPr>
      <t>SETORES/ PROGRAMAS/ BENEFICIÁRIO</t>
    </r>
  </si>
  <si>
    <r>
      <rPr>
        <b/>
        <sz val="11"/>
        <rFont val="Calibri"/>
        <family val="1"/>
      </rPr>
      <t>FORMA DE COMPENSAÇÃO</t>
    </r>
  </si>
  <si>
    <t>TOTAL</t>
  </si>
  <si>
    <t>RECEITAS</t>
  </si>
  <si>
    <t>Orçamento Fiscal</t>
  </si>
  <si>
    <t>Seguridade Social</t>
  </si>
  <si>
    <t>Total</t>
  </si>
  <si>
    <r>
      <rPr>
        <sz val="12"/>
        <rFont val="Calibri"/>
        <family val="2"/>
        <scheme val="minor"/>
      </rPr>
      <t>Impostos, Taxas e Contr. de
Melhoria</t>
    </r>
  </si>
  <si>
    <t>Empr. Concedidos</t>
  </si>
  <si>
    <t>RECEITAS DE CAPITAL INTRA ORÇAMENTÁRIAS (D)</t>
  </si>
  <si>
    <t>(-) Deduções da Receita (E)</t>
  </si>
  <si>
    <t>DESPESAS</t>
  </si>
  <si>
    <t>Código da Despesa</t>
  </si>
  <si>
    <r>
      <rPr>
        <b/>
        <sz val="12"/>
        <rFont val="Calibri"/>
        <family val="2"/>
        <scheme val="minor"/>
      </rPr>
      <t>Seguridade
Social</t>
    </r>
  </si>
  <si>
    <t>DESPESAS CORRENTES</t>
  </si>
  <si>
    <t>3.1.00.00.00.00.00</t>
  </si>
  <si>
    <t>Pessoal e Encargos Sociais</t>
  </si>
  <si>
    <t>3.2.00.00.00.00.00</t>
  </si>
  <si>
    <t>Juros e Encargos da Dívida</t>
  </si>
  <si>
    <t>3.3.00.00.00.00.00</t>
  </si>
  <si>
    <t xml:space="preserve">Outras Despesas Correntes
</t>
  </si>
  <si>
    <t>DESPESAS  DE CAPITAL</t>
  </si>
  <si>
    <t>4.4.00.00.00.00.00</t>
  </si>
  <si>
    <t>Investimentos</t>
  </si>
  <si>
    <t xml:space="preserve">4.5.00.00.00.00.00 </t>
  </si>
  <si>
    <t>Inversões Financeiras</t>
  </si>
  <si>
    <t>4.6.00.00.00.00.00</t>
  </si>
  <si>
    <t>Amortização da Dívida</t>
  </si>
  <si>
    <t>RESERVA DO R P P S</t>
  </si>
  <si>
    <t>RESERVA DE CONTINGÊNCIA</t>
  </si>
  <si>
    <t>T O T A L</t>
  </si>
  <si>
    <r>
      <t>MUNICÍPIO DE _______________ LEI ORÇAMENTÁRIA ANUAL PARA 20</t>
    </r>
    <r>
      <rPr>
        <b/>
        <u/>
        <sz val="12"/>
        <rFont val="Calibri"/>
        <family val="2"/>
      </rPr>
      <t xml:space="preserve">     
</t>
    </r>
    <r>
      <rPr>
        <b/>
        <sz val="12"/>
        <rFont val="Calibri"/>
        <family val="2"/>
      </rPr>
      <t xml:space="preserve">DEMONSTRATIVO DAS  RECEITAS E DESPESAS VINCULADAS AO FUNDO MUNICIPAL DE  </t>
    </r>
    <r>
      <rPr>
        <b/>
        <u/>
        <sz val="12"/>
        <rFont val="Calibri"/>
        <family val="2"/>
      </rPr>
      <t>                        </t>
    </r>
    <r>
      <rPr>
        <b/>
        <sz val="12"/>
        <rFont val="Calibri"/>
        <family val="2"/>
      </rPr>
      <t xml:space="preserve">, CRIADO PELA LEI MUNICIPAL  </t>
    </r>
    <r>
      <rPr>
        <b/>
        <u/>
        <sz val="12"/>
        <rFont val="Calibri"/>
        <family val="2"/>
      </rPr>
      <t>    </t>
    </r>
    <r>
      <rPr>
        <b/>
        <sz val="12"/>
        <rFont val="Calibri"/>
        <family val="2"/>
      </rPr>
      <t>/</t>
    </r>
    <r>
      <rPr>
        <b/>
        <u/>
        <sz val="12"/>
        <rFont val="Calibri"/>
        <family val="2"/>
      </rPr>
      <t xml:space="preserve">          
</t>
    </r>
    <r>
      <rPr>
        <b/>
        <sz val="12"/>
        <rFont val="Calibri"/>
        <family val="2"/>
      </rPr>
      <t>Lei Federal nº 4.320/64, art. 2º, § 2º, inciso I</t>
    </r>
  </si>
  <si>
    <t>Receitas Previstas para o FUNDO</t>
  </si>
  <si>
    <t>Despesas Fixadas para o FUNDO</t>
  </si>
  <si>
    <t>Valor</t>
  </si>
  <si>
    <t>Impostos,     Taxas e Contribuição de Melhoria
Contr.de Melhoria</t>
  </si>
  <si>
    <t>3.1.00.00.00.00.00.00</t>
  </si>
  <si>
    <t>3.2.00.00.00.00.00.00</t>
  </si>
  <si>
    <t>3.3.00.00.00.00.00.00</t>
  </si>
  <si>
    <t>Outras Despesas Correntes</t>
  </si>
  <si>
    <t>DESPESAS DE CAPITAL</t>
  </si>
  <si>
    <t>4.4.00.00.00.00.00.00</t>
  </si>
  <si>
    <t xml:space="preserve">4.5.00.00.00.00.00.00 </t>
  </si>
  <si>
    <t>4.6.00.00.00.00.00.00</t>
  </si>
  <si>
    <t>RECEITAS CORRENTES INTRA
ORÇAMENTÁRIAS (C)</t>
  </si>
  <si>
    <t>RESERVA DO  R P P S</t>
  </si>
  <si>
    <t>RECEITAS DE CAPITAL INTRA
ORÇAMENTÁRIAS (D)</t>
  </si>
  <si>
    <t>(-)X.X.X.XX.X.X</t>
  </si>
  <si>
    <t>(+) Aportes Financeiros (F)</t>
  </si>
  <si>
    <r>
      <rPr>
        <b/>
        <sz val="12"/>
        <rFont val="Calibri"/>
        <family val="2"/>
      </rPr>
      <t>Nota</t>
    </r>
    <r>
      <rPr>
        <sz val="12"/>
        <rFont val="Calibri"/>
        <family val="2"/>
      </rPr>
      <t>:    O  valor  da  linha    “ Aportes  Financeiros"  corresponderá  ao    montante  de  recursos “Próprios”  que o Município destinará ao  FUNDO, se for o caso.</t>
    </r>
  </si>
  <si>
    <t>(A)  -  RECURSOS DO TESOURO MUNICIPAL</t>
  </si>
  <si>
    <t>ESPECIFICAÇÃO</t>
  </si>
  <si>
    <r>
      <rPr>
        <b/>
        <sz val="12"/>
        <rFont val="Calibri"/>
        <family val="2"/>
        <scheme val="minor"/>
      </rPr>
      <t>VALORES PREVISTOS NA LEI
DE ORÇAMENTO</t>
    </r>
  </si>
  <si>
    <t>Receitas Totais Previstas</t>
  </si>
  <si>
    <t>Receitas Primárias Previstas (1)</t>
  </si>
  <si>
    <t>Despesas Totais Previstas</t>
  </si>
  <si>
    <t>Despesas Primárias Previstas (2)</t>
  </si>
  <si>
    <t>Resultado Primário Previsto  ( 1 – 2)</t>
  </si>
  <si>
    <t>(B) - RECURSOS DO REGIME PRÓPRIO DE PREVIDÊNCIA SOCIAL</t>
  </si>
  <si>
    <t>VALORES PREVISTOS NA LEI DE ORÇAMENTO</t>
  </si>
  <si>
    <t>Receitas Previdenciárias Totais Previstas</t>
  </si>
  <si>
    <t>Receitas Primárias Previdenciáras Previstas (1)</t>
  </si>
  <si>
    <t>Despesas Previdenciárias Totais Previstas</t>
  </si>
  <si>
    <t>Despesas Primárias Previdenciárias Previstas (2)</t>
  </si>
  <si>
    <t>Resultado Primário Previsto para o RPPS  ( 1 – 2)</t>
  </si>
  <si>
    <t>(C) – CONSOLIDAÇÃO GERAL  (A + B)</t>
  </si>
  <si>
    <t>DEMONSTRATIVO DE GASTOS COM PESSOAL E ENCARGOS SOCIAIS EM RELAÇÃO À RECEITA CORRENTE LÍQUIDA PREVISTA</t>
  </si>
  <si>
    <t xml:space="preserve">  METODOLOGIA DA IN N° 05/2024, DO TCE RS </t>
  </si>
  <si>
    <r>
      <rPr>
        <b/>
        <sz val="12"/>
        <color rgb="FF333333"/>
        <rFont val="Calibri"/>
        <family val="2"/>
        <scheme val="minor"/>
      </rPr>
      <t>Código /  Especificação</t>
    </r>
  </si>
  <si>
    <t>Valor Previsto R$</t>
  </si>
  <si>
    <t>1.0.0.0.00.0.0.00.00.00</t>
  </si>
  <si>
    <t xml:space="preserve"> Receitas Correntes</t>
  </si>
  <si>
    <t xml:space="preserve">(-) 00.0.0.00.00.00 </t>
  </si>
  <si>
    <t>(R) Deduções das Receitas Correntes</t>
  </si>
  <si>
    <t>Deduções</t>
  </si>
  <si>
    <t>(-)  1.2.1.5.00.0.0.00.00.00</t>
  </si>
  <si>
    <t>Contribuições Sociais Específicas de Estados, DF e Municípios (RPPS)</t>
  </si>
  <si>
    <t>(-)  1.9.9.9.03.0.0.00.00.00</t>
  </si>
  <si>
    <t>Compensações Financeiras entre o Regime Geral e os Regimes Próprios de Previdência dos Servidores</t>
  </si>
  <si>
    <t>(-) 1.3.2.1.04.0.0.00.00.00</t>
  </si>
  <si>
    <t>Remuneração dos Recursos do Regime Próprio de Previdência Social - RPPS</t>
  </si>
  <si>
    <t>Transferências provenientes do Governo Federal destinadas ao vencimento dos agentes comunitários de saúde e dos agentes de combate às endemias</t>
  </si>
  <si>
    <t>(=) RECEITA CORRENTE LÍQUIDA PREVISTA  (I)</t>
  </si>
  <si>
    <t xml:space="preserve">(-) Emendas Parlamentares  de  Individuais </t>
  </si>
  <si>
    <t>(-) Valor correspondente à soma das receitas arrecadadas no período com o código de acompanhamento da execução orçamentária 3110 - Transferências da União decorrentes de Emendas Parlamentares Individuais.</t>
  </si>
  <si>
    <t>( = )   RECEITA   CORRENTE   LÍQUIDA   PREVISTA   PARA   FINS   DE   LIMITE   DE ENDIVIDAMENTO (II)</t>
  </si>
  <si>
    <t xml:space="preserve">(-)  Emendas Parlamentares   de   Bancada </t>
  </si>
  <si>
    <t>(-) Valor correspondente à soma das receitas arrecadadas no período com o código de acompanhamento da execução orçamentária 3120 - Transferências da União decorrentes de Emendas Parlamentares de Bancada.</t>
  </si>
  <si>
    <t>( =) RECEITA CORRENTE  LÍQUIDA PREVISTA PARA FINS DE LIMITE  DE GASTOS COM PESSOAL (III)</t>
  </si>
  <si>
    <t>Especificação das Despesas</t>
  </si>
  <si>
    <t>Especificação da Despesa</t>
  </si>
  <si>
    <t>Despesa do Executivo</t>
  </si>
  <si>
    <t>Despesa do Legislativo</t>
  </si>
  <si>
    <t>Pessoal e encargos Sociais</t>
  </si>
  <si>
    <t>3.3.90.04.00.00.00.00</t>
  </si>
  <si>
    <t>Contratação por Tempo Determinado</t>
  </si>
  <si>
    <t>3.3.XX.34.00.00.00.00</t>
  </si>
  <si>
    <t>Outras Despesas de Pessoal Decorrentes de Contratos de Terceirização - Substituição de mão de obra (art. 18, § 1º da LRF)</t>
  </si>
  <si>
    <t xml:space="preserve">3.1.90.01.00.00.00.00 </t>
  </si>
  <si>
    <t>(-) Aposentadorias do RPPS (Recursos do RPPS)</t>
  </si>
  <si>
    <t>3.1.90.03.00.00.00.00</t>
  </si>
  <si>
    <t>(-) Pensões do RPPS (Recursos do RPPS)</t>
  </si>
  <si>
    <t>3.1.90.91.00.00.00.00</t>
  </si>
  <si>
    <t>(-)  Sentenças Judiciais de exercícios anteriores*¹</t>
  </si>
  <si>
    <t>3.1.90.92.00.00.00.00</t>
  </si>
  <si>
    <t>(-)  Despesas de pessoal de exercícios anteriores*²</t>
  </si>
  <si>
    <t>3.1.XX.94.00.00.00.00</t>
  </si>
  <si>
    <t>( - )  Indenizações e Restituições Trabalhistas</t>
  </si>
  <si>
    <t>( - )  Empenhos com a FR 604</t>
  </si>
  <si>
    <t>( - )  Empenhos com a FR 605</t>
  </si>
  <si>
    <t>( - )  Outras despesas com pessoal</t>
  </si>
  <si>
    <t>Percentual de Comprometimento em relação à RCL prevista</t>
  </si>
  <si>
    <t>*1 Decorrentes de decisão judicial da competência de período anterior ao da apuração, elemento de despesa 91 – Sentenças Judiciais (dedução mediante ajuste manual);</t>
  </si>
  <si>
    <t xml:space="preserve">*2 Despesas da competência de período anterior ao da apuração, elemento de despesa 92 – Despesas de Exercícios Anteriores (dedução mediante ajuste manual). </t>
  </si>
  <si>
    <t>EVENTO</t>
  </si>
  <si>
    <t>Aumento Permanente da Receita  (1)</t>
  </si>
  <si>
    <t>Decorrente de Receitas Tributárias</t>
  </si>
  <si>
    <t>Decorrente de Transferências Correntes</t>
  </si>
  <si>
    <t>(-)  Transferências ao FUNDEB</t>
  </si>
  <si>
    <t>Impacto de Novas DOCC (2)</t>
  </si>
  <si>
    <t>Relativas a  Pessoal e Encargos Sociais</t>
  </si>
  <si>
    <t>Relativas a  Outras Despesas Correntes</t>
  </si>
  <si>
    <t>Margem Líquida de Expansão de DOCC (1 – 2)</t>
  </si>
  <si>
    <t>PREVISÃO R$</t>
  </si>
  <si>
    <t>GASTOS MDE</t>
  </si>
  <si>
    <t>GASTOS FUNDEB</t>
  </si>
  <si>
    <t>RECEITAS RESULTANTES DE IMPOSTOS (1)</t>
  </si>
  <si>
    <t>ENSINO FUNDAMENTAL</t>
  </si>
  <si>
    <t>1.1.1.0.0.0.0.0.00.00.00</t>
  </si>
  <si>
    <t>Impostos (1.1)</t>
  </si>
  <si>
    <t>EDUCAÇÃO INFANTIL</t>
  </si>
  <si>
    <t>RECEITAS DE TRANSFERENCIAS CONSTITUCIONAIS E LEGAIS (2)</t>
  </si>
  <si>
    <t>EDUCAÇÃO JOVENS E ADULTOS</t>
  </si>
  <si>
    <t>1.7.1.1.51.1.0.00.00.00</t>
  </si>
  <si>
    <t>Cota-Parte do Fundo de Participação dos Municípios - Cota Mensal (2.1)</t>
  </si>
  <si>
    <t>EDUCAÇÃO 
ESPECIAL</t>
  </si>
  <si>
    <t>1.7.1.1.51.2.0.00.00.00</t>
  </si>
  <si>
    <t>Cota-Parte do Fundo de Participação dos Municípios – Cotas Extraordinárias (2.2)</t>
  </si>
  <si>
    <t>OUTRAS 
SUBFUNÇÕES</t>
  </si>
  <si>
    <t>1.7.1.1.52.0.0.00.00.00</t>
  </si>
  <si>
    <t>Cota-Parte do Imposto Sobre a Propriedade Territorial Rural (2.3)</t>
  </si>
  <si>
    <t>1.7.1.1.55.0.0.00.00.00</t>
  </si>
  <si>
    <t>Cota-Parte do Imposto  Comercialização do Ouro (2.4)</t>
  </si>
  <si>
    <t>1.7.1.9.61.0.0.00.00.00</t>
  </si>
  <si>
    <t>Auxílio Financeiro –  EC nº 123/2022 (2.5)</t>
  </si>
  <si>
    <t>1.7.2.1.50.0.0.00.00.00</t>
  </si>
  <si>
    <t>Cota-Parte do ICMS (2.6)</t>
  </si>
  <si>
    <t>1.7.2.1.51.0.0.00.00.00</t>
  </si>
  <si>
    <t>Cota-Parte do IPVA (2.7)</t>
  </si>
  <si>
    <t>1.7.2.1.52.0.0.00.00.00</t>
  </si>
  <si>
    <t>Cota-Parte do IPI – Municípios (2.8)</t>
  </si>
  <si>
    <t>1.7.2.9.53.0.0.00.00.00</t>
  </si>
  <si>
    <t>Cota-Parte das Perdas com Arrecadação de ICMS - LC nº 194/2022 (2.9)</t>
  </si>
  <si>
    <t>TOTAL DESTINADO AO FUNDEB (3) = equivalente a 20% de 2.1; 2.3; 2.5; 2.6; 2.7; 2.8; 2.9</t>
  </si>
  <si>
    <t xml:space="preserve">VALOR MÍNIMO A SER APLICADO ALÉM DO VALOR DESTINADO AO FUNDEB (5) = 5% de 2.1; 2.3; 2.5; 2.6; 2.7; 2.8; 2.9 + 25% de 1.1; 2.2; 2.4; </t>
  </si>
  <si>
    <r>
      <t xml:space="preserve">(-) Deduções das receitas acima </t>
    </r>
    <r>
      <rPr>
        <b/>
        <sz val="12"/>
        <color rgb="FF000000"/>
        <rFont val="Calibri"/>
        <family val="2"/>
        <scheme val="minor"/>
      </rPr>
      <t>(6)</t>
    </r>
  </si>
  <si>
    <t>TOTAL MDE + FUNDEB (7) = (3 - 4) + (5 - 6)</t>
  </si>
  <si>
    <t>TOTAL FIXADO</t>
  </si>
  <si>
    <t>PREVISÃO</t>
  </si>
  <si>
    <r>
      <rPr>
        <b/>
        <sz val="12"/>
        <rFont val="Calibri"/>
        <family val="2"/>
        <scheme val="minor"/>
      </rPr>
      <t>GASTOS
A S P S</t>
    </r>
  </si>
  <si>
    <t>1.1.1.0.00.0.0.00.00.00</t>
  </si>
  <si>
    <t>Impostos</t>
  </si>
  <si>
    <t>ATENÇÃO BÁSICA</t>
  </si>
  <si>
    <t>Cota-Parte do Fundo de Participação dos Municípios - Cota Mensal</t>
  </si>
  <si>
    <t>ASSIST.HOSPITALAR E
AMBULAT.</t>
  </si>
  <si>
    <t>Cota-Parte do Imposto Sobre a Propriedade Territorial Rural</t>
  </si>
  <si>
    <r>
      <rPr>
        <sz val="12"/>
        <rFont val="Calibri"/>
        <family val="2"/>
        <scheme val="minor"/>
      </rPr>
      <t>SUPORTE PROFILÁTICO E
TERAP.</t>
    </r>
  </si>
  <si>
    <t>Cota-Parte do ICMS</t>
  </si>
  <si>
    <t>VIGILÂNCIA SANITÁRIA</t>
  </si>
  <si>
    <t>Cota-Parte do IPVA</t>
  </si>
  <si>
    <t>VIGILÂNCIA EPIDEMIOLÓGICA</t>
  </si>
  <si>
    <t>Cota-Parte do IPI - Municípios</t>
  </si>
  <si>
    <t>ALIMENTAÇÃO E NUTRIÇÃO</t>
  </si>
  <si>
    <t>Cota-Parte da Transferência da Compensação Financeira das Perdas com Arrecadação de ICMS - LC nº 194/2022</t>
  </si>
  <si>
    <t>(-) Deduções das receitas acima (exceto aquelas de característica peculiar 105 - Dedução de Receita para formação do FUNDEB)</t>
  </si>
  <si>
    <t>OUTRAS SUBFUNÇÕES</t>
  </si>
  <si>
    <t>TOTAL - BASE DA RECEITA DO ASPS - 15%</t>
  </si>
  <si>
    <t>Código da FR</t>
  </si>
  <si>
    <t>R E C E I T A S</t>
  </si>
  <si>
    <t>D E S P E S A S</t>
  </si>
  <si>
    <t>Operações de Crédito Vinculadas à Educação</t>
  </si>
  <si>
    <r>
      <rPr>
        <b/>
        <sz val="12"/>
        <rFont val="Calibri"/>
        <family val="2"/>
        <scheme val="minor"/>
      </rPr>
      <t xml:space="preserve">Proj/ Atividade:
</t>
    </r>
    <r>
      <rPr>
        <sz val="12"/>
        <rFont val="Calibri"/>
        <family val="2"/>
        <scheme val="minor"/>
      </rPr>
      <t>Elemento:</t>
    </r>
  </si>
  <si>
    <t>Operações de Crédito vinculadas à Saúde</t>
  </si>
  <si>
    <t>Recursos de Operações de Crédito</t>
  </si>
  <si>
    <r>
      <rPr>
        <sz val="12"/>
        <rFont val="Calibri"/>
        <family val="2"/>
        <scheme val="minor"/>
      </rPr>
      <t>Proj/Atividade
Elemento:</t>
    </r>
  </si>
  <si>
    <t>Operaçõs de Crédito Externas</t>
  </si>
  <si>
    <t>DEMONSTRATIVO DOS GASTOS TOTAIS I - RECEITA EFETIVAMENTE REALIZADA NO EXERCÍCIO ANTERIOR - RREA (art. 29-A da CF e inciso VI do art. 59 da LRF)</t>
  </si>
  <si>
    <t>VALORES</t>
  </si>
  <si>
    <t>1.1.0.0.00.0.0.00.00.00</t>
  </si>
  <si>
    <t>Impostos, Taxas e Contribuições de Melhoria</t>
  </si>
  <si>
    <t>1.2.1.5.01.1.0.00.00.00</t>
  </si>
  <si>
    <t>CPSSS do Servidor Civil Ativo</t>
  </si>
  <si>
    <t>1.2.4.0.00.0.0.00.00.00</t>
  </si>
  <si>
    <t>Contribuição para o Custeio do Serviço de Iluminação Pública</t>
  </si>
  <si>
    <t>Cota-Parte do Fundo de Participação dos Municípios - Cotas Extraordinárias</t>
  </si>
  <si>
    <t>Cota-Parte do Imposto Sobre Operações de Crédito, Câmbio e Seguro, ou Relativas a Títulos ou Valores Mobiliários - Comercialização do Ouro</t>
  </si>
  <si>
    <t>1.7.2.1.53.0.0.00.00.00</t>
  </si>
  <si>
    <t>Cota-Parte da Contribuição de Intervenção no Domínio Econômico</t>
  </si>
  <si>
    <t>(-) Deduções das receitas acima (exceto CP = 105)</t>
  </si>
  <si>
    <t>TOTAL DA RECEITA EFETIVAMENTE REALIZADA NO EXERCÍCIO ANTERIOR</t>
  </si>
  <si>
    <t>Estimativa do Limite Máximo de Gastos do Legislativo</t>
  </si>
  <si>
    <t>ESTIMATIVA DE LIMITES PARA AS DESPESAS COM PESSOAL DO PODER LEGISLATIVO</t>
  </si>
  <si>
    <t>Valor previsto para a Receita Efetivamente Arrecadada no Exercício Anterior</t>
  </si>
  <si>
    <t>Limite Legal para as Despesas de Pessoal do Legislativo -  Art. 20, III, “a”, da LRF  (6% x RCL)</t>
  </si>
  <si>
    <t>População do Município</t>
  </si>
  <si>
    <t>Limite Prudencial para as Despesa de Pessoal do Legislativo – Art. 22, parágrafo único  c/c  art. 20, III, “a”, da LRF  (5,7% X RCL)</t>
  </si>
  <si>
    <t>Limite Máximo Permitido conforme Art. 29-A da Constituição Federal</t>
  </si>
  <si>
    <t>%RREA</t>
  </si>
  <si>
    <t>Limite de Alerta para as Despesas de Pessoal do Legislativo – Art. 59, §1º, II, da LRF, (5,4% x RCL)</t>
  </si>
  <si>
    <t xml:space="preserve">Valor máximo para as despesas do Poder Legislativo </t>
  </si>
  <si>
    <t>Valor máximo para as despesas com a Folha de Pagamentos do Poder Legislativo (CF/88, art. 29-A, § 1º)</t>
  </si>
  <si>
    <r>
      <rPr>
        <b/>
        <sz val="12"/>
        <color rgb="FF000000"/>
        <rFont val="Calibri"/>
        <family val="2"/>
        <scheme val="minor"/>
      </rPr>
      <t xml:space="preserve">Observação: </t>
    </r>
    <r>
      <rPr>
        <sz val="12"/>
        <color rgb="FF000000"/>
        <rFont val="Calibri"/>
        <family val="2"/>
        <scheme val="minor"/>
      </rPr>
      <t>conforme a decisão do Processo nº 6774/02-4 e os Pareceres nº 46/2001 e 59/2001, ambos do TCE/RS, o percentual de 70% de limite com folha de pagamento deve ter como referência o limite máximo de despesa total do legislativo apurado em função de sua população.  Portanto, o Poder Legislativo não pode gastar com folha de pagamento, em reais, mais do que 70% do limite máximo de despesa.</t>
    </r>
  </si>
  <si>
    <t>MUNICÍPIO DE SÃO LUIZ GONZAGA</t>
  </si>
  <si>
    <t>(-) Receitas arrecadadas na FR 604 e na NR 1.7.1.0.00.0.00.00</t>
  </si>
  <si>
    <t>LEI ORÇAMENTÁRIA ANUAL PARA 2026</t>
  </si>
  <si>
    <t>METAS FISCAIS FIXADAS NA LDO
PARA 2026</t>
  </si>
  <si>
    <t>METAS FISCAIS FIXADAS NA LDO PARA 2026</t>
  </si>
  <si>
    <t>1.2.1.5.01.2.0.00.00.00</t>
  </si>
  <si>
    <t>Contribuição do Servidor Civil Inativo</t>
  </si>
  <si>
    <t>1.2.1.5.01.3.0.00.00.00</t>
  </si>
  <si>
    <t>Contribuição do Servidor Civil Pensionista</t>
  </si>
  <si>
    <r>
      <t>MUNICÍPIO DE SÃO LUIZ GONZAGA</t>
    </r>
    <r>
      <rPr>
        <b/>
        <u/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LEI ORÇAMENTÁRIA ANUAL PARA 2026</t>
    </r>
    <r>
      <rPr>
        <b/>
        <u/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DEMONSTRATIVO DA RECEITA E DA DESPESA POR GRUPO DE NATUREZA DE DESPESA – ORÇAMENTO FISCAL E DA SEGURIDADE SOCIAL</t>
    </r>
  </si>
  <si>
    <r>
      <t>MUNICÍPIO DE SÃO LUIZ GONZAGA LEI ORÇAMENTÁRIA ANUAL PARA 2026</t>
    </r>
    <r>
      <rPr>
        <b/>
        <u/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DEMONSTRATIVO DA EVOLUÇÃO DA RECEITA POR ORIGEM
(LRF art. 12 e Lei nº 4.320/64, art. 22, III)</t>
    </r>
  </si>
  <si>
    <r>
      <rPr>
        <b/>
        <sz val="11"/>
        <rFont val="Calibri"/>
        <family val="1"/>
      </rPr>
      <t>MUNICÍPIO DE SÃO LUIZ GONZAGA</t>
    </r>
    <r>
      <rPr>
        <b/>
        <u/>
        <sz val="11"/>
        <rFont val="Calibri"/>
        <family val="1"/>
      </rPr>
      <t xml:space="preserve">
</t>
    </r>
    <r>
      <rPr>
        <b/>
        <sz val="11"/>
        <rFont val="Calibri"/>
        <family val="1"/>
      </rPr>
      <t>LEI ORÇAMENTÁRIA ANUAL PARA 2026</t>
    </r>
    <r>
      <rPr>
        <b/>
        <u/>
        <sz val="11"/>
        <rFont val="Calibri"/>
        <family val="1"/>
      </rPr>
      <t xml:space="preserve">
</t>
    </r>
    <r>
      <rPr>
        <b/>
        <sz val="11"/>
        <rFont val="Calibri"/>
        <family val="1"/>
      </rPr>
      <t>DEMONSTRATIVO DA ESTIMATIVA E COMPENSAÇÃO DA RENÚNCIA DE RECEITA
LRF Art. 5º, inciso V
Lei de Diretrizes Orçamentárias, art. 59</t>
    </r>
  </si>
  <si>
    <t>VALOR DA RENÚNCIA EM
2026</t>
  </si>
  <si>
    <t xml:space="preserve">                            MUNICÍPIO DE SÃO LUIZ GONZAGA                               
LEI ORÇAMENTÁRIA ANUAL PARA 2026    
DEMONSTRATIVO DA COMPATIBILIDADE E ATUALIZAÇÃO DAS METAS FISCAIS
LRF Art. 5º</t>
  </si>
  <si>
    <r>
      <t>MUNICÍPIO DE SÃO LUIZ GONZAGA</t>
    </r>
    <r>
      <rPr>
        <b/>
        <u/>
        <sz val="12"/>
        <rFont val="Calibri"/>
        <family val="2"/>
      </rPr>
      <t xml:space="preserve">
</t>
    </r>
    <r>
      <rPr>
        <b/>
        <sz val="12"/>
        <rFont val="Calibri"/>
        <family val="2"/>
      </rPr>
      <t>LEI ORÇAMENTÁRIA ANUAL PARA 2026</t>
    </r>
    <r>
      <rPr>
        <b/>
        <u/>
        <sz val="12"/>
        <rFont val="Calibri"/>
        <family val="2"/>
      </rPr>
      <t xml:space="preserve">
</t>
    </r>
    <r>
      <rPr>
        <b/>
        <sz val="12"/>
        <rFont val="Calibri"/>
        <family val="2"/>
      </rPr>
      <t>DEMONSTRATIVO DA MARGEM DE EXPANSÃO DAS DESPESAS OBRIGATÓRIAS DE CARÁTER CONTINUADO
LRF Art. 5º, inciso V</t>
    </r>
  </si>
  <si>
    <t xml:space="preserve">Declaramos para os devidos fins, que a expansão das despesas obrigatórias de caráter continuado, no exercício </t>
  </si>
  <si>
    <t>financeiro de 2026, adequar-se-ão às receitas do Município.</t>
  </si>
  <si>
    <r>
      <t>MUNICÍPIO DE SÃO LUIZ GONZAGA</t>
    </r>
    <r>
      <rPr>
        <b/>
        <u/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LEI ORÇAMENTÁRIA ANUAL PARA 2026 DEMONSTRATIVO DA PREVISÃO DE APLICAÇÃO DE RECURSOS
EM AÇÕES E SERVIÇOS PÚBLICOS DE SAÚDE:
Constituição Federal, art. 198 Lei Complementar nº 141/2012</t>
    </r>
  </si>
  <si>
    <r>
      <t>MUNICÍPIO DE SÃO LUIZ GONZAGA</t>
    </r>
    <r>
      <rPr>
        <b/>
        <u/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LEI ORÇAMENTÁRIA ANUAL PARA 2026 DEMONSTRATIVO DA PREVISÃO DE APLICAÇÃO DE DESPESAS A SEREM
FINANCIADAS POR OPERAÇÕES DE CRÉDITO
Art. 167, III, da Constituição Federal e Art. 12, § 2º, da LRF</t>
    </r>
  </si>
  <si>
    <t xml:space="preserve">                                MUNICÍPIO DE SÃO LUIZ GONZAGA                                 
LEI ORÇAMENTÁRIA ANUAL PARA 2026    
DEMONSTRATIVO DA PREVISÃO DE APLICAÇÃO DE RECURSOS NA MANUTENÇÃO  E DESENVOLVIMENTO DO ENSINO:
Constituição Federal, art. 212 Lei Federal nº 9.394/1996</t>
  </si>
  <si>
    <t>IPTU e taxas correlatas</t>
  </si>
  <si>
    <t>Desconto conta única</t>
  </si>
  <si>
    <t>Contribuintes que optarem pelo pagamento à vista</t>
  </si>
  <si>
    <t>Vide nota abaixo</t>
  </si>
  <si>
    <t>Isenções</t>
  </si>
  <si>
    <t>Aposentados e Pensionistas de baixa renda</t>
  </si>
  <si>
    <r>
      <rPr>
        <b/>
        <sz val="10"/>
        <color rgb="FF000000"/>
        <rFont val="Calibri"/>
        <family val="2"/>
        <scheme val="minor"/>
      </rPr>
      <t>NOTA:</t>
    </r>
    <r>
      <rPr>
        <sz val="10"/>
        <color rgb="FF000000"/>
        <rFont val="Calibri"/>
        <family val="2"/>
        <scheme val="minor"/>
      </rPr>
      <t xml:space="preserve"> Os valores da renúncia para 2026 foram previstos com base nas informações da Administração Tributária do Poder Executivo, constantes no anexo de Estimativa e Compensação da Renúncia de Receita da Lei de Diretrizes Orçamentárias de 2026, atualizando-se os valores de acordo com a reestimativa das receitas efetuada para a Lei Orçamentária Anual para 2026.</t>
    </r>
  </si>
  <si>
    <t>1.7.5.1.50.0.0.00.00.00</t>
  </si>
  <si>
    <t>Transferência Recursos FUNDEB</t>
  </si>
  <si>
    <r>
      <t>(-) Deduções das receitas acima</t>
    </r>
    <r>
      <rPr>
        <b/>
        <sz val="12"/>
        <color rgb="FF000000"/>
        <rFont val="Calibri"/>
        <family val="2"/>
        <scheme val="minor"/>
      </rPr>
      <t xml:space="preserve"> (4)</t>
    </r>
  </si>
  <si>
    <t>Valor Previsto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</si>
</sst>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\ %"/>
  </numFmts>
  <fonts count="35" x14ac:knownFonts="1">
    <font>
      <sz val="10"/>
      <color rgb="FF000000"/>
      <name val="Times New Roman"/>
      <charset val="204"/>
    </font>
    <font>
      <b/>
      <sz val="11"/>
      <name val="Calibri"/>
      <family val="2"/>
    </font>
    <font>
      <b/>
      <sz val="10"/>
      <name val="Calibri"/>
      <family val="2"/>
    </font>
    <font>
      <b/>
      <sz val="11"/>
      <name val="Calibri"/>
      <family val="1"/>
    </font>
    <font>
      <b/>
      <u/>
      <sz val="11"/>
      <name val="Calibri"/>
      <family val="1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2"/>
      <name val="Calibri"/>
      <family val="2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333333"/>
      <name val="Calibri"/>
      <family val="2"/>
      <scheme val="minor"/>
    </font>
    <font>
      <sz val="12"/>
      <color rgb="FF333333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Times New Roman"/>
      <charset val="204"/>
    </font>
    <font>
      <sz val="9"/>
      <color indexed="81"/>
      <name val="Segoe UI"/>
    </font>
    <font>
      <b/>
      <sz val="9"/>
      <color indexed="81"/>
      <name val="Segoe UI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</cellStyleXfs>
  <cellXfs count="245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1" fillId="0" borderId="7" xfId="0" applyFont="1" applyBorder="1" applyAlignment="1">
      <alignment vertical="top" wrapText="1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vertical="top"/>
    </xf>
    <xf numFmtId="0" fontId="0" fillId="0" borderId="0" xfId="0" applyAlignment="1">
      <alignment vertical="top"/>
    </xf>
    <xf numFmtId="0" fontId="7" fillId="0" borderId="7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10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wrapText="1"/>
    </xf>
    <xf numFmtId="0" fontId="5" fillId="0" borderId="0" xfId="0" applyFont="1" applyAlignment="1">
      <alignment vertical="top"/>
    </xf>
    <xf numFmtId="0" fontId="11" fillId="0" borderId="7" xfId="0" applyFont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5" fillId="0" borderId="7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5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wrapText="1"/>
    </xf>
    <xf numFmtId="0" fontId="7" fillId="0" borderId="4" xfId="0" applyFont="1" applyBorder="1" applyAlignment="1">
      <alignment horizontal="left" vertical="top" wrapText="1" indent="1"/>
    </xf>
    <xf numFmtId="0" fontId="7" fillId="0" borderId="8" xfId="0" applyFont="1" applyBorder="1" applyAlignment="1">
      <alignment horizontal="left" vertical="top" wrapText="1"/>
    </xf>
    <xf numFmtId="0" fontId="9" fillId="0" borderId="11" xfId="0" applyFont="1" applyBorder="1" applyAlignment="1">
      <alignment vertical="top" wrapText="1"/>
    </xf>
    <xf numFmtId="0" fontId="7" fillId="0" borderId="4" xfId="0" applyFont="1" applyBorder="1" applyAlignment="1">
      <alignment horizontal="left" vertical="top" wrapText="1" indent="2"/>
    </xf>
    <xf numFmtId="0" fontId="8" fillId="0" borderId="0" xfId="0" applyFont="1" applyAlignment="1">
      <alignment vertical="top" wrapText="1"/>
    </xf>
    <xf numFmtId="0" fontId="17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top"/>
    </xf>
    <xf numFmtId="0" fontId="19" fillId="0" borderId="7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0" borderId="11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0" xfId="0" applyFont="1" applyAlignment="1">
      <alignment vertical="top"/>
    </xf>
    <xf numFmtId="0" fontId="19" fillId="0" borderId="0" xfId="0" applyFont="1" applyAlignment="1">
      <alignment horizontal="left" vertical="top" wrapText="1"/>
    </xf>
    <xf numFmtId="0" fontId="8" fillId="0" borderId="0" xfId="0" applyFont="1" applyAlignment="1">
      <alignment horizontal="left" wrapText="1"/>
    </xf>
    <xf numFmtId="0" fontId="17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 wrapText="1"/>
    </xf>
    <xf numFmtId="0" fontId="19" fillId="0" borderId="7" xfId="0" applyFont="1" applyBorder="1" applyAlignment="1">
      <alignment vertical="top" wrapText="1"/>
    </xf>
    <xf numFmtId="0" fontId="16" fillId="0" borderId="15" xfId="0" applyFont="1" applyBorder="1" applyAlignment="1">
      <alignment horizontal="left" vertical="top" wrapText="1"/>
    </xf>
    <xf numFmtId="0" fontId="17" fillId="0" borderId="12" xfId="0" applyFont="1" applyBorder="1" applyAlignment="1">
      <alignment horizontal="left" vertical="top" wrapText="1" indent="5"/>
    </xf>
    <xf numFmtId="0" fontId="17" fillId="0" borderId="6" xfId="0" applyFont="1" applyBorder="1" applyAlignment="1">
      <alignment horizontal="left" vertical="top" wrapText="1" indent="1"/>
    </xf>
    <xf numFmtId="0" fontId="17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wrapText="1"/>
    </xf>
    <xf numFmtId="0" fontId="16" fillId="0" borderId="7" xfId="0" applyFont="1" applyBorder="1" applyAlignment="1">
      <alignment horizontal="left" vertical="top"/>
    </xf>
    <xf numFmtId="0" fontId="17" fillId="0" borderId="7" xfId="0" applyFont="1" applyBorder="1" applyAlignment="1">
      <alignment horizontal="left" vertical="top" wrapText="1" indent="6"/>
    </xf>
    <xf numFmtId="0" fontId="6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wrapText="1"/>
    </xf>
    <xf numFmtId="0" fontId="6" fillId="0" borderId="7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vertical="center" wrapText="1"/>
    </xf>
    <xf numFmtId="0" fontId="7" fillId="0" borderId="7" xfId="0" applyFont="1" applyBorder="1" applyAlignment="1">
      <alignment vertical="top" wrapText="1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center" wrapText="1"/>
    </xf>
    <xf numFmtId="0" fontId="16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left" vertical="top"/>
    </xf>
    <xf numFmtId="0" fontId="17" fillId="0" borderId="1" xfId="0" applyFont="1" applyBorder="1" applyAlignment="1">
      <alignment horizontal="left" vertical="top" wrapText="1" indent="1"/>
    </xf>
    <xf numFmtId="164" fontId="16" fillId="0" borderId="1" xfId="0" applyNumberFormat="1" applyFont="1" applyBorder="1" applyAlignment="1">
      <alignment horizontal="left" vertical="top" indent="2" shrinkToFit="1"/>
    </xf>
    <xf numFmtId="0" fontId="17" fillId="0" borderId="1" xfId="0" applyFont="1" applyBorder="1" applyAlignment="1">
      <alignment horizontal="left" vertical="top" wrapText="1" indent="2"/>
    </xf>
    <xf numFmtId="0" fontId="17" fillId="0" borderId="1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 indent="5"/>
    </xf>
    <xf numFmtId="0" fontId="8" fillId="0" borderId="1" xfId="0" applyFont="1" applyBorder="1" applyAlignment="1">
      <alignment horizontal="left" vertical="top" wrapText="1"/>
    </xf>
    <xf numFmtId="0" fontId="19" fillId="0" borderId="7" xfId="0" applyFont="1" applyBorder="1" applyAlignment="1">
      <alignment vertical="top"/>
    </xf>
    <xf numFmtId="0" fontId="17" fillId="0" borderId="4" xfId="0" applyFont="1" applyBorder="1" applyAlignment="1">
      <alignment horizontal="left" vertical="top" wrapText="1" indent="2"/>
    </xf>
    <xf numFmtId="0" fontId="17" fillId="0" borderId="4" xfId="0" applyFont="1" applyBorder="1" applyAlignment="1">
      <alignment horizontal="left" vertical="top" wrapText="1" indent="6"/>
    </xf>
    <xf numFmtId="0" fontId="17" fillId="0" borderId="1" xfId="0" applyFont="1" applyBorder="1" applyAlignment="1">
      <alignment horizontal="left" vertical="top" wrapText="1" indent="4"/>
    </xf>
    <xf numFmtId="0" fontId="17" fillId="0" borderId="1" xfId="0" applyFont="1" applyBorder="1" applyAlignment="1">
      <alignment horizontal="left" vertical="top" wrapText="1" indent="3"/>
    </xf>
    <xf numFmtId="0" fontId="19" fillId="0" borderId="4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 inden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/>
    </xf>
    <xf numFmtId="0" fontId="23" fillId="0" borderId="7" xfId="0" applyFont="1" applyBorder="1" applyAlignment="1">
      <alignment horizontal="left" vertical="top" wrapText="1"/>
    </xf>
    <xf numFmtId="0" fontId="23" fillId="0" borderId="7" xfId="0" applyFont="1" applyBorder="1" applyAlignment="1">
      <alignment horizontal="center" wrapText="1"/>
    </xf>
    <xf numFmtId="0" fontId="24" fillId="0" borderId="7" xfId="0" applyFont="1" applyBorder="1" applyAlignment="1">
      <alignment horizontal="left" vertical="top" wrapText="1"/>
    </xf>
    <xf numFmtId="0" fontId="24" fillId="0" borderId="7" xfId="0" applyFont="1" applyBorder="1" applyAlignment="1">
      <alignment horizontal="left" wrapText="1"/>
    </xf>
    <xf numFmtId="0" fontId="24" fillId="0" borderId="7" xfId="0" applyFont="1" applyBorder="1" applyAlignment="1">
      <alignment horizontal="left" vertical="top"/>
    </xf>
    <xf numFmtId="0" fontId="24" fillId="0" borderId="7" xfId="0" applyFont="1" applyBorder="1" applyAlignment="1">
      <alignment vertical="top" wrapText="1"/>
    </xf>
    <xf numFmtId="0" fontId="24" fillId="0" borderId="0" xfId="0" applyFont="1" applyAlignment="1">
      <alignment horizontal="left" vertical="top"/>
    </xf>
    <xf numFmtId="0" fontId="8" fillId="2" borderId="0" xfId="0" applyFont="1" applyFill="1" applyAlignment="1">
      <alignment vertical="center"/>
    </xf>
    <xf numFmtId="0" fontId="26" fillId="0" borderId="7" xfId="0" applyFont="1" applyBorder="1" applyAlignment="1">
      <alignment horizontal="left" vertical="top"/>
    </xf>
    <xf numFmtId="0" fontId="27" fillId="0" borderId="7" xfId="0" applyFont="1" applyBorder="1" applyAlignment="1">
      <alignment horizontal="left" vertical="top"/>
    </xf>
    <xf numFmtId="0" fontId="27" fillId="0" borderId="7" xfId="0" applyFont="1" applyBorder="1" applyAlignment="1">
      <alignment horizontal="left" vertical="top" wrapText="1"/>
    </xf>
    <xf numFmtId="0" fontId="26" fillId="0" borderId="7" xfId="0" applyFont="1" applyBorder="1" applyAlignment="1">
      <alignment horizontal="left" vertical="top" wrapText="1"/>
    </xf>
    <xf numFmtId="0" fontId="26" fillId="0" borderId="15" xfId="0" applyFont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25" fillId="0" borderId="7" xfId="0" applyFont="1" applyBorder="1" applyAlignment="1">
      <alignment horizontal="center" vertical="top"/>
    </xf>
    <xf numFmtId="0" fontId="29" fillId="0" borderId="7" xfId="0" applyFont="1" applyBorder="1" applyAlignment="1">
      <alignment horizontal="left" vertical="top"/>
    </xf>
    <xf numFmtId="0" fontId="6" fillId="4" borderId="1" xfId="0" applyFont="1" applyFill="1" applyBorder="1" applyAlignment="1">
      <alignment horizontal="left" wrapText="1"/>
    </xf>
    <xf numFmtId="0" fontId="19" fillId="0" borderId="3" xfId="0" applyFont="1" applyBorder="1" applyAlignment="1">
      <alignment horizontal="left" vertical="top" wrapText="1"/>
    </xf>
    <xf numFmtId="0" fontId="30" fillId="0" borderId="15" xfId="0" applyFont="1" applyBorder="1" applyAlignment="1">
      <alignment horizontal="center" vertical="top"/>
    </xf>
    <xf numFmtId="0" fontId="25" fillId="0" borderId="0" xfId="0" applyFont="1" applyAlignment="1">
      <alignment horizontal="left" vertical="top"/>
    </xf>
    <xf numFmtId="0" fontId="6" fillId="4" borderId="7" xfId="0" applyFont="1" applyFill="1" applyBorder="1" applyAlignment="1">
      <alignment horizontal="left" wrapText="1"/>
    </xf>
    <xf numFmtId="0" fontId="6" fillId="4" borderId="7" xfId="0" applyFont="1" applyFill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top" wrapText="1"/>
    </xf>
    <xf numFmtId="0" fontId="23" fillId="0" borderId="0" xfId="0" applyFont="1" applyBorder="1" applyAlignment="1">
      <alignment horizontal="left" vertical="top" wrapText="1"/>
    </xf>
    <xf numFmtId="43" fontId="24" fillId="0" borderId="7" xfId="1" applyFont="1" applyBorder="1" applyAlignment="1">
      <alignment horizontal="left" wrapText="1"/>
    </xf>
    <xf numFmtId="43" fontId="24" fillId="0" borderId="7" xfId="1" applyFont="1" applyBorder="1" applyAlignment="1">
      <alignment horizontal="left" vertical="center" wrapText="1"/>
    </xf>
    <xf numFmtId="43" fontId="24" fillId="0" borderId="7" xfId="1" applyFont="1" applyBorder="1" applyAlignment="1">
      <alignment vertical="center" wrapText="1"/>
    </xf>
    <xf numFmtId="43" fontId="24" fillId="4" borderId="7" xfId="1" applyFont="1" applyFill="1" applyBorder="1" applyAlignment="1">
      <alignment horizontal="left" wrapText="1"/>
    </xf>
    <xf numFmtId="43" fontId="24" fillId="0" borderId="7" xfId="1" applyFont="1" applyBorder="1" applyAlignment="1">
      <alignment horizontal="left" vertical="top" wrapText="1"/>
    </xf>
    <xf numFmtId="43" fontId="24" fillId="4" borderId="7" xfId="1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43" fontId="8" fillId="0" borderId="7" xfId="1" applyFont="1" applyBorder="1" applyAlignment="1">
      <alignment horizontal="left" wrapText="1"/>
    </xf>
    <xf numFmtId="2" fontId="8" fillId="4" borderId="7" xfId="0" applyNumberFormat="1" applyFont="1" applyFill="1" applyBorder="1" applyAlignment="1">
      <alignment horizontal="right" wrapText="1"/>
    </xf>
    <xf numFmtId="43" fontId="8" fillId="0" borderId="4" xfId="1" applyFont="1" applyBorder="1" applyAlignment="1">
      <alignment horizontal="left" wrapText="1"/>
    </xf>
    <xf numFmtId="43" fontId="8" fillId="0" borderId="1" xfId="1" applyFont="1" applyBorder="1" applyAlignment="1">
      <alignment horizontal="left" wrapText="1"/>
    </xf>
    <xf numFmtId="43" fontId="8" fillId="0" borderId="8" xfId="1" applyFont="1" applyBorder="1" applyAlignment="1">
      <alignment horizontal="left" wrapText="1"/>
    </xf>
    <xf numFmtId="43" fontId="8" fillId="0" borderId="5" xfId="1" applyFont="1" applyBorder="1" applyAlignment="1">
      <alignment horizontal="left" wrapText="1"/>
    </xf>
    <xf numFmtId="43" fontId="8" fillId="0" borderId="11" xfId="1" applyFont="1" applyBorder="1" applyAlignment="1">
      <alignment horizontal="left" wrapText="1"/>
    </xf>
    <xf numFmtId="43" fontId="8" fillId="0" borderId="11" xfId="1" applyFont="1" applyBorder="1" applyAlignment="1">
      <alignment wrapText="1"/>
    </xf>
    <xf numFmtId="43" fontId="8" fillId="0" borderId="7" xfId="1" applyFont="1" applyBorder="1" applyAlignment="1">
      <alignment wrapText="1"/>
    </xf>
    <xf numFmtId="43" fontId="8" fillId="4" borderId="7" xfId="1" applyFont="1" applyFill="1" applyBorder="1" applyAlignment="1">
      <alignment horizontal="left" wrapText="1"/>
    </xf>
    <xf numFmtId="43" fontId="8" fillId="4" borderId="1" xfId="1" applyFont="1" applyFill="1" applyBorder="1" applyAlignment="1">
      <alignment horizontal="left" wrapText="1"/>
    </xf>
    <xf numFmtId="43" fontId="26" fillId="0" borderId="7" xfId="1" applyFont="1" applyBorder="1" applyAlignment="1">
      <alignment horizontal="left" vertical="top"/>
    </xf>
    <xf numFmtId="43" fontId="26" fillId="4" borderId="7" xfId="1" applyFont="1" applyFill="1" applyBorder="1" applyAlignment="1">
      <alignment horizontal="center" vertical="top"/>
    </xf>
    <xf numFmtId="43" fontId="0" fillId="4" borderId="7" xfId="1" applyFont="1" applyFill="1" applyBorder="1" applyAlignment="1">
      <alignment horizontal="center" vertical="top"/>
    </xf>
    <xf numFmtId="43" fontId="25" fillId="4" borderId="7" xfId="1" quotePrefix="1" applyFont="1" applyFill="1" applyBorder="1" applyAlignment="1">
      <alignment horizontal="left" vertical="top"/>
    </xf>
    <xf numFmtId="43" fontId="0" fillId="4" borderId="7" xfId="1" applyFont="1" applyFill="1" applyBorder="1" applyAlignment="1">
      <alignment horizontal="left" vertical="top"/>
    </xf>
    <xf numFmtId="43" fontId="8" fillId="0" borderId="7" xfId="1" applyFont="1" applyBorder="1" applyAlignment="1">
      <alignment horizontal="left" vertical="center" wrapText="1"/>
    </xf>
    <xf numFmtId="43" fontId="28" fillId="3" borderId="7" xfId="1" applyFont="1" applyFill="1" applyBorder="1" applyAlignment="1">
      <alignment horizontal="left" wrapText="1"/>
    </xf>
    <xf numFmtId="43" fontId="0" fillId="0" borderId="0" xfId="1" applyFont="1" applyAlignment="1">
      <alignment horizontal="left" vertical="top"/>
    </xf>
    <xf numFmtId="43" fontId="0" fillId="0" borderId="0" xfId="0" applyNumberFormat="1" applyAlignment="1">
      <alignment horizontal="left" vertical="top"/>
    </xf>
    <xf numFmtId="0" fontId="8" fillId="0" borderId="7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center" vertical="top"/>
    </xf>
    <xf numFmtId="0" fontId="8" fillId="0" borderId="7" xfId="0" applyFont="1" applyBorder="1" applyAlignment="1">
      <alignment horizontal="left" vertical="top"/>
    </xf>
    <xf numFmtId="43" fontId="8" fillId="0" borderId="1" xfId="1" applyFont="1" applyBorder="1" applyAlignment="1">
      <alignment horizontal="left" vertical="center" wrapText="1"/>
    </xf>
    <xf numFmtId="43" fontId="8" fillId="4" borderId="1" xfId="1" applyFont="1" applyFill="1" applyBorder="1" applyAlignment="1">
      <alignment horizontal="left" vertical="center" wrapText="1"/>
    </xf>
    <xf numFmtId="43" fontId="8" fillId="4" borderId="4" xfId="1" applyFont="1" applyFill="1" applyBorder="1" applyAlignment="1">
      <alignment horizontal="left" wrapText="1"/>
    </xf>
    <xf numFmtId="0" fontId="17" fillId="0" borderId="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left" vertical="top"/>
    </xf>
    <xf numFmtId="4" fontId="8" fillId="4" borderId="7" xfId="0" applyNumberFormat="1" applyFont="1" applyFill="1" applyBorder="1" applyAlignment="1">
      <alignment horizontal="right" wrapText="1"/>
    </xf>
    <xf numFmtId="4" fontId="8" fillId="0" borderId="7" xfId="0" applyNumberFormat="1" applyFont="1" applyBorder="1" applyAlignment="1">
      <alignment horizontal="right" vertical="center" wrapText="1"/>
    </xf>
    <xf numFmtId="4" fontId="8" fillId="0" borderId="7" xfId="0" applyNumberFormat="1" applyFont="1" applyBorder="1" applyAlignment="1">
      <alignment horizontal="right" wrapText="1"/>
    </xf>
    <xf numFmtId="4" fontId="8" fillId="4" borderId="7" xfId="0" applyNumberFormat="1" applyFont="1" applyFill="1" applyBorder="1" applyAlignment="1">
      <alignment horizontal="right" vertical="center" wrapText="1"/>
    </xf>
    <xf numFmtId="0" fontId="8" fillId="0" borderId="7" xfId="0" applyFont="1" applyBorder="1"/>
    <xf numFmtId="1" fontId="8" fillId="0" borderId="7" xfId="0" applyNumberFormat="1" applyFont="1" applyBorder="1"/>
    <xf numFmtId="0" fontId="8" fillId="0" borderId="7" xfId="0" applyFont="1" applyBorder="1" applyAlignment="1">
      <alignment horizontal="left"/>
    </xf>
    <xf numFmtId="4" fontId="8" fillId="5" borderId="1" xfId="0" applyNumberFormat="1" applyFont="1" applyFill="1" applyBorder="1" applyAlignment="1">
      <alignment horizontal="right" wrapText="1"/>
    </xf>
    <xf numFmtId="4" fontId="8" fillId="4" borderId="1" xfId="0" applyNumberFormat="1" applyFont="1" applyFill="1" applyBorder="1" applyAlignment="1">
      <alignment horizontal="right" wrapText="1"/>
    </xf>
    <xf numFmtId="4" fontId="8" fillId="0" borderId="1" xfId="0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wrapText="1"/>
    </xf>
    <xf numFmtId="4" fontId="8" fillId="0" borderId="0" xfId="0" applyNumberFormat="1" applyFont="1" applyAlignment="1">
      <alignment horizontal="right" wrapText="1"/>
    </xf>
    <xf numFmtId="4" fontId="8" fillId="0" borderId="1" xfId="0" applyNumberFormat="1" applyFont="1" applyBorder="1" applyAlignment="1">
      <alignment horizontal="right" wrapText="1"/>
    </xf>
    <xf numFmtId="4" fontId="8" fillId="4" borderId="4" xfId="0" applyNumberFormat="1" applyFont="1" applyFill="1" applyBorder="1" applyAlignment="1">
      <alignment horizontal="right" wrapText="1"/>
    </xf>
    <xf numFmtId="4" fontId="8" fillId="0" borderId="6" xfId="0" applyNumberFormat="1" applyFont="1" applyBorder="1" applyAlignment="1">
      <alignment horizontal="right" wrapText="1"/>
    </xf>
    <xf numFmtId="9" fontId="16" fillId="0" borderId="7" xfId="0" applyNumberFormat="1" applyFont="1" applyBorder="1" applyAlignment="1">
      <alignment horizontal="center" vertical="top"/>
    </xf>
    <xf numFmtId="4" fontId="1" fillId="4" borderId="7" xfId="0" applyNumberFormat="1" applyFont="1" applyFill="1" applyBorder="1" applyAlignment="1">
      <alignment horizontal="right" vertical="top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wrapText="1"/>
    </xf>
    <xf numFmtId="4" fontId="34" fillId="0" borderId="1" xfId="0" applyNumberFormat="1" applyFont="1" applyBorder="1" applyAlignment="1">
      <alignment horizontal="right" wrapText="1"/>
    </xf>
    <xf numFmtId="4" fontId="8" fillId="4" borderId="7" xfId="0" applyNumberFormat="1" applyFont="1" applyFill="1" applyBorder="1" applyAlignment="1">
      <alignment horizontal="right"/>
    </xf>
    <xf numFmtId="4" fontId="8" fillId="0" borderId="7" xfId="0" applyNumberFormat="1" applyFont="1" applyBorder="1" applyAlignment="1">
      <alignment horizontal="right"/>
    </xf>
    <xf numFmtId="4" fontId="8" fillId="0" borderId="7" xfId="0" applyNumberFormat="1" applyFont="1" applyBorder="1" applyAlignment="1">
      <alignment horizontal="right" vertical="top"/>
    </xf>
    <xf numFmtId="4" fontId="8" fillId="4" borderId="7" xfId="0" applyNumberFormat="1" applyFont="1" applyFill="1" applyBorder="1" applyAlignment="1">
      <alignment horizontal="right" vertical="top"/>
    </xf>
    <xf numFmtId="0" fontId="1" fillId="0" borderId="19" xfId="0" applyFont="1" applyBorder="1" applyAlignment="1">
      <alignment horizontal="center" vertical="top" wrapText="1"/>
    </xf>
    <xf numFmtId="0" fontId="34" fillId="0" borderId="19" xfId="0" applyFont="1" applyBorder="1" applyAlignment="1">
      <alignment horizontal="center" wrapText="1"/>
    </xf>
    <xf numFmtId="0" fontId="9" fillId="0" borderId="1" xfId="0" applyFont="1" applyBorder="1" applyAlignment="1">
      <alignment horizontal="left" vertical="top" wrapText="1" indent="1"/>
    </xf>
    <xf numFmtId="0" fontId="17" fillId="0" borderId="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17" fillId="0" borderId="17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 wrapText="1" indent="29"/>
    </xf>
    <xf numFmtId="0" fontId="3" fillId="0" borderId="16" xfId="0" applyFont="1" applyBorder="1" applyAlignment="1">
      <alignment horizontal="center" vertical="top" wrapText="1"/>
    </xf>
    <xf numFmtId="0" fontId="34" fillId="0" borderId="5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0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left" vertical="top" wrapText="1"/>
    </xf>
    <xf numFmtId="0" fontId="1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top" wrapText="1" indent="20"/>
    </xf>
    <xf numFmtId="0" fontId="17" fillId="0" borderId="0" xfId="0" applyFont="1" applyAlignment="1">
      <alignment horizontal="left" vertical="top" wrapText="1" indent="14"/>
    </xf>
    <xf numFmtId="0" fontId="17" fillId="0" borderId="0" xfId="0" applyFont="1" applyAlignment="1">
      <alignment horizontal="left" vertical="top" wrapText="1" indent="22"/>
    </xf>
    <xf numFmtId="0" fontId="16" fillId="0" borderId="0" xfId="0" applyFont="1" applyAlignment="1">
      <alignment horizontal="center" vertical="top" wrapText="1"/>
    </xf>
    <xf numFmtId="0" fontId="23" fillId="0" borderId="7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top"/>
    </xf>
    <xf numFmtId="0" fontId="17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9" fillId="0" borderId="16" xfId="0" applyFont="1" applyBorder="1" applyAlignment="1">
      <alignment horizontal="center" vertical="top" wrapText="1"/>
    </xf>
    <xf numFmtId="1" fontId="23" fillId="0" borderId="7" xfId="0" applyNumberFormat="1" applyFont="1" applyBorder="1" applyAlignment="1">
      <alignment horizontal="left" wrapText="1"/>
    </xf>
    <xf numFmtId="1" fontId="23" fillId="0" borderId="7" xfId="0" applyNumberFormat="1" applyFont="1" applyBorder="1" applyAlignment="1">
      <alignment horizontal="left"/>
    </xf>
    <xf numFmtId="0" fontId="16" fillId="0" borderId="7" xfId="0" applyFont="1" applyBorder="1" applyAlignment="1">
      <alignment horizontal="center" vertical="top"/>
    </xf>
    <xf numFmtId="1" fontId="8" fillId="0" borderId="7" xfId="0" applyNumberFormat="1" applyFont="1" applyBorder="1" applyAlignment="1">
      <alignment horizontal="left" wrapText="1"/>
    </xf>
    <xf numFmtId="0" fontId="8" fillId="0" borderId="7" xfId="0" applyFont="1" applyBorder="1" applyAlignment="1">
      <alignment horizontal="left" vertical="top"/>
    </xf>
    <xf numFmtId="0" fontId="23" fillId="0" borderId="7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20" fillId="0" borderId="7" xfId="0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1" fontId="8" fillId="0" borderId="0" xfId="0" applyNumberFormat="1" applyFont="1" applyAlignment="1">
      <alignment horizontal="left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11" xfId="0" applyBorder="1" applyAlignment="1">
      <alignment horizontal="center" vertical="top"/>
    </xf>
  </cellXfs>
  <cellStyles count="3">
    <cellStyle name="Normal" xfId="0" builtinId="0"/>
    <cellStyle name="Vírgula" xfId="1" builtinId="3"/>
    <cellStyle name="Vírgula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G27" sqref="G27"/>
    </sheetView>
  </sheetViews>
  <sheetFormatPr defaultRowHeight="12.75" x14ac:dyDescent="0.2"/>
  <cols>
    <col min="1" max="1" width="21.6640625" bestFit="1" customWidth="1"/>
    <col min="2" max="2" width="28.33203125" customWidth="1"/>
    <col min="3" max="9" width="18.1640625" bestFit="1" customWidth="1"/>
    <col min="10" max="10" width="2.6640625" customWidth="1"/>
  </cols>
  <sheetData>
    <row r="1" spans="1:10" ht="45" customHeight="1" x14ac:dyDescent="0.2">
      <c r="A1" s="183" t="s">
        <v>296</v>
      </c>
      <c r="B1" s="184"/>
      <c r="C1" s="184"/>
      <c r="D1" s="184"/>
      <c r="E1" s="184"/>
      <c r="F1" s="184"/>
      <c r="G1" s="184"/>
      <c r="H1" s="184"/>
      <c r="I1" s="185"/>
      <c r="J1" s="2"/>
    </row>
    <row r="2" spans="1:10" ht="37.5" customHeight="1" x14ac:dyDescent="0.2">
      <c r="A2" s="45" t="s">
        <v>0</v>
      </c>
      <c r="B2" s="46" t="s">
        <v>1</v>
      </c>
      <c r="C2" s="46" t="s">
        <v>2</v>
      </c>
      <c r="D2" s="46" t="s">
        <v>3</v>
      </c>
      <c r="E2" s="46" t="s">
        <v>4</v>
      </c>
      <c r="F2" s="46" t="s">
        <v>5</v>
      </c>
      <c r="G2" s="46" t="s">
        <v>6</v>
      </c>
      <c r="H2" s="46" t="s">
        <v>7</v>
      </c>
      <c r="I2" s="46" t="s">
        <v>8</v>
      </c>
    </row>
    <row r="3" spans="1:10" ht="15" customHeight="1" x14ac:dyDescent="0.25">
      <c r="A3" s="180" t="s">
        <v>9</v>
      </c>
      <c r="B3" s="180"/>
      <c r="C3" s="153">
        <f t="shared" ref="C3:I3" si="0">C4+C5+C6+C7+C8+C9+C10+C11</f>
        <v>155767821.52000001</v>
      </c>
      <c r="D3" s="153">
        <f t="shared" si="0"/>
        <v>172379586.09999999</v>
      </c>
      <c r="E3" s="153">
        <f t="shared" si="0"/>
        <v>200623768.63999999</v>
      </c>
      <c r="F3" s="153">
        <f t="shared" si="0"/>
        <v>201137324.57818183</v>
      </c>
      <c r="G3" s="153">
        <f t="shared" si="0"/>
        <v>205598000</v>
      </c>
      <c r="H3" s="153">
        <f t="shared" si="0"/>
        <v>213410724</v>
      </c>
      <c r="I3" s="153">
        <f t="shared" si="0"/>
        <v>220880099.34</v>
      </c>
    </row>
    <row r="4" spans="1:10" ht="30" customHeight="1" x14ac:dyDescent="0.2">
      <c r="A4" s="47" t="s">
        <v>10</v>
      </c>
      <c r="B4" s="48" t="s">
        <v>11</v>
      </c>
      <c r="C4" s="154">
        <v>21559673.260000002</v>
      </c>
      <c r="D4" s="154">
        <v>25503712.469999999</v>
      </c>
      <c r="E4" s="154">
        <v>26163834.239999998</v>
      </c>
      <c r="F4" s="154">
        <f>(26784966.65/11)*12</f>
        <v>29219963.618181817</v>
      </c>
      <c r="G4" s="154">
        <v>29573000</v>
      </c>
      <c r="H4" s="154">
        <f t="shared" ref="H4:H11" si="1">(G4*3.8%)+G4</f>
        <v>30696774</v>
      </c>
      <c r="I4" s="154">
        <f t="shared" ref="I4:I11" si="2">(H4*3.5%)+H4</f>
        <v>31771161.09</v>
      </c>
    </row>
    <row r="5" spans="1:10" ht="15" customHeight="1" x14ac:dyDescent="0.25">
      <c r="A5" s="47" t="s">
        <v>12</v>
      </c>
      <c r="B5" s="34" t="s">
        <v>13</v>
      </c>
      <c r="C5" s="155">
        <v>5380318.4199999999</v>
      </c>
      <c r="D5" s="155">
        <v>5525104.2699999996</v>
      </c>
      <c r="E5" s="155">
        <v>6702372.9800000004</v>
      </c>
      <c r="F5" s="155">
        <v>6363160.6799999997</v>
      </c>
      <c r="G5" s="155">
        <v>8214000</v>
      </c>
      <c r="H5" s="155">
        <f t="shared" si="1"/>
        <v>8526132</v>
      </c>
      <c r="I5" s="155">
        <f t="shared" si="2"/>
        <v>8824546.6199999992</v>
      </c>
    </row>
    <row r="6" spans="1:10" ht="15" customHeight="1" x14ac:dyDescent="0.25">
      <c r="A6" s="47" t="s">
        <v>14</v>
      </c>
      <c r="B6" s="34" t="s">
        <v>15</v>
      </c>
      <c r="C6" s="155">
        <v>15139919.039999999</v>
      </c>
      <c r="D6" s="155">
        <v>17745761.199999999</v>
      </c>
      <c r="E6" s="155">
        <v>20726548.469999999</v>
      </c>
      <c r="F6" s="155">
        <v>22279742.18</v>
      </c>
      <c r="G6" s="155">
        <v>20922000</v>
      </c>
      <c r="H6" s="155">
        <f t="shared" si="1"/>
        <v>21717036</v>
      </c>
      <c r="I6" s="155">
        <f t="shared" si="2"/>
        <v>22477132.260000002</v>
      </c>
    </row>
    <row r="7" spans="1:10" ht="15" customHeight="1" x14ac:dyDescent="0.25">
      <c r="A7" s="47" t="s">
        <v>16</v>
      </c>
      <c r="B7" s="49" t="s">
        <v>17</v>
      </c>
      <c r="C7" s="155">
        <v>0</v>
      </c>
      <c r="D7" s="155">
        <v>0</v>
      </c>
      <c r="E7" s="155">
        <v>0</v>
      </c>
      <c r="F7" s="155">
        <v>0</v>
      </c>
      <c r="G7" s="155">
        <v>0</v>
      </c>
      <c r="H7" s="155">
        <f t="shared" si="1"/>
        <v>0</v>
      </c>
      <c r="I7" s="155">
        <f t="shared" si="2"/>
        <v>0</v>
      </c>
    </row>
    <row r="8" spans="1:10" ht="15" customHeight="1" x14ac:dyDescent="0.25">
      <c r="A8" s="47" t="s">
        <v>18</v>
      </c>
      <c r="B8" s="34" t="s">
        <v>19</v>
      </c>
      <c r="C8" s="155">
        <v>0</v>
      </c>
      <c r="D8" s="155">
        <v>0</v>
      </c>
      <c r="E8" s="155">
        <v>0</v>
      </c>
      <c r="F8" s="155">
        <v>0</v>
      </c>
      <c r="G8" s="155">
        <v>0</v>
      </c>
      <c r="H8" s="155">
        <f t="shared" si="1"/>
        <v>0</v>
      </c>
      <c r="I8" s="155">
        <f t="shared" si="2"/>
        <v>0</v>
      </c>
    </row>
    <row r="9" spans="1:10" ht="15" customHeight="1" x14ac:dyDescent="0.25">
      <c r="A9" s="47" t="s">
        <v>20</v>
      </c>
      <c r="B9" s="34" t="s">
        <v>21</v>
      </c>
      <c r="C9" s="155">
        <v>106178.84</v>
      </c>
      <c r="D9" s="155">
        <v>60321.599999999999</v>
      </c>
      <c r="E9" s="155">
        <v>382817.49</v>
      </c>
      <c r="F9" s="155">
        <v>55305.13</v>
      </c>
      <c r="G9" s="155">
        <v>53000</v>
      </c>
      <c r="H9" s="155">
        <f t="shared" si="1"/>
        <v>55014</v>
      </c>
      <c r="I9" s="155">
        <f t="shared" si="2"/>
        <v>56939.49</v>
      </c>
    </row>
    <row r="10" spans="1:10" ht="15" customHeight="1" x14ac:dyDescent="0.25">
      <c r="A10" s="47" t="s">
        <v>22</v>
      </c>
      <c r="B10" s="34" t="s">
        <v>23</v>
      </c>
      <c r="C10" s="155">
        <v>112776667.12</v>
      </c>
      <c r="D10" s="155">
        <v>122744201.36</v>
      </c>
      <c r="E10" s="155">
        <v>143332359.91999999</v>
      </c>
      <c r="F10" s="155">
        <v>139374629.49000001</v>
      </c>
      <c r="G10" s="155">
        <v>146070000</v>
      </c>
      <c r="H10" s="155">
        <f t="shared" si="1"/>
        <v>151620660</v>
      </c>
      <c r="I10" s="155">
        <f t="shared" si="2"/>
        <v>156927383.09999999</v>
      </c>
    </row>
    <row r="11" spans="1:10" ht="15" customHeight="1" x14ac:dyDescent="0.25">
      <c r="A11" s="47" t="s">
        <v>24</v>
      </c>
      <c r="B11" s="34" t="s">
        <v>25</v>
      </c>
      <c r="C11" s="155">
        <v>805064.84</v>
      </c>
      <c r="D11" s="155">
        <v>800485.2</v>
      </c>
      <c r="E11" s="155">
        <v>3315835.54</v>
      </c>
      <c r="F11" s="155">
        <v>3844523.48</v>
      </c>
      <c r="G11" s="155">
        <v>766000</v>
      </c>
      <c r="H11" s="155">
        <f t="shared" si="1"/>
        <v>795108</v>
      </c>
      <c r="I11" s="155">
        <f t="shared" si="2"/>
        <v>822936.78</v>
      </c>
    </row>
    <row r="12" spans="1:10" ht="15" customHeight="1" x14ac:dyDescent="0.25">
      <c r="A12" s="180" t="s">
        <v>26</v>
      </c>
      <c r="B12" s="180"/>
      <c r="C12" s="153">
        <f>C13+C14+C15+C16+C17</f>
        <v>3089601.84</v>
      </c>
      <c r="D12" s="153">
        <f t="shared" ref="D12:I12" si="3">D13+D14+D15+D16+D17</f>
        <v>11680234.76</v>
      </c>
      <c r="E12" s="153">
        <f t="shared" si="3"/>
        <v>10610395.66</v>
      </c>
      <c r="F12" s="153">
        <f t="shared" si="3"/>
        <v>13816366.619999999</v>
      </c>
      <c r="G12" s="153">
        <f t="shared" si="3"/>
        <v>0</v>
      </c>
      <c r="H12" s="153">
        <f t="shared" si="3"/>
        <v>0</v>
      </c>
      <c r="I12" s="153">
        <f t="shared" si="3"/>
        <v>0</v>
      </c>
    </row>
    <row r="13" spans="1:10" ht="15" customHeight="1" x14ac:dyDescent="0.25">
      <c r="A13" s="47" t="s">
        <v>27</v>
      </c>
      <c r="B13" s="34" t="s">
        <v>28</v>
      </c>
      <c r="C13" s="155">
        <v>400623.93</v>
      </c>
      <c r="D13" s="155">
        <v>0</v>
      </c>
      <c r="E13" s="155">
        <v>8000000</v>
      </c>
      <c r="F13" s="155">
        <v>11800000</v>
      </c>
      <c r="G13" s="155">
        <v>0</v>
      </c>
      <c r="H13" s="155">
        <f>(G13*3.8%)+G13</f>
        <v>0</v>
      </c>
      <c r="I13" s="155">
        <f>(H13*3.5%)+H13</f>
        <v>0</v>
      </c>
    </row>
    <row r="14" spans="1:10" ht="15" customHeight="1" x14ac:dyDescent="0.25">
      <c r="A14" s="47" t="s">
        <v>29</v>
      </c>
      <c r="B14" s="34" t="s">
        <v>30</v>
      </c>
      <c r="C14" s="155">
        <v>27342</v>
      </c>
      <c r="D14" s="155">
        <v>0</v>
      </c>
      <c r="E14" s="155">
        <v>0</v>
      </c>
      <c r="F14" s="155">
        <v>187069.17</v>
      </c>
      <c r="G14" s="155">
        <v>0</v>
      </c>
      <c r="H14" s="155">
        <f>(G14*3.8%)+G14</f>
        <v>0</v>
      </c>
      <c r="I14" s="155">
        <f>(H14*3.5%)+H14</f>
        <v>0</v>
      </c>
    </row>
    <row r="15" spans="1:10" ht="15" customHeight="1" x14ac:dyDescent="0.25">
      <c r="A15" s="47" t="s">
        <v>31</v>
      </c>
      <c r="B15" s="34" t="s">
        <v>32</v>
      </c>
      <c r="C15" s="155">
        <v>14682.25</v>
      </c>
      <c r="D15" s="155">
        <v>0</v>
      </c>
      <c r="E15" s="155">
        <v>0</v>
      </c>
      <c r="F15" s="155">
        <v>0</v>
      </c>
      <c r="G15" s="155">
        <v>0</v>
      </c>
      <c r="H15" s="155">
        <f>(G15*3.8%)+G15</f>
        <v>0</v>
      </c>
      <c r="I15" s="155">
        <f>(H15*3.5%)+H15</f>
        <v>0</v>
      </c>
    </row>
    <row r="16" spans="1:10" ht="15" customHeight="1" x14ac:dyDescent="0.25">
      <c r="A16" s="47" t="s">
        <v>33</v>
      </c>
      <c r="B16" s="34" t="s">
        <v>34</v>
      </c>
      <c r="C16" s="155">
        <v>2364787.2599999998</v>
      </c>
      <c r="D16" s="155">
        <v>11299790.83</v>
      </c>
      <c r="E16" s="155">
        <v>1916409.64</v>
      </c>
      <c r="F16" s="155">
        <v>1829297.45</v>
      </c>
      <c r="G16" s="155">
        <v>0</v>
      </c>
      <c r="H16" s="155">
        <f>(G16*3.8%)+G16</f>
        <v>0</v>
      </c>
      <c r="I16" s="155">
        <f>(H16*3.5%)+H16</f>
        <v>0</v>
      </c>
    </row>
    <row r="17" spans="1:9" ht="15" customHeight="1" x14ac:dyDescent="0.25">
      <c r="A17" s="47" t="s">
        <v>35</v>
      </c>
      <c r="B17" s="34" t="s">
        <v>36</v>
      </c>
      <c r="C17" s="155">
        <v>282166.40000000002</v>
      </c>
      <c r="D17" s="155">
        <v>380443.93</v>
      </c>
      <c r="E17" s="155">
        <v>693986.02</v>
      </c>
      <c r="F17" s="155">
        <v>0</v>
      </c>
      <c r="G17" s="155">
        <v>0</v>
      </c>
      <c r="H17" s="155">
        <f>(G17*3.8%)+G17</f>
        <v>0</v>
      </c>
      <c r="I17" s="155">
        <f>(H17*3.5%)+H17</f>
        <v>0</v>
      </c>
    </row>
    <row r="18" spans="1:9" ht="37.35" customHeight="1" x14ac:dyDescent="0.2">
      <c r="A18" s="180" t="s">
        <v>37</v>
      </c>
      <c r="B18" s="181"/>
      <c r="C18" s="156">
        <f>C19+C20+C21</f>
        <v>16625968.92</v>
      </c>
      <c r="D18" s="156">
        <f t="shared" ref="D18:I18" si="4">D19+D20+D21</f>
        <v>18074424.330000002</v>
      </c>
      <c r="E18" s="156">
        <f t="shared" si="4"/>
        <v>27662242.950000003</v>
      </c>
      <c r="F18" s="156">
        <f t="shared" si="4"/>
        <v>27003523.010000002</v>
      </c>
      <c r="G18" s="156">
        <f t="shared" si="4"/>
        <v>31261000</v>
      </c>
      <c r="H18" s="156">
        <f t="shared" si="4"/>
        <v>32448918</v>
      </c>
      <c r="I18" s="156">
        <f t="shared" si="4"/>
        <v>33584630.130000003</v>
      </c>
    </row>
    <row r="19" spans="1:9" ht="15" customHeight="1" x14ac:dyDescent="0.25">
      <c r="A19" s="47" t="s">
        <v>38</v>
      </c>
      <c r="B19" s="34" t="s">
        <v>13</v>
      </c>
      <c r="C19" s="155">
        <v>16625968.92</v>
      </c>
      <c r="D19" s="155">
        <v>13388726.970000001</v>
      </c>
      <c r="E19" s="155">
        <v>17404497.670000002</v>
      </c>
      <c r="F19" s="155">
        <v>17201744.600000001</v>
      </c>
      <c r="G19" s="155">
        <v>21091000</v>
      </c>
      <c r="H19" s="155">
        <f>(G19*3.8%)+G19</f>
        <v>21892458</v>
      </c>
      <c r="I19" s="155">
        <f>(H19*3.5%)+H19</f>
        <v>22658694.030000001</v>
      </c>
    </row>
    <row r="20" spans="1:9" ht="15" customHeight="1" x14ac:dyDescent="0.25">
      <c r="A20" s="47" t="s">
        <v>39</v>
      </c>
      <c r="B20" s="34" t="s">
        <v>15</v>
      </c>
      <c r="C20" s="155">
        <v>0</v>
      </c>
      <c r="D20" s="155">
        <v>0</v>
      </c>
      <c r="E20" s="155">
        <v>0</v>
      </c>
      <c r="F20" s="155">
        <v>0</v>
      </c>
      <c r="G20" s="155">
        <v>0</v>
      </c>
      <c r="H20" s="155">
        <f>(G20*3.8%)+G20</f>
        <v>0</v>
      </c>
      <c r="I20" s="155">
        <f>(H20*3.5%)+H20</f>
        <v>0</v>
      </c>
    </row>
    <row r="21" spans="1:9" ht="15" customHeight="1" x14ac:dyDescent="0.25">
      <c r="A21" s="47" t="s">
        <v>40</v>
      </c>
      <c r="B21" s="34" t="s">
        <v>25</v>
      </c>
      <c r="C21" s="155">
        <v>0</v>
      </c>
      <c r="D21" s="155">
        <v>4685697.3600000003</v>
      </c>
      <c r="E21" s="155">
        <v>10257745.279999999</v>
      </c>
      <c r="F21" s="155">
        <v>9801778.4100000001</v>
      </c>
      <c r="G21" s="155">
        <v>10170000</v>
      </c>
      <c r="H21" s="155">
        <f>(G21*3.8%)+G21</f>
        <v>10556460</v>
      </c>
      <c r="I21" s="155">
        <f>(H21*3.5%)+H21</f>
        <v>10925936.1</v>
      </c>
    </row>
    <row r="22" spans="1:9" ht="36.950000000000003" customHeight="1" x14ac:dyDescent="0.2">
      <c r="A22" s="180" t="s">
        <v>41</v>
      </c>
      <c r="B22" s="181"/>
      <c r="C22" s="156">
        <f>C23+C24+C25</f>
        <v>0</v>
      </c>
      <c r="D22" s="156">
        <f t="shared" ref="D22:I22" si="5">D23+D24+D25</f>
        <v>0</v>
      </c>
      <c r="E22" s="156">
        <f t="shared" si="5"/>
        <v>0</v>
      </c>
      <c r="F22" s="156">
        <f t="shared" si="5"/>
        <v>0</v>
      </c>
      <c r="G22" s="156">
        <f t="shared" si="5"/>
        <v>0</v>
      </c>
      <c r="H22" s="156">
        <f t="shared" si="5"/>
        <v>0</v>
      </c>
      <c r="I22" s="156">
        <f t="shared" si="5"/>
        <v>0</v>
      </c>
    </row>
    <row r="23" spans="1:9" ht="15" customHeight="1" x14ac:dyDescent="0.25">
      <c r="A23" s="47" t="s">
        <v>42</v>
      </c>
      <c r="B23" s="34" t="s">
        <v>30</v>
      </c>
      <c r="C23" s="155">
        <v>0</v>
      </c>
      <c r="D23" s="155">
        <v>0</v>
      </c>
      <c r="E23" s="155">
        <v>0</v>
      </c>
      <c r="F23" s="155">
        <v>0</v>
      </c>
      <c r="G23" s="155">
        <v>0</v>
      </c>
      <c r="H23" s="155">
        <f>(G23*3.8%)+G23</f>
        <v>0</v>
      </c>
      <c r="I23" s="155">
        <f>(H23*3.5%)+H23</f>
        <v>0</v>
      </c>
    </row>
    <row r="24" spans="1:9" ht="15" customHeight="1" x14ac:dyDescent="0.25">
      <c r="A24" s="47" t="s">
        <v>43</v>
      </c>
      <c r="B24" s="34" t="s">
        <v>32</v>
      </c>
      <c r="C24" s="155">
        <v>0</v>
      </c>
      <c r="D24" s="155">
        <v>0</v>
      </c>
      <c r="E24" s="155">
        <v>0</v>
      </c>
      <c r="F24" s="155">
        <v>0</v>
      </c>
      <c r="G24" s="155">
        <v>0</v>
      </c>
      <c r="H24" s="155">
        <f>(G24*3.8%)+G24</f>
        <v>0</v>
      </c>
      <c r="I24" s="155">
        <f>(H24*3.5%)+H24</f>
        <v>0</v>
      </c>
    </row>
    <row r="25" spans="1:9" ht="15" customHeight="1" x14ac:dyDescent="0.25">
      <c r="A25" s="47" t="s">
        <v>44</v>
      </c>
      <c r="B25" s="34" t="s">
        <v>36</v>
      </c>
      <c r="C25" s="155">
        <v>0</v>
      </c>
      <c r="D25" s="155">
        <v>0</v>
      </c>
      <c r="E25" s="155">
        <v>0</v>
      </c>
      <c r="F25" s="155">
        <v>0</v>
      </c>
      <c r="G25" s="155">
        <v>0</v>
      </c>
      <c r="H25" s="155">
        <f>(G25*3.8%)+G25</f>
        <v>0</v>
      </c>
      <c r="I25" s="155">
        <f>(H25*3.5%)+H25</f>
        <v>0</v>
      </c>
    </row>
    <row r="26" spans="1:9" ht="24.95" customHeight="1" x14ac:dyDescent="0.2">
      <c r="A26" s="180" t="s">
        <v>45</v>
      </c>
      <c r="B26" s="180"/>
      <c r="C26" s="154">
        <v>17096934.609999999</v>
      </c>
      <c r="D26" s="154">
        <v>19276851.510000002</v>
      </c>
      <c r="E26" s="154">
        <v>20312832.609999999</v>
      </c>
      <c r="F26" s="154">
        <v>20271093.84</v>
      </c>
      <c r="G26" s="154">
        <v>21116000</v>
      </c>
      <c r="H26" s="154">
        <f>(G26*3.8%)+G26</f>
        <v>21918408</v>
      </c>
      <c r="I26" s="154">
        <f>(H26*3.5%)+H26</f>
        <v>22685552.280000001</v>
      </c>
    </row>
    <row r="27" spans="1:9" ht="15" customHeight="1" x14ac:dyDescent="0.25">
      <c r="A27" s="182" t="s">
        <v>46</v>
      </c>
      <c r="B27" s="182"/>
      <c r="C27" s="153">
        <f>(C3+C12+C18+C22)-C26</f>
        <v>158386457.67000002</v>
      </c>
      <c r="D27" s="153">
        <f t="shared" ref="D27:I27" si="6">(D3+D12+D18+D22)-D26</f>
        <v>182857393.68000001</v>
      </c>
      <c r="E27" s="153">
        <f t="shared" si="6"/>
        <v>218583574.63999999</v>
      </c>
      <c r="F27" s="153">
        <f t="shared" si="6"/>
        <v>221686120.36818182</v>
      </c>
      <c r="G27" s="153">
        <f t="shared" si="6"/>
        <v>215743000</v>
      </c>
      <c r="H27" s="153">
        <f t="shared" si="6"/>
        <v>223941234</v>
      </c>
      <c r="I27" s="153">
        <f t="shared" si="6"/>
        <v>231779177.19</v>
      </c>
    </row>
  </sheetData>
  <mergeCells count="7">
    <mergeCell ref="A22:B22"/>
    <mergeCell ref="A26:B26"/>
    <mergeCell ref="A27:B27"/>
    <mergeCell ref="A1:I1"/>
    <mergeCell ref="A3:B3"/>
    <mergeCell ref="A12:B12"/>
    <mergeCell ref="A18:B18"/>
  </mergeCells>
  <pageMargins left="0.7" right="0.7" top="0.75" bottom="0.75" header="0.3" footer="0.3"/>
  <pageSetup paperSize="9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F13" sqref="F13"/>
    </sheetView>
  </sheetViews>
  <sheetFormatPr defaultRowHeight="12.75" x14ac:dyDescent="0.2"/>
  <cols>
    <col min="1" max="1" width="26.1640625" customWidth="1"/>
    <col min="2" max="2" width="131.1640625" customWidth="1"/>
    <col min="3" max="3" width="18.1640625" bestFit="1" customWidth="1"/>
    <col min="4" max="4" width="16.6640625" bestFit="1" customWidth="1"/>
    <col min="5" max="5" width="33" customWidth="1"/>
    <col min="6" max="6" width="17" customWidth="1"/>
    <col min="7" max="7" width="14.5" customWidth="1"/>
  </cols>
  <sheetData>
    <row r="1" spans="1:10" ht="78.2" customHeight="1" x14ac:dyDescent="0.2">
      <c r="A1" s="204" t="s">
        <v>303</v>
      </c>
      <c r="B1" s="205"/>
      <c r="C1" s="205"/>
      <c r="D1" s="205"/>
      <c r="E1" s="205"/>
      <c r="F1" s="205"/>
      <c r="G1" s="2"/>
      <c r="H1" s="2"/>
      <c r="I1" s="2"/>
      <c r="J1" s="2"/>
    </row>
    <row r="2" spans="1:10" ht="33" customHeight="1" x14ac:dyDescent="0.2">
      <c r="A2" s="70" t="s">
        <v>0</v>
      </c>
      <c r="B2" s="82" t="s">
        <v>125</v>
      </c>
      <c r="C2" s="74" t="s">
        <v>232</v>
      </c>
      <c r="D2" s="75">
        <v>0.22</v>
      </c>
      <c r="E2" s="79" t="s">
        <v>125</v>
      </c>
      <c r="F2" s="32" t="s">
        <v>233</v>
      </c>
    </row>
    <row r="3" spans="1:10" ht="16.5" customHeight="1" x14ac:dyDescent="0.25">
      <c r="A3" s="73" t="s">
        <v>234</v>
      </c>
      <c r="B3" s="34" t="s">
        <v>235</v>
      </c>
      <c r="C3" s="160">
        <v>23250000</v>
      </c>
      <c r="D3" s="161">
        <f t="shared" ref="D3:D9" si="0">C3*0.22</f>
        <v>5115000</v>
      </c>
      <c r="E3" s="43" t="s">
        <v>236</v>
      </c>
      <c r="F3" s="165">
        <v>5400500</v>
      </c>
    </row>
    <row r="4" spans="1:10" ht="33" customHeight="1" x14ac:dyDescent="0.25">
      <c r="A4" s="73" t="s">
        <v>207</v>
      </c>
      <c r="B4" s="34" t="s">
        <v>237</v>
      </c>
      <c r="C4" s="162">
        <v>47230000</v>
      </c>
      <c r="D4" s="161">
        <f t="shared" si="0"/>
        <v>10390600</v>
      </c>
      <c r="E4" s="43" t="s">
        <v>238</v>
      </c>
      <c r="F4" s="162">
        <v>14050100</v>
      </c>
    </row>
    <row r="5" spans="1:10" ht="33" customHeight="1" x14ac:dyDescent="0.25">
      <c r="A5" s="73" t="s">
        <v>213</v>
      </c>
      <c r="B5" s="73" t="s">
        <v>239</v>
      </c>
      <c r="C5" s="162">
        <v>800000</v>
      </c>
      <c r="D5" s="161">
        <f t="shared" si="0"/>
        <v>176000</v>
      </c>
      <c r="E5" s="80" t="s">
        <v>240</v>
      </c>
      <c r="F5" s="162">
        <v>1197500</v>
      </c>
    </row>
    <row r="6" spans="1:10" ht="16.5" customHeight="1" x14ac:dyDescent="0.25">
      <c r="A6" s="73" t="s">
        <v>219</v>
      </c>
      <c r="B6" s="73" t="s">
        <v>241</v>
      </c>
      <c r="C6" s="163">
        <v>39850000</v>
      </c>
      <c r="D6" s="161">
        <f t="shared" si="0"/>
        <v>8767000</v>
      </c>
      <c r="E6" s="78" t="s">
        <v>242</v>
      </c>
      <c r="F6" s="163">
        <v>1005000</v>
      </c>
    </row>
    <row r="7" spans="1:10" ht="16.5" customHeight="1" x14ac:dyDescent="0.25">
      <c r="A7" s="73" t="s">
        <v>221</v>
      </c>
      <c r="B7" s="73" t="s">
        <v>243</v>
      </c>
      <c r="C7" s="155">
        <v>8200000</v>
      </c>
      <c r="D7" s="161">
        <f t="shared" si="0"/>
        <v>1804000</v>
      </c>
      <c r="E7" s="81" t="s">
        <v>244</v>
      </c>
      <c r="F7" s="155">
        <v>1631000</v>
      </c>
    </row>
    <row r="8" spans="1:10" ht="16.5" customHeight="1" x14ac:dyDescent="0.25">
      <c r="A8" s="73" t="s">
        <v>223</v>
      </c>
      <c r="B8" s="73" t="s">
        <v>245</v>
      </c>
      <c r="C8" s="164">
        <v>400000</v>
      </c>
      <c r="D8" s="161">
        <f t="shared" si="0"/>
        <v>88000</v>
      </c>
      <c r="E8" s="109" t="s">
        <v>246</v>
      </c>
      <c r="F8" s="155"/>
    </row>
    <row r="9" spans="1:10" ht="16.5" customHeight="1" x14ac:dyDescent="0.25">
      <c r="A9" s="73" t="s">
        <v>225</v>
      </c>
      <c r="B9" s="73" t="s">
        <v>247</v>
      </c>
      <c r="C9" s="165">
        <v>0</v>
      </c>
      <c r="D9" s="161">
        <f t="shared" si="0"/>
        <v>0</v>
      </c>
      <c r="E9" s="43"/>
      <c r="F9" s="167"/>
    </row>
    <row r="10" spans="1:10" ht="16.5" customHeight="1" x14ac:dyDescent="0.25">
      <c r="A10" s="234" t="s">
        <v>248</v>
      </c>
      <c r="B10" s="234"/>
      <c r="C10" s="165"/>
      <c r="D10" s="165"/>
      <c r="E10" s="36"/>
      <c r="F10" s="165"/>
    </row>
    <row r="11" spans="1:10" ht="16.5" customHeight="1" x14ac:dyDescent="0.25">
      <c r="A11" s="73"/>
      <c r="B11" s="73"/>
      <c r="C11" s="165"/>
      <c r="D11" s="165"/>
      <c r="E11" s="36"/>
      <c r="F11" s="165"/>
    </row>
    <row r="12" spans="1:10" ht="16.5" customHeight="1" x14ac:dyDescent="0.25">
      <c r="A12" s="73"/>
      <c r="B12" s="73"/>
      <c r="C12" s="165"/>
      <c r="D12" s="165"/>
      <c r="E12" s="43" t="s">
        <v>249</v>
      </c>
      <c r="F12" s="165">
        <v>3056500</v>
      </c>
    </row>
    <row r="13" spans="1:10" ht="24.75" customHeight="1" x14ac:dyDescent="0.25">
      <c r="A13" s="232" t="s">
        <v>250</v>
      </c>
      <c r="B13" s="232"/>
      <c r="C13" s="166">
        <f>(C3+C4+C5+C6+C7+C8+C9)-C10</f>
        <v>119730000</v>
      </c>
      <c r="D13" s="161">
        <f>(C3+C4+C5+C6+C7+C8+C9-C10)*0.22</f>
        <v>26340600</v>
      </c>
      <c r="E13" s="36"/>
      <c r="F13" s="161">
        <f>F3+F4+F5+F6+F7+F8+F12</f>
        <v>26340600</v>
      </c>
    </row>
    <row r="14" spans="1:10" ht="15.75" x14ac:dyDescent="0.2">
      <c r="A14" s="33"/>
      <c r="B14" s="33"/>
      <c r="C14" s="33"/>
      <c r="D14" s="33"/>
      <c r="E14" s="33"/>
      <c r="F14" s="33"/>
    </row>
    <row r="15" spans="1:10" ht="15.75" x14ac:dyDescent="0.2">
      <c r="A15" s="233"/>
      <c r="B15" s="233"/>
      <c r="C15" s="33"/>
      <c r="D15" s="33"/>
      <c r="E15" s="33"/>
      <c r="F15" s="33"/>
    </row>
    <row r="16" spans="1:10" ht="15.75" customHeight="1" x14ac:dyDescent="0.2">
      <c r="A16" s="99"/>
      <c r="B16" s="99"/>
      <c r="C16" s="33"/>
      <c r="D16" s="33"/>
      <c r="E16" s="33"/>
      <c r="F16" s="33"/>
    </row>
    <row r="17" spans="1:6" ht="15.75" x14ac:dyDescent="0.2">
      <c r="A17" s="99"/>
      <c r="B17" s="99"/>
      <c r="C17" s="33"/>
      <c r="D17" s="33"/>
      <c r="E17" s="33"/>
      <c r="F17" s="33"/>
    </row>
    <row r="18" spans="1:6" ht="15.75" x14ac:dyDescent="0.2">
      <c r="A18" s="99"/>
      <c r="B18" s="99"/>
      <c r="C18" s="33"/>
      <c r="D18" s="33"/>
      <c r="E18" s="33"/>
      <c r="F18" s="33"/>
    </row>
    <row r="19" spans="1:6" ht="15.75" x14ac:dyDescent="0.2">
      <c r="A19" s="99"/>
      <c r="B19" s="99"/>
      <c r="C19" s="33"/>
      <c r="D19" s="33"/>
      <c r="E19" s="33"/>
      <c r="F19" s="33"/>
    </row>
    <row r="20" spans="1:6" ht="15.75" x14ac:dyDescent="0.2">
      <c r="A20" s="99"/>
      <c r="B20" s="99"/>
      <c r="C20" s="33"/>
      <c r="D20" s="33"/>
      <c r="E20" s="33"/>
      <c r="F20" s="33"/>
    </row>
    <row r="21" spans="1:6" ht="15.75" x14ac:dyDescent="0.2">
      <c r="A21" s="99"/>
      <c r="B21" s="99"/>
      <c r="C21" s="33"/>
      <c r="D21" s="33"/>
      <c r="E21" s="33"/>
      <c r="F21" s="33"/>
    </row>
    <row r="22" spans="1:6" ht="15.75" x14ac:dyDescent="0.2">
      <c r="A22" s="33"/>
      <c r="B22" s="33"/>
      <c r="C22" s="33"/>
      <c r="D22" s="33"/>
      <c r="E22" s="33"/>
      <c r="F22" s="33"/>
    </row>
    <row r="23" spans="1:6" ht="15.75" x14ac:dyDescent="0.2">
      <c r="A23" s="33"/>
      <c r="B23" s="33"/>
      <c r="C23" s="33"/>
      <c r="D23" s="33"/>
      <c r="E23" s="33"/>
      <c r="F23" s="33"/>
    </row>
    <row r="24" spans="1:6" ht="15.75" x14ac:dyDescent="0.2">
      <c r="A24" s="33"/>
      <c r="B24" s="33"/>
      <c r="C24" s="33"/>
      <c r="D24" s="33"/>
      <c r="E24" s="33"/>
      <c r="F24" s="33"/>
    </row>
  </sheetData>
  <mergeCells count="4">
    <mergeCell ref="A1:F1"/>
    <mergeCell ref="A13:B13"/>
    <mergeCell ref="A15:B15"/>
    <mergeCell ref="A10:B10"/>
  </mergeCells>
  <pageMargins left="0.7" right="0.7" top="0.75" bottom="0.75" header="0.3" footer="0.3"/>
  <pageSetup paperSize="9"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workbookViewId="0">
      <selection activeCell="A2" sqref="A2"/>
    </sheetView>
  </sheetViews>
  <sheetFormatPr defaultRowHeight="15" x14ac:dyDescent="0.2"/>
  <cols>
    <col min="1" max="1" width="17.6640625" style="11" customWidth="1"/>
    <col min="2" max="2" width="36.1640625" style="11" customWidth="1"/>
    <col min="3" max="3" width="14.6640625" style="11" customWidth="1"/>
    <col min="4" max="4" width="29.83203125" style="11" customWidth="1"/>
    <col min="5" max="5" width="16.6640625" style="11" customWidth="1"/>
    <col min="6" max="6" width="19.1640625" customWidth="1"/>
  </cols>
  <sheetData>
    <row r="1" spans="1:10" ht="80.25" customHeight="1" x14ac:dyDescent="0.2">
      <c r="A1" s="204" t="s">
        <v>304</v>
      </c>
      <c r="B1" s="205"/>
      <c r="C1" s="205"/>
      <c r="D1" s="205"/>
      <c r="E1" s="205"/>
      <c r="F1" s="2"/>
      <c r="G1" s="2"/>
      <c r="H1" s="2"/>
      <c r="I1" s="2"/>
      <c r="J1" s="2"/>
    </row>
    <row r="2" spans="1:10" ht="16.5" customHeight="1" x14ac:dyDescent="0.2">
      <c r="A2" s="70" t="s">
        <v>251</v>
      </c>
      <c r="B2" s="235" t="s">
        <v>252</v>
      </c>
      <c r="C2" s="236"/>
      <c r="D2" s="237" t="s">
        <v>253</v>
      </c>
      <c r="E2" s="236"/>
    </row>
    <row r="3" spans="1:10" ht="16.5" customHeight="1" x14ac:dyDescent="0.2">
      <c r="A3" s="47"/>
      <c r="B3" s="83" t="s">
        <v>1</v>
      </c>
      <c r="C3" s="76" t="s">
        <v>108</v>
      </c>
      <c r="D3" s="84" t="s">
        <v>1</v>
      </c>
      <c r="E3" s="85" t="s">
        <v>108</v>
      </c>
    </row>
    <row r="4" spans="1:10" ht="39.950000000000003" customHeight="1" x14ac:dyDescent="0.2">
      <c r="A4" s="47">
        <v>574</v>
      </c>
      <c r="B4" s="86" t="s">
        <v>254</v>
      </c>
      <c r="C4" s="55"/>
      <c r="D4" s="80" t="s">
        <v>255</v>
      </c>
      <c r="E4" s="55"/>
    </row>
    <row r="5" spans="1:10" ht="39.950000000000003" customHeight="1" x14ac:dyDescent="0.2">
      <c r="A5" s="47">
        <v>634</v>
      </c>
      <c r="B5" s="87" t="s">
        <v>256</v>
      </c>
      <c r="C5" s="55"/>
      <c r="D5" s="80" t="s">
        <v>255</v>
      </c>
      <c r="E5" s="55"/>
    </row>
    <row r="6" spans="1:10" ht="33" customHeight="1" x14ac:dyDescent="0.2">
      <c r="A6" s="47">
        <v>754</v>
      </c>
      <c r="B6" s="56" t="s">
        <v>257</v>
      </c>
      <c r="C6" s="88"/>
      <c r="D6" s="89" t="s">
        <v>258</v>
      </c>
      <c r="E6" s="88"/>
    </row>
    <row r="7" spans="1:10" ht="14.1" customHeight="1" x14ac:dyDescent="0.25">
      <c r="A7" s="47"/>
      <c r="B7" s="37"/>
      <c r="C7" s="38"/>
      <c r="D7" s="38"/>
      <c r="E7" s="38"/>
      <c r="F7" s="9"/>
    </row>
    <row r="8" spans="1:10" ht="16.5" customHeight="1" x14ac:dyDescent="0.25">
      <c r="A8" s="47"/>
      <c r="B8" s="86" t="s">
        <v>259</v>
      </c>
      <c r="C8" s="36"/>
      <c r="D8" s="36"/>
      <c r="E8" s="57"/>
    </row>
    <row r="9" spans="1:10" ht="14.1" customHeight="1" x14ac:dyDescent="0.25">
      <c r="A9" s="47"/>
      <c r="B9" s="35"/>
      <c r="C9" s="36"/>
      <c r="D9" s="36"/>
      <c r="E9" s="36"/>
    </row>
    <row r="10" spans="1:10" ht="16.5" customHeight="1" x14ac:dyDescent="0.25">
      <c r="A10" s="47"/>
      <c r="B10" s="90" t="s">
        <v>104</v>
      </c>
      <c r="C10" s="36">
        <f>C4+C5+C6+C8</f>
        <v>0</v>
      </c>
      <c r="D10" s="77" t="s">
        <v>104</v>
      </c>
      <c r="E10" s="36">
        <f>E4+E5+E6</f>
        <v>0</v>
      </c>
    </row>
  </sheetData>
  <mergeCells count="3">
    <mergeCell ref="B2:C2"/>
    <mergeCell ref="D2:E2"/>
    <mergeCell ref="A1:E1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A16" workbookViewId="0">
      <selection activeCell="M24" sqref="M24"/>
    </sheetView>
  </sheetViews>
  <sheetFormatPr defaultRowHeight="12.75" x14ac:dyDescent="0.2"/>
  <cols>
    <col min="1" max="1" width="32.33203125" customWidth="1"/>
    <col min="2" max="2" width="51.83203125" customWidth="1"/>
    <col min="3" max="3" width="28" customWidth="1"/>
    <col min="7" max="7" width="12.1640625" bestFit="1" customWidth="1"/>
    <col min="8" max="8" width="16.6640625" bestFit="1" customWidth="1"/>
    <col min="9" max="9" width="26" bestFit="1" customWidth="1"/>
    <col min="10" max="10" width="21.33203125" customWidth="1"/>
    <col min="11" max="11" width="20.5" bestFit="1" customWidth="1"/>
    <col min="12" max="12" width="27.83203125" customWidth="1"/>
    <col min="13" max="13" width="18.33203125" customWidth="1"/>
  </cols>
  <sheetData>
    <row r="1" spans="1:5" ht="66" customHeight="1" x14ac:dyDescent="0.2">
      <c r="A1" s="238" t="s">
        <v>260</v>
      </c>
      <c r="B1" s="238"/>
      <c r="C1" s="238"/>
      <c r="D1" s="9"/>
      <c r="E1" s="9"/>
    </row>
    <row r="2" spans="1:5" x14ac:dyDescent="0.2">
      <c r="A2" s="238"/>
      <c r="B2" s="238"/>
      <c r="C2" s="238"/>
    </row>
    <row r="3" spans="1:5" x14ac:dyDescent="0.2">
      <c r="A3" s="104"/>
      <c r="B3" s="104"/>
      <c r="C3" s="110" t="s">
        <v>261</v>
      </c>
    </row>
    <row r="4" spans="1:5" ht="15" x14ac:dyDescent="0.2">
      <c r="A4" s="101" t="s">
        <v>262</v>
      </c>
      <c r="B4" s="101" t="s">
        <v>263</v>
      </c>
      <c r="C4" s="134">
        <v>26677060</v>
      </c>
    </row>
    <row r="5" spans="1:5" ht="15" x14ac:dyDescent="0.2">
      <c r="A5" s="101" t="s">
        <v>264</v>
      </c>
      <c r="B5" s="101" t="s">
        <v>265</v>
      </c>
      <c r="C5" s="134">
        <v>5515000</v>
      </c>
    </row>
    <row r="6" spans="1:5" ht="15" x14ac:dyDescent="0.2">
      <c r="A6" s="101" t="s">
        <v>291</v>
      </c>
      <c r="B6" s="101" t="s">
        <v>292</v>
      </c>
      <c r="C6" s="134">
        <v>94050</v>
      </c>
    </row>
    <row r="7" spans="1:5" ht="15" x14ac:dyDescent="0.2">
      <c r="A7" s="101" t="s">
        <v>293</v>
      </c>
      <c r="B7" s="101" t="s">
        <v>294</v>
      </c>
      <c r="C7" s="134">
        <v>6205</v>
      </c>
    </row>
    <row r="8" spans="1:5" ht="30" x14ac:dyDescent="0.2">
      <c r="A8" s="101" t="s">
        <v>266</v>
      </c>
      <c r="B8" s="102" t="s">
        <v>267</v>
      </c>
      <c r="C8" s="134">
        <v>1673350</v>
      </c>
    </row>
    <row r="9" spans="1:5" ht="30" x14ac:dyDescent="0.2">
      <c r="A9" s="101" t="s">
        <v>207</v>
      </c>
      <c r="B9" s="102" t="s">
        <v>237</v>
      </c>
      <c r="C9" s="134">
        <v>46541343</v>
      </c>
    </row>
    <row r="10" spans="1:5" ht="30" x14ac:dyDescent="0.2">
      <c r="A10" s="101" t="s">
        <v>210</v>
      </c>
      <c r="B10" s="102" t="s">
        <v>268</v>
      </c>
      <c r="C10" s="134">
        <v>5300000</v>
      </c>
    </row>
    <row r="11" spans="1:5" ht="30" x14ac:dyDescent="0.2">
      <c r="A11" s="101" t="s">
        <v>213</v>
      </c>
      <c r="B11" s="102" t="s">
        <v>239</v>
      </c>
      <c r="C11" s="134">
        <v>828330</v>
      </c>
    </row>
    <row r="12" spans="1:5" ht="60" x14ac:dyDescent="0.2">
      <c r="A12" s="101" t="s">
        <v>215</v>
      </c>
      <c r="B12" s="102" t="s">
        <v>269</v>
      </c>
      <c r="C12" s="134">
        <v>0</v>
      </c>
    </row>
    <row r="13" spans="1:5" ht="15" x14ac:dyDescent="0.2">
      <c r="A13" s="101" t="s">
        <v>219</v>
      </c>
      <c r="B13" s="101" t="s">
        <v>241</v>
      </c>
      <c r="C13" s="134">
        <v>38162345</v>
      </c>
    </row>
    <row r="14" spans="1:5" ht="15" x14ac:dyDescent="0.2">
      <c r="A14" s="101" t="s">
        <v>221</v>
      </c>
      <c r="B14" s="101" t="s">
        <v>243</v>
      </c>
      <c r="C14" s="134">
        <v>9511851</v>
      </c>
    </row>
    <row r="15" spans="1:5" ht="15" x14ac:dyDescent="0.2">
      <c r="A15" s="101" t="s">
        <v>223</v>
      </c>
      <c r="B15" s="101" t="s">
        <v>245</v>
      </c>
      <c r="C15" s="134">
        <v>479831</v>
      </c>
    </row>
    <row r="16" spans="1:5" ht="30" x14ac:dyDescent="0.2">
      <c r="A16" s="101" t="s">
        <v>270</v>
      </c>
      <c r="B16" s="102" t="s">
        <v>271</v>
      </c>
      <c r="C16" s="134">
        <v>36805</v>
      </c>
    </row>
    <row r="17" spans="1:13" ht="45" x14ac:dyDescent="0.2">
      <c r="A17" s="101" t="s">
        <v>225</v>
      </c>
      <c r="B17" s="102" t="s">
        <v>247</v>
      </c>
      <c r="C17" s="134">
        <v>0</v>
      </c>
    </row>
    <row r="18" spans="1:13" ht="15" x14ac:dyDescent="0.2">
      <c r="A18" s="101" t="s">
        <v>272</v>
      </c>
      <c r="B18" s="100"/>
      <c r="C18" s="134"/>
    </row>
    <row r="19" spans="1:13" ht="15" x14ac:dyDescent="0.2">
      <c r="A19" s="101" t="s">
        <v>273</v>
      </c>
      <c r="B19" s="103"/>
      <c r="C19" s="135">
        <f>SUM(C4:C18)</f>
        <v>134826170</v>
      </c>
    </row>
    <row r="22" spans="1:13" ht="33" customHeight="1" x14ac:dyDescent="0.2">
      <c r="A22" s="227" t="s">
        <v>274</v>
      </c>
      <c r="B22" s="227"/>
      <c r="C22" s="227"/>
      <c r="G22" s="239" t="s">
        <v>275</v>
      </c>
      <c r="H22" s="240"/>
      <c r="I22" s="240"/>
      <c r="J22" s="240"/>
      <c r="K22" s="240"/>
      <c r="L22" s="240"/>
      <c r="M22" s="241"/>
    </row>
    <row r="23" spans="1:13" x14ac:dyDescent="0.2">
      <c r="A23" s="242"/>
      <c r="B23" s="243"/>
      <c r="C23" s="244"/>
      <c r="G23" s="242"/>
      <c r="H23" s="243"/>
      <c r="I23" s="243"/>
      <c r="J23" s="243"/>
      <c r="K23" s="243"/>
      <c r="L23" s="243"/>
      <c r="M23" s="244"/>
    </row>
    <row r="24" spans="1:13" ht="15.75" customHeight="1" x14ac:dyDescent="0.2">
      <c r="A24" s="229" t="s">
        <v>276</v>
      </c>
      <c r="B24" s="229"/>
      <c r="C24" s="136">
        <f>C19</f>
        <v>134826170</v>
      </c>
      <c r="G24" s="229" t="s">
        <v>277</v>
      </c>
      <c r="H24" s="229"/>
      <c r="I24" s="229"/>
      <c r="J24" s="229"/>
      <c r="K24" s="229"/>
      <c r="L24" s="229"/>
      <c r="M24" s="137">
        <f>('PESSOAL RCL'!C18)*0.06</f>
        <v>9390240</v>
      </c>
    </row>
    <row r="25" spans="1:13" ht="36" customHeight="1" x14ac:dyDescent="0.2">
      <c r="A25" s="229" t="s">
        <v>278</v>
      </c>
      <c r="B25" s="229"/>
      <c r="C25" s="105"/>
      <c r="G25" s="181" t="s">
        <v>279</v>
      </c>
      <c r="H25" s="181"/>
      <c r="I25" s="181"/>
      <c r="J25" s="181"/>
      <c r="K25" s="181"/>
      <c r="L25" s="181"/>
      <c r="M25" s="138">
        <f>('PESSOAL RCL'!C18)*0.057</f>
        <v>8920728</v>
      </c>
    </row>
    <row r="26" spans="1:13" ht="15.75" customHeight="1" x14ac:dyDescent="0.2">
      <c r="A26" s="229" t="s">
        <v>280</v>
      </c>
      <c r="B26" s="229"/>
      <c r="C26" s="106">
        <v>7</v>
      </c>
      <c r="D26" s="111" t="s">
        <v>281</v>
      </c>
      <c r="G26" s="229" t="s">
        <v>282</v>
      </c>
      <c r="H26" s="229"/>
      <c r="I26" s="229"/>
      <c r="J26" s="229"/>
      <c r="K26" s="229"/>
      <c r="L26" s="229"/>
      <c r="M26" s="138">
        <f>('PESSOAL RCL'!C18)*0.054</f>
        <v>8451216</v>
      </c>
    </row>
    <row r="27" spans="1:13" ht="15.75" x14ac:dyDescent="0.2">
      <c r="A27" s="229" t="s">
        <v>283</v>
      </c>
      <c r="B27" s="229"/>
      <c r="C27" s="136">
        <f>C24*C26/100</f>
        <v>9437831.9000000004</v>
      </c>
    </row>
    <row r="28" spans="1:13" ht="44.25" customHeight="1" x14ac:dyDescent="0.2">
      <c r="A28" s="181" t="s">
        <v>284</v>
      </c>
      <c r="B28" s="181"/>
      <c r="C28" s="136">
        <f>C27*0.7</f>
        <v>6606482.3300000001</v>
      </c>
    </row>
    <row r="31" spans="1:13" ht="93" customHeight="1" x14ac:dyDescent="0.2">
      <c r="A31" s="223" t="s">
        <v>285</v>
      </c>
      <c r="B31" s="223"/>
      <c r="C31" s="223"/>
      <c r="D31" s="223"/>
      <c r="E31" s="223"/>
      <c r="F31" s="223"/>
    </row>
  </sheetData>
  <mergeCells count="14">
    <mergeCell ref="A31:F31"/>
    <mergeCell ref="A28:B28"/>
    <mergeCell ref="A1:C2"/>
    <mergeCell ref="A22:C22"/>
    <mergeCell ref="G26:L26"/>
    <mergeCell ref="A24:B24"/>
    <mergeCell ref="A25:B25"/>
    <mergeCell ref="A26:B26"/>
    <mergeCell ref="A27:B27"/>
    <mergeCell ref="G22:M22"/>
    <mergeCell ref="G23:M23"/>
    <mergeCell ref="A23:C23"/>
    <mergeCell ref="G24:L24"/>
    <mergeCell ref="G25:L25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opLeftCell="A10" workbookViewId="0">
      <selection activeCell="J26" sqref="J26"/>
    </sheetView>
  </sheetViews>
  <sheetFormatPr defaultRowHeight="12.75" x14ac:dyDescent="0.2"/>
  <cols>
    <col min="1" max="1" width="31.1640625" customWidth="1"/>
    <col min="2" max="5" width="16.5" customWidth="1"/>
    <col min="6" max="6" width="19.33203125" customWidth="1"/>
  </cols>
  <sheetData>
    <row r="1" spans="1:9" ht="33" customHeight="1" x14ac:dyDescent="0.2">
      <c r="A1" s="190" t="s">
        <v>47</v>
      </c>
      <c r="B1" s="191"/>
      <c r="C1" s="191"/>
      <c r="D1" s="191"/>
      <c r="E1" s="191"/>
      <c r="F1" s="191"/>
      <c r="G1" s="2"/>
      <c r="H1" s="2"/>
      <c r="I1" s="2"/>
    </row>
    <row r="2" spans="1:9" ht="16.5" customHeight="1" x14ac:dyDescent="0.2">
      <c r="A2" s="192" t="s">
        <v>48</v>
      </c>
      <c r="B2" s="192"/>
      <c r="C2" s="192"/>
      <c r="D2" s="192"/>
      <c r="E2" s="192"/>
      <c r="F2" s="192"/>
    </row>
    <row r="3" spans="1:9" ht="33.75" customHeight="1" x14ac:dyDescent="0.2">
      <c r="A3" s="186" t="s">
        <v>49</v>
      </c>
      <c r="B3" s="187"/>
      <c r="C3" s="187"/>
      <c r="D3" s="187"/>
      <c r="E3" s="187"/>
      <c r="F3" s="187"/>
    </row>
    <row r="4" spans="1:9" ht="38.25" customHeight="1" x14ac:dyDescent="0.2">
      <c r="A4" s="188" t="s">
        <v>50</v>
      </c>
      <c r="B4" s="189"/>
      <c r="C4" s="189"/>
      <c r="D4" s="189"/>
      <c r="E4" s="189"/>
      <c r="F4" s="189"/>
    </row>
    <row r="5" spans="1:9" ht="35.25" customHeight="1" x14ac:dyDescent="0.2">
      <c r="A5" s="188" t="s">
        <v>51</v>
      </c>
      <c r="B5" s="189"/>
      <c r="C5" s="189"/>
      <c r="D5" s="189"/>
      <c r="E5" s="189"/>
      <c r="F5" s="189"/>
    </row>
    <row r="6" spans="1:9" ht="88.5" customHeight="1" x14ac:dyDescent="0.2">
      <c r="A6" s="186" t="s">
        <v>52</v>
      </c>
      <c r="B6" s="186"/>
      <c r="C6" s="186"/>
      <c r="D6" s="186"/>
      <c r="E6" s="186"/>
      <c r="F6" s="186"/>
    </row>
    <row r="7" spans="1:9" ht="21" customHeight="1" x14ac:dyDescent="0.2">
      <c r="A7" s="19"/>
      <c r="B7" s="5"/>
      <c r="C7" s="5"/>
      <c r="D7" s="5"/>
      <c r="E7" s="5"/>
      <c r="F7" s="5"/>
    </row>
    <row r="8" spans="1:9" ht="23.25" customHeight="1" x14ac:dyDescent="0.2">
      <c r="A8" s="12" t="s">
        <v>53</v>
      </c>
      <c r="B8" s="12">
        <v>2025</v>
      </c>
      <c r="C8" s="12">
        <v>2026</v>
      </c>
      <c r="D8" s="12">
        <v>2027</v>
      </c>
      <c r="E8" s="12">
        <v>2028</v>
      </c>
      <c r="F8" s="20"/>
    </row>
    <row r="9" spans="1:9" ht="16.5" customHeight="1" x14ac:dyDescent="0.25">
      <c r="A9" s="15" t="s">
        <v>54</v>
      </c>
      <c r="B9" s="13"/>
      <c r="C9" s="13"/>
      <c r="D9" s="13"/>
      <c r="E9" s="13"/>
      <c r="F9" s="11"/>
    </row>
    <row r="10" spans="1:9" ht="16.5" customHeight="1" x14ac:dyDescent="0.25">
      <c r="A10" s="15" t="s">
        <v>55</v>
      </c>
      <c r="B10" s="13"/>
      <c r="C10" s="13"/>
      <c r="D10" s="13"/>
      <c r="E10" s="13"/>
      <c r="F10" s="11"/>
    </row>
    <row r="11" spans="1:9" ht="16.5" customHeight="1" x14ac:dyDescent="0.25">
      <c r="A11" s="15" t="s">
        <v>56</v>
      </c>
      <c r="B11" s="13"/>
      <c r="C11" s="13"/>
      <c r="D11" s="13"/>
      <c r="E11" s="13"/>
      <c r="F11" s="11"/>
    </row>
    <row r="12" spans="1:9" ht="16.5" customHeight="1" x14ac:dyDescent="0.25">
      <c r="A12" s="15" t="s">
        <v>57</v>
      </c>
      <c r="B12" s="13"/>
      <c r="C12" s="13"/>
      <c r="D12" s="13"/>
      <c r="E12" s="13"/>
      <c r="F12" s="11"/>
    </row>
    <row r="13" spans="1:9" ht="16.5" customHeight="1" x14ac:dyDescent="0.25">
      <c r="A13" s="15" t="s">
        <v>58</v>
      </c>
      <c r="B13" s="13"/>
      <c r="C13" s="13"/>
      <c r="D13" s="13"/>
      <c r="E13" s="13"/>
      <c r="F13" s="11"/>
    </row>
    <row r="14" spans="1:9" ht="33" customHeight="1" x14ac:dyDescent="0.2">
      <c r="A14" s="15" t="s">
        <v>59</v>
      </c>
      <c r="B14" s="18"/>
      <c r="C14" s="18"/>
      <c r="D14" s="18"/>
      <c r="E14" s="18"/>
      <c r="F14" s="11"/>
    </row>
    <row r="15" spans="1:9" ht="16.5" customHeight="1" x14ac:dyDescent="0.25">
      <c r="A15" s="15" t="s">
        <v>60</v>
      </c>
      <c r="B15" s="13"/>
      <c r="C15" s="13"/>
      <c r="D15" s="13"/>
      <c r="E15" s="13"/>
      <c r="F15" s="11"/>
    </row>
    <row r="16" spans="1:9" ht="13.7" customHeight="1" x14ac:dyDescent="0.25">
      <c r="A16" s="21"/>
      <c r="B16" s="21"/>
      <c r="C16" s="21"/>
      <c r="D16" s="21"/>
      <c r="E16" s="21"/>
      <c r="F16" s="11"/>
    </row>
    <row r="17" spans="1:6" ht="16.5" customHeight="1" x14ac:dyDescent="0.2">
      <c r="A17" s="189" t="s">
        <v>61</v>
      </c>
      <c r="B17" s="189"/>
      <c r="C17" s="189"/>
      <c r="D17" s="189"/>
      <c r="E17" s="189"/>
      <c r="F17" s="189"/>
    </row>
    <row r="18" spans="1:6" ht="33" customHeight="1" x14ac:dyDescent="0.2">
      <c r="A18" s="189" t="s">
        <v>62</v>
      </c>
      <c r="B18" s="189"/>
      <c r="C18" s="189"/>
      <c r="D18" s="189"/>
      <c r="E18" s="189"/>
      <c r="F18" s="189"/>
    </row>
    <row r="19" spans="1:6" ht="71.25" customHeight="1" x14ac:dyDescent="0.2">
      <c r="A19" s="187" t="s">
        <v>63</v>
      </c>
      <c r="B19" s="187"/>
      <c r="C19" s="187"/>
      <c r="D19" s="187"/>
      <c r="E19" s="187"/>
      <c r="F19" s="187"/>
    </row>
    <row r="20" spans="1:6" ht="41.85" customHeight="1" x14ac:dyDescent="0.2">
      <c r="A20" s="189" t="s">
        <v>64</v>
      </c>
      <c r="B20" s="189"/>
      <c r="C20" s="189"/>
      <c r="D20" s="189"/>
      <c r="E20" s="189"/>
      <c r="F20" s="189"/>
    </row>
    <row r="21" spans="1:6" ht="41.85" customHeight="1" x14ac:dyDescent="0.2">
      <c r="A21" s="189" t="s">
        <v>65</v>
      </c>
      <c r="B21" s="189"/>
      <c r="C21" s="189"/>
      <c r="D21" s="189"/>
      <c r="E21" s="189"/>
      <c r="F21" s="189"/>
    </row>
    <row r="22" spans="1:6" ht="100.7" customHeight="1" x14ac:dyDescent="0.2">
      <c r="A22" s="189" t="s">
        <v>66</v>
      </c>
      <c r="B22" s="189"/>
      <c r="C22" s="189"/>
      <c r="D22" s="189"/>
      <c r="E22" s="189"/>
      <c r="F22" s="189"/>
    </row>
    <row r="23" spans="1:6" ht="71.25" customHeight="1" x14ac:dyDescent="0.2">
      <c r="A23" s="189" t="s">
        <v>67</v>
      </c>
      <c r="B23" s="189"/>
      <c r="C23" s="189"/>
      <c r="D23" s="189"/>
      <c r="E23" s="189"/>
      <c r="F23" s="189"/>
    </row>
    <row r="24" spans="1:6" ht="86.1" customHeight="1" x14ac:dyDescent="0.2">
      <c r="A24" s="189" t="s">
        <v>68</v>
      </c>
      <c r="B24" s="189"/>
      <c r="C24" s="189"/>
      <c r="D24" s="189"/>
      <c r="E24" s="189"/>
      <c r="F24" s="189"/>
    </row>
    <row r="25" spans="1:6" ht="76.5" customHeight="1" x14ac:dyDescent="0.2">
      <c r="A25" s="188" t="s">
        <v>69</v>
      </c>
      <c r="B25" s="188"/>
      <c r="C25" s="188"/>
      <c r="D25" s="188"/>
      <c r="E25" s="188"/>
      <c r="F25" s="188"/>
    </row>
    <row r="26" spans="1:6" ht="46.5" customHeight="1" x14ac:dyDescent="0.2">
      <c r="A26" s="188" t="s">
        <v>70</v>
      </c>
      <c r="B26" s="188"/>
      <c r="C26" s="188"/>
      <c r="D26" s="188"/>
      <c r="E26" s="188"/>
      <c r="F26" s="188"/>
    </row>
    <row r="27" spans="1:6" ht="46.5" customHeight="1" x14ac:dyDescent="0.2">
      <c r="A27" s="189" t="s">
        <v>71</v>
      </c>
      <c r="B27" s="189"/>
      <c r="C27" s="189"/>
      <c r="D27" s="189"/>
      <c r="E27" s="189"/>
      <c r="F27" s="189"/>
    </row>
    <row r="28" spans="1:6" ht="15" x14ac:dyDescent="0.2">
      <c r="A28" s="11"/>
      <c r="B28" s="11"/>
      <c r="C28" s="11"/>
      <c r="D28" s="11"/>
      <c r="E28" s="11"/>
      <c r="F28" s="11"/>
    </row>
    <row r="29" spans="1:6" ht="15" x14ac:dyDescent="0.2">
      <c r="A29" s="11"/>
      <c r="B29" s="11"/>
      <c r="C29" s="11"/>
      <c r="D29" s="11"/>
      <c r="E29" s="11"/>
      <c r="F29" s="11"/>
    </row>
    <row r="30" spans="1:6" ht="15" x14ac:dyDescent="0.2">
      <c r="A30" s="11"/>
      <c r="B30" s="11"/>
      <c r="C30" s="11"/>
      <c r="D30" s="11"/>
      <c r="E30" s="11"/>
      <c r="F30" s="11"/>
    </row>
    <row r="31" spans="1:6" ht="15" x14ac:dyDescent="0.2">
      <c r="A31" s="11"/>
      <c r="B31" s="11"/>
      <c r="C31" s="11"/>
      <c r="D31" s="11"/>
      <c r="E31" s="11"/>
      <c r="F31" s="11"/>
    </row>
    <row r="32" spans="1:6" ht="15" x14ac:dyDescent="0.2">
      <c r="A32" s="11"/>
      <c r="B32" s="11"/>
      <c r="C32" s="11"/>
      <c r="D32" s="11"/>
      <c r="E32" s="11"/>
      <c r="F32" s="11"/>
    </row>
    <row r="33" spans="1:6" ht="15" x14ac:dyDescent="0.2">
      <c r="A33" s="11"/>
      <c r="B33" s="11"/>
      <c r="C33" s="11"/>
      <c r="D33" s="11"/>
      <c r="E33" s="11"/>
      <c r="F33" s="11"/>
    </row>
    <row r="34" spans="1:6" ht="15" x14ac:dyDescent="0.2">
      <c r="A34" s="11"/>
      <c r="B34" s="11"/>
      <c r="C34" s="11"/>
      <c r="D34" s="11"/>
      <c r="E34" s="11"/>
      <c r="F34" s="11"/>
    </row>
    <row r="35" spans="1:6" ht="15" x14ac:dyDescent="0.2">
      <c r="A35" s="11"/>
      <c r="B35" s="11"/>
      <c r="C35" s="11"/>
      <c r="D35" s="11"/>
      <c r="E35" s="11"/>
      <c r="F35" s="11"/>
    </row>
    <row r="36" spans="1:6" ht="15" x14ac:dyDescent="0.2">
      <c r="A36" s="11"/>
      <c r="B36" s="11"/>
      <c r="C36" s="11"/>
      <c r="D36" s="11"/>
      <c r="E36" s="11"/>
      <c r="F36" s="11"/>
    </row>
    <row r="37" spans="1:6" ht="15" x14ac:dyDescent="0.2">
      <c r="A37" s="11"/>
      <c r="B37" s="11"/>
      <c r="C37" s="11"/>
      <c r="D37" s="11"/>
      <c r="E37" s="11"/>
      <c r="F37" s="11"/>
    </row>
    <row r="38" spans="1:6" ht="15" x14ac:dyDescent="0.2">
      <c r="A38" s="11"/>
      <c r="B38" s="11"/>
      <c r="C38" s="11"/>
      <c r="D38" s="11"/>
      <c r="E38" s="11"/>
      <c r="F38" s="11"/>
    </row>
    <row r="39" spans="1:6" ht="15" x14ac:dyDescent="0.2">
      <c r="A39" s="11"/>
      <c r="B39" s="11"/>
      <c r="C39" s="11"/>
      <c r="D39" s="11"/>
      <c r="E39" s="11"/>
      <c r="F39" s="11"/>
    </row>
    <row r="40" spans="1:6" ht="15" x14ac:dyDescent="0.2">
      <c r="A40" s="11"/>
      <c r="B40" s="11"/>
      <c r="C40" s="11"/>
      <c r="D40" s="11"/>
      <c r="E40" s="11"/>
      <c r="F40" s="11"/>
    </row>
    <row r="41" spans="1:6" ht="15" x14ac:dyDescent="0.2">
      <c r="A41" s="11"/>
      <c r="B41" s="11"/>
      <c r="C41" s="11"/>
      <c r="D41" s="11"/>
      <c r="E41" s="11"/>
      <c r="F41" s="11"/>
    </row>
    <row r="42" spans="1:6" ht="15" x14ac:dyDescent="0.2">
      <c r="A42" s="11"/>
      <c r="B42" s="11"/>
      <c r="C42" s="11"/>
      <c r="D42" s="11"/>
      <c r="E42" s="11"/>
      <c r="F42" s="11"/>
    </row>
    <row r="43" spans="1:6" ht="15" x14ac:dyDescent="0.2">
      <c r="A43" s="11"/>
      <c r="B43" s="11"/>
      <c r="C43" s="11"/>
      <c r="D43" s="11"/>
      <c r="E43" s="11"/>
      <c r="F43" s="11"/>
    </row>
    <row r="44" spans="1:6" ht="15" x14ac:dyDescent="0.2">
      <c r="A44" s="11"/>
      <c r="B44" s="11"/>
      <c r="C44" s="11"/>
      <c r="D44" s="11"/>
      <c r="E44" s="11"/>
      <c r="F44" s="11"/>
    </row>
    <row r="45" spans="1:6" ht="15" x14ac:dyDescent="0.2">
      <c r="A45" s="11"/>
      <c r="B45" s="11"/>
      <c r="C45" s="11"/>
      <c r="D45" s="11"/>
      <c r="E45" s="11"/>
      <c r="F45" s="11"/>
    </row>
    <row r="46" spans="1:6" ht="15" x14ac:dyDescent="0.2">
      <c r="A46" s="11"/>
      <c r="B46" s="11"/>
      <c r="C46" s="11"/>
      <c r="D46" s="11"/>
      <c r="E46" s="11"/>
      <c r="F46" s="11"/>
    </row>
    <row r="47" spans="1:6" ht="15" x14ac:dyDescent="0.2">
      <c r="A47" s="11"/>
      <c r="B47" s="11"/>
      <c r="C47" s="11"/>
      <c r="D47" s="11"/>
      <c r="E47" s="11"/>
      <c r="F47" s="11"/>
    </row>
    <row r="48" spans="1:6" ht="15" x14ac:dyDescent="0.2">
      <c r="A48" s="11"/>
      <c r="B48" s="11"/>
      <c r="C48" s="11"/>
      <c r="D48" s="11"/>
      <c r="E48" s="11"/>
      <c r="F48" s="11"/>
    </row>
    <row r="49" spans="1:6" ht="15" x14ac:dyDescent="0.2">
      <c r="A49" s="11"/>
      <c r="B49" s="11"/>
      <c r="C49" s="11"/>
      <c r="D49" s="11"/>
      <c r="E49" s="11"/>
      <c r="F49" s="11"/>
    </row>
    <row r="50" spans="1:6" ht="15" x14ac:dyDescent="0.2">
      <c r="A50" s="11"/>
      <c r="B50" s="11"/>
      <c r="C50" s="11"/>
      <c r="D50" s="11"/>
      <c r="E50" s="11"/>
      <c r="F50" s="11"/>
    </row>
    <row r="51" spans="1:6" ht="15" x14ac:dyDescent="0.2">
      <c r="A51" s="11"/>
      <c r="B51" s="11"/>
      <c r="C51" s="11"/>
      <c r="D51" s="11"/>
      <c r="E51" s="11"/>
      <c r="F51" s="11"/>
    </row>
    <row r="52" spans="1:6" ht="15" x14ac:dyDescent="0.2">
      <c r="A52" s="11"/>
      <c r="B52" s="11"/>
      <c r="C52" s="11"/>
      <c r="D52" s="11"/>
      <c r="E52" s="11"/>
      <c r="F52" s="11"/>
    </row>
    <row r="53" spans="1:6" ht="15" x14ac:dyDescent="0.2">
      <c r="A53" s="11"/>
      <c r="B53" s="11"/>
      <c r="C53" s="11"/>
      <c r="D53" s="11"/>
      <c r="E53" s="11"/>
      <c r="F53" s="11"/>
    </row>
    <row r="54" spans="1:6" ht="15" x14ac:dyDescent="0.2">
      <c r="A54" s="11"/>
      <c r="B54" s="11"/>
      <c r="C54" s="11"/>
      <c r="D54" s="11"/>
      <c r="E54" s="11"/>
      <c r="F54" s="11"/>
    </row>
    <row r="55" spans="1:6" ht="15" x14ac:dyDescent="0.2">
      <c r="A55" s="11"/>
      <c r="B55" s="11"/>
      <c r="C55" s="11"/>
      <c r="D55" s="11"/>
      <c r="E55" s="11"/>
      <c r="F55" s="11"/>
    </row>
    <row r="56" spans="1:6" ht="15" x14ac:dyDescent="0.2">
      <c r="A56" s="11"/>
      <c r="B56" s="11"/>
      <c r="C56" s="11"/>
      <c r="D56" s="11"/>
      <c r="E56" s="11"/>
      <c r="F56" s="11"/>
    </row>
    <row r="57" spans="1:6" ht="15" x14ac:dyDescent="0.2">
      <c r="A57" s="11"/>
      <c r="B57" s="11"/>
      <c r="C57" s="11"/>
      <c r="D57" s="11"/>
      <c r="E57" s="11"/>
      <c r="F57" s="11"/>
    </row>
    <row r="58" spans="1:6" ht="15" x14ac:dyDescent="0.2">
      <c r="A58" s="11"/>
      <c r="B58" s="11"/>
      <c r="C58" s="11"/>
      <c r="D58" s="11"/>
      <c r="E58" s="11"/>
      <c r="F58" s="11"/>
    </row>
    <row r="59" spans="1:6" ht="15" x14ac:dyDescent="0.2">
      <c r="A59" s="11"/>
      <c r="B59" s="11"/>
      <c r="C59" s="11"/>
      <c r="D59" s="11"/>
      <c r="E59" s="11"/>
      <c r="F59" s="11"/>
    </row>
    <row r="60" spans="1:6" ht="15" x14ac:dyDescent="0.2">
      <c r="A60" s="11"/>
      <c r="B60" s="11"/>
      <c r="C60" s="11"/>
      <c r="D60" s="11"/>
      <c r="E60" s="11"/>
      <c r="F60" s="11"/>
    </row>
    <row r="61" spans="1:6" ht="15" x14ac:dyDescent="0.2">
      <c r="A61" s="11"/>
      <c r="B61" s="11"/>
      <c r="C61" s="11"/>
      <c r="D61" s="11"/>
      <c r="E61" s="11"/>
      <c r="F61" s="11"/>
    </row>
    <row r="62" spans="1:6" ht="15" x14ac:dyDescent="0.2">
      <c r="A62" s="11"/>
      <c r="B62" s="11"/>
      <c r="C62" s="11"/>
      <c r="D62" s="11"/>
      <c r="E62" s="11"/>
      <c r="F62" s="11"/>
    </row>
    <row r="63" spans="1:6" ht="15" x14ac:dyDescent="0.2">
      <c r="A63" s="11"/>
      <c r="B63" s="11"/>
      <c r="C63" s="11"/>
      <c r="D63" s="11"/>
      <c r="E63" s="11"/>
      <c r="F63" s="11"/>
    </row>
    <row r="64" spans="1:6" ht="15" x14ac:dyDescent="0.2">
      <c r="A64" s="11"/>
      <c r="B64" s="11"/>
      <c r="C64" s="11"/>
      <c r="D64" s="11"/>
      <c r="E64" s="11"/>
      <c r="F64" s="11"/>
    </row>
    <row r="65" spans="1:6" ht="15" x14ac:dyDescent="0.2">
      <c r="A65" s="11"/>
      <c r="B65" s="11"/>
      <c r="C65" s="11"/>
      <c r="D65" s="11"/>
      <c r="E65" s="11"/>
      <c r="F65" s="11"/>
    </row>
    <row r="66" spans="1:6" ht="15" x14ac:dyDescent="0.2">
      <c r="A66" s="11"/>
      <c r="B66" s="11"/>
      <c r="C66" s="11"/>
      <c r="D66" s="11"/>
      <c r="E66" s="11"/>
      <c r="F66" s="11"/>
    </row>
    <row r="67" spans="1:6" ht="15" x14ac:dyDescent="0.2">
      <c r="A67" s="11"/>
      <c r="B67" s="11"/>
      <c r="C67" s="11"/>
      <c r="D67" s="11"/>
      <c r="E67" s="11"/>
      <c r="F67" s="11"/>
    </row>
    <row r="68" spans="1:6" ht="15" x14ac:dyDescent="0.2">
      <c r="A68" s="11"/>
      <c r="B68" s="11"/>
      <c r="C68" s="11"/>
      <c r="D68" s="11"/>
      <c r="E68" s="11"/>
      <c r="F68" s="11"/>
    </row>
    <row r="69" spans="1:6" ht="15" x14ac:dyDescent="0.2">
      <c r="A69" s="11"/>
      <c r="B69" s="11"/>
      <c r="C69" s="11"/>
      <c r="D69" s="11"/>
      <c r="E69" s="11"/>
      <c r="F69" s="11"/>
    </row>
    <row r="70" spans="1:6" ht="15" x14ac:dyDescent="0.2">
      <c r="A70" s="11"/>
      <c r="B70" s="11"/>
      <c r="C70" s="11"/>
      <c r="D70" s="11"/>
      <c r="E70" s="11"/>
      <c r="F70" s="11"/>
    </row>
    <row r="71" spans="1:6" ht="15" x14ac:dyDescent="0.2">
      <c r="A71" s="11"/>
      <c r="B71" s="11"/>
      <c r="C71" s="11"/>
      <c r="D71" s="11"/>
      <c r="E71" s="11"/>
      <c r="F71" s="11"/>
    </row>
    <row r="72" spans="1:6" ht="15" x14ac:dyDescent="0.2">
      <c r="A72" s="11"/>
      <c r="B72" s="11"/>
      <c r="C72" s="11"/>
      <c r="D72" s="11"/>
      <c r="E72" s="11"/>
      <c r="F72" s="11"/>
    </row>
    <row r="73" spans="1:6" ht="15" x14ac:dyDescent="0.2">
      <c r="A73" s="11"/>
      <c r="B73" s="11"/>
      <c r="C73" s="11"/>
      <c r="D73" s="11"/>
      <c r="E73" s="11"/>
      <c r="F73" s="11"/>
    </row>
    <row r="74" spans="1:6" ht="15" x14ac:dyDescent="0.2">
      <c r="A74" s="11"/>
      <c r="B74" s="11"/>
      <c r="C74" s="11"/>
      <c r="D74" s="11"/>
      <c r="E74" s="11"/>
      <c r="F74" s="11"/>
    </row>
    <row r="75" spans="1:6" ht="15" x14ac:dyDescent="0.2">
      <c r="A75" s="11"/>
      <c r="B75" s="11"/>
      <c r="C75" s="11"/>
      <c r="D75" s="11"/>
      <c r="E75" s="11"/>
      <c r="F75" s="11"/>
    </row>
    <row r="76" spans="1:6" ht="15" x14ac:dyDescent="0.2">
      <c r="A76" s="11"/>
      <c r="B76" s="11"/>
      <c r="C76" s="11"/>
      <c r="D76" s="11"/>
      <c r="E76" s="11"/>
      <c r="F76" s="11"/>
    </row>
  </sheetData>
  <mergeCells count="17">
    <mergeCell ref="A27:F27"/>
    <mergeCell ref="A21:F21"/>
    <mergeCell ref="A22:F22"/>
    <mergeCell ref="A23:F23"/>
    <mergeCell ref="A24:F24"/>
    <mergeCell ref="A25:F25"/>
    <mergeCell ref="A3:F3"/>
    <mergeCell ref="A4:F4"/>
    <mergeCell ref="A1:F1"/>
    <mergeCell ref="A5:F5"/>
    <mergeCell ref="A26:F26"/>
    <mergeCell ref="A6:F6"/>
    <mergeCell ref="A17:F17"/>
    <mergeCell ref="A18:F18"/>
    <mergeCell ref="A19:F19"/>
    <mergeCell ref="A20:F20"/>
    <mergeCell ref="A2: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workbookViewId="0">
      <selection activeCell="E13" sqref="E13"/>
    </sheetView>
  </sheetViews>
  <sheetFormatPr defaultRowHeight="12.75" x14ac:dyDescent="0.2"/>
  <cols>
    <col min="1" max="1" width="14.6640625" customWidth="1"/>
    <col min="2" max="2" width="24.5" customWidth="1"/>
    <col min="3" max="3" width="25.83203125" customWidth="1"/>
    <col min="4" max="4" width="20.1640625" customWidth="1"/>
    <col min="5" max="5" width="32.5" customWidth="1"/>
    <col min="6" max="6" width="20.83203125" customWidth="1"/>
  </cols>
  <sheetData>
    <row r="1" spans="1:9" ht="82.5" customHeight="1" x14ac:dyDescent="0.2">
      <c r="A1" s="193" t="s">
        <v>297</v>
      </c>
      <c r="B1" s="193"/>
      <c r="C1" s="193"/>
      <c r="D1" s="193"/>
      <c r="E1" s="193"/>
      <c r="F1" s="2"/>
      <c r="G1" s="2"/>
      <c r="H1" s="2"/>
      <c r="I1" s="2"/>
    </row>
    <row r="2" spans="1:9" ht="53.25" customHeight="1" x14ac:dyDescent="0.2">
      <c r="A2" s="177" t="s">
        <v>72</v>
      </c>
      <c r="B2" s="1" t="s">
        <v>73</v>
      </c>
      <c r="C2" s="1" t="s">
        <v>74</v>
      </c>
      <c r="D2" s="22" t="s">
        <v>298</v>
      </c>
      <c r="E2" s="1" t="s">
        <v>75</v>
      </c>
    </row>
    <row r="3" spans="1:9" ht="45" customHeight="1" x14ac:dyDescent="0.25">
      <c r="A3" s="178" t="s">
        <v>306</v>
      </c>
      <c r="B3" s="170" t="s">
        <v>307</v>
      </c>
      <c r="C3" s="171" t="s">
        <v>308</v>
      </c>
      <c r="D3" s="172">
        <v>985000</v>
      </c>
      <c r="E3" s="194" t="s">
        <v>309</v>
      </c>
    </row>
    <row r="4" spans="1:9" ht="48.75" customHeight="1" x14ac:dyDescent="0.25">
      <c r="A4" s="178" t="s">
        <v>306</v>
      </c>
      <c r="B4" s="170" t="s">
        <v>310</v>
      </c>
      <c r="C4" s="171" t="s">
        <v>311</v>
      </c>
      <c r="D4" s="172">
        <v>645000</v>
      </c>
      <c r="E4" s="195"/>
    </row>
    <row r="5" spans="1:9" ht="16.5" customHeight="1" x14ac:dyDescent="0.2">
      <c r="A5" s="6" t="s">
        <v>76</v>
      </c>
      <c r="B5" s="6"/>
      <c r="C5" s="6"/>
      <c r="D5" s="169">
        <f>D3+D4</f>
        <v>1630000</v>
      </c>
      <c r="E5" s="6"/>
    </row>
    <row r="8" spans="1:9" x14ac:dyDescent="0.2">
      <c r="A8" s="196" t="s">
        <v>312</v>
      </c>
      <c r="B8" s="196"/>
      <c r="C8" s="196"/>
      <c r="D8" s="196"/>
      <c r="E8" s="196"/>
    </row>
    <row r="9" spans="1:9" x14ac:dyDescent="0.2">
      <c r="A9" s="196"/>
      <c r="B9" s="196"/>
      <c r="C9" s="196"/>
      <c r="D9" s="196"/>
      <c r="E9" s="196"/>
    </row>
    <row r="10" spans="1:9" x14ac:dyDescent="0.2">
      <c r="A10" s="196"/>
      <c r="B10" s="196"/>
      <c r="C10" s="196"/>
      <c r="D10" s="196"/>
      <c r="E10" s="196"/>
    </row>
  </sheetData>
  <mergeCells count="3">
    <mergeCell ref="A1:E1"/>
    <mergeCell ref="E3:E4"/>
    <mergeCell ref="A8:E10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abSelected="1" topLeftCell="A25" workbookViewId="0">
      <selection activeCell="D38" sqref="D38"/>
    </sheetView>
  </sheetViews>
  <sheetFormatPr defaultRowHeight="12.75" x14ac:dyDescent="0.2"/>
  <cols>
    <col min="1" max="1" width="22.33203125" customWidth="1"/>
    <col min="2" max="2" width="36.1640625" customWidth="1"/>
    <col min="3" max="5" width="21.83203125" customWidth="1"/>
    <col min="6" max="6" width="18.6640625" customWidth="1"/>
  </cols>
  <sheetData>
    <row r="1" spans="1:10" ht="72" customHeight="1" x14ac:dyDescent="0.2">
      <c r="A1" s="204" t="s">
        <v>295</v>
      </c>
      <c r="B1" s="205"/>
      <c r="C1" s="205"/>
      <c r="D1" s="205"/>
      <c r="E1" s="205"/>
      <c r="F1" s="16"/>
      <c r="G1" s="2"/>
      <c r="H1" s="2"/>
      <c r="I1" s="2"/>
      <c r="J1" s="2"/>
    </row>
    <row r="2" spans="1:10" ht="16.5" customHeight="1" x14ac:dyDescent="0.2">
      <c r="A2" s="182" t="s">
        <v>77</v>
      </c>
      <c r="B2" s="182"/>
      <c r="C2" s="182"/>
      <c r="D2" s="182"/>
      <c r="E2" s="182"/>
      <c r="F2" s="17"/>
    </row>
    <row r="3" spans="1:10" ht="16.5" customHeight="1" x14ac:dyDescent="0.2">
      <c r="A3" s="50" t="s">
        <v>0</v>
      </c>
      <c r="B3" s="51" t="s">
        <v>1</v>
      </c>
      <c r="C3" s="52" t="s">
        <v>78</v>
      </c>
      <c r="D3" s="52" t="s">
        <v>79</v>
      </c>
      <c r="E3" s="53" t="s">
        <v>80</v>
      </c>
      <c r="F3" s="11"/>
    </row>
    <row r="4" spans="1:10" ht="16.5" customHeight="1" x14ac:dyDescent="0.25">
      <c r="A4" s="201" t="s">
        <v>9</v>
      </c>
      <c r="B4" s="203"/>
      <c r="C4" s="133">
        <f>E4-D4</f>
        <v>168883000</v>
      </c>
      <c r="D4" s="133">
        <f>D5+D6+D7+D8+D9+D10+D11+D12</f>
        <v>36715000</v>
      </c>
      <c r="E4" s="133">
        <f>E5+E6+E7+E8+E9+E10+E11+E12</f>
        <v>205598000</v>
      </c>
      <c r="F4" s="11"/>
    </row>
    <row r="5" spans="1:10" ht="33" customHeight="1" x14ac:dyDescent="0.2">
      <c r="A5" s="152" t="s">
        <v>10</v>
      </c>
      <c r="B5" s="54" t="s">
        <v>81</v>
      </c>
      <c r="C5" s="146">
        <f>E5-D5</f>
        <v>29538000</v>
      </c>
      <c r="D5" s="146">
        <v>35000</v>
      </c>
      <c r="E5" s="147">
        <v>29573000</v>
      </c>
      <c r="F5" s="11"/>
    </row>
    <row r="6" spans="1:10" ht="16.5" customHeight="1" x14ac:dyDescent="0.25">
      <c r="A6" s="152" t="s">
        <v>12</v>
      </c>
      <c r="B6" s="56" t="s">
        <v>13</v>
      </c>
      <c r="C6" s="128">
        <f>E6-D6</f>
        <v>1900000</v>
      </c>
      <c r="D6" s="128">
        <v>6314000</v>
      </c>
      <c r="E6" s="147">
        <v>8214000</v>
      </c>
      <c r="F6" s="11"/>
    </row>
    <row r="7" spans="1:10" ht="16.5" customHeight="1" x14ac:dyDescent="0.25">
      <c r="A7" s="152" t="s">
        <v>14</v>
      </c>
      <c r="B7" s="49" t="s">
        <v>15</v>
      </c>
      <c r="C7" s="128">
        <f>E7-D7</f>
        <v>3026000</v>
      </c>
      <c r="D7" s="123">
        <f>17500000+180000+36000+180000</f>
        <v>17896000</v>
      </c>
      <c r="E7" s="147">
        <v>20922000</v>
      </c>
      <c r="F7" s="14"/>
    </row>
    <row r="8" spans="1:10" ht="16.5" customHeight="1" x14ac:dyDescent="0.25">
      <c r="A8" s="152" t="s">
        <v>16</v>
      </c>
      <c r="B8" s="43" t="s">
        <v>17</v>
      </c>
      <c r="C8" s="126"/>
      <c r="D8" s="126"/>
      <c r="E8" s="147">
        <f t="shared" ref="E8:E9" si="0">C8+D8</f>
        <v>0</v>
      </c>
      <c r="F8" s="11"/>
    </row>
    <row r="9" spans="1:10" ht="16.5" customHeight="1" x14ac:dyDescent="0.25">
      <c r="A9" s="152" t="s">
        <v>18</v>
      </c>
      <c r="B9" s="43" t="s">
        <v>19</v>
      </c>
      <c r="C9" s="126"/>
      <c r="D9" s="126"/>
      <c r="E9" s="147">
        <f t="shared" si="0"/>
        <v>0</v>
      </c>
      <c r="F9" s="11"/>
    </row>
    <row r="10" spans="1:10" ht="16.5" customHeight="1" x14ac:dyDescent="0.25">
      <c r="A10" s="152" t="s">
        <v>20</v>
      </c>
      <c r="B10" s="43" t="s">
        <v>21</v>
      </c>
      <c r="C10" s="126"/>
      <c r="D10" s="126"/>
      <c r="E10" s="147">
        <v>53000</v>
      </c>
      <c r="F10" s="11"/>
    </row>
    <row r="11" spans="1:10" ht="16.5" customHeight="1" x14ac:dyDescent="0.25">
      <c r="A11" s="152" t="s">
        <v>22</v>
      </c>
      <c r="B11" s="43" t="s">
        <v>23</v>
      </c>
      <c r="C11" s="126">
        <f>E11-D11</f>
        <v>134300000</v>
      </c>
      <c r="D11" s="126">
        <f>310000+6250000+3464000+180000+1566000</f>
        <v>11770000</v>
      </c>
      <c r="E11" s="147">
        <v>146070000</v>
      </c>
      <c r="F11" s="11"/>
    </row>
    <row r="12" spans="1:10" ht="16.5" customHeight="1" x14ac:dyDescent="0.25">
      <c r="A12" s="152" t="s">
        <v>24</v>
      </c>
      <c r="B12" s="43" t="s">
        <v>25</v>
      </c>
      <c r="C12" s="126">
        <f>E12-D12</f>
        <v>66000</v>
      </c>
      <c r="D12" s="126">
        <v>700000</v>
      </c>
      <c r="E12" s="147">
        <v>766000</v>
      </c>
      <c r="F12" s="11"/>
    </row>
    <row r="13" spans="1:10" ht="16.5" customHeight="1" x14ac:dyDescent="0.25">
      <c r="A13" s="201" t="s">
        <v>26</v>
      </c>
      <c r="B13" s="203"/>
      <c r="C13" s="133">
        <f>C14+C15+C16+C17+C18</f>
        <v>0</v>
      </c>
      <c r="D13" s="133">
        <f>D14+D15+D16+D17+D18</f>
        <v>0</v>
      </c>
      <c r="E13" s="133">
        <f>E14+E15+E16+E17+E18</f>
        <v>0</v>
      </c>
      <c r="F13" s="11"/>
    </row>
    <row r="14" spans="1:10" ht="16.5" customHeight="1" x14ac:dyDescent="0.25">
      <c r="A14" s="152" t="s">
        <v>27</v>
      </c>
      <c r="B14" s="43" t="s">
        <v>28</v>
      </c>
      <c r="C14" s="126"/>
      <c r="D14" s="126"/>
      <c r="E14" s="133">
        <f>C14+D14</f>
        <v>0</v>
      </c>
      <c r="F14" s="11"/>
    </row>
    <row r="15" spans="1:10" ht="16.5" customHeight="1" x14ac:dyDescent="0.25">
      <c r="A15" s="152" t="s">
        <v>29</v>
      </c>
      <c r="B15" s="43" t="s">
        <v>30</v>
      </c>
      <c r="C15" s="126"/>
      <c r="D15" s="126"/>
      <c r="E15" s="133">
        <f t="shared" ref="E15:E18" si="1">C15+D15</f>
        <v>0</v>
      </c>
      <c r="F15" s="11"/>
    </row>
    <row r="16" spans="1:10" ht="16.5" customHeight="1" x14ac:dyDescent="0.25">
      <c r="A16" s="152" t="s">
        <v>31</v>
      </c>
      <c r="B16" s="43" t="s">
        <v>82</v>
      </c>
      <c r="C16" s="126"/>
      <c r="D16" s="126"/>
      <c r="E16" s="133">
        <f t="shared" si="1"/>
        <v>0</v>
      </c>
      <c r="F16" s="11"/>
    </row>
    <row r="17" spans="1:6" ht="16.5" customHeight="1" x14ac:dyDescent="0.25">
      <c r="A17" s="152" t="s">
        <v>33</v>
      </c>
      <c r="B17" s="43" t="s">
        <v>34</v>
      </c>
      <c r="C17" s="126"/>
      <c r="D17" s="126"/>
      <c r="E17" s="133">
        <f t="shared" si="1"/>
        <v>0</v>
      </c>
      <c r="F17" s="11"/>
    </row>
    <row r="18" spans="1:6" ht="16.5" customHeight="1" x14ac:dyDescent="0.25">
      <c r="A18" s="152" t="s">
        <v>35</v>
      </c>
      <c r="B18" s="43" t="s">
        <v>36</v>
      </c>
      <c r="C18" s="126"/>
      <c r="D18" s="126"/>
      <c r="E18" s="133">
        <f t="shared" si="1"/>
        <v>0</v>
      </c>
      <c r="F18" s="11"/>
    </row>
    <row r="19" spans="1:6" ht="20.25" customHeight="1" x14ac:dyDescent="0.2">
      <c r="A19" s="201" t="s">
        <v>37</v>
      </c>
      <c r="B19" s="202"/>
      <c r="C19" s="147">
        <f>C20+C21+C22</f>
        <v>0</v>
      </c>
      <c r="D19" s="147">
        <f t="shared" ref="D19:E19" si="2">D20+D21+D22</f>
        <v>31261000</v>
      </c>
      <c r="E19" s="147">
        <f t="shared" si="2"/>
        <v>31261000</v>
      </c>
      <c r="F19" s="11"/>
    </row>
    <row r="20" spans="1:6" ht="16.5" customHeight="1" x14ac:dyDescent="0.25">
      <c r="A20" s="152" t="s">
        <v>38</v>
      </c>
      <c r="B20" s="43" t="s">
        <v>13</v>
      </c>
      <c r="C20" s="126"/>
      <c r="D20" s="126">
        <v>21091000</v>
      </c>
      <c r="E20" s="133">
        <f>C20+D20</f>
        <v>21091000</v>
      </c>
      <c r="F20" s="11"/>
    </row>
    <row r="21" spans="1:6" ht="16.5" customHeight="1" x14ac:dyDescent="0.25">
      <c r="A21" s="152" t="s">
        <v>39</v>
      </c>
      <c r="B21" s="43" t="s">
        <v>15</v>
      </c>
      <c r="C21" s="126"/>
      <c r="D21" s="126"/>
      <c r="E21" s="133">
        <f t="shared" ref="E21:E22" si="3">C21+D21</f>
        <v>0</v>
      </c>
      <c r="F21" s="11"/>
    </row>
    <row r="22" spans="1:6" ht="16.5" customHeight="1" x14ac:dyDescent="0.25">
      <c r="A22" s="152" t="s">
        <v>40</v>
      </c>
      <c r="B22" s="43" t="s">
        <v>25</v>
      </c>
      <c r="C22" s="126"/>
      <c r="D22" s="126">
        <v>10170000</v>
      </c>
      <c r="E22" s="133">
        <f t="shared" si="3"/>
        <v>10170000</v>
      </c>
      <c r="F22" s="11"/>
    </row>
    <row r="23" spans="1:6" ht="21.75" customHeight="1" x14ac:dyDescent="0.2">
      <c r="A23" s="201" t="s">
        <v>83</v>
      </c>
      <c r="B23" s="202"/>
      <c r="C23" s="147">
        <f>C24+C25+C26</f>
        <v>0</v>
      </c>
      <c r="D23" s="147">
        <f t="shared" ref="D23:E23" si="4">D24+D25+D26</f>
        <v>0</v>
      </c>
      <c r="E23" s="147">
        <f t="shared" si="4"/>
        <v>0</v>
      </c>
      <c r="F23" s="11"/>
    </row>
    <row r="24" spans="1:6" ht="16.5" customHeight="1" x14ac:dyDescent="0.25">
      <c r="A24" s="152" t="s">
        <v>42</v>
      </c>
      <c r="B24" s="43" t="s">
        <v>30</v>
      </c>
      <c r="C24" s="126"/>
      <c r="D24" s="126"/>
      <c r="E24" s="133">
        <f>C24+D24</f>
        <v>0</v>
      </c>
      <c r="F24" s="11"/>
    </row>
    <row r="25" spans="1:6" ht="16.5" customHeight="1" x14ac:dyDescent="0.25">
      <c r="A25" s="152" t="s">
        <v>43</v>
      </c>
      <c r="B25" s="43" t="s">
        <v>82</v>
      </c>
      <c r="C25" s="126"/>
      <c r="D25" s="126"/>
      <c r="E25" s="133">
        <f t="shared" ref="E25:E26" si="5">C25+D25</f>
        <v>0</v>
      </c>
      <c r="F25" s="11"/>
    </row>
    <row r="26" spans="1:6" ht="16.5" customHeight="1" x14ac:dyDescent="0.25">
      <c r="A26" s="152" t="s">
        <v>44</v>
      </c>
      <c r="B26" s="43" t="s">
        <v>36</v>
      </c>
      <c r="C26" s="126"/>
      <c r="D26" s="126"/>
      <c r="E26" s="133">
        <f t="shared" si="5"/>
        <v>0</v>
      </c>
      <c r="F26" s="11"/>
    </row>
    <row r="27" spans="1:6" ht="16.5" customHeight="1" x14ac:dyDescent="0.25">
      <c r="A27" s="201" t="s">
        <v>84</v>
      </c>
      <c r="B27" s="203"/>
      <c r="C27" s="126">
        <f>E27</f>
        <v>21116000</v>
      </c>
      <c r="D27" s="126"/>
      <c r="E27" s="133">
        <v>21116000</v>
      </c>
      <c r="F27" s="11"/>
    </row>
    <row r="28" spans="1:6" ht="16.5" customHeight="1" x14ac:dyDescent="0.25">
      <c r="A28" s="182" t="s">
        <v>46</v>
      </c>
      <c r="B28" s="182"/>
      <c r="C28" s="148">
        <f>(C4+C13+C19+C23)-C27</f>
        <v>147767000</v>
      </c>
      <c r="D28" s="148">
        <f>(D4+D13+D19+D23)-D27</f>
        <v>67976000</v>
      </c>
      <c r="E28" s="133">
        <f>E4+E13+E19-E27</f>
        <v>215743000</v>
      </c>
      <c r="F28" s="11"/>
    </row>
    <row r="29" spans="1:6" ht="15.75" x14ac:dyDescent="0.2">
      <c r="A29" s="33"/>
      <c r="B29" s="33"/>
      <c r="C29" s="33"/>
      <c r="D29" s="33"/>
      <c r="E29" s="33"/>
    </row>
    <row r="30" spans="1:6" ht="15.75" x14ac:dyDescent="0.2">
      <c r="A30" s="33"/>
      <c r="B30" s="33"/>
      <c r="C30" s="33"/>
      <c r="D30" s="33"/>
      <c r="E30" s="33"/>
    </row>
    <row r="31" spans="1:6" ht="15.75" x14ac:dyDescent="0.2">
      <c r="A31" s="182" t="s">
        <v>85</v>
      </c>
      <c r="B31" s="182"/>
      <c r="C31" s="182"/>
      <c r="D31" s="182"/>
      <c r="E31" s="182"/>
      <c r="F31" s="3"/>
    </row>
    <row r="32" spans="1:6" ht="31.5" x14ac:dyDescent="0.2">
      <c r="A32" s="58" t="s">
        <v>86</v>
      </c>
      <c r="B32" s="59" t="s">
        <v>1</v>
      </c>
      <c r="C32" s="149" t="s">
        <v>78</v>
      </c>
      <c r="D32" s="44" t="s">
        <v>87</v>
      </c>
      <c r="E32" s="151" t="s">
        <v>80</v>
      </c>
    </row>
    <row r="33" spans="1:6" ht="15.75" x14ac:dyDescent="0.25">
      <c r="A33" s="199" t="s">
        <v>88</v>
      </c>
      <c r="B33" s="200"/>
      <c r="C33" s="132">
        <f>E33-D33</f>
        <v>118240087.09999999</v>
      </c>
      <c r="D33" s="132">
        <f>D34+D35+D36</f>
        <v>79726121.460000008</v>
      </c>
      <c r="E33" s="132">
        <f>E34+E35+E36</f>
        <v>197966208.56</v>
      </c>
    </row>
    <row r="34" spans="1:6" ht="15.75" x14ac:dyDescent="0.25">
      <c r="A34" s="150" t="s">
        <v>89</v>
      </c>
      <c r="B34" s="34" t="s">
        <v>90</v>
      </c>
      <c r="C34" s="123">
        <f>E34-D34</f>
        <v>66551343</v>
      </c>
      <c r="D34" s="123">
        <f>24856500+2349000+32815000</f>
        <v>60020500</v>
      </c>
      <c r="E34" s="132">
        <v>126571843</v>
      </c>
    </row>
    <row r="35" spans="1:6" ht="20.25" customHeight="1" x14ac:dyDescent="0.25">
      <c r="A35" s="150" t="s">
        <v>91</v>
      </c>
      <c r="B35" s="34" t="s">
        <v>92</v>
      </c>
      <c r="C35" s="123">
        <f t="shared" ref="C35:C36" si="6">E35-D35</f>
        <v>4500000</v>
      </c>
      <c r="D35" s="139"/>
      <c r="E35" s="132">
        <v>4500000</v>
      </c>
    </row>
    <row r="36" spans="1:6" ht="23.25" customHeight="1" x14ac:dyDescent="0.25">
      <c r="A36" s="150" t="s">
        <v>93</v>
      </c>
      <c r="B36" s="49" t="s">
        <v>94</v>
      </c>
      <c r="C36" s="123">
        <f t="shared" si="6"/>
        <v>47188744.100000001</v>
      </c>
      <c r="D36" s="131">
        <f>3532100+509000+15664521.46</f>
        <v>19705621.460000001</v>
      </c>
      <c r="E36" s="132">
        <v>66894365.560000002</v>
      </c>
      <c r="F36" s="9"/>
    </row>
    <row r="37" spans="1:6" ht="15.75" x14ac:dyDescent="0.25">
      <c r="A37" s="199" t="s">
        <v>95</v>
      </c>
      <c r="B37" s="200"/>
      <c r="C37" s="132">
        <f>C38+C40</f>
        <v>7991940.6100000003</v>
      </c>
      <c r="D37" s="132">
        <f>D38+D39+D40</f>
        <v>1701831.59</v>
      </c>
      <c r="E37" s="132">
        <f>E38+E39+E40</f>
        <v>9693772.1999999993</v>
      </c>
    </row>
    <row r="38" spans="1:6" ht="15.75" x14ac:dyDescent="0.25">
      <c r="A38" s="150" t="s">
        <v>96</v>
      </c>
      <c r="B38" s="34" t="s">
        <v>97</v>
      </c>
      <c r="C38" s="123">
        <f>E38-D38</f>
        <v>4306940.6100000003</v>
      </c>
      <c r="D38" s="123">
        <f>84120.05+450000+1167711.54</f>
        <v>1701831.59</v>
      </c>
      <c r="E38" s="132">
        <v>6008772.2000000002</v>
      </c>
    </row>
    <row r="39" spans="1:6" ht="15.75" x14ac:dyDescent="0.25">
      <c r="A39" s="150" t="s">
        <v>98</v>
      </c>
      <c r="B39" s="34" t="s">
        <v>99</v>
      </c>
      <c r="C39" s="123"/>
      <c r="D39" s="123"/>
      <c r="E39" s="132">
        <f t="shared" ref="E39" si="7">C39+D39</f>
        <v>0</v>
      </c>
    </row>
    <row r="40" spans="1:6" ht="15.75" x14ac:dyDescent="0.25">
      <c r="A40" s="150" t="s">
        <v>100</v>
      </c>
      <c r="B40" s="34" t="s">
        <v>101</v>
      </c>
      <c r="C40" s="123">
        <f>E40-D40</f>
        <v>3685000</v>
      </c>
      <c r="D40" s="123"/>
      <c r="E40" s="132">
        <v>3685000</v>
      </c>
    </row>
    <row r="41" spans="1:6" ht="15.75" x14ac:dyDescent="0.25">
      <c r="A41" s="199" t="s">
        <v>102</v>
      </c>
      <c r="B41" s="200"/>
      <c r="C41" s="140"/>
      <c r="D41" s="123">
        <f>E41</f>
        <v>21500000</v>
      </c>
      <c r="E41" s="132">
        <v>21500000</v>
      </c>
    </row>
    <row r="42" spans="1:6" ht="15.75" x14ac:dyDescent="0.25">
      <c r="A42" s="199" t="s">
        <v>103</v>
      </c>
      <c r="B42" s="200"/>
      <c r="C42" s="123">
        <f>E42-D42</f>
        <v>1900019.24</v>
      </c>
      <c r="D42" s="123">
        <v>0</v>
      </c>
      <c r="E42" s="132">
        <v>1900019.24</v>
      </c>
      <c r="F42" s="142"/>
    </row>
    <row r="43" spans="1:6" ht="15.75" x14ac:dyDescent="0.25">
      <c r="A43" s="197" t="s">
        <v>104</v>
      </c>
      <c r="B43" s="198"/>
      <c r="C43" s="132">
        <f>C33+C37+C42</f>
        <v>128132046.94999999</v>
      </c>
      <c r="D43" s="132">
        <f>D33+D37+D41+D42</f>
        <v>102927953.05000001</v>
      </c>
      <c r="E43" s="132">
        <f>E33+E37+E41+E42</f>
        <v>231060000</v>
      </c>
    </row>
    <row r="45" spans="1:6" x14ac:dyDescent="0.2">
      <c r="D45" s="142"/>
    </row>
    <row r="46" spans="1:6" x14ac:dyDescent="0.2">
      <c r="D46" s="141"/>
      <c r="E46" s="142"/>
    </row>
    <row r="47" spans="1:6" x14ac:dyDescent="0.2">
      <c r="C47" s="142"/>
      <c r="D47" s="142"/>
    </row>
  </sheetData>
  <mergeCells count="14">
    <mergeCell ref="A1:E1"/>
    <mergeCell ref="A4:B4"/>
    <mergeCell ref="A2:E2"/>
    <mergeCell ref="A13:B13"/>
    <mergeCell ref="A19:B19"/>
    <mergeCell ref="A43:B43"/>
    <mergeCell ref="A31:E31"/>
    <mergeCell ref="A33:B33"/>
    <mergeCell ref="A37:B37"/>
    <mergeCell ref="A23:B23"/>
    <mergeCell ref="A27:B27"/>
    <mergeCell ref="A28:B28"/>
    <mergeCell ref="A41:B41"/>
    <mergeCell ref="A42:B42"/>
  </mergeCells>
  <pageMargins left="0.70866141732283472" right="0.70866141732283472" top="0.74803149606299213" bottom="0.74803149606299213" header="0.31496062992125984" footer="0.31496062992125984"/>
  <pageSetup paperSize="9" scale="7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F8" sqref="F8"/>
    </sheetView>
  </sheetViews>
  <sheetFormatPr defaultRowHeight="12.75" x14ac:dyDescent="0.2"/>
  <cols>
    <col min="1" max="1" width="20.83203125" customWidth="1"/>
    <col min="2" max="2" width="33.1640625" customWidth="1"/>
    <col min="3" max="3" width="15.1640625" customWidth="1"/>
    <col min="4" max="4" width="25" customWidth="1"/>
    <col min="5" max="5" width="35.5" customWidth="1"/>
    <col min="6" max="6" width="14.6640625" customWidth="1"/>
    <col min="7" max="7" width="19.5" customWidth="1"/>
  </cols>
  <sheetData>
    <row r="1" spans="1:7" ht="73.5" customHeight="1" x14ac:dyDescent="0.2">
      <c r="A1" s="206" t="s">
        <v>105</v>
      </c>
      <c r="B1" s="207"/>
      <c r="C1" s="207"/>
      <c r="D1" s="207"/>
      <c r="E1" s="207"/>
      <c r="F1" s="207"/>
      <c r="G1" s="2"/>
    </row>
    <row r="2" spans="1:7" ht="16.5" customHeight="1" x14ac:dyDescent="0.2">
      <c r="A2" s="210" t="s">
        <v>106</v>
      </c>
      <c r="B2" s="210"/>
      <c r="C2" s="210"/>
      <c r="D2" s="210" t="s">
        <v>107</v>
      </c>
      <c r="E2" s="210"/>
      <c r="F2" s="210"/>
    </row>
    <row r="3" spans="1:7" ht="16.5" customHeight="1" x14ac:dyDescent="0.2">
      <c r="A3" s="60" t="s">
        <v>0</v>
      </c>
      <c r="B3" s="61" t="s">
        <v>1</v>
      </c>
      <c r="C3" s="61" t="s">
        <v>108</v>
      </c>
      <c r="D3" s="61" t="s">
        <v>86</v>
      </c>
      <c r="E3" s="61" t="s">
        <v>1</v>
      </c>
      <c r="F3" s="61" t="s">
        <v>108</v>
      </c>
    </row>
    <row r="4" spans="1:7" ht="16.5" customHeight="1" x14ac:dyDescent="0.25">
      <c r="A4" s="211" t="s">
        <v>9</v>
      </c>
      <c r="B4" s="212"/>
      <c r="C4" s="112">
        <f>C5+C6+C7+C8+C9+C10+C11+C12</f>
        <v>0</v>
      </c>
      <c r="D4" s="211" t="s">
        <v>88</v>
      </c>
      <c r="E4" s="212"/>
      <c r="F4" s="112">
        <f>F5+F6+F7</f>
        <v>0</v>
      </c>
    </row>
    <row r="5" spans="1:7" ht="30.75" customHeight="1" x14ac:dyDescent="0.25">
      <c r="A5" s="63" t="s">
        <v>10</v>
      </c>
      <c r="B5" s="10" t="s">
        <v>109</v>
      </c>
      <c r="C5" s="62"/>
      <c r="D5" s="64" t="s">
        <v>110</v>
      </c>
      <c r="E5" s="10" t="s">
        <v>90</v>
      </c>
      <c r="F5" s="62"/>
    </row>
    <row r="6" spans="1:7" ht="22.5" customHeight="1" x14ac:dyDescent="0.2">
      <c r="A6" s="63" t="s">
        <v>12</v>
      </c>
      <c r="B6" s="10" t="s">
        <v>13</v>
      </c>
      <c r="C6" s="65"/>
      <c r="D6" s="64" t="s">
        <v>111</v>
      </c>
      <c r="E6" s="10" t="s">
        <v>92</v>
      </c>
      <c r="F6" s="65"/>
      <c r="G6" s="9"/>
    </row>
    <row r="7" spans="1:7" ht="16.5" customHeight="1" x14ac:dyDescent="0.25">
      <c r="A7" s="63" t="s">
        <v>14</v>
      </c>
      <c r="B7" s="10" t="s">
        <v>15</v>
      </c>
      <c r="C7" s="62"/>
      <c r="D7" s="64" t="s">
        <v>112</v>
      </c>
      <c r="E7" s="10" t="s">
        <v>113</v>
      </c>
      <c r="F7" s="62"/>
    </row>
    <row r="8" spans="1:7" ht="16.5" customHeight="1" x14ac:dyDescent="0.25">
      <c r="A8" s="63" t="s">
        <v>16</v>
      </c>
      <c r="B8" s="66" t="s">
        <v>17</v>
      </c>
      <c r="C8" s="62"/>
      <c r="F8" s="62"/>
    </row>
    <row r="9" spans="1:7" ht="21" customHeight="1" x14ac:dyDescent="0.2">
      <c r="A9" s="63" t="s">
        <v>18</v>
      </c>
      <c r="B9" s="10" t="s">
        <v>19</v>
      </c>
      <c r="C9" s="67"/>
      <c r="D9" s="64"/>
      <c r="E9" s="64"/>
      <c r="F9" s="67"/>
    </row>
    <row r="10" spans="1:7" ht="16.5" customHeight="1" x14ac:dyDescent="0.25">
      <c r="A10" s="63" t="s">
        <v>20</v>
      </c>
      <c r="B10" s="10" t="s">
        <v>21</v>
      </c>
      <c r="C10" s="62"/>
      <c r="D10" s="62"/>
      <c r="E10" s="62"/>
      <c r="F10" s="62"/>
    </row>
    <row r="11" spans="1:7" ht="16.5" customHeight="1" x14ac:dyDescent="0.25">
      <c r="A11" s="63" t="s">
        <v>22</v>
      </c>
      <c r="B11" s="10" t="s">
        <v>23</v>
      </c>
      <c r="C11" s="62"/>
      <c r="D11" s="62"/>
      <c r="E11" s="62"/>
      <c r="F11" s="62"/>
    </row>
    <row r="12" spans="1:7" ht="16.5" customHeight="1" x14ac:dyDescent="0.25">
      <c r="A12" s="63" t="s">
        <v>24</v>
      </c>
      <c r="B12" s="10" t="s">
        <v>25</v>
      </c>
      <c r="C12" s="62"/>
      <c r="D12" s="62"/>
      <c r="E12" s="62"/>
      <c r="F12" s="62"/>
    </row>
    <row r="13" spans="1:7" ht="16.5" customHeight="1" x14ac:dyDescent="0.25">
      <c r="A13" s="211" t="s">
        <v>26</v>
      </c>
      <c r="B13" s="212"/>
      <c r="C13" s="112">
        <f>C14+C15+C16+C17+C18</f>
        <v>0</v>
      </c>
      <c r="D13" s="211" t="s">
        <v>114</v>
      </c>
      <c r="E13" s="212"/>
      <c r="F13" s="112">
        <f>F14+F15+F16</f>
        <v>0</v>
      </c>
    </row>
    <row r="14" spans="1:7" ht="16.5" customHeight="1" x14ac:dyDescent="0.25">
      <c r="A14" s="63" t="s">
        <v>27</v>
      </c>
      <c r="B14" s="10" t="s">
        <v>28</v>
      </c>
      <c r="C14" s="62"/>
      <c r="D14" s="64" t="s">
        <v>115</v>
      </c>
      <c r="E14" s="10" t="s">
        <v>97</v>
      </c>
      <c r="F14" s="62"/>
    </row>
    <row r="15" spans="1:7" ht="22.5" customHeight="1" x14ac:dyDescent="0.25">
      <c r="A15" s="63" t="s">
        <v>29</v>
      </c>
      <c r="B15" s="10" t="s">
        <v>30</v>
      </c>
      <c r="C15" s="62"/>
      <c r="D15" s="68" t="s">
        <v>116</v>
      </c>
      <c r="E15" s="10" t="s">
        <v>99</v>
      </c>
      <c r="F15" s="62"/>
    </row>
    <row r="16" spans="1:7" ht="17.25" customHeight="1" x14ac:dyDescent="0.2">
      <c r="A16" s="63" t="s">
        <v>31</v>
      </c>
      <c r="B16" s="10" t="s">
        <v>32</v>
      </c>
      <c r="C16" s="67"/>
      <c r="D16" s="64" t="s">
        <v>117</v>
      </c>
      <c r="E16" s="10" t="s">
        <v>101</v>
      </c>
      <c r="F16" s="67"/>
    </row>
    <row r="17" spans="1:7" ht="16.5" customHeight="1" x14ac:dyDescent="0.25">
      <c r="A17" s="63" t="s">
        <v>33</v>
      </c>
      <c r="B17" s="10" t="s">
        <v>34</v>
      </c>
      <c r="C17" s="62"/>
      <c r="F17" s="62"/>
    </row>
    <row r="18" spans="1:7" ht="16.5" customHeight="1" x14ac:dyDescent="0.25">
      <c r="A18" s="63" t="s">
        <v>35</v>
      </c>
      <c r="B18" s="10" t="s">
        <v>36</v>
      </c>
      <c r="C18" s="62"/>
      <c r="D18" s="62"/>
      <c r="E18" s="62"/>
      <c r="F18" s="62"/>
    </row>
    <row r="19" spans="1:7" ht="33" customHeight="1" x14ac:dyDescent="0.2">
      <c r="A19" s="211" t="s">
        <v>118</v>
      </c>
      <c r="B19" s="213"/>
      <c r="C19" s="113">
        <f>C20+C21+C22</f>
        <v>0</v>
      </c>
      <c r="D19" s="211" t="s">
        <v>119</v>
      </c>
      <c r="E19" s="212"/>
      <c r="F19" s="67"/>
    </row>
    <row r="20" spans="1:7" ht="16.5" customHeight="1" x14ac:dyDescent="0.25">
      <c r="A20" s="63" t="s">
        <v>38</v>
      </c>
      <c r="B20" s="10" t="s">
        <v>13</v>
      </c>
      <c r="C20" s="62"/>
      <c r="D20" s="211" t="s">
        <v>103</v>
      </c>
      <c r="E20" s="212"/>
      <c r="F20" s="62"/>
    </row>
    <row r="21" spans="1:7" ht="16.5" customHeight="1" x14ac:dyDescent="0.25">
      <c r="A21" s="63" t="s">
        <v>39</v>
      </c>
      <c r="B21" s="10" t="s">
        <v>15</v>
      </c>
      <c r="C21" s="62"/>
      <c r="D21" s="62"/>
      <c r="E21" s="62"/>
      <c r="F21" s="62"/>
    </row>
    <row r="22" spans="1:7" ht="16.5" customHeight="1" x14ac:dyDescent="0.25">
      <c r="A22" s="63" t="s">
        <v>40</v>
      </c>
      <c r="B22" s="10" t="s">
        <v>25</v>
      </c>
      <c r="C22" s="62"/>
      <c r="D22" s="62"/>
      <c r="E22" s="62"/>
      <c r="F22" s="62"/>
    </row>
    <row r="23" spans="1:7" ht="33" customHeight="1" x14ac:dyDescent="0.2">
      <c r="A23" s="211" t="s">
        <v>120</v>
      </c>
      <c r="B23" s="213"/>
      <c r="C23" s="113">
        <f>C24+C25+C26</f>
        <v>0</v>
      </c>
      <c r="D23" s="67"/>
      <c r="E23" s="67"/>
      <c r="F23" s="67"/>
    </row>
    <row r="24" spans="1:7" ht="16.5" customHeight="1" x14ac:dyDescent="0.25">
      <c r="A24" s="63" t="s">
        <v>42</v>
      </c>
      <c r="B24" s="10" t="s">
        <v>30</v>
      </c>
      <c r="C24" s="62"/>
      <c r="D24" s="62"/>
      <c r="E24" s="62"/>
      <c r="F24" s="62"/>
    </row>
    <row r="25" spans="1:7" ht="16.5" customHeight="1" x14ac:dyDescent="0.25">
      <c r="A25" s="63" t="s">
        <v>43</v>
      </c>
      <c r="B25" s="10" t="s">
        <v>32</v>
      </c>
      <c r="C25" s="62"/>
      <c r="D25" s="62"/>
      <c r="E25" s="62"/>
      <c r="F25" s="62"/>
    </row>
    <row r="26" spans="1:7" ht="16.5" customHeight="1" x14ac:dyDescent="0.25">
      <c r="A26" s="63" t="s">
        <v>44</v>
      </c>
      <c r="B26" s="10" t="s">
        <v>36</v>
      </c>
      <c r="C26" s="62"/>
      <c r="D26" s="62"/>
      <c r="E26" s="62"/>
      <c r="F26" s="62"/>
    </row>
    <row r="27" spans="1:7" ht="16.5" customHeight="1" x14ac:dyDescent="0.25">
      <c r="A27" s="107" t="s">
        <v>121</v>
      </c>
      <c r="B27" s="69" t="s">
        <v>84</v>
      </c>
      <c r="C27" s="62"/>
      <c r="D27" s="62"/>
      <c r="E27" s="62"/>
      <c r="F27" s="62"/>
    </row>
    <row r="28" spans="1:7" ht="17.25" customHeight="1" x14ac:dyDescent="0.25">
      <c r="A28" s="63"/>
      <c r="B28" s="69" t="s">
        <v>122</v>
      </c>
      <c r="C28" s="62"/>
      <c r="D28" s="62"/>
      <c r="E28" s="214" t="s">
        <v>76</v>
      </c>
      <c r="F28" s="215">
        <f>F4+F13+F19+F20</f>
        <v>0</v>
      </c>
    </row>
    <row r="29" spans="1:7" ht="16.5" customHeight="1" x14ac:dyDescent="0.25">
      <c r="A29" s="63"/>
      <c r="B29" s="10" t="s">
        <v>104</v>
      </c>
      <c r="C29" s="112">
        <f>(C4+C13+C19+C23+C28)-C27</f>
        <v>0</v>
      </c>
      <c r="D29" s="62"/>
      <c r="E29" s="214"/>
      <c r="F29" s="215"/>
    </row>
    <row r="30" spans="1:7" ht="33" customHeight="1" x14ac:dyDescent="0.2">
      <c r="A30" s="208" t="s">
        <v>123</v>
      </c>
      <c r="B30" s="209"/>
      <c r="C30" s="209"/>
      <c r="D30" s="209"/>
      <c r="E30" s="209"/>
      <c r="F30" s="209"/>
      <c r="G30" s="2"/>
    </row>
  </sheetData>
  <mergeCells count="14">
    <mergeCell ref="A1:F1"/>
    <mergeCell ref="A30:F30"/>
    <mergeCell ref="A2:C2"/>
    <mergeCell ref="D2:F2"/>
    <mergeCell ref="A4:B4"/>
    <mergeCell ref="D4:E4"/>
    <mergeCell ref="A13:B13"/>
    <mergeCell ref="D13:E13"/>
    <mergeCell ref="A19:B19"/>
    <mergeCell ref="D19:E19"/>
    <mergeCell ref="D20:E20"/>
    <mergeCell ref="A23:B23"/>
    <mergeCell ref="E28:E29"/>
    <mergeCell ref="F28:F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opLeftCell="A7" workbookViewId="0">
      <selection activeCell="D26" sqref="D26"/>
    </sheetView>
  </sheetViews>
  <sheetFormatPr defaultRowHeight="12.75" x14ac:dyDescent="0.2"/>
  <cols>
    <col min="1" max="1" width="54.5" customWidth="1"/>
    <col min="2" max="2" width="21.33203125" customWidth="1"/>
    <col min="3" max="3" width="22.33203125" customWidth="1"/>
    <col min="4" max="4" width="19.33203125" customWidth="1"/>
  </cols>
  <sheetData>
    <row r="1" spans="1:9" ht="66" customHeight="1" x14ac:dyDescent="0.2">
      <c r="A1" s="219" t="s">
        <v>299</v>
      </c>
      <c r="B1" s="219"/>
      <c r="C1" s="219"/>
      <c r="D1" s="30"/>
      <c r="E1" s="2"/>
      <c r="F1" s="2"/>
      <c r="G1" s="2"/>
      <c r="H1" s="2"/>
      <c r="I1" s="2"/>
    </row>
    <row r="2" spans="1:9" ht="16.5" customHeight="1" x14ac:dyDescent="0.2">
      <c r="A2" s="216" t="s">
        <v>124</v>
      </c>
      <c r="B2" s="216"/>
      <c r="C2" s="216"/>
      <c r="D2" s="216"/>
    </row>
    <row r="3" spans="1:9" ht="49.5" customHeight="1" x14ac:dyDescent="0.2">
      <c r="A3" s="31" t="s">
        <v>125</v>
      </c>
      <c r="B3" s="114" t="s">
        <v>289</v>
      </c>
      <c r="C3" s="32" t="s">
        <v>126</v>
      </c>
      <c r="D3" s="33"/>
    </row>
    <row r="4" spans="1:9" ht="16.5" customHeight="1" x14ac:dyDescent="0.25">
      <c r="A4" s="34" t="s">
        <v>127</v>
      </c>
      <c r="B4" s="125">
        <v>188895244.09</v>
      </c>
      <c r="C4" s="126">
        <v>159968000</v>
      </c>
      <c r="D4" s="33"/>
    </row>
    <row r="5" spans="1:9" ht="16.5" customHeight="1" x14ac:dyDescent="0.25">
      <c r="A5" s="34" t="s">
        <v>128</v>
      </c>
      <c r="B5" s="127">
        <v>182893736.02000001</v>
      </c>
      <c r="C5" s="128">
        <f>C4-3367000</f>
        <v>156601000</v>
      </c>
      <c r="D5" s="33"/>
    </row>
    <row r="6" spans="1:9" ht="16.5" customHeight="1" x14ac:dyDescent="0.25">
      <c r="A6" s="34" t="s">
        <v>129</v>
      </c>
      <c r="B6" s="129">
        <v>191605732</v>
      </c>
      <c r="C6" s="123">
        <v>231060000</v>
      </c>
      <c r="D6" s="33"/>
    </row>
    <row r="7" spans="1:9" ht="16.5" customHeight="1" x14ac:dyDescent="0.25">
      <c r="A7" s="34" t="s">
        <v>130</v>
      </c>
      <c r="B7" s="130">
        <v>186715592.69</v>
      </c>
      <c r="C7" s="131">
        <f>C23-C15</f>
        <v>167100000</v>
      </c>
      <c r="D7" s="39"/>
      <c r="E7" s="9"/>
    </row>
    <row r="8" spans="1:9" ht="16.5" customHeight="1" x14ac:dyDescent="0.25">
      <c r="A8" s="34" t="s">
        <v>131</v>
      </c>
      <c r="B8" s="132">
        <f>B5-B7</f>
        <v>-3821856.6699999869</v>
      </c>
      <c r="C8" s="132">
        <f>C5-C7</f>
        <v>-10499000</v>
      </c>
      <c r="D8" s="33"/>
    </row>
    <row r="9" spans="1:9" ht="16.5" customHeight="1" x14ac:dyDescent="0.25">
      <c r="A9" s="40"/>
      <c r="B9" s="41"/>
      <c r="C9" s="41"/>
      <c r="D9" s="33"/>
    </row>
    <row r="10" spans="1:9" ht="16.5" customHeight="1" x14ac:dyDescent="0.2">
      <c r="A10" s="217" t="s">
        <v>132</v>
      </c>
      <c r="B10" s="217"/>
      <c r="C10" s="217"/>
      <c r="D10" s="217"/>
    </row>
    <row r="11" spans="1:9" ht="68.25" customHeight="1" x14ac:dyDescent="0.2">
      <c r="A11" s="42" t="s">
        <v>125</v>
      </c>
      <c r="B11" s="42" t="s">
        <v>290</v>
      </c>
      <c r="C11" s="42" t="s">
        <v>133</v>
      </c>
      <c r="D11" s="33"/>
    </row>
    <row r="12" spans="1:9" ht="16.5" customHeight="1" x14ac:dyDescent="0.25">
      <c r="A12" s="43" t="s">
        <v>134</v>
      </c>
      <c r="B12" s="126">
        <v>47406776.659999996</v>
      </c>
      <c r="C12" s="126">
        <v>55775000</v>
      </c>
      <c r="D12" s="33"/>
    </row>
    <row r="13" spans="1:9" ht="16.5" customHeight="1" x14ac:dyDescent="0.25">
      <c r="A13" s="43" t="s">
        <v>135</v>
      </c>
      <c r="B13" s="126">
        <v>34308647.619999997</v>
      </c>
      <c r="C13" s="126">
        <f>C12-17500000</f>
        <v>38275000</v>
      </c>
      <c r="D13" s="33"/>
    </row>
    <row r="14" spans="1:9" ht="16.5" customHeight="1" x14ac:dyDescent="0.25">
      <c r="A14" s="43" t="s">
        <v>136</v>
      </c>
      <c r="B14" s="126">
        <v>33233276.329999998</v>
      </c>
      <c r="C14" s="126">
        <v>55775000</v>
      </c>
      <c r="D14" s="33"/>
    </row>
    <row r="15" spans="1:9" ht="16.5" customHeight="1" x14ac:dyDescent="0.25">
      <c r="A15" s="43" t="s">
        <v>137</v>
      </c>
      <c r="B15" s="126">
        <v>33233276.329999998</v>
      </c>
      <c r="C15" s="126">
        <v>55775000</v>
      </c>
      <c r="D15" s="33"/>
    </row>
    <row r="16" spans="1:9" ht="16.5" customHeight="1" x14ac:dyDescent="0.25">
      <c r="A16" s="43" t="s">
        <v>138</v>
      </c>
      <c r="B16" s="133">
        <f>B13-B15</f>
        <v>1075371.2899999991</v>
      </c>
      <c r="C16" s="133">
        <f>C13-C15</f>
        <v>-17500000</v>
      </c>
      <c r="D16" s="33"/>
    </row>
    <row r="17" spans="1:4" ht="16.5" customHeight="1" x14ac:dyDescent="0.25">
      <c r="A17" s="40"/>
      <c r="B17" s="41"/>
      <c r="C17" s="41"/>
      <c r="D17" s="33"/>
    </row>
    <row r="18" spans="1:4" ht="16.5" customHeight="1" x14ac:dyDescent="0.2">
      <c r="A18" s="218" t="s">
        <v>139</v>
      </c>
      <c r="B18" s="218"/>
      <c r="C18" s="218"/>
      <c r="D18" s="218"/>
    </row>
    <row r="19" spans="1:4" ht="60.75" customHeight="1" x14ac:dyDescent="0.2">
      <c r="A19" s="42" t="s">
        <v>125</v>
      </c>
      <c r="B19" s="42" t="s">
        <v>290</v>
      </c>
      <c r="C19" s="42" t="s">
        <v>133</v>
      </c>
      <c r="D19" s="33"/>
    </row>
    <row r="20" spans="1:4" ht="16.5" customHeight="1" x14ac:dyDescent="0.25">
      <c r="A20" s="43" t="s">
        <v>127</v>
      </c>
      <c r="B20" s="126">
        <f>B4+B12</f>
        <v>236302020.75</v>
      </c>
      <c r="C20" s="126">
        <v>215743000</v>
      </c>
      <c r="D20" s="33"/>
    </row>
    <row r="21" spans="1:4" ht="16.5" customHeight="1" x14ac:dyDescent="0.25">
      <c r="A21" s="43" t="s">
        <v>128</v>
      </c>
      <c r="B21" s="126">
        <f>B5+B13</f>
        <v>217202383.64000002</v>
      </c>
      <c r="C21" s="126">
        <f>C20-20867000</f>
        <v>194876000</v>
      </c>
      <c r="D21" s="33"/>
    </row>
    <row r="22" spans="1:4" ht="16.5" customHeight="1" x14ac:dyDescent="0.25">
      <c r="A22" s="43" t="s">
        <v>129</v>
      </c>
      <c r="B22" s="126">
        <f>B6+B14</f>
        <v>224839008.32999998</v>
      </c>
      <c r="C22" s="126">
        <v>231060000</v>
      </c>
      <c r="D22" s="33"/>
    </row>
    <row r="23" spans="1:4" ht="16.5" customHeight="1" x14ac:dyDescent="0.25">
      <c r="A23" s="43" t="s">
        <v>130</v>
      </c>
      <c r="B23" s="126">
        <f>B7+B15</f>
        <v>219948869.01999998</v>
      </c>
      <c r="C23" s="126">
        <f>C22-4500000-3685000</f>
        <v>222875000</v>
      </c>
      <c r="D23" s="33"/>
    </row>
    <row r="24" spans="1:4" ht="16.5" customHeight="1" x14ac:dyDescent="0.25">
      <c r="A24" s="43" t="s">
        <v>131</v>
      </c>
      <c r="B24" s="133">
        <f>B21-B23</f>
        <v>-2746485.3799999654</v>
      </c>
      <c r="C24" s="133">
        <f>C21-C23</f>
        <v>-27999000</v>
      </c>
      <c r="D24" s="33"/>
    </row>
    <row r="25" spans="1:4" ht="15" x14ac:dyDescent="0.2">
      <c r="A25" s="11"/>
      <c r="B25" s="11"/>
      <c r="C25" s="11"/>
      <c r="D25" s="11"/>
    </row>
    <row r="26" spans="1:4" ht="15" x14ac:dyDescent="0.2">
      <c r="A26" s="11"/>
      <c r="B26" s="11"/>
      <c r="C26" s="11"/>
      <c r="D26" s="11"/>
    </row>
    <row r="27" spans="1:4" ht="15" x14ac:dyDescent="0.2">
      <c r="A27" s="11"/>
      <c r="B27" s="11"/>
      <c r="C27" s="11"/>
      <c r="D27" s="11"/>
    </row>
    <row r="28" spans="1:4" ht="15" x14ac:dyDescent="0.2">
      <c r="A28" s="11"/>
      <c r="B28" s="11"/>
      <c r="C28" s="11"/>
      <c r="D28" s="11"/>
    </row>
    <row r="29" spans="1:4" ht="15" x14ac:dyDescent="0.2">
      <c r="A29" s="11"/>
      <c r="B29" s="11"/>
      <c r="C29" s="11"/>
      <c r="D29" s="11"/>
    </row>
    <row r="30" spans="1:4" ht="15" x14ac:dyDescent="0.2">
      <c r="A30" s="11"/>
      <c r="B30" s="11"/>
      <c r="C30" s="11"/>
      <c r="D30" s="11"/>
    </row>
    <row r="31" spans="1:4" ht="15" x14ac:dyDescent="0.2">
      <c r="A31" s="11"/>
      <c r="B31" s="11"/>
      <c r="C31" s="11"/>
      <c r="D31" s="11"/>
    </row>
    <row r="32" spans="1:4" ht="15" x14ac:dyDescent="0.2">
      <c r="A32" s="11"/>
      <c r="B32" s="11"/>
      <c r="C32" s="11"/>
      <c r="D32" s="11"/>
    </row>
  </sheetData>
  <mergeCells count="4">
    <mergeCell ref="A2:D2"/>
    <mergeCell ref="A10:D10"/>
    <mergeCell ref="A18:D18"/>
    <mergeCell ref="A1:C1"/>
  </mergeCells>
  <pageMargins left="0.7" right="0.7" top="0.75" bottom="0.75" header="0.3" footer="0.3"/>
  <pageSetup paperSize="9" scale="83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A19" workbookViewId="0">
      <selection activeCell="C24" sqref="C24"/>
    </sheetView>
  </sheetViews>
  <sheetFormatPr defaultRowHeight="12.75" x14ac:dyDescent="0.2"/>
  <cols>
    <col min="1" max="1" width="40.33203125" bestFit="1" customWidth="1"/>
    <col min="2" max="2" width="77.33203125" customWidth="1"/>
    <col min="3" max="3" width="21.33203125" customWidth="1"/>
    <col min="4" max="4" width="19.6640625" customWidth="1"/>
  </cols>
  <sheetData>
    <row r="1" spans="1:10" ht="15" customHeight="1" x14ac:dyDescent="0.2">
      <c r="A1" s="221" t="s">
        <v>286</v>
      </c>
      <c r="B1" s="221"/>
      <c r="C1" s="221"/>
    </row>
    <row r="2" spans="1:10" ht="15" customHeight="1" x14ac:dyDescent="0.2">
      <c r="A2" s="221" t="s">
        <v>288</v>
      </c>
      <c r="B2" s="221"/>
      <c r="C2" s="221"/>
    </row>
    <row r="3" spans="1:10" ht="15" customHeight="1" x14ac:dyDescent="0.2">
      <c r="A3" s="221" t="s">
        <v>140</v>
      </c>
      <c r="B3" s="221"/>
      <c r="C3" s="221"/>
    </row>
    <row r="4" spans="1:10" ht="18.75" customHeight="1" x14ac:dyDescent="0.2">
      <c r="A4" s="219" t="s">
        <v>141</v>
      </c>
      <c r="B4" s="219"/>
      <c r="C4" s="219"/>
    </row>
    <row r="5" spans="1:10" ht="20.45" customHeight="1" x14ac:dyDescent="0.2">
      <c r="A5" s="204" t="s">
        <v>142</v>
      </c>
      <c r="B5" s="204"/>
      <c r="C5" s="204"/>
      <c r="D5" s="4"/>
      <c r="E5" s="4"/>
      <c r="F5" s="4"/>
      <c r="G5" s="4"/>
      <c r="H5" s="4"/>
      <c r="I5" s="4"/>
      <c r="J5" s="4"/>
    </row>
    <row r="6" spans="1:10" ht="20.45" customHeight="1" x14ac:dyDescent="0.25">
      <c r="A6" s="92" t="s">
        <v>0</v>
      </c>
      <c r="B6" s="92" t="s">
        <v>1</v>
      </c>
      <c r="C6" s="93" t="s">
        <v>143</v>
      </c>
    </row>
    <row r="7" spans="1:10" ht="20.45" customHeight="1" x14ac:dyDescent="0.25">
      <c r="A7" s="94" t="s">
        <v>144</v>
      </c>
      <c r="B7" s="94" t="s">
        <v>145</v>
      </c>
      <c r="C7" s="116">
        <v>205598000</v>
      </c>
    </row>
    <row r="8" spans="1:10" ht="20.45" customHeight="1" x14ac:dyDescent="0.25">
      <c r="A8" s="96" t="s">
        <v>146</v>
      </c>
      <c r="B8" s="94" t="s">
        <v>147</v>
      </c>
      <c r="C8" s="116">
        <v>21116000</v>
      </c>
    </row>
    <row r="9" spans="1:10" ht="20.45" customHeight="1" x14ac:dyDescent="0.25">
      <c r="A9" s="220" t="s">
        <v>148</v>
      </c>
      <c r="B9" s="220"/>
      <c r="C9" s="95"/>
    </row>
    <row r="10" spans="1:10" ht="32.85" customHeight="1" x14ac:dyDescent="0.2">
      <c r="A10" s="96" t="s">
        <v>149</v>
      </c>
      <c r="B10" s="94" t="s">
        <v>150</v>
      </c>
      <c r="C10" s="117">
        <v>6314000</v>
      </c>
    </row>
    <row r="11" spans="1:10" ht="32.85" customHeight="1" x14ac:dyDescent="0.2">
      <c r="A11" s="96" t="s">
        <v>151</v>
      </c>
      <c r="B11" s="94" t="s">
        <v>152</v>
      </c>
      <c r="C11" s="117">
        <v>700000</v>
      </c>
    </row>
    <row r="12" spans="1:10" ht="32.85" customHeight="1" x14ac:dyDescent="0.2">
      <c r="A12" s="96" t="s">
        <v>153</v>
      </c>
      <c r="B12" s="94" t="s">
        <v>154</v>
      </c>
      <c r="C12" s="117">
        <v>17500000</v>
      </c>
    </row>
    <row r="13" spans="1:10" ht="47.25" x14ac:dyDescent="0.2">
      <c r="A13" s="94" t="s">
        <v>287</v>
      </c>
      <c r="B13" s="97" t="s">
        <v>155</v>
      </c>
      <c r="C13" s="118">
        <v>3464000</v>
      </c>
      <c r="D13" s="9"/>
      <c r="E13" s="9"/>
      <c r="F13" s="9"/>
    </row>
    <row r="14" spans="1:10" ht="20.45" customHeight="1" x14ac:dyDescent="0.25">
      <c r="A14" s="220" t="s">
        <v>156</v>
      </c>
      <c r="B14" s="220"/>
      <c r="C14" s="119">
        <f>C7-C8-C10-C11-C12-C13</f>
        <v>156504000</v>
      </c>
    </row>
    <row r="15" spans="1:10" ht="63.75" customHeight="1" x14ac:dyDescent="0.2">
      <c r="A15" s="94" t="s">
        <v>157</v>
      </c>
      <c r="B15" s="94" t="s">
        <v>158</v>
      </c>
      <c r="C15" s="120"/>
    </row>
    <row r="16" spans="1:10" ht="32.85" customHeight="1" x14ac:dyDescent="0.2">
      <c r="A16" s="220" t="s">
        <v>159</v>
      </c>
      <c r="B16" s="220"/>
      <c r="C16" s="121">
        <f>C14-C15</f>
        <v>156504000</v>
      </c>
    </row>
    <row r="17" spans="1:4" ht="61.5" customHeight="1" x14ac:dyDescent="0.2">
      <c r="A17" s="94" t="s">
        <v>160</v>
      </c>
      <c r="B17" s="94" t="s">
        <v>161</v>
      </c>
      <c r="C17" s="120"/>
    </row>
    <row r="18" spans="1:4" ht="32.85" customHeight="1" x14ac:dyDescent="0.2">
      <c r="A18" s="220" t="s">
        <v>162</v>
      </c>
      <c r="B18" s="220"/>
      <c r="C18" s="121">
        <f>C16-C17</f>
        <v>156504000</v>
      </c>
    </row>
    <row r="19" spans="1:4" ht="32.85" customHeight="1" x14ac:dyDescent="0.2">
      <c r="A19" s="115"/>
      <c r="B19" s="115"/>
      <c r="C19" s="122"/>
    </row>
    <row r="22" spans="1:4" ht="15.75" x14ac:dyDescent="0.2">
      <c r="A22" s="222" t="s">
        <v>163</v>
      </c>
      <c r="B22" s="222"/>
      <c r="C22" s="222"/>
      <c r="D22" s="222"/>
    </row>
    <row r="23" spans="1:4" ht="31.5" x14ac:dyDescent="0.25">
      <c r="A23" s="72" t="s">
        <v>86</v>
      </c>
      <c r="B23" s="46" t="s">
        <v>164</v>
      </c>
      <c r="C23" s="71" t="s">
        <v>165</v>
      </c>
      <c r="D23" s="71" t="s">
        <v>166</v>
      </c>
    </row>
    <row r="24" spans="1:4" ht="15.75" x14ac:dyDescent="0.25">
      <c r="A24" s="48" t="s">
        <v>110</v>
      </c>
      <c r="B24" s="34" t="s">
        <v>167</v>
      </c>
      <c r="C24" s="123">
        <v>121195843</v>
      </c>
      <c r="D24" s="123">
        <v>5396000</v>
      </c>
    </row>
    <row r="25" spans="1:4" ht="15.75" x14ac:dyDescent="0.25">
      <c r="A25" s="48" t="s">
        <v>168</v>
      </c>
      <c r="B25" s="98" t="s">
        <v>169</v>
      </c>
      <c r="C25" s="123"/>
      <c r="D25" s="123"/>
    </row>
    <row r="26" spans="1:4" ht="34.5" customHeight="1" x14ac:dyDescent="0.25">
      <c r="A26" s="48" t="s">
        <v>170</v>
      </c>
      <c r="B26" s="94" t="s">
        <v>171</v>
      </c>
      <c r="C26" s="123"/>
      <c r="D26" s="123">
        <v>10000</v>
      </c>
    </row>
    <row r="27" spans="1:4" ht="15.75" x14ac:dyDescent="0.25">
      <c r="A27" s="47" t="s">
        <v>172</v>
      </c>
      <c r="B27" s="34" t="s">
        <v>173</v>
      </c>
      <c r="C27" s="123">
        <v>28250000</v>
      </c>
      <c r="D27" s="123"/>
    </row>
    <row r="28" spans="1:4" ht="15.75" x14ac:dyDescent="0.25">
      <c r="A28" s="47" t="s">
        <v>174</v>
      </c>
      <c r="B28" s="34" t="s">
        <v>175</v>
      </c>
      <c r="C28" s="123">
        <v>4500000</v>
      </c>
      <c r="D28" s="123"/>
    </row>
    <row r="29" spans="1:4" ht="15.75" x14ac:dyDescent="0.25">
      <c r="A29" s="47" t="s">
        <v>176</v>
      </c>
      <c r="B29" s="34" t="s">
        <v>177</v>
      </c>
      <c r="C29" s="123">
        <v>2900000</v>
      </c>
      <c r="D29" s="123"/>
    </row>
    <row r="30" spans="1:4" ht="15.75" x14ac:dyDescent="0.25">
      <c r="A30" s="47" t="s">
        <v>178</v>
      </c>
      <c r="B30" s="34" t="s">
        <v>179</v>
      </c>
      <c r="C30" s="123">
        <v>500</v>
      </c>
      <c r="D30" s="123"/>
    </row>
    <row r="31" spans="1:4" ht="15.75" x14ac:dyDescent="0.25">
      <c r="A31" s="47" t="s">
        <v>180</v>
      </c>
      <c r="B31" s="34" t="s">
        <v>181</v>
      </c>
      <c r="C31" s="123">
        <v>23343</v>
      </c>
      <c r="D31" s="123">
        <v>50000</v>
      </c>
    </row>
    <row r="32" spans="1:4" ht="15.75" x14ac:dyDescent="0.25">
      <c r="A32" s="47"/>
      <c r="B32" s="34" t="s">
        <v>182</v>
      </c>
      <c r="C32" s="123">
        <v>3500000</v>
      </c>
      <c r="D32" s="123"/>
    </row>
    <row r="33" spans="1:4" ht="15.75" x14ac:dyDescent="0.25">
      <c r="A33" s="47"/>
      <c r="B33" s="34" t="s">
        <v>183</v>
      </c>
      <c r="C33" s="123">
        <f>180000*72%</f>
        <v>129600</v>
      </c>
      <c r="D33" s="123"/>
    </row>
    <row r="34" spans="1:4" ht="15.75" x14ac:dyDescent="0.25">
      <c r="A34" s="47"/>
      <c r="B34" s="34" t="s">
        <v>184</v>
      </c>
      <c r="C34" s="38"/>
      <c r="D34" s="38"/>
    </row>
    <row r="35" spans="1:4" ht="15.75" x14ac:dyDescent="0.25">
      <c r="A35" s="180" t="s">
        <v>185</v>
      </c>
      <c r="B35" s="180"/>
      <c r="C35" s="124">
        <f>(C24+C25+C26-C27-C28-C29-C30-C31-C32-C33-C34)/C18*100</f>
        <v>52.326074732914172</v>
      </c>
      <c r="D35" s="124">
        <f>(D24+D25+D26-D27-D28-D29-D30-D31-D32-D33-D34)/C18*100</f>
        <v>3.4222767469202067</v>
      </c>
    </row>
    <row r="36" spans="1:4" ht="15.75" x14ac:dyDescent="0.2">
      <c r="A36" s="33"/>
      <c r="B36" s="33"/>
      <c r="C36" s="33"/>
      <c r="D36" s="33"/>
    </row>
    <row r="37" spans="1:4" ht="15.75" x14ac:dyDescent="0.2">
      <c r="A37" s="33"/>
      <c r="B37" s="33"/>
      <c r="C37" s="33"/>
      <c r="D37" s="33"/>
    </row>
    <row r="38" spans="1:4" ht="15.75" x14ac:dyDescent="0.2">
      <c r="A38" s="223" t="s">
        <v>186</v>
      </c>
      <c r="B38" s="223"/>
      <c r="C38" s="223"/>
      <c r="D38" s="223"/>
    </row>
    <row r="39" spans="1:4" ht="15.75" x14ac:dyDescent="0.2">
      <c r="A39" s="223" t="s">
        <v>187</v>
      </c>
      <c r="B39" s="223"/>
      <c r="C39" s="223"/>
      <c r="D39" s="223"/>
    </row>
    <row r="40" spans="1:4" ht="15.75" x14ac:dyDescent="0.2">
      <c r="A40" s="223"/>
      <c r="B40" s="223"/>
      <c r="C40" s="223"/>
      <c r="D40" s="223"/>
    </row>
  </sheetData>
  <mergeCells count="14">
    <mergeCell ref="A22:D22"/>
    <mergeCell ref="A35:B35"/>
    <mergeCell ref="A38:D38"/>
    <mergeCell ref="A39:D39"/>
    <mergeCell ref="A40:D40"/>
    <mergeCell ref="A16:B16"/>
    <mergeCell ref="A18:B18"/>
    <mergeCell ref="A4:C4"/>
    <mergeCell ref="A1:C1"/>
    <mergeCell ref="A2:C2"/>
    <mergeCell ref="A3:C3"/>
    <mergeCell ref="A5:C5"/>
    <mergeCell ref="A14:B14"/>
    <mergeCell ref="A9:B9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B27" sqref="B27"/>
    </sheetView>
  </sheetViews>
  <sheetFormatPr defaultRowHeight="12.75" x14ac:dyDescent="0.2"/>
  <cols>
    <col min="1" max="1" width="76" customWidth="1"/>
    <col min="2" max="2" width="24.6640625" customWidth="1"/>
    <col min="3" max="3" width="16" customWidth="1"/>
  </cols>
  <sheetData>
    <row r="1" spans="1:9" ht="93.75" customHeight="1" x14ac:dyDescent="0.2">
      <c r="A1" s="224" t="s">
        <v>300</v>
      </c>
      <c r="B1" s="224"/>
      <c r="C1" s="2"/>
      <c r="D1" s="2"/>
      <c r="E1" s="2"/>
      <c r="F1" s="2"/>
      <c r="G1" s="2"/>
      <c r="H1" s="2"/>
      <c r="I1" s="2"/>
    </row>
    <row r="2" spans="1:9" ht="18.2" customHeight="1" x14ac:dyDescent="0.2">
      <c r="A2" s="23" t="s">
        <v>188</v>
      </c>
      <c r="B2" s="179" t="s">
        <v>316</v>
      </c>
    </row>
    <row r="3" spans="1:9" ht="16.5" customHeight="1" x14ac:dyDescent="0.25">
      <c r="A3" s="24" t="s">
        <v>189</v>
      </c>
      <c r="B3" s="108">
        <f>B4+B5-B6</f>
        <v>0</v>
      </c>
    </row>
    <row r="4" spans="1:9" ht="16.5" customHeight="1" x14ac:dyDescent="0.25">
      <c r="A4" s="26" t="s">
        <v>190</v>
      </c>
      <c r="B4" s="25"/>
    </row>
    <row r="5" spans="1:9" ht="16.5" customHeight="1" x14ac:dyDescent="0.25">
      <c r="A5" s="26" t="s">
        <v>191</v>
      </c>
      <c r="B5" s="25"/>
    </row>
    <row r="6" spans="1:9" ht="16.5" customHeight="1" x14ac:dyDescent="0.25">
      <c r="A6" s="27" t="s">
        <v>192</v>
      </c>
      <c r="B6" s="25"/>
    </row>
    <row r="7" spans="1:9" ht="16.5" customHeight="1" x14ac:dyDescent="0.25">
      <c r="A7" s="28" t="s">
        <v>193</v>
      </c>
      <c r="B7" s="108">
        <f>B8+B9</f>
        <v>0</v>
      </c>
      <c r="C7" s="8"/>
      <c r="D7" s="9"/>
      <c r="E7" s="9"/>
    </row>
    <row r="8" spans="1:9" ht="16.5" customHeight="1" x14ac:dyDescent="0.25">
      <c r="A8" s="29" t="s">
        <v>194</v>
      </c>
      <c r="B8" s="25"/>
      <c r="C8" s="7"/>
    </row>
    <row r="9" spans="1:9" ht="16.5" customHeight="1" x14ac:dyDescent="0.25">
      <c r="A9" s="29" t="s">
        <v>195</v>
      </c>
      <c r="B9" s="25"/>
    </row>
    <row r="10" spans="1:9" ht="16.5" customHeight="1" x14ac:dyDescent="0.25">
      <c r="A10" s="24" t="s">
        <v>196</v>
      </c>
      <c r="B10" s="108">
        <f>B3-B7</f>
        <v>0</v>
      </c>
    </row>
    <row r="12" spans="1:9" x14ac:dyDescent="0.2">
      <c r="A12" t="s">
        <v>301</v>
      </c>
    </row>
    <row r="13" spans="1:9" x14ac:dyDescent="0.2">
      <c r="A13" t="s">
        <v>302</v>
      </c>
    </row>
  </sheetData>
  <mergeCells count="1">
    <mergeCell ref="A1:B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workbookViewId="0">
      <selection activeCell="D23" sqref="D23"/>
    </sheetView>
  </sheetViews>
  <sheetFormatPr defaultRowHeight="12.75" x14ac:dyDescent="0.2"/>
  <cols>
    <col min="1" max="1" width="27" customWidth="1"/>
    <col min="2" max="2" width="89.1640625" customWidth="1"/>
    <col min="3" max="3" width="18.5" customWidth="1"/>
    <col min="4" max="4" width="16.6640625" bestFit="1" customWidth="1"/>
    <col min="5" max="5" width="44" bestFit="1" customWidth="1"/>
    <col min="6" max="6" width="22.1640625" customWidth="1"/>
    <col min="7" max="7" width="23.5" customWidth="1"/>
  </cols>
  <sheetData>
    <row r="1" spans="1:7" x14ac:dyDescent="0.2">
      <c r="A1" s="219" t="s">
        <v>305</v>
      </c>
      <c r="B1" s="221"/>
      <c r="C1" s="221"/>
      <c r="D1" s="221"/>
      <c r="E1" s="221"/>
      <c r="F1" s="221"/>
      <c r="G1" s="221"/>
    </row>
    <row r="2" spans="1:7" x14ac:dyDescent="0.2">
      <c r="A2" s="221"/>
      <c r="B2" s="221"/>
      <c r="C2" s="221"/>
      <c r="D2" s="221"/>
      <c r="E2" s="221"/>
      <c r="F2" s="221"/>
      <c r="G2" s="221"/>
    </row>
    <row r="3" spans="1:7" ht="57.75" customHeight="1" x14ac:dyDescent="0.2">
      <c r="A3" s="221"/>
      <c r="B3" s="221"/>
      <c r="C3" s="221"/>
      <c r="D3" s="221"/>
      <c r="E3" s="221"/>
      <c r="F3" s="221"/>
      <c r="G3" s="221"/>
    </row>
    <row r="4" spans="1:7" ht="19.5" customHeight="1" x14ac:dyDescent="0.2">
      <c r="A4" s="227" t="s">
        <v>77</v>
      </c>
      <c r="B4" s="227"/>
      <c r="C4" s="144" t="s">
        <v>197</v>
      </c>
      <c r="D4" s="168">
        <v>0.25</v>
      </c>
      <c r="E4" s="144" t="s">
        <v>125</v>
      </c>
      <c r="F4" s="144" t="s">
        <v>198</v>
      </c>
      <c r="G4" s="144" t="s">
        <v>199</v>
      </c>
    </row>
    <row r="5" spans="1:7" ht="15.75" x14ac:dyDescent="0.25">
      <c r="A5" s="230" t="s">
        <v>200</v>
      </c>
      <c r="B5" s="230"/>
      <c r="C5" s="173">
        <f>C6</f>
        <v>23250000</v>
      </c>
      <c r="D5" s="173">
        <f>D6</f>
        <v>5812500</v>
      </c>
      <c r="E5" s="145" t="s">
        <v>201</v>
      </c>
      <c r="F5" s="175">
        <v>9935520.2799999993</v>
      </c>
      <c r="G5" s="175">
        <v>8450000</v>
      </c>
    </row>
    <row r="6" spans="1:7" ht="15.75" x14ac:dyDescent="0.25">
      <c r="A6" s="158" t="s">
        <v>202</v>
      </c>
      <c r="B6" s="157" t="s">
        <v>203</v>
      </c>
      <c r="C6" s="174">
        <v>23250000</v>
      </c>
      <c r="D6" s="174">
        <f>(C6*0.25)</f>
        <v>5812500</v>
      </c>
      <c r="E6" s="145" t="s">
        <v>204</v>
      </c>
      <c r="F6" s="175">
        <v>1893500</v>
      </c>
      <c r="G6" s="175">
        <v>13753000</v>
      </c>
    </row>
    <row r="7" spans="1:7" ht="15.75" x14ac:dyDescent="0.25">
      <c r="A7" s="226" t="s">
        <v>205</v>
      </c>
      <c r="B7" s="226"/>
      <c r="C7" s="173">
        <f>C8+C9+C10+C11+C12+C13+C14+C15+C16+C17</f>
        <v>129720000</v>
      </c>
      <c r="D7" s="173">
        <f>D8+D9+D10+D11+D12+D13+D14+D15+D16+D17</f>
        <v>33961500</v>
      </c>
      <c r="E7" s="143" t="s">
        <v>206</v>
      </c>
      <c r="F7" s="175">
        <v>40000</v>
      </c>
      <c r="G7" s="175">
        <v>326500</v>
      </c>
    </row>
    <row r="8" spans="1:7" ht="15.75" x14ac:dyDescent="0.25">
      <c r="A8" s="157" t="s">
        <v>207</v>
      </c>
      <c r="B8" s="157" t="s">
        <v>208</v>
      </c>
      <c r="C8" s="174">
        <v>47230000</v>
      </c>
      <c r="D8" s="174">
        <f>C8*0.05</f>
        <v>2361500</v>
      </c>
      <c r="E8" s="145" t="s">
        <v>209</v>
      </c>
      <c r="F8" s="175">
        <v>55000</v>
      </c>
      <c r="G8" s="175">
        <v>2054000</v>
      </c>
    </row>
    <row r="9" spans="1:7" ht="15.75" x14ac:dyDescent="0.25">
      <c r="A9" s="157" t="s">
        <v>210</v>
      </c>
      <c r="B9" s="157" t="s">
        <v>211</v>
      </c>
      <c r="C9" s="174">
        <v>5470000</v>
      </c>
      <c r="D9" s="174">
        <f>C9*0.25</f>
        <v>1367500</v>
      </c>
      <c r="E9" s="145" t="s">
        <v>212</v>
      </c>
      <c r="F9" s="175">
        <f>12202520.28-F5-F6-F7-F8</f>
        <v>278500</v>
      </c>
      <c r="G9" s="175">
        <f>27770000-G5-G6-G7-G8</f>
        <v>3186500</v>
      </c>
    </row>
    <row r="10" spans="1:7" ht="15.75" x14ac:dyDescent="0.25">
      <c r="A10" s="158" t="s">
        <v>213</v>
      </c>
      <c r="B10" s="157" t="s">
        <v>214</v>
      </c>
      <c r="C10" s="174">
        <v>800000</v>
      </c>
      <c r="D10" s="174">
        <f t="shared" ref="D10:D15" si="0">C10*0.05</f>
        <v>40000</v>
      </c>
      <c r="E10" s="143"/>
      <c r="F10" s="175"/>
      <c r="G10" s="175"/>
    </row>
    <row r="11" spans="1:7" ht="15.75" x14ac:dyDescent="0.25">
      <c r="A11" s="157" t="s">
        <v>215</v>
      </c>
      <c r="B11" s="157" t="s">
        <v>216</v>
      </c>
      <c r="C11" s="174">
        <v>0</v>
      </c>
      <c r="D11" s="174">
        <f t="shared" si="0"/>
        <v>0</v>
      </c>
      <c r="E11" s="145"/>
      <c r="F11" s="175"/>
      <c r="G11" s="175"/>
    </row>
    <row r="12" spans="1:7" ht="15.75" x14ac:dyDescent="0.25">
      <c r="A12" s="157" t="s">
        <v>217</v>
      </c>
      <c r="B12" s="157" t="s">
        <v>218</v>
      </c>
      <c r="C12" s="174">
        <v>0</v>
      </c>
      <c r="D12" s="174">
        <f t="shared" si="0"/>
        <v>0</v>
      </c>
      <c r="E12" s="145"/>
      <c r="F12" s="175"/>
      <c r="G12" s="175"/>
    </row>
    <row r="13" spans="1:7" ht="15.75" x14ac:dyDescent="0.25">
      <c r="A13" s="157" t="s">
        <v>219</v>
      </c>
      <c r="B13" s="157" t="s">
        <v>220</v>
      </c>
      <c r="C13" s="174">
        <v>39850000</v>
      </c>
      <c r="D13" s="174">
        <f t="shared" si="0"/>
        <v>1992500</v>
      </c>
      <c r="E13" s="145"/>
      <c r="F13" s="175"/>
      <c r="G13" s="175"/>
    </row>
    <row r="14" spans="1:7" ht="15.75" x14ac:dyDescent="0.25">
      <c r="A14" s="157" t="s">
        <v>221</v>
      </c>
      <c r="B14" s="157" t="s">
        <v>222</v>
      </c>
      <c r="C14" s="174">
        <v>8200000</v>
      </c>
      <c r="D14" s="174">
        <f t="shared" si="0"/>
        <v>410000</v>
      </c>
      <c r="E14" s="145"/>
      <c r="F14" s="175"/>
      <c r="G14" s="175"/>
    </row>
    <row r="15" spans="1:7" ht="15.75" x14ac:dyDescent="0.25">
      <c r="A15" s="157" t="s">
        <v>223</v>
      </c>
      <c r="B15" s="157" t="s">
        <v>224</v>
      </c>
      <c r="C15" s="174">
        <v>400000</v>
      </c>
      <c r="D15" s="174">
        <f t="shared" si="0"/>
        <v>20000</v>
      </c>
      <c r="E15" s="145"/>
      <c r="F15" s="175"/>
      <c r="G15" s="175"/>
    </row>
    <row r="16" spans="1:7" ht="15.75" x14ac:dyDescent="0.25">
      <c r="A16" s="157" t="s">
        <v>225</v>
      </c>
      <c r="B16" s="157" t="s">
        <v>226</v>
      </c>
      <c r="C16" s="174">
        <v>0</v>
      </c>
      <c r="D16" s="174">
        <f>C16*0.25</f>
        <v>0</v>
      </c>
      <c r="E16" s="145"/>
      <c r="F16" s="175"/>
      <c r="G16" s="175"/>
    </row>
    <row r="17" spans="1:7" ht="15.75" x14ac:dyDescent="0.25">
      <c r="A17" s="158" t="s">
        <v>313</v>
      </c>
      <c r="B17" s="157" t="s">
        <v>314</v>
      </c>
      <c r="C17" s="174">
        <f>27350000+420000</f>
        <v>27770000</v>
      </c>
      <c r="D17" s="174">
        <f>27350000+420000</f>
        <v>27770000</v>
      </c>
      <c r="E17" s="145"/>
      <c r="F17" s="175"/>
      <c r="G17" s="175"/>
    </row>
    <row r="18" spans="1:7" ht="15.75" x14ac:dyDescent="0.25">
      <c r="A18" s="231"/>
      <c r="B18" s="231"/>
      <c r="C18" s="174"/>
      <c r="D18" s="174"/>
      <c r="E18" s="145"/>
      <c r="F18" s="175"/>
      <c r="G18" s="175"/>
    </row>
    <row r="19" spans="1:7" ht="15.75" x14ac:dyDescent="0.25">
      <c r="A19" s="159"/>
      <c r="B19" s="159"/>
      <c r="C19" s="174"/>
      <c r="D19" s="174"/>
      <c r="E19" s="145"/>
      <c r="F19" s="175"/>
      <c r="G19" s="175"/>
    </row>
    <row r="20" spans="1:7" ht="15.75" x14ac:dyDescent="0.25">
      <c r="A20" s="226" t="s">
        <v>227</v>
      </c>
      <c r="B20" s="226"/>
      <c r="C20" s="173">
        <f>(C8*0.2+C10*0.2+C12*0.2+C13*0.2+C14*0.2+C15*0.2+C16*0.2)+C17</f>
        <v>47066000</v>
      </c>
      <c r="D20" s="173">
        <f>C8*0.2+C10*0.2+C12*0.2+C13*0.2+C14*0.2+C15*0.2+C16*0.2</f>
        <v>19296000</v>
      </c>
      <c r="E20" s="145"/>
      <c r="F20" s="175"/>
      <c r="G20" s="175"/>
    </row>
    <row r="21" spans="1:7" ht="32.25" customHeight="1" x14ac:dyDescent="0.25">
      <c r="A21" s="228" t="s">
        <v>315</v>
      </c>
      <c r="B21" s="228"/>
      <c r="C21" s="174">
        <v>19296000</v>
      </c>
      <c r="D21" s="174"/>
      <c r="E21" s="145"/>
      <c r="F21" s="175"/>
      <c r="G21" s="175"/>
    </row>
    <row r="22" spans="1:7" ht="35.25" customHeight="1" x14ac:dyDescent="0.25">
      <c r="A22" s="225" t="s">
        <v>228</v>
      </c>
      <c r="B22" s="225"/>
      <c r="C22" s="173">
        <f>(C8*0.05+C10*0.05+C12*0.05+C13*0.05+C14*0.05+C15*0.05+C16*0.05) + (C6*0.25+C9*0.25+C11*0.25)</f>
        <v>12004000</v>
      </c>
      <c r="D22" s="173">
        <f>D6+D8+D9+D10+D11+D12+D13+D14+D15+(F24-12004000)</f>
        <v>12202520.279999999</v>
      </c>
      <c r="E22" s="145"/>
      <c r="F22" s="175"/>
      <c r="G22" s="175"/>
    </row>
    <row r="23" spans="1:7" ht="15.75" x14ac:dyDescent="0.25">
      <c r="A23" s="229" t="s">
        <v>229</v>
      </c>
      <c r="B23" s="229"/>
      <c r="C23" s="174"/>
      <c r="D23" s="174"/>
      <c r="E23" s="145"/>
      <c r="F23" s="175"/>
      <c r="G23" s="175"/>
    </row>
    <row r="24" spans="1:7" ht="15.75" x14ac:dyDescent="0.25">
      <c r="A24" s="226" t="s">
        <v>230</v>
      </c>
      <c r="B24" s="226"/>
      <c r="C24" s="173">
        <f>(C20-C21)+(C22)</f>
        <v>39774000</v>
      </c>
      <c r="D24" s="173">
        <f>(C20-C21)+D22</f>
        <v>39972520.280000001</v>
      </c>
      <c r="E24" s="58" t="s">
        <v>231</v>
      </c>
      <c r="F24" s="176">
        <f>F5+F6+F7+F8+F9</f>
        <v>12202520.279999999</v>
      </c>
      <c r="G24" s="176">
        <f>G5+G6+G7+G8+G9</f>
        <v>27770000</v>
      </c>
    </row>
    <row r="25" spans="1:7" ht="15.75" x14ac:dyDescent="0.2">
      <c r="A25" s="91"/>
      <c r="B25" s="91"/>
      <c r="C25" s="91"/>
      <c r="D25" s="91"/>
      <c r="E25" s="91"/>
      <c r="F25" s="91"/>
      <c r="G25" s="91"/>
    </row>
  </sheetData>
  <mergeCells count="10">
    <mergeCell ref="A22:B22"/>
    <mergeCell ref="A24:B24"/>
    <mergeCell ref="A1:G3"/>
    <mergeCell ref="A4:B4"/>
    <mergeCell ref="A21:B21"/>
    <mergeCell ref="A23:B23"/>
    <mergeCell ref="A20:B20"/>
    <mergeCell ref="A5:B5"/>
    <mergeCell ref="A7:B7"/>
    <mergeCell ref="A18:B18"/>
  </mergeCells>
  <pageMargins left="0.511811024" right="0.511811024" top="0.78740157499999996" bottom="0.78740157499999996" header="0.31496062000000002" footer="0.31496062000000002"/>
  <pageSetup paperSize="9" scale="6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95757c-a34f-4682-aba1-6b8a1e936109">
      <Terms xmlns="http://schemas.microsoft.com/office/infopath/2007/PartnerControls"/>
    </lcf76f155ced4ddcb4097134ff3c332f>
    <TaxCatchAll xmlns="ff5be268-706f-4c28-ab3b-84e3344dd248" xsi:nil="true"/>
    <J_x00da_LIOC_x00c9_SARFUCILINIPAUSE xmlns="6895757c-a34f-4682-aba1-6b8a1e936109">
      <Url xsi:nil="true"/>
      <Description xsi:nil="true"/>
    </J_x00da_LIOC_x00c9_SARFUCILINIPAUS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7442E6F8E99D547932347400F8A4643" ma:contentTypeVersion="17" ma:contentTypeDescription="Crie um novo documento." ma:contentTypeScope="" ma:versionID="0d0a645107927a9030e3b1c277ba6ad5">
  <xsd:schema xmlns:xsd="http://www.w3.org/2001/XMLSchema" xmlns:xs="http://www.w3.org/2001/XMLSchema" xmlns:p="http://schemas.microsoft.com/office/2006/metadata/properties" xmlns:ns2="6895757c-a34f-4682-aba1-6b8a1e936109" xmlns:ns3="ff5be268-706f-4c28-ab3b-84e3344dd248" targetNamespace="http://schemas.microsoft.com/office/2006/metadata/properties" ma:root="true" ma:fieldsID="e57c8d7cb914d1cca4e385ccdcc5212f" ns2:_="" ns3:_="">
    <xsd:import namespace="6895757c-a34f-4682-aba1-6b8a1e936109"/>
    <xsd:import namespace="ff5be268-706f-4c28-ab3b-84e3344dd2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J_x00da_LIOC_x00c9_SARFUCILINIPAUS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95757c-a34f-4682-aba1-6b8a1e9361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31a15f92-5b47-4215-87b2-1170ea39a2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J_x00da_LIOC_x00c9_SARFUCILINIPAUSE" ma:index="23" nillable="true" ma:displayName="JÚLIO CÉSAR  FUCILINI PAUSE" ma:format="Hyperlink" ma:internalName="J_x00da_LIOC_x00c9_SARFUCILINIPAU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be268-706f-4c28-ab3b-84e3344dd248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3208340-8ade-49de-ab85-72a4f53c27e2}" ma:internalName="TaxCatchAll" ma:showField="CatchAllData" ma:web="ff5be268-706f-4c28-ab3b-84e3344dd2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194C6D-78DF-4C6F-A9FC-02F14B8FDCDC}">
  <ds:schemaRefs>
    <ds:schemaRef ds:uri="http://schemas.microsoft.com/office/2006/metadata/properties"/>
    <ds:schemaRef ds:uri="http://purl.org/dc/terms/"/>
    <ds:schemaRef ds:uri="http://www.w3.org/XML/1998/namespace"/>
    <ds:schemaRef ds:uri="6895757c-a34f-4682-aba1-6b8a1e936109"/>
    <ds:schemaRef ds:uri="ff5be268-706f-4c28-ab3b-84e3344dd248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3F503AA-1B16-46C3-AFD9-4DA94E7915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95757c-a34f-4682-aba1-6b8a1e936109"/>
    <ds:schemaRef ds:uri="ff5be268-706f-4c28-ab3b-84e3344dd2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2621CE-7714-4DF1-A58D-4BFD768828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EVOLUÇÃO DA RECEITA</vt:lpstr>
      <vt:lpstr>METODOLOGIA DE CÁLCULO</vt:lpstr>
      <vt:lpstr>DEM EST E COMPENS DA RENÚNCIA</vt:lpstr>
      <vt:lpstr>RECEITA E DESPESA POR GRUPO</vt:lpstr>
      <vt:lpstr>RECEITA E DESPESA FUNDO</vt:lpstr>
      <vt:lpstr>METAS FISCAIS</vt:lpstr>
      <vt:lpstr>PESSOAL RCL</vt:lpstr>
      <vt:lpstr>MARGEM DE EXPANSÃO</vt:lpstr>
      <vt:lpstr>MDE + FUNDEB</vt:lpstr>
      <vt:lpstr>ASPS</vt:lpstr>
      <vt:lpstr>OP CRÉDITO</vt:lpstr>
      <vt:lpstr>29-A RREA LEGISLATIVO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Lourenco Wallau</dc:creator>
  <cp:keywords/>
  <dc:description/>
  <cp:lastModifiedBy>12888</cp:lastModifiedBy>
  <cp:revision/>
  <cp:lastPrinted>2025-12-11T15:35:35Z</cp:lastPrinted>
  <dcterms:created xsi:type="dcterms:W3CDTF">2023-07-28T12:40:14Z</dcterms:created>
  <dcterms:modified xsi:type="dcterms:W3CDTF">2026-01-15T15:09:58Z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0x01010097442E6F8E99D547932347400F8A4643</vt:lpwstr>
  </property>
  <property fmtid="{D5CDD505-2E9C-101B-9397-08002B2CF9AE}" pid="3" name="Order">
    <vt:r8>35971800</vt:r8>
  </property>
  <property fmtid="{D5CDD505-2E9C-101B-9397-08002B2CF9AE}" pid="4" name="MediaServiceImageTags">
    <vt:lpwstr/>
  </property>
</Properties>
</file>